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ULI Hines Competition 2020 Entry\Josh\"/>
    </mc:Choice>
  </mc:AlternateContent>
  <xr:revisionPtr revIDLastSave="0" documentId="13_ncr:1_{F9A6C545-4A33-442D-8DA5-0D90206B9FF5}" xr6:coauthVersionLast="45" xr6:coauthVersionMax="45" xr10:uidLastSave="{00000000-0000-0000-0000-000000000000}"/>
  <bookViews>
    <workbookView xWindow="-9255" yWindow="5790" windowWidth="21600" windowHeight="11325" firstSheet="2" activeTab="3" xr2:uid="{00000000-000D-0000-FFFF-FFFF00000000}"/>
  </bookViews>
  <sheets>
    <sheet name="Summary" sheetId="3" r:id="rId1"/>
    <sheet name="S&amp;U" sheetId="6" r:id="rId2"/>
    <sheet name="Development Schedule" sheetId="26" r:id="rId3"/>
    <sheet name="Costs" sheetId="9" r:id="rId4"/>
    <sheet name="Combined DCF" sheetId="24" r:id="rId5"/>
    <sheet name="Multifamily DCF" sheetId="22" r:id="rId6"/>
    <sheet name="Condominium DCF" sheetId="15" r:id="rId7"/>
    <sheet name="Office DCF" sheetId="16" r:id="rId8"/>
    <sheet name="Retail DCF" sheetId="17" r:id="rId9"/>
    <sheet name="Hotel DCF" sheetId="18" r:id="rId10"/>
    <sheet name="University DCF" sheetId="13" r:id="rId11"/>
    <sheet name="Arts DCF" sheetId="21" r:id="rId12"/>
    <sheet name="Parking DCF" sheetId="20" r:id="rId13"/>
    <sheet name="Infrastructure DCF" sheetId="19" r:id="rId14"/>
    <sheet name="Parcels" sheetId="1" r:id="rId15"/>
  </sheets>
  <externalReferences>
    <externalReference r:id="rId16"/>
    <externalReference r:id="rId17"/>
  </externalReferences>
  <definedNames>
    <definedName name="Discount_Rate">'[1]Summary Board'!$C$156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2" i="3" l="1"/>
  <c r="G62" i="3"/>
  <c r="F62" i="3"/>
  <c r="E62" i="3"/>
  <c r="D62" i="3"/>
  <c r="C36" i="22" l="1"/>
  <c r="C35" i="22"/>
  <c r="C34" i="22"/>
  <c r="C33" i="22"/>
  <c r="C32" i="22"/>
  <c r="C31" i="22"/>
  <c r="C30" i="22"/>
  <c r="C48" i="22"/>
  <c r="C47" i="22"/>
  <c r="C46" i="22"/>
  <c r="C45" i="22"/>
  <c r="C44" i="22"/>
  <c r="C43" i="22"/>
  <c r="C42" i="22"/>
  <c r="C86" i="19"/>
  <c r="G6" i="19"/>
  <c r="C66" i="19"/>
  <c r="C67" i="19"/>
  <c r="I67" i="19" s="1"/>
  <c r="F67" i="19"/>
  <c r="G67" i="19"/>
  <c r="H67" i="19"/>
  <c r="M67" i="19"/>
  <c r="C71" i="19"/>
  <c r="J71" i="19" s="1"/>
  <c r="L73" i="19"/>
  <c r="M73" i="19"/>
  <c r="N73" i="19"/>
  <c r="O73" i="19"/>
  <c r="P73" i="19"/>
  <c r="C77" i="19"/>
  <c r="C78" i="19"/>
  <c r="C79" i="19"/>
  <c r="C80" i="19"/>
  <c r="C81" i="19"/>
  <c r="F81" i="19"/>
  <c r="G81" i="19"/>
  <c r="H81" i="19"/>
  <c r="I81" i="19"/>
  <c r="J81" i="19"/>
  <c r="K81" i="19"/>
  <c r="L81" i="19"/>
  <c r="M81" i="19"/>
  <c r="N81" i="19"/>
  <c r="O81" i="19"/>
  <c r="P81" i="19"/>
  <c r="C18" i="24"/>
  <c r="C20" i="24"/>
  <c r="C21" i="24"/>
  <c r="C22" i="24"/>
  <c r="C23" i="24"/>
  <c r="C24" i="24"/>
  <c r="C25" i="24"/>
  <c r="C47" i="24"/>
  <c r="C48" i="24"/>
  <c r="O71" i="19" l="1"/>
  <c r="N71" i="19"/>
  <c r="M71" i="19"/>
  <c r="I71" i="19"/>
  <c r="H71" i="19"/>
  <c r="O67" i="19"/>
  <c r="P71" i="19"/>
  <c r="N67" i="19"/>
  <c r="P67" i="19"/>
  <c r="F66" i="19"/>
  <c r="G66" i="19" s="1"/>
  <c r="H66" i="19" s="1"/>
  <c r="I66" i="19"/>
  <c r="K67" i="19"/>
  <c r="G71" i="19"/>
  <c r="J67" i="19"/>
  <c r="L67" i="19"/>
  <c r="F71" i="19"/>
  <c r="L71" i="19"/>
  <c r="K71" i="19"/>
  <c r="J66" i="19" l="1"/>
  <c r="K66" i="19" s="1"/>
  <c r="L66" i="19" s="1"/>
  <c r="M66" i="19" s="1"/>
  <c r="N66" i="19" s="1"/>
  <c r="O66" i="19" s="1"/>
  <c r="P66" i="19" s="1"/>
  <c r="L135" i="3" l="1"/>
  <c r="L134" i="3"/>
  <c r="L133" i="3"/>
  <c r="L132" i="3"/>
  <c r="L131" i="3"/>
  <c r="L128" i="3"/>
  <c r="K15" i="22"/>
  <c r="L127" i="3"/>
  <c r="L123" i="3"/>
  <c r="L124" i="3"/>
  <c r="K10" i="16"/>
  <c r="L126" i="3" s="1"/>
  <c r="K7" i="16"/>
  <c r="L125" i="3" s="1"/>
  <c r="L120" i="3"/>
  <c r="L119" i="3"/>
  <c r="L117" i="3"/>
  <c r="L116" i="3"/>
  <c r="K10" i="22"/>
  <c r="K9" i="22"/>
  <c r="K8" i="22"/>
  <c r="K7" i="22"/>
  <c r="K6" i="22"/>
  <c r="E60" i="9"/>
  <c r="E59" i="9"/>
  <c r="E58" i="9"/>
  <c r="E57" i="9"/>
  <c r="E56" i="9"/>
  <c r="E55" i="9"/>
  <c r="E54" i="9"/>
  <c r="E53" i="9"/>
  <c r="E52" i="9"/>
  <c r="E51" i="9"/>
  <c r="E50" i="9"/>
  <c r="O23" i="24" l="1"/>
  <c r="N23" i="24"/>
  <c r="M23" i="24"/>
  <c r="E12" i="24"/>
  <c r="E21" i="24"/>
  <c r="E30" i="24"/>
  <c r="E31" i="24"/>
  <c r="E32" i="24"/>
  <c r="O55" i="24"/>
  <c r="N55" i="24"/>
  <c r="M55" i="24"/>
  <c r="L55" i="24"/>
  <c r="K55" i="24"/>
  <c r="J55" i="24"/>
  <c r="I55" i="24"/>
  <c r="H55" i="24"/>
  <c r="G55" i="24"/>
  <c r="F55" i="24"/>
  <c r="N21" i="24"/>
  <c r="M21" i="24"/>
  <c r="L21" i="24"/>
  <c r="K21" i="24"/>
  <c r="J21" i="24"/>
  <c r="I21" i="24"/>
  <c r="H21" i="24"/>
  <c r="G21" i="24"/>
  <c r="F21" i="24"/>
  <c r="G8" i="24"/>
  <c r="H8" i="24" s="1"/>
  <c r="I8" i="24" s="1"/>
  <c r="J8" i="24" s="1"/>
  <c r="K8" i="24" s="1"/>
  <c r="L8" i="24" s="1"/>
  <c r="M8" i="24" s="1"/>
  <c r="N8" i="24" s="1"/>
  <c r="O8" i="24" s="1"/>
  <c r="F7" i="24"/>
  <c r="G7" i="24" s="1"/>
  <c r="H7" i="24" s="1"/>
  <c r="I7" i="24" s="1"/>
  <c r="J7" i="24" s="1"/>
  <c r="K7" i="24" s="1"/>
  <c r="L7" i="24" s="1"/>
  <c r="M7" i="24" s="1"/>
  <c r="N7" i="24" s="1"/>
  <c r="O7" i="24" s="1"/>
  <c r="C27" i="3"/>
  <c r="C26" i="3"/>
  <c r="C25" i="3"/>
  <c r="C24" i="3"/>
  <c r="C23" i="3"/>
  <c r="C22" i="3"/>
  <c r="C20" i="3"/>
  <c r="C42" i="13"/>
  <c r="C65" i="18"/>
  <c r="C104" i="17"/>
  <c r="C116" i="15"/>
  <c r="C127" i="22"/>
  <c r="G41" i="9"/>
  <c r="G42" i="9"/>
  <c r="G43" i="9"/>
  <c r="O59" i="20"/>
  <c r="N59" i="20"/>
  <c r="K29" i="20"/>
  <c r="J29" i="20"/>
  <c r="J34" i="20"/>
  <c r="L39" i="20"/>
  <c r="K39" i="20"/>
  <c r="H49" i="20"/>
  <c r="H44" i="20"/>
  <c r="G44" i="20"/>
  <c r="I64" i="20"/>
  <c r="H64" i="20"/>
  <c r="F49" i="20"/>
  <c r="G15" i="9"/>
  <c r="J66" i="9"/>
  <c r="I66" i="9"/>
  <c r="H66" i="9"/>
  <c r="E66" i="9"/>
  <c r="H37" i="17"/>
  <c r="O42" i="16"/>
  <c r="J30" i="26"/>
  <c r="I30" i="26"/>
  <c r="J51" i="26"/>
  <c r="I51" i="26"/>
  <c r="K65" i="26"/>
  <c r="J65" i="26"/>
  <c r="J70" i="26"/>
  <c r="I70" i="26"/>
  <c r="G89" i="26"/>
  <c r="F89" i="26"/>
  <c r="H105" i="26"/>
  <c r="G105" i="26"/>
  <c r="G116" i="26"/>
  <c r="F116" i="26"/>
  <c r="G131" i="26"/>
  <c r="F131" i="26"/>
  <c r="G149" i="26"/>
  <c r="H145" i="26"/>
  <c r="G145" i="26"/>
  <c r="G160" i="26"/>
  <c r="F160" i="26"/>
  <c r="G179" i="26"/>
  <c r="F179" i="26"/>
  <c r="G175" i="26"/>
  <c r="F175" i="26"/>
  <c r="N201" i="26"/>
  <c r="M201" i="26"/>
  <c r="M196" i="26"/>
  <c r="N196" i="26" s="1"/>
  <c r="M209" i="26"/>
  <c r="N209" i="26" s="1"/>
  <c r="M206" i="26"/>
  <c r="N206" i="26" s="1"/>
  <c r="M227" i="26"/>
  <c r="I243" i="26"/>
  <c r="J250" i="26"/>
  <c r="K250" i="26" s="1"/>
  <c r="G269" i="26"/>
  <c r="H269" i="26" s="1"/>
  <c r="G319" i="26"/>
  <c r="H319" i="26" s="1"/>
  <c r="I299" i="26"/>
  <c r="L51" i="26"/>
  <c r="I66" i="26"/>
  <c r="O206" i="26"/>
  <c r="F105" i="26"/>
  <c r="F319" i="26"/>
  <c r="K283" i="26"/>
  <c r="K281" i="26"/>
  <c r="L70" i="26"/>
  <c r="L65" i="26"/>
  <c r="F149" i="26"/>
  <c r="L243" i="26"/>
  <c r="L296" i="26"/>
  <c r="K51" i="26"/>
  <c r="F276" i="26"/>
  <c r="K70" i="26"/>
  <c r="H131" i="26"/>
  <c r="H175" i="26"/>
  <c r="L281" i="26"/>
  <c r="F156" i="26"/>
  <c r="H116" i="26"/>
  <c r="I65" i="26"/>
  <c r="K296" i="26"/>
  <c r="L250" i="26"/>
  <c r="O196" i="26"/>
  <c r="F145" i="26"/>
  <c r="K30" i="26"/>
  <c r="K243" i="26"/>
  <c r="H89" i="26"/>
  <c r="I250" i="26"/>
  <c r="R78" i="24" l="1"/>
  <c r="E33" i="24"/>
  <c r="L29" i="20"/>
  <c r="M29" i="20"/>
  <c r="J39" i="20"/>
  <c r="G49" i="20"/>
  <c r="G64" i="20"/>
  <c r="I106" i="3"/>
  <c r="I105" i="3"/>
  <c r="I104" i="3"/>
  <c r="D10" i="6"/>
  <c r="M58" i="24" s="1"/>
  <c r="C112" i="15"/>
  <c r="E55" i="24" l="1"/>
  <c r="D16" i="6"/>
  <c r="M105" i="3"/>
  <c r="F76" i="3"/>
  <c r="G76" i="3" s="1"/>
  <c r="H76" i="3" s="1"/>
  <c r="I76" i="3" s="1"/>
  <c r="J76" i="3" s="1"/>
  <c r="K76" i="3" s="1"/>
  <c r="L76" i="3" s="1"/>
  <c r="M76" i="3" s="1"/>
  <c r="N76" i="3" s="1"/>
  <c r="E75" i="3"/>
  <c r="F75" i="3" s="1"/>
  <c r="G75" i="3" s="1"/>
  <c r="H75" i="3" s="1"/>
  <c r="I75" i="3" s="1"/>
  <c r="J75" i="3" s="1"/>
  <c r="K75" i="3" s="1"/>
  <c r="L75" i="3" s="1"/>
  <c r="M75" i="3" s="1"/>
  <c r="N75" i="3" s="1"/>
  <c r="E45" i="9" l="1"/>
  <c r="E44" i="9"/>
  <c r="E43" i="9"/>
  <c r="F43" i="9" s="1"/>
  <c r="C91" i="19" s="1"/>
  <c r="E42" i="9"/>
  <c r="E41" i="9"/>
  <c r="E40" i="9"/>
  <c r="E39" i="9"/>
  <c r="E38" i="9"/>
  <c r="E37" i="9"/>
  <c r="E36" i="9"/>
  <c r="E35" i="9"/>
  <c r="E34" i="9"/>
  <c r="E33" i="9"/>
  <c r="G16" i="9"/>
  <c r="E76" i="9" s="1"/>
  <c r="K36" i="16"/>
  <c r="N227" i="26"/>
  <c r="J243" i="26"/>
  <c r="F79" i="15"/>
  <c r="O87" i="15"/>
  <c r="P87" i="15" s="1"/>
  <c r="G87" i="15"/>
  <c r="H87" i="15" s="1"/>
  <c r="I87" i="15" s="1"/>
  <c r="C86" i="15"/>
  <c r="C85" i="15"/>
  <c r="C84" i="15"/>
  <c r="C83" i="15"/>
  <c r="C82" i="15"/>
  <c r="C81" i="15"/>
  <c r="C80" i="15"/>
  <c r="D79" i="15"/>
  <c r="N55" i="3"/>
  <c r="M55" i="3"/>
  <c r="L55" i="3"/>
  <c r="K55" i="3"/>
  <c r="J55" i="3"/>
  <c r="I55" i="3"/>
  <c r="H55" i="3"/>
  <c r="G55" i="3"/>
  <c r="F55" i="3"/>
  <c r="E55" i="3"/>
  <c r="E75" i="9"/>
  <c r="G14" i="9"/>
  <c r="E74" i="9" s="1"/>
  <c r="Y26" i="1"/>
  <c r="X26" i="1"/>
  <c r="W26" i="1"/>
  <c r="U26" i="1"/>
  <c r="T26" i="1"/>
  <c r="S26" i="1"/>
  <c r="R26" i="1"/>
  <c r="V20" i="1"/>
  <c r="G61" i="19"/>
  <c r="F61" i="19"/>
  <c r="F62" i="19" s="1"/>
  <c r="F57" i="19"/>
  <c r="F58" i="19" s="1"/>
  <c r="F53" i="19"/>
  <c r="F49" i="19"/>
  <c r="F50" i="19" s="1"/>
  <c r="F45" i="19"/>
  <c r="F46" i="19" s="1"/>
  <c r="F41" i="19"/>
  <c r="F42" i="19" s="1"/>
  <c r="F37" i="19"/>
  <c r="F38" i="19" s="1"/>
  <c r="F33" i="19"/>
  <c r="F34" i="19" s="1"/>
  <c r="F29" i="19"/>
  <c r="F30" i="19" s="1"/>
  <c r="F25" i="19"/>
  <c r="F26" i="19" s="1"/>
  <c r="O21" i="26"/>
  <c r="P61" i="19" s="1"/>
  <c r="N21" i="26"/>
  <c r="O61" i="19" s="1"/>
  <c r="M21" i="26"/>
  <c r="N61" i="19" s="1"/>
  <c r="L21" i="26"/>
  <c r="M61" i="19" s="1"/>
  <c r="K21" i="26"/>
  <c r="L61" i="19" s="1"/>
  <c r="J21" i="26"/>
  <c r="K61" i="19" s="1"/>
  <c r="I21" i="26"/>
  <c r="J61" i="19" s="1"/>
  <c r="H21" i="26"/>
  <c r="I61" i="19" s="1"/>
  <c r="G21" i="26"/>
  <c r="H61" i="19" s="1"/>
  <c r="F21" i="26"/>
  <c r="O20" i="26"/>
  <c r="P57" i="19" s="1"/>
  <c r="N20" i="26"/>
  <c r="O57" i="19" s="1"/>
  <c r="M20" i="26"/>
  <c r="N57" i="19" s="1"/>
  <c r="L20" i="26"/>
  <c r="M57" i="19" s="1"/>
  <c r="K20" i="26"/>
  <c r="L57" i="19" s="1"/>
  <c r="J20" i="26"/>
  <c r="K57" i="19" s="1"/>
  <c r="I20" i="26"/>
  <c r="J57" i="19" s="1"/>
  <c r="H20" i="26"/>
  <c r="I57" i="19" s="1"/>
  <c r="G20" i="26"/>
  <c r="H57" i="19" s="1"/>
  <c r="F20" i="26"/>
  <c r="G57" i="19" s="1"/>
  <c r="F19" i="26"/>
  <c r="G19" i="26" s="1"/>
  <c r="H53" i="19" s="1"/>
  <c r="F18" i="26"/>
  <c r="G49" i="19" s="1"/>
  <c r="E334" i="26"/>
  <c r="E333" i="26"/>
  <c r="D334" i="26"/>
  <c r="D333" i="26"/>
  <c r="C334" i="26"/>
  <c r="C333" i="26"/>
  <c r="F333" i="26" s="1"/>
  <c r="L11" i="26"/>
  <c r="F13" i="26"/>
  <c r="N15" i="26"/>
  <c r="G14" i="26"/>
  <c r="O15" i="26"/>
  <c r="J11" i="26"/>
  <c r="G11" i="26"/>
  <c r="N14" i="26"/>
  <c r="F11" i="26"/>
  <c r="G17" i="26"/>
  <c r="O227" i="26"/>
  <c r="J227" i="26"/>
  <c r="M243" i="26"/>
  <c r="K12" i="26"/>
  <c r="G16" i="26"/>
  <c r="K13" i="26"/>
  <c r="I14" i="26"/>
  <c r="M15" i="26"/>
  <c r="H11" i="26"/>
  <c r="I12" i="26"/>
  <c r="I15" i="26"/>
  <c r="O13" i="26"/>
  <c r="H14" i="26"/>
  <c r="N12" i="26"/>
  <c r="H17" i="26"/>
  <c r="O11" i="26"/>
  <c r="O14" i="26"/>
  <c r="M14" i="26"/>
  <c r="O16" i="26"/>
  <c r="I13" i="26"/>
  <c r="M12" i="26"/>
  <c r="L17" i="26"/>
  <c r="J12" i="26"/>
  <c r="F14" i="26"/>
  <c r="I11" i="26"/>
  <c r="D280" i="26"/>
  <c r="N243" i="26"/>
  <c r="I227" i="26"/>
  <c r="N11" i="26"/>
  <c r="O12" i="26"/>
  <c r="M13" i="26"/>
  <c r="H16" i="26"/>
  <c r="M16" i="26"/>
  <c r="F16" i="26"/>
  <c r="N13" i="26"/>
  <c r="J15" i="26"/>
  <c r="K227" i="26"/>
  <c r="J17" i="26"/>
  <c r="I17" i="26"/>
  <c r="N16" i="26"/>
  <c r="K15" i="26"/>
  <c r="L15" i="26"/>
  <c r="K11" i="26"/>
  <c r="L12" i="26"/>
  <c r="J13" i="26"/>
  <c r="M11" i="26"/>
  <c r="L13" i="26"/>
  <c r="K17" i="26"/>
  <c r="F17" i="26"/>
  <c r="F334" i="26" l="1"/>
  <c r="G53" i="19"/>
  <c r="H19" i="26"/>
  <c r="F91" i="19"/>
  <c r="J16" i="9"/>
  <c r="I16" i="9"/>
  <c r="J14" i="9"/>
  <c r="G45" i="19"/>
  <c r="I45" i="19"/>
  <c r="K45" i="19"/>
  <c r="L45" i="19"/>
  <c r="H45" i="19"/>
  <c r="J45" i="19"/>
  <c r="M45" i="19"/>
  <c r="F54" i="19"/>
  <c r="J37" i="19"/>
  <c r="K37" i="19"/>
  <c r="L37" i="19"/>
  <c r="M37" i="19"/>
  <c r="N37" i="19"/>
  <c r="O37" i="19"/>
  <c r="P37" i="19"/>
  <c r="G41" i="19"/>
  <c r="G42" i="19" s="1"/>
  <c r="H41" i="19"/>
  <c r="I41" i="19"/>
  <c r="N41" i="19"/>
  <c r="O41" i="19"/>
  <c r="P41" i="19"/>
  <c r="J33" i="19"/>
  <c r="G33" i="19"/>
  <c r="H33" i="19"/>
  <c r="I33" i="19"/>
  <c r="O33" i="19"/>
  <c r="P33" i="19"/>
  <c r="N33" i="19"/>
  <c r="J29" i="19"/>
  <c r="L29" i="19"/>
  <c r="N29" i="19"/>
  <c r="O29" i="19"/>
  <c r="K29" i="19"/>
  <c r="M29" i="19"/>
  <c r="P29" i="19"/>
  <c r="G29" i="19"/>
  <c r="J25" i="19"/>
  <c r="K25" i="19"/>
  <c r="L25" i="19"/>
  <c r="M25" i="19"/>
  <c r="N25" i="19"/>
  <c r="O25" i="19"/>
  <c r="P25" i="19"/>
  <c r="G334" i="26"/>
  <c r="G333" i="26"/>
  <c r="K280" i="26"/>
  <c r="O280" i="26"/>
  <c r="F280" i="26"/>
  <c r="N280" i="26"/>
  <c r="H280" i="26"/>
  <c r="J280" i="26"/>
  <c r="I280" i="26"/>
  <c r="M280" i="26"/>
  <c r="G280" i="26"/>
  <c r="L280" i="26"/>
  <c r="I53" i="19" l="1"/>
  <c r="I19" i="26"/>
  <c r="P91" i="19"/>
  <c r="O91" i="19"/>
  <c r="N91" i="19"/>
  <c r="K91" i="19"/>
  <c r="M91" i="19"/>
  <c r="L91" i="19"/>
  <c r="J91" i="19"/>
  <c r="G46" i="19"/>
  <c r="H46" i="19" s="1"/>
  <c r="I46" i="19" s="1"/>
  <c r="H42" i="19"/>
  <c r="I42" i="19" s="1"/>
  <c r="G34" i="19"/>
  <c r="G30" i="19"/>
  <c r="J53" i="19" l="1"/>
  <c r="J19" i="26"/>
  <c r="K53" i="19" s="1"/>
  <c r="I43" i="9"/>
  <c r="J43" i="9"/>
  <c r="J46" i="19"/>
  <c r="H34" i="19"/>
  <c r="K46" i="19" l="1"/>
  <c r="I34" i="19"/>
  <c r="L46" i="19" l="1"/>
  <c r="J34" i="19"/>
  <c r="M46" i="19" l="1"/>
  <c r="G18" i="26" l="1"/>
  <c r="F12" i="26"/>
  <c r="J14" i="26"/>
  <c r="G13" i="26"/>
  <c r="H13" i="26" s="1"/>
  <c r="I29" i="19" s="1"/>
  <c r="M17" i="26"/>
  <c r="N17" i="26" s="1"/>
  <c r="I16" i="26"/>
  <c r="H15" i="26"/>
  <c r="I37" i="19" s="1"/>
  <c r="G15" i="26"/>
  <c r="H37" i="19" s="1"/>
  <c r="F15" i="26"/>
  <c r="G8" i="20"/>
  <c r="M36" i="20"/>
  <c r="N36" i="20" s="1"/>
  <c r="O36" i="20" s="1"/>
  <c r="P36" i="20" s="1"/>
  <c r="L41" i="20"/>
  <c r="M41" i="20" s="1"/>
  <c r="N41" i="20" s="1"/>
  <c r="O41" i="20" s="1"/>
  <c r="P41" i="20" s="1"/>
  <c r="L66" i="20"/>
  <c r="M66" i="20" s="1"/>
  <c r="N66" i="20" s="1"/>
  <c r="O66" i="20" s="1"/>
  <c r="P66" i="20" s="1"/>
  <c r="P56" i="20"/>
  <c r="J51" i="20"/>
  <c r="K51" i="20" s="1"/>
  <c r="L51" i="20" s="1"/>
  <c r="M51" i="20" s="1"/>
  <c r="N51" i="20" s="1"/>
  <c r="O51" i="20" s="1"/>
  <c r="P51" i="20" s="1"/>
  <c r="J46" i="20"/>
  <c r="K46" i="20" s="1"/>
  <c r="L46" i="20" s="1"/>
  <c r="M46" i="20" s="1"/>
  <c r="N46" i="20" s="1"/>
  <c r="O46" i="20" s="1"/>
  <c r="P46" i="20" s="1"/>
  <c r="F64" i="20"/>
  <c r="F65" i="20" s="1"/>
  <c r="F59" i="20"/>
  <c r="F54" i="20"/>
  <c r="F44" i="20"/>
  <c r="F39" i="20"/>
  <c r="F34" i="20"/>
  <c r="O31" i="20"/>
  <c r="P31" i="20" s="1"/>
  <c r="I291" i="26"/>
  <c r="G276" i="26"/>
  <c r="M216" i="26"/>
  <c r="N216" i="26" s="1"/>
  <c r="N54" i="20"/>
  <c r="G156" i="26"/>
  <c r="O45" i="19" l="1"/>
  <c r="O17" i="26"/>
  <c r="P45" i="19" s="1"/>
  <c r="J41" i="19"/>
  <c r="H276" i="26"/>
  <c r="G25" i="19"/>
  <c r="J16" i="26"/>
  <c r="K33" i="19"/>
  <c r="K14" i="26"/>
  <c r="N45" i="19"/>
  <c r="G37" i="19"/>
  <c r="G12" i="26"/>
  <c r="H29" i="19"/>
  <c r="H14" i="9"/>
  <c r="H18" i="26"/>
  <c r="H49" i="19"/>
  <c r="K19" i="26"/>
  <c r="M54" i="20"/>
  <c r="G65" i="20"/>
  <c r="G67" i="20" s="1"/>
  <c r="F60" i="20"/>
  <c r="F55" i="20"/>
  <c r="F50" i="20"/>
  <c r="F45" i="20"/>
  <c r="F40" i="20"/>
  <c r="F35" i="20"/>
  <c r="F96" i="26"/>
  <c r="J66" i="26"/>
  <c r="I36" i="26"/>
  <c r="H65" i="20" l="1"/>
  <c r="H67" i="20" s="1"/>
  <c r="G38" i="19"/>
  <c r="C37" i="19"/>
  <c r="F39" i="19" s="1"/>
  <c r="G91" i="19"/>
  <c r="G26" i="19"/>
  <c r="E91" i="3"/>
  <c r="I18" i="26"/>
  <c r="I49" i="19"/>
  <c r="N46" i="19"/>
  <c r="O46" i="19" s="1"/>
  <c r="P46" i="19" s="1"/>
  <c r="L33" i="19"/>
  <c r="L14" i="26"/>
  <c r="M33" i="19" s="1"/>
  <c r="I14" i="9"/>
  <c r="C33" i="19"/>
  <c r="K34" i="19"/>
  <c r="J42" i="19"/>
  <c r="C29" i="19"/>
  <c r="H30" i="19"/>
  <c r="H25" i="19"/>
  <c r="H12" i="26"/>
  <c r="K41" i="19"/>
  <c r="K16" i="26"/>
  <c r="L19" i="26"/>
  <c r="L53" i="19"/>
  <c r="H15" i="9"/>
  <c r="G96" i="26"/>
  <c r="F29" i="20"/>
  <c r="F59" i="21"/>
  <c r="J39" i="21"/>
  <c r="C47" i="21"/>
  <c r="F47" i="21" s="1"/>
  <c r="C46" i="21"/>
  <c r="P38" i="16"/>
  <c r="O44" i="16"/>
  <c r="P44" i="16" s="1"/>
  <c r="G44" i="16"/>
  <c r="H44" i="16" s="1"/>
  <c r="I44" i="16" s="1"/>
  <c r="J44" i="16" s="1"/>
  <c r="P42" i="16"/>
  <c r="O243" i="26"/>
  <c r="K35" i="19" l="1"/>
  <c r="K42" i="19"/>
  <c r="H31" i="19"/>
  <c r="I30" i="19"/>
  <c r="F31" i="19"/>
  <c r="G31" i="19"/>
  <c r="L34" i="19"/>
  <c r="L35" i="19" s="1"/>
  <c r="I25" i="19"/>
  <c r="C341" i="26"/>
  <c r="H16" i="9"/>
  <c r="J49" i="19"/>
  <c r="H91" i="3" s="1"/>
  <c r="J18" i="26"/>
  <c r="H91" i="19"/>
  <c r="F91" i="3"/>
  <c r="F35" i="19"/>
  <c r="G35" i="19"/>
  <c r="H35" i="19"/>
  <c r="I35" i="19"/>
  <c r="J35" i="19"/>
  <c r="M53" i="19"/>
  <c r="M19" i="26"/>
  <c r="H26" i="19"/>
  <c r="L41" i="19"/>
  <c r="L16" i="26"/>
  <c r="M41" i="19" s="1"/>
  <c r="G39" i="19"/>
  <c r="H38" i="19"/>
  <c r="F30" i="20"/>
  <c r="L42" i="19" l="1"/>
  <c r="M42" i="19" s="1"/>
  <c r="C41" i="19"/>
  <c r="J43" i="19" s="1"/>
  <c r="N19" i="26"/>
  <c r="N53" i="19"/>
  <c r="K18" i="26"/>
  <c r="K49" i="19"/>
  <c r="I91" i="3" s="1"/>
  <c r="H39" i="19"/>
  <c r="I38" i="19"/>
  <c r="I31" i="19"/>
  <c r="J30" i="19"/>
  <c r="I26" i="19"/>
  <c r="M34" i="19"/>
  <c r="I91" i="19"/>
  <c r="H43" i="9" s="1"/>
  <c r="G91" i="3"/>
  <c r="C25" i="19"/>
  <c r="H27" i="19" s="1"/>
  <c r="H70" i="19" s="1"/>
  <c r="H72" i="19" l="1"/>
  <c r="H74" i="19" s="1"/>
  <c r="I43" i="19"/>
  <c r="H43" i="19"/>
  <c r="K43" i="19"/>
  <c r="G43" i="19"/>
  <c r="L43" i="19"/>
  <c r="M43" i="19"/>
  <c r="N42" i="19"/>
  <c r="N43" i="19" s="1"/>
  <c r="F43" i="19"/>
  <c r="L18" i="26"/>
  <c r="L49" i="19"/>
  <c r="J91" i="3" s="1"/>
  <c r="M35" i="19"/>
  <c r="N34" i="19"/>
  <c r="J26" i="19"/>
  <c r="I27" i="19"/>
  <c r="I70" i="19" s="1"/>
  <c r="R91" i="19"/>
  <c r="F27" i="19"/>
  <c r="F70" i="19" s="1"/>
  <c r="G27" i="19"/>
  <c r="G70" i="19" s="1"/>
  <c r="I15" i="9"/>
  <c r="I39" i="19"/>
  <c r="J38" i="19"/>
  <c r="J31" i="19"/>
  <c r="K30" i="19"/>
  <c r="O53" i="19"/>
  <c r="O19" i="26"/>
  <c r="P53" i="19" s="1"/>
  <c r="I72" i="19" l="1"/>
  <c r="I74" i="19" s="1"/>
  <c r="G72" i="19"/>
  <c r="G74" i="19" s="1"/>
  <c r="F72" i="19"/>
  <c r="F74" i="19" s="1"/>
  <c r="O42" i="19"/>
  <c r="O43" i="19" s="1"/>
  <c r="K31" i="19"/>
  <c r="L30" i="19"/>
  <c r="J39" i="19"/>
  <c r="K38" i="19"/>
  <c r="K26" i="19"/>
  <c r="J27" i="19"/>
  <c r="J70" i="19" s="1"/>
  <c r="N35" i="19"/>
  <c r="O34" i="19"/>
  <c r="M49" i="19"/>
  <c r="K91" i="3" s="1"/>
  <c r="M18" i="26"/>
  <c r="D341" i="26"/>
  <c r="N60" i="21"/>
  <c r="M60" i="21"/>
  <c r="L60" i="21"/>
  <c r="K60" i="21"/>
  <c r="J60" i="21"/>
  <c r="I60" i="21"/>
  <c r="H60" i="21"/>
  <c r="G60" i="21"/>
  <c r="F60" i="21"/>
  <c r="K39" i="21"/>
  <c r="L39" i="21" s="1"/>
  <c r="M39" i="21" s="1"/>
  <c r="N39" i="21" s="1"/>
  <c r="O39" i="21" s="1"/>
  <c r="P39" i="21" s="1"/>
  <c r="N35" i="21"/>
  <c r="F58" i="21"/>
  <c r="C55" i="21"/>
  <c r="F55" i="21" s="1"/>
  <c r="F41" i="21"/>
  <c r="H37" i="21"/>
  <c r="F89" i="3" s="1"/>
  <c r="F37" i="21"/>
  <c r="F38" i="21" s="1"/>
  <c r="F33" i="21"/>
  <c r="F34" i="21" s="1"/>
  <c r="F29" i="13"/>
  <c r="C29" i="18"/>
  <c r="F29" i="18"/>
  <c r="C78" i="17"/>
  <c r="C77" i="17"/>
  <c r="C73" i="17"/>
  <c r="C72" i="17"/>
  <c r="I63" i="17"/>
  <c r="H63" i="17"/>
  <c r="G63" i="17"/>
  <c r="F76" i="17"/>
  <c r="F71" i="17"/>
  <c r="F67" i="17"/>
  <c r="F63" i="17"/>
  <c r="F59" i="17"/>
  <c r="F55" i="17"/>
  <c r="F51" i="17"/>
  <c r="F47" i="17"/>
  <c r="F43" i="17"/>
  <c r="F39" i="17"/>
  <c r="F35" i="17"/>
  <c r="F31" i="17"/>
  <c r="F40" i="16"/>
  <c r="F34" i="16"/>
  <c r="F31" i="15"/>
  <c r="F43" i="15"/>
  <c r="F55" i="15"/>
  <c r="F67" i="15"/>
  <c r="O75" i="15"/>
  <c r="P75" i="15" s="1"/>
  <c r="G75" i="15"/>
  <c r="H75" i="15" s="1"/>
  <c r="I75" i="15" s="1"/>
  <c r="C74" i="15"/>
  <c r="C73" i="15"/>
  <c r="C72" i="15"/>
  <c r="C71" i="15"/>
  <c r="C70" i="15"/>
  <c r="C69" i="15"/>
  <c r="C68" i="15"/>
  <c r="D67" i="15"/>
  <c r="K51" i="15"/>
  <c r="L51" i="15" s="1"/>
  <c r="M51" i="15" s="1"/>
  <c r="N51" i="15" s="1"/>
  <c r="O51" i="15" s="1"/>
  <c r="P51" i="15" s="1"/>
  <c r="N39" i="15"/>
  <c r="O39" i="15" s="1"/>
  <c r="P39" i="15" s="1"/>
  <c r="M14" i="22"/>
  <c r="M13" i="22"/>
  <c r="M10" i="22"/>
  <c r="M9" i="22"/>
  <c r="M8" i="22"/>
  <c r="M7" i="22"/>
  <c r="M6" i="22"/>
  <c r="K73" i="22"/>
  <c r="L73" i="22" s="1"/>
  <c r="M73" i="22" s="1"/>
  <c r="N73" i="22" s="1"/>
  <c r="O73" i="22" s="1"/>
  <c r="P73" i="22" s="1"/>
  <c r="K61" i="22"/>
  <c r="L61" i="22" s="1"/>
  <c r="M61" i="22" s="1"/>
  <c r="N61" i="22" s="1"/>
  <c r="O61" i="22" s="1"/>
  <c r="P61" i="22" s="1"/>
  <c r="L49" i="22"/>
  <c r="M49" i="22" s="1"/>
  <c r="N49" i="22" s="1"/>
  <c r="O49" i="22" s="1"/>
  <c r="P49" i="22" s="1"/>
  <c r="O85" i="22"/>
  <c r="P85" i="22" s="1"/>
  <c r="G85" i="22"/>
  <c r="H85" i="22" s="1"/>
  <c r="I85" i="22" s="1"/>
  <c r="P37" i="22"/>
  <c r="G37" i="22"/>
  <c r="H37" i="22" s="1"/>
  <c r="I37" i="22" s="1"/>
  <c r="F77" i="22"/>
  <c r="F65" i="22"/>
  <c r="F53" i="22"/>
  <c r="F29" i="22"/>
  <c r="F41" i="22"/>
  <c r="G7" i="26"/>
  <c r="H7" i="26" s="1"/>
  <c r="I7" i="26" s="1"/>
  <c r="J7" i="26" s="1"/>
  <c r="K7" i="26" s="1"/>
  <c r="L7" i="26" s="1"/>
  <c r="M7" i="26" s="1"/>
  <c r="N7" i="26" s="1"/>
  <c r="O7" i="26" s="1"/>
  <c r="F6" i="26"/>
  <c r="G6" i="26" s="1"/>
  <c r="H6" i="26" s="1"/>
  <c r="I6" i="26" s="1"/>
  <c r="J6" i="26" s="1"/>
  <c r="K6" i="26" s="1"/>
  <c r="L6" i="26" s="1"/>
  <c r="M6" i="26" s="1"/>
  <c r="N6" i="26" s="1"/>
  <c r="O6" i="26" s="1"/>
  <c r="I29" i="13"/>
  <c r="H29" i="13"/>
  <c r="G29" i="13"/>
  <c r="J67" i="17"/>
  <c r="D296" i="26"/>
  <c r="I296" i="26" s="1"/>
  <c r="J296" i="26" s="1"/>
  <c r="I284" i="26"/>
  <c r="J51" i="17" s="1"/>
  <c r="D281" i="26"/>
  <c r="I76" i="17"/>
  <c r="H76" i="17"/>
  <c r="G76" i="17"/>
  <c r="J47" i="17"/>
  <c r="D252" i="26"/>
  <c r="N63" i="17"/>
  <c r="P41" i="21"/>
  <c r="N90" i="3" s="1"/>
  <c r="O41" i="21"/>
  <c r="M90" i="3" s="1"/>
  <c r="N41" i="21"/>
  <c r="L90" i="3" s="1"/>
  <c r="G43" i="17"/>
  <c r="D175" i="26"/>
  <c r="D177" i="26" s="1"/>
  <c r="F164" i="26"/>
  <c r="G39" i="17" s="1"/>
  <c r="D160" i="26"/>
  <c r="D162" i="26" s="1"/>
  <c r="G35" i="17"/>
  <c r="D145" i="26"/>
  <c r="F134" i="26"/>
  <c r="G59" i="17" s="1"/>
  <c r="D131" i="26"/>
  <c r="D133" i="26" s="1"/>
  <c r="F119" i="26"/>
  <c r="G55" i="17" s="1"/>
  <c r="D116" i="26"/>
  <c r="D118" i="26" s="1"/>
  <c r="I37" i="21"/>
  <c r="G89" i="3" s="1"/>
  <c r="I71" i="17"/>
  <c r="H71" i="17"/>
  <c r="G71" i="17"/>
  <c r="I74" i="26"/>
  <c r="J31" i="17" s="1"/>
  <c r="D70" i="26"/>
  <c r="M29" i="18"/>
  <c r="K87" i="3" s="1"/>
  <c r="L29" i="18"/>
  <c r="J87" i="3" s="1"/>
  <c r="K29" i="18"/>
  <c r="I87" i="3" s="1"/>
  <c r="J29" i="18"/>
  <c r="H87" i="3" s="1"/>
  <c r="M33" i="21"/>
  <c r="K88" i="3" s="1"/>
  <c r="L33" i="21"/>
  <c r="J88" i="3" s="1"/>
  <c r="K33" i="21"/>
  <c r="I88" i="3" s="1"/>
  <c r="J33" i="21"/>
  <c r="H88" i="3" s="1"/>
  <c r="F78" i="19" l="1"/>
  <c r="G78" i="19" s="1"/>
  <c r="H78" i="19" s="1"/>
  <c r="I78" i="19" s="1"/>
  <c r="F80" i="19"/>
  <c r="G80" i="19" s="1"/>
  <c r="H80" i="19" s="1"/>
  <c r="I80" i="19" s="1"/>
  <c r="F77" i="19"/>
  <c r="G77" i="19" s="1"/>
  <c r="H77" i="19" s="1"/>
  <c r="F79" i="19"/>
  <c r="G79" i="19" s="1"/>
  <c r="H79" i="19" s="1"/>
  <c r="I79" i="19" s="1"/>
  <c r="J72" i="19"/>
  <c r="J74" i="19" s="1"/>
  <c r="P42" i="19"/>
  <c r="P43" i="19" s="1"/>
  <c r="D283" i="26"/>
  <c r="I283" i="26" s="1"/>
  <c r="J283" i="26" s="1"/>
  <c r="I281" i="26"/>
  <c r="J281" i="26" s="1"/>
  <c r="N18" i="26"/>
  <c r="N49" i="19"/>
  <c r="L91" i="3" s="1"/>
  <c r="K39" i="19"/>
  <c r="L38" i="19"/>
  <c r="O35" i="19"/>
  <c r="P34" i="19"/>
  <c r="P35" i="19" s="1"/>
  <c r="L26" i="19"/>
  <c r="K27" i="19"/>
  <c r="K70" i="19" s="1"/>
  <c r="L31" i="19"/>
  <c r="M30" i="19"/>
  <c r="I17" i="9"/>
  <c r="G37" i="21"/>
  <c r="G55" i="21"/>
  <c r="H55" i="21" s="1"/>
  <c r="I55" i="21" s="1"/>
  <c r="J55" i="21" s="1"/>
  <c r="K55" i="21" s="1"/>
  <c r="L55" i="21" s="1"/>
  <c r="M55" i="21" s="1"/>
  <c r="N55" i="21" s="1"/>
  <c r="O55" i="21" s="1"/>
  <c r="P55" i="21" s="1"/>
  <c r="F54" i="21"/>
  <c r="F73" i="17"/>
  <c r="G73" i="17" s="1"/>
  <c r="F78" i="17"/>
  <c r="G78" i="17" s="1"/>
  <c r="H78" i="17" s="1"/>
  <c r="I78" i="17" s="1"/>
  <c r="I79" i="17" s="1"/>
  <c r="J79" i="17" s="1"/>
  <c r="K79" i="17" s="1"/>
  <c r="L79" i="17" s="1"/>
  <c r="M79" i="17" s="1"/>
  <c r="N79" i="17" s="1"/>
  <c r="O79" i="17" s="1"/>
  <c r="P79" i="17" s="1"/>
  <c r="F133" i="26"/>
  <c r="D298" i="26"/>
  <c r="D72" i="26"/>
  <c r="D147" i="26"/>
  <c r="D208" i="26"/>
  <c r="I252" i="26"/>
  <c r="F177" i="26"/>
  <c r="F118" i="26"/>
  <c r="J79" i="15"/>
  <c r="F162" i="26"/>
  <c r="D224" i="26"/>
  <c r="O291" i="26"/>
  <c r="N319" i="26"/>
  <c r="J291" i="26"/>
  <c r="L209" i="26"/>
  <c r="D167" i="26"/>
  <c r="J156" i="26"/>
  <c r="H179" i="26"/>
  <c r="G252" i="26"/>
  <c r="F291" i="26"/>
  <c r="D246" i="26"/>
  <c r="L254" i="26"/>
  <c r="N145" i="26"/>
  <c r="K175" i="26"/>
  <c r="O201" i="26"/>
  <c r="O133" i="26"/>
  <c r="N291" i="26"/>
  <c r="N36" i="26"/>
  <c r="M319" i="26"/>
  <c r="M179" i="26"/>
  <c r="H119" i="26"/>
  <c r="D270" i="26"/>
  <c r="D95" i="26"/>
  <c r="M133" i="26"/>
  <c r="L319" i="26"/>
  <c r="L149" i="26"/>
  <c r="D90" i="26"/>
  <c r="G254" i="26"/>
  <c r="D161" i="26"/>
  <c r="L177" i="26"/>
  <c r="G30" i="26"/>
  <c r="D58" i="26"/>
  <c r="H149" i="26"/>
  <c r="D31" i="26"/>
  <c r="I89" i="26"/>
  <c r="D190" i="26"/>
  <c r="I276" i="26"/>
  <c r="O116" i="26"/>
  <c r="D43" i="26"/>
  <c r="N283" i="26"/>
  <c r="D176" i="26"/>
  <c r="D111" i="26"/>
  <c r="F250" i="26"/>
  <c r="F283" i="26"/>
  <c r="K162" i="26"/>
  <c r="N281" i="26"/>
  <c r="K131" i="26"/>
  <c r="L164" i="26"/>
  <c r="D25" i="26"/>
  <c r="L276" i="26"/>
  <c r="D139" i="26"/>
  <c r="H66" i="26"/>
  <c r="D295" i="26"/>
  <c r="I118" i="26"/>
  <c r="N118" i="26"/>
  <c r="D305" i="26"/>
  <c r="G201" i="26"/>
  <c r="F252" i="26"/>
  <c r="D236" i="26"/>
  <c r="D55" i="26"/>
  <c r="D222" i="26"/>
  <c r="G227" i="26"/>
  <c r="K276" i="26"/>
  <c r="H196" i="26"/>
  <c r="M162" i="26"/>
  <c r="D198" i="26"/>
  <c r="D200" i="26"/>
  <c r="N105" i="26"/>
  <c r="I175" i="26"/>
  <c r="J160" i="26"/>
  <c r="N164" i="26"/>
  <c r="H216" i="26"/>
  <c r="L134" i="26"/>
  <c r="D213" i="26"/>
  <c r="D212" i="26"/>
  <c r="D221" i="26"/>
  <c r="O70" i="26"/>
  <c r="L118" i="26"/>
  <c r="I162" i="26"/>
  <c r="G119" i="26"/>
  <c r="D180" i="26"/>
  <c r="D266" i="26"/>
  <c r="L105" i="26"/>
  <c r="D193" i="26"/>
  <c r="N296" i="26"/>
  <c r="D271" i="26"/>
  <c r="D26" i="26"/>
  <c r="D85" i="26"/>
  <c r="I164" i="26"/>
  <c r="D267" i="26"/>
  <c r="M70" i="26"/>
  <c r="D41" i="26"/>
  <c r="G65" i="26"/>
  <c r="O66" i="26"/>
  <c r="M36" i="26"/>
  <c r="D88" i="26"/>
  <c r="K209" i="26"/>
  <c r="D186" i="26"/>
  <c r="D91" i="26"/>
  <c r="N116" i="26"/>
  <c r="G196" i="26"/>
  <c r="D154" i="26"/>
  <c r="F66" i="26"/>
  <c r="D195" i="26"/>
  <c r="O96" i="26"/>
  <c r="D239" i="26"/>
  <c r="J131" i="26"/>
  <c r="K254" i="26"/>
  <c r="D301" i="26"/>
  <c r="M296" i="26"/>
  <c r="K201" i="26"/>
  <c r="G74" i="26"/>
  <c r="K96" i="26"/>
  <c r="D126" i="26"/>
  <c r="J175" i="26"/>
  <c r="D282" i="26"/>
  <c r="F196" i="26"/>
  <c r="F70" i="26"/>
  <c r="D165" i="26"/>
  <c r="F254" i="26"/>
  <c r="D261" i="26"/>
  <c r="D87" i="26"/>
  <c r="J134" i="26"/>
  <c r="M51" i="26"/>
  <c r="D207" i="26"/>
  <c r="D242" i="26"/>
  <c r="D47" i="26"/>
  <c r="H164" i="26"/>
  <c r="D230" i="26"/>
  <c r="D316" i="26"/>
  <c r="D244" i="26"/>
  <c r="I131" i="26"/>
  <c r="J149" i="26"/>
  <c r="N162" i="26"/>
  <c r="I216" i="26"/>
  <c r="F284" i="26"/>
  <c r="D312" i="26"/>
  <c r="M160" i="26"/>
  <c r="O118" i="26"/>
  <c r="G51" i="26"/>
  <c r="D178" i="26"/>
  <c r="L74" i="26"/>
  <c r="O74" i="26"/>
  <c r="D231" i="26"/>
  <c r="O254" i="26"/>
  <c r="D237" i="26"/>
  <c r="L206" i="26"/>
  <c r="M156" i="26"/>
  <c r="D197" i="26"/>
  <c r="M252" i="26"/>
  <c r="D257" i="26"/>
  <c r="K164" i="26"/>
  <c r="I134" i="26"/>
  <c r="J74" i="26"/>
  <c r="O164" i="26"/>
  <c r="D275" i="26"/>
  <c r="H299" i="26"/>
  <c r="D146" i="26"/>
  <c r="D107" i="26"/>
  <c r="I201" i="26"/>
  <c r="J179" i="26"/>
  <c r="L66" i="26"/>
  <c r="N179" i="26"/>
  <c r="N175" i="26"/>
  <c r="M298" i="26"/>
  <c r="N160" i="26"/>
  <c r="D256" i="26"/>
  <c r="G250" i="26"/>
  <c r="I145" i="26"/>
  <c r="D60" i="26"/>
  <c r="D199" i="26"/>
  <c r="L269" i="26"/>
  <c r="D184" i="26"/>
  <c r="L284" i="26"/>
  <c r="I206" i="26"/>
  <c r="D181" i="26"/>
  <c r="D140" i="26"/>
  <c r="I105" i="26"/>
  <c r="D265" i="26"/>
  <c r="J209" i="26"/>
  <c r="D106" i="26"/>
  <c r="N269" i="26"/>
  <c r="D75" i="26"/>
  <c r="F65" i="26"/>
  <c r="O296" i="26"/>
  <c r="O30" i="26"/>
  <c r="K119" i="26"/>
  <c r="J105" i="26"/>
  <c r="D46" i="26"/>
  <c r="O299" i="26"/>
  <c r="K116" i="26"/>
  <c r="G66" i="26"/>
  <c r="J319" i="26"/>
  <c r="I133" i="26"/>
  <c r="M175" i="26"/>
  <c r="D132" i="26"/>
  <c r="H298" i="26"/>
  <c r="D130" i="26"/>
  <c r="H65" i="26"/>
  <c r="K216" i="26"/>
  <c r="G243" i="26"/>
  <c r="G284" i="26"/>
  <c r="D110" i="26"/>
  <c r="D101" i="26"/>
  <c r="D320" i="26"/>
  <c r="M131" i="26"/>
  <c r="D136" i="26"/>
  <c r="D168" i="26"/>
  <c r="H30" i="26"/>
  <c r="D240" i="26"/>
  <c r="N250" i="26"/>
  <c r="D27" i="26"/>
  <c r="J116" i="26"/>
  <c r="D148" i="26"/>
  <c r="D100" i="26"/>
  <c r="G216" i="26"/>
  <c r="O36" i="26"/>
  <c r="D56" i="26"/>
  <c r="G283" i="26"/>
  <c r="O51" i="26"/>
  <c r="L116" i="26"/>
  <c r="M145" i="26"/>
  <c r="I319" i="26"/>
  <c r="D49" i="26"/>
  <c r="I269" i="26"/>
  <c r="O119" i="26"/>
  <c r="D137" i="26"/>
  <c r="J145" i="26"/>
  <c r="N156" i="26"/>
  <c r="L216" i="26"/>
  <c r="M149" i="26"/>
  <c r="D183" i="26"/>
  <c r="K133" i="26"/>
  <c r="M269" i="26"/>
  <c r="M164" i="26"/>
  <c r="D108" i="26"/>
  <c r="H70" i="26"/>
  <c r="H250" i="26"/>
  <c r="D80" i="26"/>
  <c r="D311" i="26"/>
  <c r="G296" i="26"/>
  <c r="H254" i="26"/>
  <c r="L89" i="26"/>
  <c r="K177" i="26"/>
  <c r="I96" i="26"/>
  <c r="H296" i="26"/>
  <c r="J177" i="26"/>
  <c r="K291" i="26"/>
  <c r="G36" i="26"/>
  <c r="I196" i="26"/>
  <c r="N66" i="26"/>
  <c r="L133" i="26"/>
  <c r="N70" i="26"/>
  <c r="M89" i="26"/>
  <c r="D123" i="26"/>
  <c r="O149" i="26"/>
  <c r="D78" i="26"/>
  <c r="O269" i="26"/>
  <c r="L299" i="26"/>
  <c r="F298" i="26"/>
  <c r="O134" i="26"/>
  <c r="F243" i="26"/>
  <c r="K160" i="26"/>
  <c r="D125" i="26"/>
  <c r="D260" i="26"/>
  <c r="J36" i="26"/>
  <c r="M291" i="26"/>
  <c r="M66" i="26"/>
  <c r="I177" i="26"/>
  <c r="J133" i="26"/>
  <c r="N177" i="26"/>
  <c r="F296" i="26"/>
  <c r="K284" i="26"/>
  <c r="D59" i="26"/>
  <c r="G70" i="26"/>
  <c r="J299" i="26"/>
  <c r="K206" i="26"/>
  <c r="D34" i="26"/>
  <c r="L179" i="26"/>
  <c r="G134" i="26"/>
  <c r="J164" i="26"/>
  <c r="D81" i="26"/>
  <c r="M283" i="26"/>
  <c r="D104" i="26"/>
  <c r="D290" i="26"/>
  <c r="D141" i="26"/>
  <c r="H284" i="26"/>
  <c r="O283" i="26"/>
  <c r="D122" i="26"/>
  <c r="F281" i="26"/>
  <c r="M65" i="26"/>
  <c r="F30" i="26"/>
  <c r="M276" i="26"/>
  <c r="F51" i="26"/>
  <c r="O284" i="26"/>
  <c r="M281" i="26"/>
  <c r="D304" i="26"/>
  <c r="D226" i="26"/>
  <c r="F36" i="26"/>
  <c r="L156" i="26"/>
  <c r="O216" i="26"/>
  <c r="M177" i="26"/>
  <c r="J196" i="26"/>
  <c r="H134" i="26"/>
  <c r="J206" i="26"/>
  <c r="K156" i="26"/>
  <c r="F299" i="26"/>
  <c r="O250" i="26"/>
  <c r="D138" i="26"/>
  <c r="D238" i="26"/>
  <c r="D302" i="26"/>
  <c r="L196" i="26"/>
  <c r="D210" i="26"/>
  <c r="D220" i="26"/>
  <c r="N254" i="26"/>
  <c r="G281" i="26"/>
  <c r="D285" i="26"/>
  <c r="N131" i="26"/>
  <c r="H51" i="26"/>
  <c r="J276" i="26"/>
  <c r="M105" i="26"/>
  <c r="M96" i="26"/>
  <c r="L145" i="26"/>
  <c r="M134" i="26"/>
  <c r="H201" i="26"/>
  <c r="L131" i="26"/>
  <c r="M74" i="26"/>
  <c r="H281" i="26"/>
  <c r="D223" i="26"/>
  <c r="D214" i="26"/>
  <c r="O145" i="26"/>
  <c r="J201" i="26"/>
  <c r="D255" i="26"/>
  <c r="N74" i="26"/>
  <c r="O252" i="26"/>
  <c r="G299" i="26"/>
  <c r="G291" i="26"/>
  <c r="K319" i="26"/>
  <c r="O209" i="26"/>
  <c r="D166" i="26"/>
  <c r="N149" i="26"/>
  <c r="D317" i="26"/>
  <c r="L291" i="26"/>
  <c r="D45" i="26"/>
  <c r="D50" i="26"/>
  <c r="K179" i="26"/>
  <c r="N89" i="26"/>
  <c r="D273" i="26"/>
  <c r="O298" i="26"/>
  <c r="K196" i="26"/>
  <c r="O177" i="26"/>
  <c r="D44" i="26"/>
  <c r="D235" i="26"/>
  <c r="I156" i="26"/>
  <c r="K149" i="26"/>
  <c r="M119" i="26"/>
  <c r="D313" i="26"/>
  <c r="K145" i="26"/>
  <c r="D33" i="26"/>
  <c r="D102" i="26"/>
  <c r="K134" i="26"/>
  <c r="D274" i="26"/>
  <c r="D170" i="26"/>
  <c r="N51" i="26"/>
  <c r="D287" i="26"/>
  <c r="N299" i="26"/>
  <c r="D286" i="26"/>
  <c r="D64" i="26"/>
  <c r="D191" i="26"/>
  <c r="F201" i="26"/>
  <c r="O281" i="26"/>
  <c r="K299" i="26"/>
  <c r="D268" i="26"/>
  <c r="F216" i="26"/>
  <c r="D321" i="26"/>
  <c r="D71" i="26"/>
  <c r="D169" i="26"/>
  <c r="N284" i="26"/>
  <c r="D258" i="26"/>
  <c r="D152" i="26"/>
  <c r="N252" i="26"/>
  <c r="J89" i="26"/>
  <c r="J119" i="26"/>
  <c r="K105" i="26"/>
  <c r="D92" i="26"/>
  <c r="D225" i="26"/>
  <c r="O131" i="26"/>
  <c r="D315" i="26"/>
  <c r="I160" i="26"/>
  <c r="O160" i="26"/>
  <c r="L119" i="26"/>
  <c r="D253" i="26"/>
  <c r="D79" i="26"/>
  <c r="I179" i="26"/>
  <c r="O175" i="26"/>
  <c r="D76" i="26"/>
  <c r="H243" i="26"/>
  <c r="D29" i="26"/>
  <c r="O179" i="26"/>
  <c r="N298" i="26"/>
  <c r="D120" i="26"/>
  <c r="D182" i="26"/>
  <c r="D245" i="26"/>
  <c r="D117" i="26"/>
  <c r="D297" i="26"/>
  <c r="N133" i="26"/>
  <c r="K89" i="26"/>
  <c r="D40" i="26"/>
  <c r="H227" i="26"/>
  <c r="D155" i="26"/>
  <c r="D48" i="26"/>
  <c r="D211" i="26"/>
  <c r="M299" i="26"/>
  <c r="D32" i="26"/>
  <c r="L36" i="26"/>
  <c r="O162" i="26"/>
  <c r="D93" i="26"/>
  <c r="M250" i="26"/>
  <c r="J284" i="26"/>
  <c r="D314" i="26"/>
  <c r="D94" i="26"/>
  <c r="D300" i="26"/>
  <c r="J118" i="26"/>
  <c r="M284" i="26"/>
  <c r="D228" i="26"/>
  <c r="K74" i="26"/>
  <c r="D171" i="26"/>
  <c r="H156" i="26"/>
  <c r="N30" i="26"/>
  <c r="D62" i="26"/>
  <c r="N276" i="26"/>
  <c r="D192" i="26"/>
  <c r="D306" i="26"/>
  <c r="I116" i="26"/>
  <c r="D251" i="26"/>
  <c r="D151" i="26"/>
  <c r="L160" i="26"/>
  <c r="D259" i="26"/>
  <c r="I119" i="26"/>
  <c r="D185" i="26"/>
  <c r="H74" i="26"/>
  <c r="D288" i="26"/>
  <c r="D35" i="26"/>
  <c r="J96" i="26"/>
  <c r="D205" i="26"/>
  <c r="M30" i="26"/>
  <c r="M118" i="26"/>
  <c r="I209" i="26"/>
  <c r="D57" i="26"/>
  <c r="G298" i="26"/>
  <c r="I149" i="26"/>
  <c r="D153" i="26"/>
  <c r="N96" i="26"/>
  <c r="L96" i="26"/>
  <c r="D229" i="26"/>
  <c r="F74" i="26"/>
  <c r="D303" i="26"/>
  <c r="M254" i="26"/>
  <c r="K36" i="26"/>
  <c r="D77" i="26"/>
  <c r="D318" i="26"/>
  <c r="N134" i="26"/>
  <c r="J269" i="26"/>
  <c r="O156" i="26"/>
  <c r="D103" i="26"/>
  <c r="D28" i="26"/>
  <c r="L175" i="26"/>
  <c r="F227" i="26"/>
  <c r="D86" i="26"/>
  <c r="D310" i="26"/>
  <c r="N119" i="26"/>
  <c r="D272" i="26"/>
  <c r="O276" i="26"/>
  <c r="D63" i="26"/>
  <c r="H291" i="26"/>
  <c r="D150" i="26"/>
  <c r="L162" i="26"/>
  <c r="O89" i="26"/>
  <c r="K269" i="26"/>
  <c r="D289" i="26"/>
  <c r="K118" i="26"/>
  <c r="D121" i="26"/>
  <c r="D215" i="26"/>
  <c r="N65" i="26"/>
  <c r="J216" i="26"/>
  <c r="M116" i="26"/>
  <c r="H36" i="26"/>
  <c r="D194" i="26"/>
  <c r="O65" i="26"/>
  <c r="H96" i="26"/>
  <c r="D73" i="26"/>
  <c r="J162" i="26"/>
  <c r="O105" i="26"/>
  <c r="G164" i="26"/>
  <c r="H252" i="26"/>
  <c r="D42" i="26"/>
  <c r="D115" i="26"/>
  <c r="D109" i="26"/>
  <c r="D124" i="26"/>
  <c r="O319" i="26"/>
  <c r="D135" i="26"/>
  <c r="D241" i="26"/>
  <c r="H283" i="26"/>
  <c r="D61" i="26"/>
  <c r="D163" i="26"/>
  <c r="I77" i="19" l="1"/>
  <c r="I83" i="19" s="1"/>
  <c r="H83" i="19"/>
  <c r="F83" i="19"/>
  <c r="G83" i="19"/>
  <c r="J79" i="19"/>
  <c r="K72" i="19"/>
  <c r="K74" i="19" s="1"/>
  <c r="J80" i="19"/>
  <c r="J78" i="19"/>
  <c r="E340" i="26"/>
  <c r="D340" i="26"/>
  <c r="P59" i="20"/>
  <c r="G59" i="20"/>
  <c r="H59" i="20"/>
  <c r="L59" i="20"/>
  <c r="M59" i="20"/>
  <c r="I59" i="20"/>
  <c r="J59" i="20"/>
  <c r="K59" i="20"/>
  <c r="P29" i="20"/>
  <c r="H29" i="20"/>
  <c r="N29" i="20"/>
  <c r="O29" i="20"/>
  <c r="I29" i="20"/>
  <c r="N34" i="20"/>
  <c r="G34" i="20"/>
  <c r="H34" i="20"/>
  <c r="K34" i="20"/>
  <c r="M34" i="20"/>
  <c r="L34" i="20"/>
  <c r="I34" i="20"/>
  <c r="I39" i="20"/>
  <c r="G39" i="20"/>
  <c r="M39" i="20"/>
  <c r="H39" i="20"/>
  <c r="J49" i="20"/>
  <c r="I49" i="20"/>
  <c r="I44" i="20"/>
  <c r="L44" i="20"/>
  <c r="K44" i="20"/>
  <c r="M44" i="20"/>
  <c r="N44" i="20"/>
  <c r="P44" i="20"/>
  <c r="J44" i="20"/>
  <c r="O44" i="20"/>
  <c r="O64" i="20"/>
  <c r="L64" i="20"/>
  <c r="P64" i="20"/>
  <c r="N64" i="20"/>
  <c r="J64" i="20"/>
  <c r="M64" i="20"/>
  <c r="K64" i="20"/>
  <c r="C340" i="26"/>
  <c r="N49" i="20"/>
  <c r="O49" i="20"/>
  <c r="M49" i="20"/>
  <c r="L49" i="20"/>
  <c r="K49" i="20"/>
  <c r="P49" i="20"/>
  <c r="O18" i="26"/>
  <c r="O49" i="19"/>
  <c r="M91" i="3" s="1"/>
  <c r="J298" i="26"/>
  <c r="I298" i="26"/>
  <c r="M31" i="19"/>
  <c r="N30" i="19"/>
  <c r="M26" i="19"/>
  <c r="L27" i="19"/>
  <c r="L70" i="19" s="1"/>
  <c r="L39" i="19"/>
  <c r="M38" i="19"/>
  <c r="G38" i="21"/>
  <c r="H38" i="21" s="1"/>
  <c r="I38" i="21" s="1"/>
  <c r="E89" i="3"/>
  <c r="P37" i="21"/>
  <c r="N89" i="3" s="1"/>
  <c r="I47" i="17"/>
  <c r="H33" i="21"/>
  <c r="F88" i="3" s="1"/>
  <c r="M71" i="17"/>
  <c r="K39" i="17"/>
  <c r="M35" i="17"/>
  <c r="G133" i="26"/>
  <c r="H59" i="17"/>
  <c r="D330" i="26"/>
  <c r="C328" i="26"/>
  <c r="L63" i="17"/>
  <c r="N47" i="17"/>
  <c r="O76" i="17"/>
  <c r="L29" i="13"/>
  <c r="K76" i="17"/>
  <c r="G67" i="17"/>
  <c r="N29" i="13"/>
  <c r="C329" i="26"/>
  <c r="L59" i="17"/>
  <c r="D328" i="26"/>
  <c r="H29" i="18"/>
  <c r="F87" i="3" s="1"/>
  <c r="O35" i="17"/>
  <c r="M59" i="17"/>
  <c r="E339" i="26"/>
  <c r="J11" i="9" s="1"/>
  <c r="H55" i="17"/>
  <c r="G118" i="26"/>
  <c r="L67" i="17"/>
  <c r="J71" i="17"/>
  <c r="I35" i="17"/>
  <c r="G29" i="20"/>
  <c r="G30" i="20" s="1"/>
  <c r="G32" i="20" s="1"/>
  <c r="G177" i="26"/>
  <c r="H43" i="17"/>
  <c r="J55" i="17"/>
  <c r="P76" i="17"/>
  <c r="P35" i="17"/>
  <c r="K51" i="17"/>
  <c r="K79" i="15"/>
  <c r="I43" i="17"/>
  <c r="H177" i="26"/>
  <c r="P55" i="17"/>
  <c r="J63" i="17"/>
  <c r="P71" i="17"/>
  <c r="P59" i="17"/>
  <c r="N29" i="18"/>
  <c r="L87" i="3" s="1"/>
  <c r="K31" i="17"/>
  <c r="K37" i="21"/>
  <c r="I89" i="3" s="1"/>
  <c r="H35" i="17"/>
  <c r="K71" i="17"/>
  <c r="M63" i="17"/>
  <c r="I33" i="21"/>
  <c r="G88" i="3" s="1"/>
  <c r="E331" i="26"/>
  <c r="O47" i="17"/>
  <c r="G31" i="17"/>
  <c r="O31" i="17"/>
  <c r="G29" i="18"/>
  <c r="M55" i="17"/>
  <c r="N51" i="17"/>
  <c r="K67" i="17"/>
  <c r="C338" i="26"/>
  <c r="H12" i="9" s="1"/>
  <c r="H118" i="26"/>
  <c r="I55" i="17"/>
  <c r="N43" i="17"/>
  <c r="N67" i="17"/>
  <c r="N55" i="17"/>
  <c r="P47" i="17"/>
  <c r="P63" i="17"/>
  <c r="P29" i="13"/>
  <c r="I39" i="17"/>
  <c r="H162" i="26"/>
  <c r="M39" i="17"/>
  <c r="P31" i="17"/>
  <c r="O67" i="17"/>
  <c r="J35" i="17"/>
  <c r="L71" i="17"/>
  <c r="G47" i="17"/>
  <c r="G51" i="17"/>
  <c r="C339" i="26"/>
  <c r="H11" i="9" s="1"/>
  <c r="P39" i="17"/>
  <c r="M51" i="17"/>
  <c r="L283" i="26"/>
  <c r="M79" i="15" s="1"/>
  <c r="O51" i="17"/>
  <c r="J29" i="13"/>
  <c r="K35" i="17"/>
  <c r="O43" i="17"/>
  <c r="E336" i="26"/>
  <c r="N37" i="21"/>
  <c r="L89" i="3" s="1"/>
  <c r="N33" i="21"/>
  <c r="L88" i="3" s="1"/>
  <c r="M76" i="17"/>
  <c r="I31" i="17"/>
  <c r="O29" i="13"/>
  <c r="I51" i="17"/>
  <c r="M31" i="17"/>
  <c r="L39" i="17"/>
  <c r="I67" i="17"/>
  <c r="H41" i="21"/>
  <c r="F90" i="3" s="1"/>
  <c r="H67" i="17"/>
  <c r="N35" i="17"/>
  <c r="N76" i="17"/>
  <c r="N31" i="17"/>
  <c r="O39" i="17"/>
  <c r="C337" i="26"/>
  <c r="L55" i="17"/>
  <c r="M47" i="17"/>
  <c r="L252" i="26"/>
  <c r="P51" i="17"/>
  <c r="N59" i="17"/>
  <c r="H133" i="26"/>
  <c r="I59" i="17"/>
  <c r="N39" i="17"/>
  <c r="O71" i="17"/>
  <c r="K29" i="13"/>
  <c r="J43" i="17"/>
  <c r="G33" i="21"/>
  <c r="O37" i="21"/>
  <c r="M89" i="3" s="1"/>
  <c r="D338" i="26"/>
  <c r="I12" i="9" s="1"/>
  <c r="E330" i="26"/>
  <c r="G41" i="21"/>
  <c r="E90" i="3" s="1"/>
  <c r="K43" i="17"/>
  <c r="E328" i="26"/>
  <c r="P29" i="18"/>
  <c r="N87" i="3" s="1"/>
  <c r="L43" i="17"/>
  <c r="E332" i="26"/>
  <c r="J10" i="9" s="1"/>
  <c r="M67" i="17"/>
  <c r="L298" i="26"/>
  <c r="D339" i="26"/>
  <c r="I11" i="9" s="1"/>
  <c r="K59" i="17"/>
  <c r="P67" i="17"/>
  <c r="E335" i="26"/>
  <c r="J13" i="9" s="1"/>
  <c r="P43" i="17"/>
  <c r="G162" i="26"/>
  <c r="H39" i="17"/>
  <c r="L35" i="17"/>
  <c r="M43" i="17"/>
  <c r="O33" i="21"/>
  <c r="M88" i="3" s="1"/>
  <c r="J41" i="21"/>
  <c r="H90" i="3" s="1"/>
  <c r="H47" i="17"/>
  <c r="H51" i="17"/>
  <c r="J37" i="21"/>
  <c r="J252" i="26"/>
  <c r="J254" i="26" s="1"/>
  <c r="K47" i="17" s="1"/>
  <c r="M37" i="21"/>
  <c r="K89" i="3" s="1"/>
  <c r="I29" i="18"/>
  <c r="G87" i="3" s="1"/>
  <c r="E337" i="26"/>
  <c r="C332" i="26"/>
  <c r="H10" i="9" s="1"/>
  <c r="H31" i="17"/>
  <c r="D331" i="26"/>
  <c r="D337" i="26"/>
  <c r="D335" i="26"/>
  <c r="I13" i="9" s="1"/>
  <c r="I41" i="21"/>
  <c r="G90" i="3" s="1"/>
  <c r="D336" i="26"/>
  <c r="L47" i="17"/>
  <c r="K252" i="26"/>
  <c r="J76" i="17"/>
  <c r="J78" i="17" s="1"/>
  <c r="C330" i="26"/>
  <c r="L37" i="21"/>
  <c r="J89" i="3" s="1"/>
  <c r="C331" i="26"/>
  <c r="O59" i="17"/>
  <c r="C335" i="26"/>
  <c r="H13" i="9" s="1"/>
  <c r="L41" i="21"/>
  <c r="J90" i="3" s="1"/>
  <c r="D332" i="26"/>
  <c r="I10" i="9" s="1"/>
  <c r="N71" i="17"/>
  <c r="K55" i="17"/>
  <c r="D329" i="26"/>
  <c r="O29" i="18"/>
  <c r="M87" i="3" s="1"/>
  <c r="J59" i="17"/>
  <c r="O55" i="17"/>
  <c r="J39" i="17"/>
  <c r="E338" i="26"/>
  <c r="J12" i="9" s="1"/>
  <c r="P33" i="21"/>
  <c r="N88" i="3" s="1"/>
  <c r="L31" i="17"/>
  <c r="E329" i="26"/>
  <c r="M41" i="21"/>
  <c r="K90" i="3" s="1"/>
  <c r="M29" i="13"/>
  <c r="O63" i="17"/>
  <c r="K63" i="17"/>
  <c r="K41" i="21"/>
  <c r="I90" i="3" s="1"/>
  <c r="L51" i="17"/>
  <c r="L79" i="15"/>
  <c r="C336" i="26"/>
  <c r="L76" i="17"/>
  <c r="O208" i="26"/>
  <c r="G147" i="26"/>
  <c r="L72" i="26"/>
  <c r="N79" i="15"/>
  <c r="O79" i="15"/>
  <c r="I79" i="15"/>
  <c r="P79" i="15"/>
  <c r="G79" i="15"/>
  <c r="H79" i="15"/>
  <c r="G54" i="20"/>
  <c r="H54" i="20"/>
  <c r="I54" i="20"/>
  <c r="O54" i="20"/>
  <c r="J54" i="20"/>
  <c r="K54" i="20"/>
  <c r="P54" i="20"/>
  <c r="L54" i="20"/>
  <c r="G45" i="20"/>
  <c r="N39" i="20"/>
  <c r="O39" i="20"/>
  <c r="P39" i="20"/>
  <c r="P34" i="20"/>
  <c r="O34" i="20"/>
  <c r="G54" i="21"/>
  <c r="H54" i="21" s="1"/>
  <c r="F79" i="17"/>
  <c r="H73" i="17"/>
  <c r="F74" i="17"/>
  <c r="N208" i="26"/>
  <c r="I72" i="26"/>
  <c r="F147" i="26"/>
  <c r="M208" i="26"/>
  <c r="J77" i="19" l="1"/>
  <c r="J83" i="19" s="1"/>
  <c r="K78" i="19"/>
  <c r="K80" i="19"/>
  <c r="L72" i="19"/>
  <c r="L74" i="19" s="1"/>
  <c r="K79" i="19"/>
  <c r="M39" i="19"/>
  <c r="N38" i="19"/>
  <c r="N26" i="19"/>
  <c r="M27" i="19"/>
  <c r="M70" i="19" s="1"/>
  <c r="N31" i="19"/>
  <c r="O30" i="19"/>
  <c r="P49" i="19"/>
  <c r="N91" i="3" s="1"/>
  <c r="J15" i="9"/>
  <c r="E341" i="26"/>
  <c r="F341" i="26" s="1"/>
  <c r="G341" i="26" s="1"/>
  <c r="H45" i="20"/>
  <c r="H47" i="20" s="1"/>
  <c r="G47" i="20"/>
  <c r="I8" i="9"/>
  <c r="H8" i="9"/>
  <c r="I7" i="9"/>
  <c r="J9" i="9"/>
  <c r="J38" i="21"/>
  <c r="K38" i="21" s="1"/>
  <c r="L38" i="21" s="1"/>
  <c r="M38" i="21" s="1"/>
  <c r="N38" i="21" s="1"/>
  <c r="O38" i="21" s="1"/>
  <c r="P38" i="21" s="1"/>
  <c r="H89" i="3"/>
  <c r="L86" i="3"/>
  <c r="K86" i="3"/>
  <c r="M86" i="3"/>
  <c r="G86" i="3"/>
  <c r="H86" i="3"/>
  <c r="N86" i="3"/>
  <c r="J86" i="3"/>
  <c r="F86" i="3"/>
  <c r="I86" i="3"/>
  <c r="G34" i="21"/>
  <c r="H34" i="21" s="1"/>
  <c r="I34" i="21" s="1"/>
  <c r="J34" i="21" s="1"/>
  <c r="K34" i="21" s="1"/>
  <c r="L34" i="21" s="1"/>
  <c r="M34" i="21" s="1"/>
  <c r="N34" i="21" s="1"/>
  <c r="O34" i="21" s="1"/>
  <c r="P34" i="21" s="1"/>
  <c r="E88" i="3"/>
  <c r="I9" i="9"/>
  <c r="C37" i="21"/>
  <c r="G8" i="21" s="1"/>
  <c r="D29" i="18"/>
  <c r="E87" i="3"/>
  <c r="E86" i="3"/>
  <c r="F328" i="26"/>
  <c r="H9" i="9"/>
  <c r="H7" i="9"/>
  <c r="C29" i="13"/>
  <c r="J12" i="13" s="1"/>
  <c r="J7" i="9"/>
  <c r="J8" i="9"/>
  <c r="M6" i="21"/>
  <c r="M8" i="21" s="1"/>
  <c r="C29" i="20"/>
  <c r="F338" i="26"/>
  <c r="G338" i="26" s="1"/>
  <c r="C41" i="21"/>
  <c r="G9" i="21" s="1"/>
  <c r="M17" i="21"/>
  <c r="M19" i="21" s="1"/>
  <c r="C33" i="21"/>
  <c r="G7" i="21" s="1"/>
  <c r="J17" i="21"/>
  <c r="C79" i="15"/>
  <c r="J18" i="9"/>
  <c r="H17" i="9"/>
  <c r="I18" i="9"/>
  <c r="H18" i="9"/>
  <c r="C57" i="19"/>
  <c r="F59" i="19" s="1"/>
  <c r="G58" i="19"/>
  <c r="H58" i="19" s="1"/>
  <c r="I58" i="19" s="1"/>
  <c r="G62" i="19"/>
  <c r="C61" i="19"/>
  <c r="F63" i="19" s="1"/>
  <c r="G50" i="19"/>
  <c r="H50" i="19" s="1"/>
  <c r="G54" i="19"/>
  <c r="H54" i="19" s="1"/>
  <c r="C53" i="19"/>
  <c r="F55" i="19" s="1"/>
  <c r="C45" i="19"/>
  <c r="H30" i="20"/>
  <c r="H32" i="20" s="1"/>
  <c r="I65" i="20"/>
  <c r="I67" i="20" s="1"/>
  <c r="C64" i="20"/>
  <c r="G60" i="20"/>
  <c r="G62" i="20" s="1"/>
  <c r="C59" i="20"/>
  <c r="G55" i="20"/>
  <c r="C54" i="20"/>
  <c r="G50" i="20"/>
  <c r="C49" i="20"/>
  <c r="C44" i="20"/>
  <c r="I45" i="20"/>
  <c r="G40" i="20"/>
  <c r="C39" i="20"/>
  <c r="G35" i="20"/>
  <c r="C34" i="20"/>
  <c r="I73" i="17"/>
  <c r="K78" i="17"/>
  <c r="K298" i="26"/>
  <c r="H147" i="26"/>
  <c r="J72" i="26"/>
  <c r="K72" i="26"/>
  <c r="K207" i="26"/>
  <c r="I106" i="26"/>
  <c r="M182" i="26"/>
  <c r="K26" i="26"/>
  <c r="K221" i="26"/>
  <c r="G194" i="26"/>
  <c r="N71" i="26"/>
  <c r="L93" i="26"/>
  <c r="M59" i="26"/>
  <c r="H137" i="26"/>
  <c r="O302" i="26"/>
  <c r="M274" i="26"/>
  <c r="H64" i="26"/>
  <c r="H61" i="26"/>
  <c r="F180" i="26"/>
  <c r="L147" i="26"/>
  <c r="O226" i="26"/>
  <c r="N301" i="26"/>
  <c r="K257" i="26"/>
  <c r="O205" i="26"/>
  <c r="J163" i="26"/>
  <c r="G47" i="26"/>
  <c r="O240" i="26"/>
  <c r="K271" i="26"/>
  <c r="M50" i="26"/>
  <c r="L137" i="26"/>
  <c r="F245" i="26"/>
  <c r="M57" i="26"/>
  <c r="I185" i="26"/>
  <c r="K237" i="26"/>
  <c r="N109" i="26"/>
  <c r="O125" i="26"/>
  <c r="H251" i="26"/>
  <c r="H176" i="26"/>
  <c r="H45" i="26"/>
  <c r="G273" i="26"/>
  <c r="O195" i="26"/>
  <c r="N136" i="26"/>
  <c r="J85" i="26"/>
  <c r="M229" i="26"/>
  <c r="K301" i="26"/>
  <c r="F221" i="26"/>
  <c r="F186" i="26"/>
  <c r="K231" i="26"/>
  <c r="H195" i="26"/>
  <c r="H191" i="26"/>
  <c r="M45" i="26"/>
  <c r="O246" i="26"/>
  <c r="H32" i="26"/>
  <c r="G130" i="26"/>
  <c r="F184" i="26"/>
  <c r="N32" i="26"/>
  <c r="G245" i="26"/>
  <c r="N303" i="26"/>
  <c r="M257" i="26"/>
  <c r="O300" i="26"/>
  <c r="N146" i="26"/>
  <c r="H267" i="26"/>
  <c r="M193" i="26"/>
  <c r="J135" i="26"/>
  <c r="O104" i="26"/>
  <c r="J102" i="26"/>
  <c r="F64" i="26"/>
  <c r="H55" i="26"/>
  <c r="M41" i="26"/>
  <c r="N168" i="26"/>
  <c r="J191" i="26"/>
  <c r="M273" i="26"/>
  <c r="I28" i="26"/>
  <c r="H148" i="26"/>
  <c r="L195" i="26"/>
  <c r="N139" i="26"/>
  <c r="I224" i="26"/>
  <c r="O102" i="26"/>
  <c r="N64" i="26"/>
  <c r="J100" i="26"/>
  <c r="N265" i="26"/>
  <c r="I288" i="26"/>
  <c r="J109" i="26"/>
  <c r="I238" i="26"/>
  <c r="N285" i="26"/>
  <c r="I305" i="26"/>
  <c r="M125" i="26"/>
  <c r="I136" i="26"/>
  <c r="M265" i="26"/>
  <c r="F241" i="26"/>
  <c r="O304" i="26"/>
  <c r="I85" i="26"/>
  <c r="M148" i="26"/>
  <c r="F182" i="26"/>
  <c r="O317" i="26"/>
  <c r="I274" i="26"/>
  <c r="G302" i="26"/>
  <c r="N180" i="26"/>
  <c r="J45" i="26"/>
  <c r="N287" i="26"/>
  <c r="F25" i="26"/>
  <c r="L139" i="26"/>
  <c r="K170" i="26"/>
  <c r="O303" i="26"/>
  <c r="G316" i="26"/>
  <c r="G191" i="26"/>
  <c r="F110" i="26"/>
  <c r="L312" i="26"/>
  <c r="J61" i="26"/>
  <c r="O153" i="26"/>
  <c r="N282" i="26"/>
  <c r="I316" i="26"/>
  <c r="K29" i="26"/>
  <c r="O191" i="26"/>
  <c r="F111" i="26"/>
  <c r="F242" i="26"/>
  <c r="M91" i="26"/>
  <c r="I81" i="26"/>
  <c r="F28" i="26"/>
  <c r="G213" i="26"/>
  <c r="M304" i="26"/>
  <c r="N246" i="26"/>
  <c r="G314" i="26"/>
  <c r="L244" i="26"/>
  <c r="J282" i="26"/>
  <c r="I205" i="26"/>
  <c r="J41" i="26"/>
  <c r="H321" i="26"/>
  <c r="K79" i="26"/>
  <c r="F58" i="26"/>
  <c r="G246" i="26"/>
  <c r="F63" i="26"/>
  <c r="H290" i="26"/>
  <c r="O305" i="26"/>
  <c r="L270" i="26"/>
  <c r="M260" i="26"/>
  <c r="I56" i="26"/>
  <c r="M122" i="26"/>
  <c r="G86" i="26"/>
  <c r="O124" i="26"/>
  <c r="F61" i="26"/>
  <c r="F313" i="26"/>
  <c r="I29" i="26"/>
  <c r="N141" i="26"/>
  <c r="M311" i="26"/>
  <c r="L71" i="26"/>
  <c r="G146" i="26"/>
  <c r="G306" i="26"/>
  <c r="N33" i="26"/>
  <c r="H77" i="26"/>
  <c r="M275" i="26"/>
  <c r="J92" i="26"/>
  <c r="K240" i="26"/>
  <c r="K208" i="26"/>
  <c r="N130" i="26"/>
  <c r="F289" i="26"/>
  <c r="M256" i="26"/>
  <c r="F137" i="26"/>
  <c r="L193" i="26"/>
  <c r="J304" i="26"/>
  <c r="I222" i="26"/>
  <c r="O28" i="26"/>
  <c r="G41" i="26"/>
  <c r="K265" i="26"/>
  <c r="L101" i="26"/>
  <c r="H213" i="26"/>
  <c r="H266" i="26"/>
  <c r="F301" i="26"/>
  <c r="K45" i="26"/>
  <c r="F265" i="26"/>
  <c r="F75" i="26"/>
  <c r="G101" i="26"/>
  <c r="G136" i="26"/>
  <c r="H110" i="26"/>
  <c r="K178" i="26"/>
  <c r="O274" i="26"/>
  <c r="G268" i="26"/>
  <c r="L26" i="26"/>
  <c r="F213" i="26"/>
  <c r="J106" i="26"/>
  <c r="J213" i="26"/>
  <c r="J121" i="26"/>
  <c r="I300" i="26"/>
  <c r="J146" i="26"/>
  <c r="O25" i="26"/>
  <c r="J295" i="26"/>
  <c r="N242" i="26"/>
  <c r="O235" i="26"/>
  <c r="O268" i="26"/>
  <c r="L45" i="26"/>
  <c r="G64" i="26"/>
  <c r="F109" i="26"/>
  <c r="K224" i="26"/>
  <c r="L207" i="26"/>
  <c r="L282" i="26"/>
  <c r="F229" i="26"/>
  <c r="G185" i="26"/>
  <c r="N46" i="26"/>
  <c r="L185" i="26"/>
  <c r="I228" i="26"/>
  <c r="H297" i="26"/>
  <c r="K125" i="26"/>
  <c r="G91" i="26"/>
  <c r="I171" i="26"/>
  <c r="I231" i="26"/>
  <c r="K306" i="26"/>
  <c r="O88" i="26"/>
  <c r="O135" i="26"/>
  <c r="J168" i="26"/>
  <c r="G286" i="26"/>
  <c r="O311" i="26"/>
  <c r="G132" i="26"/>
  <c r="N48" i="26"/>
  <c r="L124" i="26"/>
  <c r="M62" i="26"/>
  <c r="K244" i="26"/>
  <c r="M28" i="26"/>
  <c r="F126" i="26"/>
  <c r="K213" i="26"/>
  <c r="F310" i="26"/>
  <c r="L212" i="26"/>
  <c r="G297" i="26"/>
  <c r="G35" i="26"/>
  <c r="N268" i="26"/>
  <c r="L257" i="26"/>
  <c r="F59" i="26"/>
  <c r="O171" i="26"/>
  <c r="M320" i="26"/>
  <c r="H135" i="26"/>
  <c r="F225" i="26"/>
  <c r="I303" i="26"/>
  <c r="O295" i="26"/>
  <c r="I153" i="26"/>
  <c r="I275" i="26"/>
  <c r="J302" i="26"/>
  <c r="M26" i="26"/>
  <c r="G79" i="26"/>
  <c r="M34" i="26"/>
  <c r="O290" i="26"/>
  <c r="J288" i="26"/>
  <c r="H288" i="26"/>
  <c r="I80" i="26"/>
  <c r="F318" i="26"/>
  <c r="H80" i="26"/>
  <c r="I251" i="26"/>
  <c r="G81" i="26"/>
  <c r="N95" i="26"/>
  <c r="H236" i="26"/>
  <c r="H286" i="26"/>
  <c r="K62" i="26"/>
  <c r="I256" i="26"/>
  <c r="I318" i="26"/>
  <c r="N225" i="26"/>
  <c r="I25" i="26"/>
  <c r="K59" i="26"/>
  <c r="I272" i="26"/>
  <c r="J75" i="26"/>
  <c r="L220" i="26"/>
  <c r="M239" i="26"/>
  <c r="L87" i="26"/>
  <c r="L63" i="26"/>
  <c r="G259" i="26"/>
  <c r="J55" i="26"/>
  <c r="J153" i="26"/>
  <c r="G170" i="26"/>
  <c r="G320" i="26"/>
  <c r="M32" i="26"/>
  <c r="G56" i="26"/>
  <c r="J124" i="26"/>
  <c r="L47" i="26"/>
  <c r="M261" i="26"/>
  <c r="H115" i="26"/>
  <c r="M301" i="26"/>
  <c r="G315" i="26"/>
  <c r="L115" i="26"/>
  <c r="H200" i="26"/>
  <c r="F220" i="26"/>
  <c r="K110" i="26"/>
  <c r="N185" i="26"/>
  <c r="N214" i="26"/>
  <c r="K40" i="26"/>
  <c r="H85" i="26"/>
  <c r="G186" i="26"/>
  <c r="F176" i="26"/>
  <c r="O47" i="26"/>
  <c r="L103" i="26"/>
  <c r="K27" i="26"/>
  <c r="J141" i="26"/>
  <c r="L200" i="26"/>
  <c r="G148" i="26"/>
  <c r="M120" i="26"/>
  <c r="F91" i="26"/>
  <c r="L109" i="26"/>
  <c r="I268" i="26"/>
  <c r="K314" i="26"/>
  <c r="I290" i="26"/>
  <c r="G198" i="26"/>
  <c r="F197" i="26"/>
  <c r="H223" i="26"/>
  <c r="H238" i="26"/>
  <c r="H224" i="26"/>
  <c r="N35" i="26"/>
  <c r="H303" i="26"/>
  <c r="K161" i="26"/>
  <c r="L297" i="26"/>
  <c r="K81" i="26"/>
  <c r="O141" i="26"/>
  <c r="N151" i="26"/>
  <c r="J297" i="26"/>
  <c r="H289" i="26"/>
  <c r="J211" i="26"/>
  <c r="G236" i="26"/>
  <c r="J47" i="26"/>
  <c r="J90" i="26"/>
  <c r="N183" i="26"/>
  <c r="H72" i="26"/>
  <c r="K229" i="26"/>
  <c r="K117" i="26"/>
  <c r="M303" i="26"/>
  <c r="N220" i="26"/>
  <c r="G270" i="26"/>
  <c r="H46" i="26"/>
  <c r="L123" i="26"/>
  <c r="N211" i="26"/>
  <c r="I245" i="26"/>
  <c r="H44" i="26"/>
  <c r="J182" i="26"/>
  <c r="F236" i="26"/>
  <c r="L102" i="26"/>
  <c r="H257" i="26"/>
  <c r="I58" i="26"/>
  <c r="L73" i="26"/>
  <c r="I314" i="26"/>
  <c r="L148" i="26"/>
  <c r="M287" i="26"/>
  <c r="L42" i="26"/>
  <c r="J43" i="26"/>
  <c r="F215" i="26"/>
  <c r="M126" i="26"/>
  <c r="N304" i="26"/>
  <c r="G166" i="26"/>
  <c r="H122" i="26"/>
  <c r="O117" i="26"/>
  <c r="O152" i="26"/>
  <c r="I223" i="26"/>
  <c r="O107" i="26"/>
  <c r="H161" i="26"/>
  <c r="I315" i="26"/>
  <c r="J63" i="26"/>
  <c r="O194" i="26"/>
  <c r="J255" i="26"/>
  <c r="I86" i="26"/>
  <c r="I110" i="26"/>
  <c r="O315" i="26"/>
  <c r="G93" i="26"/>
  <c r="F166" i="26"/>
  <c r="H57" i="26"/>
  <c r="J148" i="26"/>
  <c r="J251" i="26"/>
  <c r="K150" i="26"/>
  <c r="L197" i="26"/>
  <c r="G222" i="26"/>
  <c r="G126" i="26"/>
  <c r="F306" i="26"/>
  <c r="I60" i="26"/>
  <c r="I167" i="26"/>
  <c r="G228" i="26"/>
  <c r="L117" i="26"/>
  <c r="L288" i="26"/>
  <c r="H287" i="26"/>
  <c r="M161" i="26"/>
  <c r="K71" i="26"/>
  <c r="N273" i="26"/>
  <c r="M86" i="26"/>
  <c r="K44" i="26"/>
  <c r="O109" i="26"/>
  <c r="M80" i="26"/>
  <c r="I123" i="26"/>
  <c r="F72" i="26"/>
  <c r="G104" i="26"/>
  <c r="J181" i="26"/>
  <c r="H93" i="26"/>
  <c r="N271" i="26"/>
  <c r="G221" i="26"/>
  <c r="J185" i="26"/>
  <c r="H100" i="26"/>
  <c r="I91" i="26"/>
  <c r="F167" i="26"/>
  <c r="H300" i="26"/>
  <c r="F240" i="26"/>
  <c r="L57" i="26"/>
  <c r="K186" i="26"/>
  <c r="H320" i="26"/>
  <c r="F46" i="26"/>
  <c r="K193" i="26"/>
  <c r="J49" i="26"/>
  <c r="I301" i="26"/>
  <c r="L275" i="26"/>
  <c r="O321" i="26"/>
  <c r="J71" i="26"/>
  <c r="H186" i="26"/>
  <c r="H109" i="26"/>
  <c r="N226" i="26"/>
  <c r="O138" i="26"/>
  <c r="L184" i="26"/>
  <c r="M246" i="26"/>
  <c r="G55" i="26"/>
  <c r="J257" i="26"/>
  <c r="H221" i="26"/>
  <c r="N182" i="26"/>
  <c r="O190" i="26"/>
  <c r="M44" i="26"/>
  <c r="G317" i="26"/>
  <c r="M141" i="26"/>
  <c r="J229" i="26"/>
  <c r="J40" i="26"/>
  <c r="G215" i="26"/>
  <c r="J271" i="26"/>
  <c r="I125" i="26"/>
  <c r="M181" i="26"/>
  <c r="K182" i="26"/>
  <c r="H102" i="26"/>
  <c r="I197" i="26"/>
  <c r="L213" i="26"/>
  <c r="N148" i="26"/>
  <c r="F29" i="26"/>
  <c r="H314" i="26"/>
  <c r="I213" i="26"/>
  <c r="K100" i="26"/>
  <c r="L183" i="26"/>
  <c r="J111" i="26"/>
  <c r="L186" i="26"/>
  <c r="L121" i="26"/>
  <c r="O257" i="26"/>
  <c r="H273" i="26"/>
  <c r="M166" i="26"/>
  <c r="M271" i="26"/>
  <c r="K259" i="26"/>
  <c r="N140" i="26"/>
  <c r="O185" i="26"/>
  <c r="M297" i="26"/>
  <c r="N153" i="26"/>
  <c r="J76" i="26"/>
  <c r="G311" i="26"/>
  <c r="N93" i="26"/>
  <c r="H123" i="26"/>
  <c r="F76" i="26"/>
  <c r="M270" i="26"/>
  <c r="N40" i="26"/>
  <c r="F31" i="26"/>
  <c r="J312" i="26"/>
  <c r="L27" i="26"/>
  <c r="K41" i="26"/>
  <c r="L122" i="26"/>
  <c r="L106" i="26"/>
  <c r="J140" i="26"/>
  <c r="G214" i="26"/>
  <c r="M85" i="26"/>
  <c r="J316" i="26"/>
  <c r="G265" i="26"/>
  <c r="I200" i="26"/>
  <c r="I261" i="26"/>
  <c r="I184" i="26"/>
  <c r="L306" i="26"/>
  <c r="H95" i="26"/>
  <c r="O165" i="26"/>
  <c r="O223" i="26"/>
  <c r="I170" i="26"/>
  <c r="L245" i="26"/>
  <c r="M288" i="26"/>
  <c r="I198" i="26"/>
  <c r="H47" i="26"/>
  <c r="J313" i="26"/>
  <c r="K43" i="26"/>
  <c r="J244" i="26"/>
  <c r="L111" i="26"/>
  <c r="F104" i="26"/>
  <c r="O193" i="26"/>
  <c r="J165" i="26"/>
  <c r="L167" i="26"/>
  <c r="F198" i="26"/>
  <c r="N122" i="26"/>
  <c r="L64" i="26"/>
  <c r="N62" i="26"/>
  <c r="M27" i="26"/>
  <c r="I141" i="26"/>
  <c r="M100" i="26"/>
  <c r="H241" i="26"/>
  <c r="J80" i="26"/>
  <c r="K169" i="26"/>
  <c r="F122" i="26"/>
  <c r="L303" i="26"/>
  <c r="M315" i="26"/>
  <c r="L199" i="26"/>
  <c r="O285" i="26"/>
  <c r="N25" i="26"/>
  <c r="G258" i="26"/>
  <c r="M205" i="26"/>
  <c r="J197" i="26"/>
  <c r="G242" i="26"/>
  <c r="N55" i="26"/>
  <c r="K176" i="26"/>
  <c r="J103" i="26"/>
  <c r="K268" i="26"/>
  <c r="M47" i="26"/>
  <c r="F246" i="26"/>
  <c r="F73" i="26"/>
  <c r="O238" i="26"/>
  <c r="L153" i="26"/>
  <c r="K305" i="26"/>
  <c r="N124" i="26"/>
  <c r="N88" i="26"/>
  <c r="F169" i="26"/>
  <c r="I163" i="26"/>
  <c r="O288" i="26"/>
  <c r="F92" i="26"/>
  <c r="L141" i="26"/>
  <c r="F295" i="26"/>
  <c r="K321" i="26"/>
  <c r="H88" i="26"/>
  <c r="O231" i="26"/>
  <c r="G229" i="26"/>
  <c r="I49" i="26"/>
  <c r="M312" i="26"/>
  <c r="K147" i="26"/>
  <c r="O77" i="26"/>
  <c r="K312" i="26"/>
  <c r="M200" i="26"/>
  <c r="O225" i="26"/>
  <c r="K241" i="26"/>
  <c r="M40" i="26"/>
  <c r="J32" i="26"/>
  <c r="N31" i="26"/>
  <c r="H94" i="26"/>
  <c r="N101" i="26"/>
  <c r="F115" i="26"/>
  <c r="H81" i="26"/>
  <c r="O40" i="26"/>
  <c r="L240" i="26"/>
  <c r="K153" i="26"/>
  <c r="N166" i="26"/>
  <c r="O259" i="26"/>
  <c r="F88" i="26"/>
  <c r="G178" i="26"/>
  <c r="I101" i="26"/>
  <c r="G275" i="26"/>
  <c r="N87" i="26"/>
  <c r="N241" i="26"/>
  <c r="I190" i="26"/>
  <c r="K228" i="26"/>
  <c r="K88" i="26"/>
  <c r="H220" i="26"/>
  <c r="F102" i="26"/>
  <c r="F44" i="26"/>
  <c r="M115" i="26"/>
  <c r="I229" i="26"/>
  <c r="N274" i="26"/>
  <c r="H76" i="26"/>
  <c r="H166" i="26"/>
  <c r="L228" i="26"/>
  <c r="F135" i="26"/>
  <c r="M71" i="26"/>
  <c r="M267" i="26"/>
  <c r="N257" i="26"/>
  <c r="K300" i="26"/>
  <c r="K167" i="26"/>
  <c r="I35" i="26"/>
  <c r="L271" i="26"/>
  <c r="J27" i="26"/>
  <c r="I61" i="26"/>
  <c r="H184" i="26"/>
  <c r="J272" i="26"/>
  <c r="I246" i="26"/>
  <c r="L287" i="26"/>
  <c r="H104" i="26"/>
  <c r="K316" i="26"/>
  <c r="O122" i="26"/>
  <c r="J260" i="26"/>
  <c r="I95" i="26"/>
  <c r="O314" i="26"/>
  <c r="H108" i="26"/>
  <c r="M42" i="26"/>
  <c r="G224" i="26"/>
  <c r="O80" i="26"/>
  <c r="O85" i="26"/>
  <c r="M109" i="26"/>
  <c r="H171" i="26"/>
  <c r="M180" i="26"/>
  <c r="L238" i="26"/>
  <c r="K236" i="26"/>
  <c r="O72" i="26"/>
  <c r="I321" i="26"/>
  <c r="H168" i="26"/>
  <c r="K220" i="26"/>
  <c r="J50" i="26"/>
  <c r="M110" i="26"/>
  <c r="J306" i="26"/>
  <c r="O46" i="26"/>
  <c r="J180" i="26"/>
  <c r="G135" i="26"/>
  <c r="L79" i="26"/>
  <c r="G28" i="26"/>
  <c r="O182" i="26"/>
  <c r="O42" i="26"/>
  <c r="K282" i="26"/>
  <c r="H312" i="26"/>
  <c r="L286" i="26"/>
  <c r="I48" i="26"/>
  <c r="G310" i="26"/>
  <c r="H235" i="26"/>
  <c r="G103" i="26"/>
  <c r="L48" i="26"/>
  <c r="J35" i="26"/>
  <c r="L88" i="26"/>
  <c r="O273" i="26"/>
  <c r="I244" i="26"/>
  <c r="G199" i="26"/>
  <c r="K155" i="26"/>
  <c r="I88" i="26"/>
  <c r="K289" i="26"/>
  <c r="J220" i="26"/>
  <c r="G95" i="26"/>
  <c r="O101" i="26"/>
  <c r="F224" i="26"/>
  <c r="O229" i="26"/>
  <c r="M186" i="26"/>
  <c r="M81" i="26"/>
  <c r="N108" i="26"/>
  <c r="N167" i="26"/>
  <c r="J193" i="26"/>
  <c r="F155" i="26"/>
  <c r="F231" i="26"/>
  <c r="H48" i="26"/>
  <c r="G94" i="26"/>
  <c r="L178" i="26"/>
  <c r="I100" i="26"/>
  <c r="F125" i="26"/>
  <c r="K210" i="26"/>
  <c r="I152" i="26"/>
  <c r="G260" i="26"/>
  <c r="N90" i="26"/>
  <c r="M163" i="26"/>
  <c r="O271" i="26"/>
  <c r="I87" i="26"/>
  <c r="H225" i="26"/>
  <c r="N224" i="26"/>
  <c r="I295" i="26"/>
  <c r="N210" i="26"/>
  <c r="F316" i="26"/>
  <c r="O146" i="26"/>
  <c r="K75" i="26"/>
  <c r="K101" i="26"/>
  <c r="K138" i="26"/>
  <c r="N76" i="26"/>
  <c r="K48" i="26"/>
  <c r="K256" i="26"/>
  <c r="G90" i="26"/>
  <c r="F302" i="26"/>
  <c r="H34" i="26"/>
  <c r="O245" i="26"/>
  <c r="L302" i="26"/>
  <c r="I265" i="26"/>
  <c r="L225" i="26"/>
  <c r="H150" i="26"/>
  <c r="O199" i="26"/>
  <c r="H75" i="26"/>
  <c r="N261" i="26"/>
  <c r="N171" i="26"/>
  <c r="G120" i="26"/>
  <c r="F117" i="26"/>
  <c r="K139" i="26"/>
  <c r="G26" i="26"/>
  <c r="F305" i="26"/>
  <c r="H181" i="26"/>
  <c r="J224" i="26"/>
  <c r="I122" i="26"/>
  <c r="L75" i="26"/>
  <c r="L251" i="26"/>
  <c r="N138" i="26"/>
  <c r="O222" i="26"/>
  <c r="G60" i="26"/>
  <c r="M78" i="26"/>
  <c r="G163" i="26"/>
  <c r="I77" i="26"/>
  <c r="F273" i="26"/>
  <c r="L182" i="26"/>
  <c r="G261" i="26"/>
  <c r="O215" i="26"/>
  <c r="O32" i="26"/>
  <c r="K58" i="26"/>
  <c r="F141" i="26"/>
  <c r="F190" i="26"/>
  <c r="O95" i="26"/>
  <c r="J221" i="26"/>
  <c r="K270" i="26"/>
  <c r="M255" i="26"/>
  <c r="N34" i="26"/>
  <c r="F303" i="26"/>
  <c r="F287" i="26"/>
  <c r="G109" i="26"/>
  <c r="F130" i="26"/>
  <c r="L290" i="26"/>
  <c r="I183" i="26"/>
  <c r="L95" i="26"/>
  <c r="O115" i="26"/>
  <c r="G137" i="26"/>
  <c r="N316" i="26"/>
  <c r="K132" i="26"/>
  <c r="J117" i="26"/>
  <c r="I121" i="26"/>
  <c r="L165" i="26"/>
  <c r="L78" i="26"/>
  <c r="N29" i="26"/>
  <c r="O61" i="26"/>
  <c r="N235" i="26"/>
  <c r="I240" i="26"/>
  <c r="G231" i="26"/>
  <c r="I107" i="26"/>
  <c r="L76" i="26"/>
  <c r="G211" i="26"/>
  <c r="O29" i="26"/>
  <c r="H318" i="26"/>
  <c r="K25" i="26"/>
  <c r="F41" i="26"/>
  <c r="G141" i="26"/>
  <c r="N270" i="26"/>
  <c r="F106" i="26"/>
  <c r="K90" i="26"/>
  <c r="G48" i="26"/>
  <c r="K238" i="26"/>
  <c r="L108" i="26"/>
  <c r="J59" i="26"/>
  <c r="L28" i="26"/>
  <c r="N317" i="26"/>
  <c r="L140" i="26"/>
  <c r="G200" i="26"/>
  <c r="O287" i="26"/>
  <c r="K226" i="26"/>
  <c r="J315" i="26"/>
  <c r="I108" i="26"/>
  <c r="N199" i="26"/>
  <c r="I212" i="26"/>
  <c r="H295" i="26"/>
  <c r="K205" i="26"/>
  <c r="I186" i="26"/>
  <c r="O211" i="26"/>
  <c r="K136" i="26"/>
  <c r="F315" i="26"/>
  <c r="G210" i="26"/>
  <c r="L56" i="26"/>
  <c r="I266" i="26"/>
  <c r="G301" i="26"/>
  <c r="F42" i="26"/>
  <c r="L242" i="26"/>
  <c r="O289" i="26"/>
  <c r="J108" i="26"/>
  <c r="N92" i="26"/>
  <c r="I297" i="26"/>
  <c r="K297" i="26"/>
  <c r="K141" i="26"/>
  <c r="M225" i="26"/>
  <c r="L272" i="26"/>
  <c r="I75" i="26"/>
  <c r="I239" i="26"/>
  <c r="F62" i="26"/>
  <c r="G43" i="26"/>
  <c r="K61" i="26"/>
  <c r="N126" i="26"/>
  <c r="M316" i="26"/>
  <c r="N222" i="26"/>
  <c r="K104" i="26"/>
  <c r="K57" i="26"/>
  <c r="N102" i="26"/>
  <c r="J171" i="26"/>
  <c r="G50" i="26"/>
  <c r="K274" i="26"/>
  <c r="N290" i="26"/>
  <c r="K55" i="26"/>
  <c r="N191" i="26"/>
  <c r="H198" i="26"/>
  <c r="G34" i="26"/>
  <c r="K135" i="26"/>
  <c r="J150" i="26"/>
  <c r="O239" i="26"/>
  <c r="J115" i="26"/>
  <c r="M305" i="26"/>
  <c r="M137" i="26"/>
  <c r="I140" i="26"/>
  <c r="I168" i="26"/>
  <c r="J240" i="26"/>
  <c r="O282" i="26"/>
  <c r="O57" i="26"/>
  <c r="I195" i="26"/>
  <c r="K198" i="26"/>
  <c r="M222" i="26"/>
  <c r="L43" i="26"/>
  <c r="F211" i="26"/>
  <c r="F270" i="26"/>
  <c r="J275" i="26"/>
  <c r="O136" i="26"/>
  <c r="H211" i="26"/>
  <c r="N72" i="26"/>
  <c r="F259" i="26"/>
  <c r="G32" i="26"/>
  <c r="H43" i="26"/>
  <c r="J300" i="26"/>
  <c r="N229" i="26"/>
  <c r="H87" i="26"/>
  <c r="K258" i="26"/>
  <c r="F320" i="26"/>
  <c r="L236" i="26"/>
  <c r="F288" i="26"/>
  <c r="M35" i="26"/>
  <c r="L120" i="26"/>
  <c r="I259" i="26"/>
  <c r="J110" i="26"/>
  <c r="M213" i="26"/>
  <c r="K32" i="26"/>
  <c r="G76" i="26"/>
  <c r="F124" i="26"/>
  <c r="M31" i="26"/>
  <c r="H185" i="26"/>
  <c r="M168" i="26"/>
  <c r="I147" i="26"/>
  <c r="N311" i="26"/>
  <c r="K92" i="26"/>
  <c r="I306" i="26"/>
  <c r="G59" i="26"/>
  <c r="K304" i="26"/>
  <c r="K320" i="26"/>
  <c r="N49" i="26"/>
  <c r="I237" i="26"/>
  <c r="J212" i="26"/>
  <c r="J170" i="26"/>
  <c r="I235" i="26"/>
  <c r="H140" i="26"/>
  <c r="F85" i="26"/>
  <c r="K275" i="26"/>
  <c r="J317" i="26"/>
  <c r="M310" i="26"/>
  <c r="K214" i="26"/>
  <c r="O79" i="26"/>
  <c r="I191" i="26"/>
  <c r="G289" i="26"/>
  <c r="N120" i="26"/>
  <c r="J46" i="26"/>
  <c r="H136" i="26"/>
  <c r="J136" i="26"/>
  <c r="F255" i="26"/>
  <c r="K49" i="26"/>
  <c r="I124" i="26"/>
  <c r="J155" i="26"/>
  <c r="I94" i="26"/>
  <c r="M117" i="26"/>
  <c r="O170" i="26"/>
  <c r="H169" i="26"/>
  <c r="J290" i="26"/>
  <c r="G182" i="26"/>
  <c r="N78" i="26"/>
  <c r="N60" i="26"/>
  <c r="L265" i="26"/>
  <c r="N320" i="26"/>
  <c r="K165" i="26"/>
  <c r="J48" i="26"/>
  <c r="L259" i="26"/>
  <c r="M176" i="26"/>
  <c r="N321" i="26"/>
  <c r="N300" i="26"/>
  <c r="J81" i="26"/>
  <c r="M321" i="26"/>
  <c r="L100" i="26"/>
  <c r="M240" i="26"/>
  <c r="F100" i="26"/>
  <c r="M198" i="26"/>
  <c r="M94" i="26"/>
  <c r="J26" i="26"/>
  <c r="H304" i="26"/>
  <c r="O228" i="26"/>
  <c r="N297" i="26"/>
  <c r="N192" i="26"/>
  <c r="K109" i="26"/>
  <c r="J73" i="26"/>
  <c r="G100" i="26"/>
  <c r="F165" i="26"/>
  <c r="F27" i="26"/>
  <c r="J93" i="26"/>
  <c r="K302" i="26"/>
  <c r="L190" i="26"/>
  <c r="G33" i="26"/>
  <c r="N44" i="26"/>
  <c r="L258" i="26"/>
  <c r="M238" i="26"/>
  <c r="O155" i="26"/>
  <c r="N154" i="26"/>
  <c r="J199" i="26"/>
  <c r="J42" i="26"/>
  <c r="F146" i="26"/>
  <c r="K107" i="26"/>
  <c r="I47" i="26"/>
  <c r="L50" i="26"/>
  <c r="J86" i="26"/>
  <c r="M73" i="26"/>
  <c r="J285" i="26"/>
  <c r="F101" i="26"/>
  <c r="G152" i="26"/>
  <c r="J132" i="26"/>
  <c r="F257" i="26"/>
  <c r="M104" i="26"/>
  <c r="O150" i="26"/>
  <c r="F238" i="26"/>
  <c r="F275" i="26"/>
  <c r="N47" i="26"/>
  <c r="K287" i="26"/>
  <c r="H25" i="26"/>
  <c r="K215" i="26"/>
  <c r="H41" i="26"/>
  <c r="L221" i="26"/>
  <c r="O154" i="26"/>
  <c r="G155" i="26"/>
  <c r="I90" i="26"/>
  <c r="M221" i="26"/>
  <c r="G193" i="26"/>
  <c r="I115" i="26"/>
  <c r="L231" i="26"/>
  <c r="O168" i="26"/>
  <c r="G287" i="26"/>
  <c r="I207" i="26"/>
  <c r="J258" i="26"/>
  <c r="N212" i="26"/>
  <c r="G251" i="26"/>
  <c r="F300" i="26"/>
  <c r="I320" i="26"/>
  <c r="G271" i="26"/>
  <c r="J147" i="26"/>
  <c r="K46" i="26"/>
  <c r="H180" i="26"/>
  <c r="J169" i="26"/>
  <c r="O272" i="26"/>
  <c r="I27" i="26"/>
  <c r="F214" i="26"/>
  <c r="K140" i="26"/>
  <c r="J58" i="26"/>
  <c r="M48" i="26"/>
  <c r="F261" i="26"/>
  <c r="H193" i="26"/>
  <c r="H255" i="26"/>
  <c r="M121" i="26"/>
  <c r="M230" i="26"/>
  <c r="H107" i="26"/>
  <c r="M251" i="26"/>
  <c r="G80" i="26"/>
  <c r="M224" i="26"/>
  <c r="H26" i="26"/>
  <c r="O58" i="26"/>
  <c r="O63" i="26"/>
  <c r="F60" i="26"/>
  <c r="H253" i="26"/>
  <c r="J241" i="26"/>
  <c r="O34" i="26"/>
  <c r="F178" i="26"/>
  <c r="F35" i="26"/>
  <c r="K260" i="26"/>
  <c r="G121" i="26"/>
  <c r="O166" i="26"/>
  <c r="J289" i="26"/>
  <c r="N147" i="26"/>
  <c r="F86" i="26"/>
  <c r="G241" i="26"/>
  <c r="N169" i="26"/>
  <c r="J91" i="26"/>
  <c r="H86" i="26"/>
  <c r="G195" i="26"/>
  <c r="M223" i="26"/>
  <c r="H33" i="26"/>
  <c r="I180" i="26"/>
  <c r="H194" i="26"/>
  <c r="H138" i="26"/>
  <c r="N310" i="26"/>
  <c r="G139" i="26"/>
  <c r="M228" i="26"/>
  <c r="L136" i="26"/>
  <c r="M87" i="26"/>
  <c r="L300" i="26"/>
  <c r="H228" i="26"/>
  <c r="N223" i="26"/>
  <c r="O90" i="26"/>
  <c r="O27" i="26"/>
  <c r="N111" i="26"/>
  <c r="G235" i="26"/>
  <c r="I273" i="26"/>
  <c r="J287" i="26"/>
  <c r="O213" i="26"/>
  <c r="N267" i="26"/>
  <c r="O111" i="26"/>
  <c r="O253" i="26"/>
  <c r="N170" i="26"/>
  <c r="K106" i="26"/>
  <c r="K180" i="26"/>
  <c r="H31" i="26"/>
  <c r="K246" i="26"/>
  <c r="I282" i="26"/>
  <c r="J253" i="26"/>
  <c r="O286" i="26"/>
  <c r="J152" i="26"/>
  <c r="K35" i="26"/>
  <c r="K33" i="26"/>
  <c r="K194" i="26"/>
  <c r="M194" i="26"/>
  <c r="N256" i="26"/>
  <c r="N231" i="26"/>
  <c r="F271" i="26"/>
  <c r="J94" i="26"/>
  <c r="G108" i="26"/>
  <c r="M79" i="26"/>
  <c r="O313" i="26"/>
  <c r="M60" i="26"/>
  <c r="M185" i="26"/>
  <c r="O197" i="26"/>
  <c r="J242" i="26"/>
  <c r="F47" i="26"/>
  <c r="M184" i="26"/>
  <c r="H50" i="26"/>
  <c r="J138" i="26"/>
  <c r="F34" i="26"/>
  <c r="H151" i="26"/>
  <c r="M108" i="26"/>
  <c r="L256" i="26"/>
  <c r="I169" i="26"/>
  <c r="J79" i="26"/>
  <c r="M124" i="26"/>
  <c r="F123" i="26"/>
  <c r="I117" i="26"/>
  <c r="N240" i="26"/>
  <c r="N106" i="26"/>
  <c r="I253" i="26"/>
  <c r="O244" i="26"/>
  <c r="K47" i="26"/>
  <c r="L132" i="26"/>
  <c r="J184" i="26"/>
  <c r="G111" i="26"/>
  <c r="F90" i="26"/>
  <c r="H282" i="26"/>
  <c r="I135" i="26"/>
  <c r="O236" i="26"/>
  <c r="I267" i="26"/>
  <c r="K199" i="26"/>
  <c r="F311" i="26"/>
  <c r="L44" i="26"/>
  <c r="F195" i="26"/>
  <c r="M136" i="26"/>
  <c r="K235" i="26"/>
  <c r="K171" i="26"/>
  <c r="F170" i="26"/>
  <c r="O110" i="26"/>
  <c r="O93" i="26"/>
  <c r="G180" i="26"/>
  <c r="H190" i="26"/>
  <c r="G138" i="26"/>
  <c r="L138" i="26"/>
  <c r="H260" i="26"/>
  <c r="K318" i="26"/>
  <c r="N244" i="26"/>
  <c r="L29" i="26"/>
  <c r="J56" i="26"/>
  <c r="K103" i="26"/>
  <c r="L317" i="26"/>
  <c r="F152" i="26"/>
  <c r="F136" i="26"/>
  <c r="N79" i="26"/>
  <c r="M313" i="26"/>
  <c r="H71" i="26"/>
  <c r="G197" i="26"/>
  <c r="H302" i="26"/>
  <c r="F260" i="26"/>
  <c r="L315" i="26"/>
  <c r="G71" i="26"/>
  <c r="I63" i="26"/>
  <c r="I220" i="26"/>
  <c r="J230" i="26"/>
  <c r="I166" i="26"/>
  <c r="K85" i="26"/>
  <c r="N251" i="26"/>
  <c r="G312" i="26"/>
  <c r="L314" i="26"/>
  <c r="K102" i="26"/>
  <c r="K93" i="26"/>
  <c r="F272" i="26"/>
  <c r="L310" i="26"/>
  <c r="F256" i="26"/>
  <c r="N236" i="26"/>
  <c r="I41" i="26"/>
  <c r="M212" i="26"/>
  <c r="L32" i="26"/>
  <c r="J200" i="26"/>
  <c r="F77" i="26"/>
  <c r="I193" i="26"/>
  <c r="M138" i="26"/>
  <c r="K108" i="26"/>
  <c r="K192" i="26"/>
  <c r="O178" i="26"/>
  <c r="L223" i="26"/>
  <c r="L241" i="26"/>
  <c r="L226" i="26"/>
  <c r="G140" i="26"/>
  <c r="F139" i="26"/>
  <c r="J303" i="26"/>
  <c r="H182" i="26"/>
  <c r="N75" i="26"/>
  <c r="N255" i="26"/>
  <c r="G61" i="26"/>
  <c r="G154" i="26"/>
  <c r="J286" i="26"/>
  <c r="I26" i="26"/>
  <c r="L215" i="26"/>
  <c r="G184" i="26"/>
  <c r="I104" i="26"/>
  <c r="K31" i="26"/>
  <c r="N63" i="26"/>
  <c r="F285" i="26"/>
  <c r="I211" i="26"/>
  <c r="K310" i="26"/>
  <c r="I93" i="26"/>
  <c r="O181" i="26"/>
  <c r="O132" i="26"/>
  <c r="N306" i="26"/>
  <c r="L170" i="26"/>
  <c r="K63" i="26"/>
  <c r="I79" i="26"/>
  <c r="I208" i="26"/>
  <c r="G240" i="26"/>
  <c r="G181" i="26"/>
  <c r="I32" i="26"/>
  <c r="K239" i="26"/>
  <c r="L77" i="26"/>
  <c r="K73" i="26"/>
  <c r="O256" i="26"/>
  <c r="N80" i="26"/>
  <c r="G288" i="26"/>
  <c r="I57" i="26"/>
  <c r="O60" i="26"/>
  <c r="G313" i="26"/>
  <c r="O310" i="26"/>
  <c r="G125" i="26"/>
  <c r="I46" i="26"/>
  <c r="H121" i="26"/>
  <c r="F205" i="26"/>
  <c r="L171" i="26"/>
  <c r="N228" i="26"/>
  <c r="N59" i="26"/>
  <c r="M197" i="26"/>
  <c r="H199" i="26"/>
  <c r="G85" i="26"/>
  <c r="J237" i="26"/>
  <c r="F43" i="26"/>
  <c r="L237" i="26"/>
  <c r="M253" i="26"/>
  <c r="F230" i="26"/>
  <c r="O180" i="26"/>
  <c r="I139" i="26"/>
  <c r="N176" i="26"/>
  <c r="J214" i="26"/>
  <c r="H237" i="26"/>
  <c r="L46" i="26"/>
  <c r="H274" i="26"/>
  <c r="J95" i="26"/>
  <c r="M90" i="26"/>
  <c r="M106" i="26"/>
  <c r="K255" i="26"/>
  <c r="M76" i="26"/>
  <c r="M231" i="26"/>
  <c r="F253" i="26"/>
  <c r="K261" i="26"/>
  <c r="G205" i="26"/>
  <c r="H27" i="26"/>
  <c r="J154" i="26"/>
  <c r="J64" i="26"/>
  <c r="H316" i="26"/>
  <c r="M207" i="26"/>
  <c r="O126" i="26"/>
  <c r="N161" i="26"/>
  <c r="L260" i="26"/>
  <c r="M61" i="26"/>
  <c r="J166" i="26"/>
  <c r="J25" i="26"/>
  <c r="G303" i="26"/>
  <c r="M25" i="26"/>
  <c r="M183" i="26"/>
  <c r="N117" i="26"/>
  <c r="O33" i="26"/>
  <c r="N61" i="26"/>
  <c r="G123" i="26"/>
  <c r="H49" i="26"/>
  <c r="K303" i="26"/>
  <c r="O87" i="26"/>
  <c r="N103" i="26"/>
  <c r="J137" i="26"/>
  <c r="N123" i="26"/>
  <c r="N221" i="26"/>
  <c r="M64" i="26"/>
  <c r="H111" i="26"/>
  <c r="O78" i="26"/>
  <c r="I148" i="26"/>
  <c r="N107" i="26"/>
  <c r="K245" i="26"/>
  <c r="J28" i="26"/>
  <c r="O316" i="26"/>
  <c r="F282" i="26"/>
  <c r="H245" i="26"/>
  <c r="L161" i="26"/>
  <c r="O230" i="26"/>
  <c r="F103" i="26"/>
  <c r="F93" i="26"/>
  <c r="O75" i="26"/>
  <c r="L55" i="26"/>
  <c r="M199" i="26"/>
  <c r="M258" i="26"/>
  <c r="L210" i="26"/>
  <c r="M77" i="26"/>
  <c r="K95" i="26"/>
  <c r="L31" i="26"/>
  <c r="H79" i="26"/>
  <c r="M317" i="26"/>
  <c r="M285" i="26"/>
  <c r="L34" i="26"/>
  <c r="L320" i="26"/>
  <c r="N186" i="26"/>
  <c r="I214" i="26"/>
  <c r="J235" i="26"/>
  <c r="F138" i="26"/>
  <c r="M215" i="26"/>
  <c r="J101" i="26"/>
  <c r="O192" i="26"/>
  <c r="G161" i="26"/>
  <c r="H275" i="26"/>
  <c r="N104" i="26"/>
  <c r="F79" i="26"/>
  <c r="I257" i="26"/>
  <c r="J139" i="26"/>
  <c r="H285" i="26"/>
  <c r="N45" i="26"/>
  <c r="O48" i="26"/>
  <c r="H73" i="26"/>
  <c r="G266" i="26"/>
  <c r="L146" i="26"/>
  <c r="G244" i="26"/>
  <c r="O147" i="26"/>
  <c r="I62" i="26"/>
  <c r="J123" i="26"/>
  <c r="K148" i="26"/>
  <c r="O41" i="26"/>
  <c r="H152" i="26"/>
  <c r="I182" i="26"/>
  <c r="M139" i="26"/>
  <c r="O59" i="26"/>
  <c r="O49" i="26"/>
  <c r="M123" i="26"/>
  <c r="F161" i="26"/>
  <c r="J320" i="26"/>
  <c r="K122" i="26"/>
  <c r="O212" i="26"/>
  <c r="L181" i="26"/>
  <c r="K146" i="26"/>
  <c r="K222" i="26"/>
  <c r="J183" i="26"/>
  <c r="L154" i="26"/>
  <c r="N245" i="26"/>
  <c r="I78" i="26"/>
  <c r="M111" i="26"/>
  <c r="J225" i="26"/>
  <c r="L80" i="26"/>
  <c r="F33" i="26"/>
  <c r="N121" i="26"/>
  <c r="L214" i="26"/>
  <c r="J33" i="26"/>
  <c r="N315" i="26"/>
  <c r="I150" i="26"/>
  <c r="L261" i="26"/>
  <c r="K60" i="26"/>
  <c r="O121" i="26"/>
  <c r="F286" i="26"/>
  <c r="I285" i="26"/>
  <c r="M152" i="26"/>
  <c r="I221" i="26"/>
  <c r="I199" i="26"/>
  <c r="F191" i="26"/>
  <c r="F49" i="26"/>
  <c r="O255" i="26"/>
  <c r="H42" i="26"/>
  <c r="F132" i="26"/>
  <c r="F140" i="26"/>
  <c r="H167" i="26"/>
  <c r="J208" i="26"/>
  <c r="I286" i="26"/>
  <c r="H197" i="26"/>
  <c r="I215" i="26"/>
  <c r="O161" i="26"/>
  <c r="I241" i="26"/>
  <c r="F50" i="26"/>
  <c r="H183" i="26"/>
  <c r="F274" i="26"/>
  <c r="M191" i="26"/>
  <c r="I317" i="26"/>
  <c r="O86" i="26"/>
  <c r="H28" i="26"/>
  <c r="J62" i="26"/>
  <c r="M214" i="26"/>
  <c r="J223" i="26"/>
  <c r="L274" i="26"/>
  <c r="L239" i="26"/>
  <c r="M210" i="26"/>
  <c r="M286" i="26"/>
  <c r="H35" i="26"/>
  <c r="L253" i="26"/>
  <c r="F185" i="26"/>
  <c r="I194" i="26"/>
  <c r="N132" i="26"/>
  <c r="H59" i="26"/>
  <c r="M130" i="26"/>
  <c r="F40" i="26"/>
  <c r="O71" i="26"/>
  <c r="M93" i="26"/>
  <c r="M154" i="26"/>
  <c r="K80" i="26"/>
  <c r="O76" i="26"/>
  <c r="L166" i="26"/>
  <c r="F32" i="26"/>
  <c r="L92" i="26"/>
  <c r="J210" i="26"/>
  <c r="G226" i="26"/>
  <c r="G72" i="26"/>
  <c r="I242" i="26"/>
  <c r="I302" i="26"/>
  <c r="H315" i="26"/>
  <c r="G318" i="26"/>
  <c r="O270" i="26"/>
  <c r="L61" i="26"/>
  <c r="G62" i="26"/>
  <c r="O91" i="26"/>
  <c r="H270" i="26"/>
  <c r="I258" i="26"/>
  <c r="G124" i="26"/>
  <c r="K123" i="26"/>
  <c r="N135" i="26"/>
  <c r="H259" i="26"/>
  <c r="N42" i="26"/>
  <c r="O297" i="26"/>
  <c r="H311" i="26"/>
  <c r="O148" i="26"/>
  <c r="O44" i="26"/>
  <c r="O237" i="26"/>
  <c r="L85" i="26"/>
  <c r="N26" i="26"/>
  <c r="F150" i="26"/>
  <c r="K185" i="26"/>
  <c r="H146" i="26"/>
  <c r="N43" i="26"/>
  <c r="H271" i="26"/>
  <c r="L267" i="26"/>
  <c r="M88" i="26"/>
  <c r="K191" i="26"/>
  <c r="J239" i="26"/>
  <c r="G57" i="26"/>
  <c r="L25" i="26"/>
  <c r="J104" i="26"/>
  <c r="J274" i="26"/>
  <c r="I225" i="26"/>
  <c r="O176" i="26"/>
  <c r="M314" i="26"/>
  <c r="G107" i="26"/>
  <c r="L295" i="26"/>
  <c r="M300" i="26"/>
  <c r="O56" i="26"/>
  <c r="O55" i="26"/>
  <c r="H56" i="26"/>
  <c r="F154" i="26"/>
  <c r="O265" i="26"/>
  <c r="F56" i="26"/>
  <c r="G150" i="26"/>
  <c r="I155" i="26"/>
  <c r="J222" i="26"/>
  <c r="K50" i="26"/>
  <c r="H153" i="26"/>
  <c r="N230" i="26"/>
  <c r="H92" i="26"/>
  <c r="I137" i="26"/>
  <c r="I64" i="26"/>
  <c r="L130" i="26"/>
  <c r="I55" i="26"/>
  <c r="O260" i="26"/>
  <c r="M150" i="26"/>
  <c r="K64" i="26"/>
  <c r="M153" i="26"/>
  <c r="F258" i="26"/>
  <c r="F312" i="26"/>
  <c r="G58" i="26"/>
  <c r="G295" i="26"/>
  <c r="J270" i="26"/>
  <c r="M56" i="26"/>
  <c r="I59" i="26"/>
  <c r="N318" i="26"/>
  <c r="F266" i="26"/>
  <c r="N193" i="26"/>
  <c r="J31" i="26"/>
  <c r="L224" i="26"/>
  <c r="H154" i="26"/>
  <c r="I109" i="26"/>
  <c r="F237" i="26"/>
  <c r="O94" i="26"/>
  <c r="K195" i="26"/>
  <c r="O267" i="26"/>
  <c r="I103" i="26"/>
  <c r="J236" i="26"/>
  <c r="G102" i="26"/>
  <c r="M282" i="26"/>
  <c r="N302" i="26"/>
  <c r="O167" i="26"/>
  <c r="G237" i="26"/>
  <c r="K253" i="26"/>
  <c r="F48" i="26"/>
  <c r="K223" i="26"/>
  <c r="G87" i="26"/>
  <c r="J186" i="26"/>
  <c r="I44" i="26"/>
  <c r="F317" i="26"/>
  <c r="M268" i="26"/>
  <c r="H246" i="26"/>
  <c r="L192" i="26"/>
  <c r="L168" i="26"/>
  <c r="L268" i="26"/>
  <c r="H226" i="26"/>
  <c r="O261" i="26"/>
  <c r="I31" i="26"/>
  <c r="O139" i="26"/>
  <c r="J190" i="26"/>
  <c r="G75" i="26"/>
  <c r="G267" i="26"/>
  <c r="M244" i="26"/>
  <c r="G40" i="26"/>
  <c r="N288" i="26"/>
  <c r="H242" i="26"/>
  <c r="N272" i="26"/>
  <c r="H117" i="26"/>
  <c r="M46" i="26"/>
  <c r="M235" i="26"/>
  <c r="G165" i="26"/>
  <c r="G45" i="26"/>
  <c r="H205" i="26"/>
  <c r="F297" i="26"/>
  <c r="N197" i="26"/>
  <c r="N215" i="26"/>
  <c r="G257" i="26"/>
  <c r="N50" i="26"/>
  <c r="G190" i="26"/>
  <c r="O123" i="26"/>
  <c r="K126" i="26"/>
  <c r="I146" i="26"/>
  <c r="M318" i="26"/>
  <c r="H126" i="26"/>
  <c r="J60" i="26"/>
  <c r="L246" i="26"/>
  <c r="H230" i="26"/>
  <c r="N239" i="26"/>
  <c r="J231" i="26"/>
  <c r="M226" i="26"/>
  <c r="F267" i="26"/>
  <c r="I236" i="26"/>
  <c r="M220" i="26"/>
  <c r="N314" i="26"/>
  <c r="O100" i="26"/>
  <c r="N163" i="26"/>
  <c r="J238" i="26"/>
  <c r="H306" i="26"/>
  <c r="N81" i="26"/>
  <c r="L60" i="26"/>
  <c r="F153" i="26"/>
  <c r="I165" i="26"/>
  <c r="G239" i="26"/>
  <c r="G168" i="26"/>
  <c r="I138" i="26"/>
  <c r="F314" i="26"/>
  <c r="G321" i="26"/>
  <c r="O103" i="26"/>
  <c r="J78" i="26"/>
  <c r="O35" i="26"/>
  <c r="I126" i="26"/>
  <c r="N94" i="26"/>
  <c r="I45" i="26"/>
  <c r="M33" i="26"/>
  <c r="J126" i="26"/>
  <c r="I313" i="26"/>
  <c r="M178" i="26"/>
  <c r="L273" i="26"/>
  <c r="H132" i="26"/>
  <c r="N91" i="26"/>
  <c r="O81" i="26"/>
  <c r="K230" i="26"/>
  <c r="M95" i="26"/>
  <c r="K120" i="26"/>
  <c r="L205" i="26"/>
  <c r="O224" i="26"/>
  <c r="N237" i="26"/>
  <c r="H106" i="26"/>
  <c r="O92" i="26"/>
  <c r="H178" i="26"/>
  <c r="I270" i="26"/>
  <c r="L301" i="26"/>
  <c r="G290" i="26"/>
  <c r="L211" i="26"/>
  <c r="F94" i="26"/>
  <c r="H91" i="26"/>
  <c r="N73" i="26"/>
  <c r="H256" i="26"/>
  <c r="K295" i="26"/>
  <c r="H101" i="26"/>
  <c r="N207" i="26"/>
  <c r="O169" i="26"/>
  <c r="M195" i="26"/>
  <c r="N286" i="26"/>
  <c r="L40" i="26"/>
  <c r="L163" i="26"/>
  <c r="K266" i="26"/>
  <c r="O73" i="26"/>
  <c r="K152" i="26"/>
  <c r="J207" i="26"/>
  <c r="K315" i="26"/>
  <c r="I40" i="26"/>
  <c r="O198" i="26"/>
  <c r="J311" i="26"/>
  <c r="L110" i="26"/>
  <c r="I255" i="26"/>
  <c r="H63" i="26"/>
  <c r="H130" i="26"/>
  <c r="I34" i="26"/>
  <c r="J226" i="26"/>
  <c r="L90" i="26"/>
  <c r="G122" i="26"/>
  <c r="H139" i="26"/>
  <c r="L208" i="26"/>
  <c r="I120" i="26"/>
  <c r="F80" i="26"/>
  <c r="O221" i="26"/>
  <c r="M75" i="26"/>
  <c r="N260" i="26"/>
  <c r="H239" i="26"/>
  <c r="H192" i="26"/>
  <c r="L41" i="26"/>
  <c r="L125" i="26"/>
  <c r="O163" i="26"/>
  <c r="G46" i="26"/>
  <c r="N258" i="26"/>
  <c r="F290" i="26"/>
  <c r="M146" i="26"/>
  <c r="K267" i="26"/>
  <c r="J44" i="26"/>
  <c r="G220" i="26"/>
  <c r="K290" i="26"/>
  <c r="F78" i="26"/>
  <c r="L91" i="26"/>
  <c r="L81" i="26"/>
  <c r="F193" i="26"/>
  <c r="G300" i="26"/>
  <c r="M272" i="26"/>
  <c r="N178" i="26"/>
  <c r="O306" i="26"/>
  <c r="F95" i="26"/>
  <c r="K183" i="26"/>
  <c r="F81" i="26"/>
  <c r="K94" i="26"/>
  <c r="M151" i="26"/>
  <c r="G44" i="26"/>
  <c r="F148" i="26"/>
  <c r="M192" i="26"/>
  <c r="H124" i="26"/>
  <c r="N190" i="26"/>
  <c r="G117" i="26"/>
  <c r="H222" i="26"/>
  <c r="N58" i="26"/>
  <c r="H268" i="26"/>
  <c r="G151" i="26"/>
  <c r="M289" i="26"/>
  <c r="I42" i="26"/>
  <c r="N312" i="26"/>
  <c r="M101" i="26"/>
  <c r="O275" i="26"/>
  <c r="N152" i="26"/>
  <c r="L229" i="26"/>
  <c r="N266" i="26"/>
  <c r="N259" i="26"/>
  <c r="F212" i="26"/>
  <c r="I310" i="26"/>
  <c r="L191" i="26"/>
  <c r="I130" i="26"/>
  <c r="H78" i="26"/>
  <c r="G255" i="26"/>
  <c r="G169" i="26"/>
  <c r="M236" i="26"/>
  <c r="F268" i="26"/>
  <c r="K190" i="26"/>
  <c r="N253" i="26"/>
  <c r="M132" i="26"/>
  <c r="G256" i="26"/>
  <c r="G49" i="26"/>
  <c r="H40" i="26"/>
  <c r="O50" i="26"/>
  <c r="H60" i="26"/>
  <c r="J301" i="26"/>
  <c r="G176" i="26"/>
  <c r="I50" i="26"/>
  <c r="L151" i="26"/>
  <c r="O137" i="26"/>
  <c r="M135" i="26"/>
  <c r="G110" i="26"/>
  <c r="J310" i="26"/>
  <c r="L255" i="26"/>
  <c r="J194" i="26"/>
  <c r="J120" i="26"/>
  <c r="F228" i="26"/>
  <c r="I260" i="26"/>
  <c r="G167" i="26"/>
  <c r="O62" i="26"/>
  <c r="I154" i="26"/>
  <c r="L304" i="26"/>
  <c r="J122" i="26"/>
  <c r="G63" i="26"/>
  <c r="H212" i="26"/>
  <c r="F223" i="26"/>
  <c r="G77" i="26"/>
  <c r="H240" i="26"/>
  <c r="G253" i="26"/>
  <c r="F244" i="26"/>
  <c r="M58" i="26"/>
  <c r="K151" i="26"/>
  <c r="O183" i="26"/>
  <c r="G115" i="26"/>
  <c r="J88" i="26"/>
  <c r="K200" i="26"/>
  <c r="O207" i="26"/>
  <c r="L313" i="26"/>
  <c r="J87" i="26"/>
  <c r="K211" i="26"/>
  <c r="I71" i="26"/>
  <c r="H310" i="26"/>
  <c r="O64" i="26"/>
  <c r="H29" i="26"/>
  <c r="I289" i="26"/>
  <c r="F304" i="26"/>
  <c r="H313" i="26"/>
  <c r="I161" i="26"/>
  <c r="O31" i="26"/>
  <c r="N181" i="26"/>
  <c r="M170" i="26"/>
  <c r="M55" i="26"/>
  <c r="J107" i="26"/>
  <c r="K111" i="26"/>
  <c r="L49" i="26"/>
  <c r="K286" i="26"/>
  <c r="I76" i="26"/>
  <c r="L135" i="26"/>
  <c r="M92" i="26"/>
  <c r="K34" i="26"/>
  <c r="K121" i="26"/>
  <c r="M241" i="26"/>
  <c r="M72" i="26"/>
  <c r="J205" i="26"/>
  <c r="M171" i="26"/>
  <c r="K168" i="26"/>
  <c r="J265" i="26"/>
  <c r="J176" i="26"/>
  <c r="M49" i="26"/>
  <c r="M140" i="26"/>
  <c r="L180" i="26"/>
  <c r="I178" i="26"/>
  <c r="K317" i="26"/>
  <c r="L169" i="26"/>
  <c r="H265" i="26"/>
  <c r="L62" i="26"/>
  <c r="N57" i="26"/>
  <c r="O200" i="26"/>
  <c r="O242" i="26"/>
  <c r="H141" i="26"/>
  <c r="K91" i="26"/>
  <c r="L59" i="26"/>
  <c r="K212" i="26"/>
  <c r="K124" i="26"/>
  <c r="K285" i="26"/>
  <c r="M266" i="26"/>
  <c r="F200" i="26"/>
  <c r="O214" i="26"/>
  <c r="L305" i="26"/>
  <c r="L150" i="26"/>
  <c r="N184" i="26"/>
  <c r="I304" i="26"/>
  <c r="K78" i="26"/>
  <c r="G230" i="26"/>
  <c r="H215" i="26"/>
  <c r="O318" i="26"/>
  <c r="F45" i="26"/>
  <c r="H229" i="26"/>
  <c r="L155" i="26"/>
  <c r="H301" i="26"/>
  <c r="O266" i="26"/>
  <c r="K154" i="26"/>
  <c r="J195" i="26"/>
  <c r="O241" i="26"/>
  <c r="M211" i="26"/>
  <c r="N125" i="26"/>
  <c r="L104" i="26"/>
  <c r="J151" i="26"/>
  <c r="N165" i="26"/>
  <c r="H261" i="26"/>
  <c r="L230" i="26"/>
  <c r="H165" i="26"/>
  <c r="K86" i="26"/>
  <c r="O301" i="26"/>
  <c r="I111" i="26"/>
  <c r="N28" i="26"/>
  <c r="I151" i="26"/>
  <c r="J198" i="26"/>
  <c r="G92" i="26"/>
  <c r="G31" i="26"/>
  <c r="F107" i="26"/>
  <c r="O108" i="26"/>
  <c r="L94" i="26"/>
  <c r="M259" i="26"/>
  <c r="F163" i="26"/>
  <c r="K77" i="26"/>
  <c r="J305" i="26"/>
  <c r="L321" i="26"/>
  <c r="G78" i="26"/>
  <c r="M245" i="26"/>
  <c r="M302" i="26"/>
  <c r="F108" i="26"/>
  <c r="G153" i="26"/>
  <c r="I311" i="26"/>
  <c r="H258" i="26"/>
  <c r="G305" i="26"/>
  <c r="I181" i="26"/>
  <c r="N150" i="26"/>
  <c r="O184" i="26"/>
  <c r="H272" i="26"/>
  <c r="I176" i="26"/>
  <c r="F57" i="26"/>
  <c r="N41" i="26"/>
  <c r="J268" i="26"/>
  <c r="M306" i="26"/>
  <c r="K311" i="26"/>
  <c r="I226" i="26"/>
  <c r="J228" i="26"/>
  <c r="F26" i="26"/>
  <c r="L176" i="26"/>
  <c r="F235" i="26"/>
  <c r="K28" i="26"/>
  <c r="K197" i="26"/>
  <c r="M155" i="26"/>
  <c r="H214" i="26"/>
  <c r="H163" i="26"/>
  <c r="J34" i="26"/>
  <c r="J125" i="26"/>
  <c r="M107" i="26"/>
  <c r="G27" i="26"/>
  <c r="I102" i="26"/>
  <c r="J161" i="26"/>
  <c r="H210" i="26"/>
  <c r="F226" i="26"/>
  <c r="J261" i="26"/>
  <c r="K242" i="26"/>
  <c r="K115" i="26"/>
  <c r="N86" i="26"/>
  <c r="L58" i="26"/>
  <c r="J321" i="26"/>
  <c r="F120" i="26"/>
  <c r="J256" i="26"/>
  <c r="G274" i="26"/>
  <c r="M295" i="26"/>
  <c r="G238" i="26"/>
  <c r="N115" i="26"/>
  <c r="J246" i="26"/>
  <c r="K225" i="26"/>
  <c r="O26" i="26"/>
  <c r="M242" i="26"/>
  <c r="G223" i="26"/>
  <c r="G304" i="26"/>
  <c r="F171" i="26"/>
  <c r="H155" i="26"/>
  <c r="J318" i="26"/>
  <c r="K166" i="26"/>
  <c r="F181" i="26"/>
  <c r="O320" i="26"/>
  <c r="G192" i="26"/>
  <c r="K251" i="26"/>
  <c r="O220" i="26"/>
  <c r="O120" i="26"/>
  <c r="L285" i="26"/>
  <c r="O312" i="26"/>
  <c r="J29" i="26"/>
  <c r="O258" i="26"/>
  <c r="H317" i="26"/>
  <c r="J266" i="26"/>
  <c r="L316" i="26"/>
  <c r="O106" i="26"/>
  <c r="L198" i="26"/>
  <c r="K87" i="26"/>
  <c r="K313" i="26"/>
  <c r="O210" i="26"/>
  <c r="F239" i="26"/>
  <c r="O130" i="26"/>
  <c r="N305" i="26"/>
  <c r="N198" i="26"/>
  <c r="K76" i="26"/>
  <c r="G225" i="26"/>
  <c r="L289" i="26"/>
  <c r="L152" i="26"/>
  <c r="I287" i="26"/>
  <c r="N205" i="26"/>
  <c r="G29" i="26"/>
  <c r="H62" i="26"/>
  <c r="N194" i="26"/>
  <c r="L33" i="26"/>
  <c r="F121" i="26"/>
  <c r="M167" i="26"/>
  <c r="N238" i="26"/>
  <c r="N77" i="26"/>
  <c r="K130" i="26"/>
  <c r="H231" i="26"/>
  <c r="I210" i="26"/>
  <c r="M29" i="26"/>
  <c r="G285" i="26"/>
  <c r="L235" i="26"/>
  <c r="I73" i="26"/>
  <c r="L222" i="26"/>
  <c r="M190" i="26"/>
  <c r="G73" i="26"/>
  <c r="H120" i="26"/>
  <c r="L35" i="26"/>
  <c r="H170" i="26"/>
  <c r="K42" i="26"/>
  <c r="F192" i="26"/>
  <c r="O251" i="26"/>
  <c r="N85" i="26"/>
  <c r="O43" i="26"/>
  <c r="M102" i="26"/>
  <c r="H244" i="26"/>
  <c r="I92" i="26"/>
  <c r="F87" i="26"/>
  <c r="F168" i="26"/>
  <c r="I132" i="26"/>
  <c r="N155" i="26"/>
  <c r="J57" i="26"/>
  <c r="G25" i="26"/>
  <c r="J192" i="26"/>
  <c r="K181" i="26"/>
  <c r="K273" i="26"/>
  <c r="F222" i="26"/>
  <c r="J245" i="26"/>
  <c r="H305" i="26"/>
  <c r="F151" i="26"/>
  <c r="F251" i="26"/>
  <c r="M290" i="26"/>
  <c r="J77" i="26"/>
  <c r="F183" i="26"/>
  <c r="I230" i="26"/>
  <c r="K288" i="26"/>
  <c r="F210" i="26"/>
  <c r="H58" i="26"/>
  <c r="I33" i="26"/>
  <c r="M63" i="26"/>
  <c r="H103" i="26"/>
  <c r="N213" i="26"/>
  <c r="N56" i="26"/>
  <c r="M165" i="26"/>
  <c r="J215" i="26"/>
  <c r="F199" i="26"/>
  <c r="N289" i="26"/>
  <c r="L194" i="26"/>
  <c r="G183" i="26"/>
  <c r="G106" i="26"/>
  <c r="H125" i="26"/>
  <c r="M103" i="26"/>
  <c r="L107" i="26"/>
  <c r="N313" i="26"/>
  <c r="O140" i="26"/>
  <c r="J167" i="26"/>
  <c r="O151" i="26"/>
  <c r="L86" i="26"/>
  <c r="M169" i="26"/>
  <c r="I43" i="26"/>
  <c r="K272" i="26"/>
  <c r="G42" i="26"/>
  <c r="M147" i="26"/>
  <c r="J259" i="26"/>
  <c r="N295" i="26"/>
  <c r="K56" i="26"/>
  <c r="O186" i="26"/>
  <c r="L311" i="26"/>
  <c r="N110" i="26"/>
  <c r="L266" i="26"/>
  <c r="N137" i="26"/>
  <c r="I271" i="26"/>
  <c r="G212" i="26"/>
  <c r="J314" i="26"/>
  <c r="F71" i="26"/>
  <c r="G171" i="26"/>
  <c r="K163" i="26"/>
  <c r="H90" i="26"/>
  <c r="I192" i="26"/>
  <c r="L318" i="26"/>
  <c r="N195" i="26"/>
  <c r="G282" i="26"/>
  <c r="N200" i="26"/>
  <c r="K137" i="26"/>
  <c r="J178" i="26"/>
  <c r="F194" i="26"/>
  <c r="F321" i="26"/>
  <c r="N27" i="26"/>
  <c r="L126" i="26"/>
  <c r="O45" i="26"/>
  <c r="J130" i="26"/>
  <c r="N275" i="26"/>
  <c r="G88" i="26"/>
  <c r="M43" i="26"/>
  <c r="K184" i="26"/>
  <c r="G272" i="26"/>
  <c r="J273" i="26"/>
  <c r="J267" i="26"/>
  <c r="M237" i="26"/>
  <c r="I312" i="26"/>
  <c r="N100" i="26"/>
  <c r="K65" i="22" l="1"/>
  <c r="K55" i="15"/>
  <c r="M55" i="15"/>
  <c r="P77" i="22"/>
  <c r="K43" i="15"/>
  <c r="J41" i="22"/>
  <c r="L43" i="15"/>
  <c r="I43" i="15"/>
  <c r="G67" i="15"/>
  <c r="I55" i="15"/>
  <c r="O55" i="15"/>
  <c r="J53" i="22"/>
  <c r="I40" i="16"/>
  <c r="G85" i="3" s="1"/>
  <c r="P43" i="15"/>
  <c r="J29" i="22"/>
  <c r="H31" i="15"/>
  <c r="L77" i="22"/>
  <c r="O34" i="16"/>
  <c r="M84" i="3" s="1"/>
  <c r="G55" i="15"/>
  <c r="G29" i="22"/>
  <c r="G34" i="16"/>
  <c r="E84" i="3" s="1"/>
  <c r="O67" i="15"/>
  <c r="P34" i="16"/>
  <c r="N84" i="3" s="1"/>
  <c r="N40" i="16"/>
  <c r="L85" i="3" s="1"/>
  <c r="O31" i="15"/>
  <c r="N65" i="22"/>
  <c r="H65" i="22"/>
  <c r="L31" i="15"/>
  <c r="L40" i="16"/>
  <c r="J85" i="3" s="1"/>
  <c r="K53" i="22"/>
  <c r="J43" i="15"/>
  <c r="M43" i="15"/>
  <c r="O77" i="22"/>
  <c r="J40" i="16"/>
  <c r="H85" i="3" s="1"/>
  <c r="H29" i="22"/>
  <c r="I29" i="22"/>
  <c r="P29" i="22"/>
  <c r="N43" i="15"/>
  <c r="M65" i="22"/>
  <c r="K34" i="16"/>
  <c r="I84" i="3" s="1"/>
  <c r="P53" i="22"/>
  <c r="K31" i="15"/>
  <c r="J65" i="22"/>
  <c r="P40" i="16"/>
  <c r="N85" i="3" s="1"/>
  <c r="K40" i="16"/>
  <c r="I85" i="3" s="1"/>
  <c r="J67" i="15"/>
  <c r="M40" i="16"/>
  <c r="K85" i="3" s="1"/>
  <c r="L41" i="22"/>
  <c r="P65" i="22"/>
  <c r="G53" i="22"/>
  <c r="L55" i="15"/>
  <c r="M41" i="22"/>
  <c r="I34" i="16"/>
  <c r="G84" i="3" s="1"/>
  <c r="N34" i="16"/>
  <c r="L84" i="3" s="1"/>
  <c r="H53" i="22"/>
  <c r="P31" i="15"/>
  <c r="G43" i="15"/>
  <c r="M53" i="22"/>
  <c r="N77" i="22"/>
  <c r="L65" i="22"/>
  <c r="H40" i="16"/>
  <c r="F85" i="3" s="1"/>
  <c r="N55" i="15"/>
  <c r="M77" i="22"/>
  <c r="H77" i="22"/>
  <c r="N41" i="22"/>
  <c r="O53" i="22"/>
  <c r="J31" i="15"/>
  <c r="P67" i="15"/>
  <c r="H55" i="15"/>
  <c r="N67" i="15"/>
  <c r="N29" i="22"/>
  <c r="M34" i="16"/>
  <c r="K84" i="3" s="1"/>
  <c r="N31" i="15"/>
  <c r="L34" i="16"/>
  <c r="J84" i="3" s="1"/>
  <c r="J55" i="15"/>
  <c r="O65" i="22"/>
  <c r="P41" i="22"/>
  <c r="K77" i="22"/>
  <c r="G40" i="16"/>
  <c r="E85" i="3" s="1"/>
  <c r="I53" i="22"/>
  <c r="H67" i="15"/>
  <c r="G31" i="15"/>
  <c r="I67" i="15"/>
  <c r="J34" i="16"/>
  <c r="H84" i="3" s="1"/>
  <c r="K67" i="15"/>
  <c r="M67" i="15"/>
  <c r="L53" i="22"/>
  <c r="O41" i="22"/>
  <c r="O40" i="16"/>
  <c r="M85" i="3" s="1"/>
  <c r="K41" i="22"/>
  <c r="H43" i="15"/>
  <c r="G77" i="22"/>
  <c r="N53" i="22"/>
  <c r="G65" i="22"/>
  <c r="I65" i="22"/>
  <c r="I77" i="22"/>
  <c r="M31" i="15"/>
  <c r="I31" i="15"/>
  <c r="H34" i="16"/>
  <c r="F84" i="3" s="1"/>
  <c r="O43" i="15"/>
  <c r="P55" i="15"/>
  <c r="H41" i="22"/>
  <c r="M29" i="22"/>
  <c r="G41" i="22"/>
  <c r="O29" i="22"/>
  <c r="J77" i="22"/>
  <c r="K29" i="22"/>
  <c r="I41" i="22"/>
  <c r="L29" i="22"/>
  <c r="L80" i="19"/>
  <c r="K77" i="19"/>
  <c r="L77" i="19" s="1"/>
  <c r="L79" i="19"/>
  <c r="L78" i="19"/>
  <c r="M72" i="19"/>
  <c r="M74" i="19" s="1"/>
  <c r="D66" i="20"/>
  <c r="G18" i="9"/>
  <c r="G328" i="26"/>
  <c r="G17" i="9"/>
  <c r="O26" i="19"/>
  <c r="N27" i="19"/>
  <c r="N70" i="19" s="1"/>
  <c r="O31" i="19"/>
  <c r="P30" i="19"/>
  <c r="P31" i="19" s="1"/>
  <c r="C49" i="19"/>
  <c r="F51" i="19" s="1"/>
  <c r="N39" i="19"/>
  <c r="O38" i="19"/>
  <c r="I59" i="19"/>
  <c r="H50" i="20"/>
  <c r="I50" i="20" s="1"/>
  <c r="G52" i="20"/>
  <c r="H35" i="20"/>
  <c r="G37" i="20"/>
  <c r="H40" i="20"/>
  <c r="G42" i="20"/>
  <c r="H55" i="20"/>
  <c r="G57" i="20"/>
  <c r="J45" i="20"/>
  <c r="I47" i="20"/>
  <c r="I19" i="9"/>
  <c r="G12" i="9"/>
  <c r="E72" i="9" s="1"/>
  <c r="J19" i="9"/>
  <c r="H19" i="9"/>
  <c r="H55" i="19"/>
  <c r="G63" i="19"/>
  <c r="H59" i="19"/>
  <c r="J58" i="19"/>
  <c r="H62" i="19"/>
  <c r="G59" i="19"/>
  <c r="F47" i="19"/>
  <c r="G47" i="19"/>
  <c r="H47" i="19"/>
  <c r="I47" i="19"/>
  <c r="J47" i="19"/>
  <c r="K47" i="19"/>
  <c r="L47" i="19"/>
  <c r="M47" i="19"/>
  <c r="N47" i="19"/>
  <c r="O47" i="19"/>
  <c r="P47" i="19"/>
  <c r="G55" i="19"/>
  <c r="I50" i="19"/>
  <c r="I54" i="19"/>
  <c r="H60" i="20"/>
  <c r="H62" i="20" s="1"/>
  <c r="J65" i="20"/>
  <c r="J67" i="20" s="1"/>
  <c r="I30" i="20"/>
  <c r="I32" i="20" s="1"/>
  <c r="I74" i="17"/>
  <c r="J74" i="17" s="1"/>
  <c r="K74" i="17" s="1"/>
  <c r="L74" i="17" s="1"/>
  <c r="M74" i="17" s="1"/>
  <c r="N74" i="17" s="1"/>
  <c r="O74" i="17" s="1"/>
  <c r="P74" i="17" s="1"/>
  <c r="J73" i="17"/>
  <c r="K73" i="17" s="1"/>
  <c r="L73" i="17" s="1"/>
  <c r="M73" i="17" s="1"/>
  <c r="N73" i="17" s="1"/>
  <c r="O73" i="17" s="1"/>
  <c r="P73" i="17" s="1"/>
  <c r="L78" i="17"/>
  <c r="L67" i="15"/>
  <c r="C31" i="15" l="1"/>
  <c r="C43" i="15"/>
  <c r="K83" i="19"/>
  <c r="L83" i="19"/>
  <c r="M80" i="19"/>
  <c r="M77" i="19"/>
  <c r="M79" i="19"/>
  <c r="N72" i="19"/>
  <c r="N74" i="19" s="1"/>
  <c r="M78" i="19"/>
  <c r="E77" i="9"/>
  <c r="E78" i="9"/>
  <c r="O39" i="19"/>
  <c r="P38" i="19"/>
  <c r="P39" i="19" s="1"/>
  <c r="G51" i="19"/>
  <c r="P26" i="19"/>
  <c r="P27" i="19" s="1"/>
  <c r="P70" i="19" s="1"/>
  <c r="O27" i="19"/>
  <c r="O70" i="19" s="1"/>
  <c r="H51" i="19"/>
  <c r="H52" i="20"/>
  <c r="E82" i="3"/>
  <c r="I35" i="20"/>
  <c r="H37" i="20"/>
  <c r="I40" i="20"/>
  <c r="H42" i="20"/>
  <c r="J50" i="20"/>
  <c r="I52" i="20"/>
  <c r="I55" i="20"/>
  <c r="H57" i="20"/>
  <c r="K45" i="20"/>
  <c r="J47" i="20"/>
  <c r="J30" i="20"/>
  <c r="J32" i="20" s="1"/>
  <c r="H63" i="19"/>
  <c r="I62" i="19"/>
  <c r="J59" i="19"/>
  <c r="K58" i="19"/>
  <c r="I55" i="19"/>
  <c r="J54" i="19"/>
  <c r="I51" i="19"/>
  <c r="J50" i="19"/>
  <c r="I60" i="20"/>
  <c r="I62" i="20" s="1"/>
  <c r="K65" i="20"/>
  <c r="K67" i="20" s="1"/>
  <c r="M78" i="17"/>
  <c r="C67" i="15"/>
  <c r="N78" i="19" l="1"/>
  <c r="M83" i="19"/>
  <c r="O72" i="19"/>
  <c r="O74" i="19" s="1"/>
  <c r="P72" i="19"/>
  <c r="P74" i="19" s="1"/>
  <c r="N77" i="19"/>
  <c r="N79" i="19"/>
  <c r="N80" i="19"/>
  <c r="F82" i="3"/>
  <c r="J35" i="20"/>
  <c r="I37" i="20"/>
  <c r="J40" i="20"/>
  <c r="I42" i="20"/>
  <c r="K50" i="20"/>
  <c r="J52" i="20"/>
  <c r="J55" i="20"/>
  <c r="I57" i="20"/>
  <c r="L45" i="20"/>
  <c r="K47" i="20"/>
  <c r="K30" i="20"/>
  <c r="K32" i="20" s="1"/>
  <c r="K59" i="19"/>
  <c r="L58" i="19"/>
  <c r="I63" i="19"/>
  <c r="J62" i="19"/>
  <c r="J51" i="19"/>
  <c r="K50" i="19"/>
  <c r="J55" i="19"/>
  <c r="K54" i="19"/>
  <c r="J60" i="20"/>
  <c r="J62" i="20" s="1"/>
  <c r="L65" i="20"/>
  <c r="L67" i="20" s="1"/>
  <c r="N78" i="17"/>
  <c r="N83" i="19" l="1"/>
  <c r="O78" i="19"/>
  <c r="P78" i="19" s="1"/>
  <c r="O79" i="19"/>
  <c r="P79" i="19" s="1"/>
  <c r="O77" i="19"/>
  <c r="P77" i="19" s="1"/>
  <c r="O80" i="19"/>
  <c r="P80" i="19" s="1"/>
  <c r="G82" i="3"/>
  <c r="K35" i="20"/>
  <c r="J37" i="20"/>
  <c r="K40" i="20"/>
  <c r="J42" i="20"/>
  <c r="L50" i="20"/>
  <c r="K52" i="20"/>
  <c r="K55" i="20"/>
  <c r="J57" i="20"/>
  <c r="M45" i="20"/>
  <c r="L47" i="20"/>
  <c r="L30" i="20"/>
  <c r="L32" i="20" s="1"/>
  <c r="J63" i="19"/>
  <c r="K62" i="19"/>
  <c r="L59" i="19"/>
  <c r="M58" i="19"/>
  <c r="K55" i="19"/>
  <c r="L54" i="19"/>
  <c r="K51" i="19"/>
  <c r="L50" i="19"/>
  <c r="K60" i="20"/>
  <c r="K62" i="20" s="1"/>
  <c r="M65" i="20"/>
  <c r="M67" i="20" s="1"/>
  <c r="O78" i="17"/>
  <c r="P83" i="19" l="1"/>
  <c r="O83" i="19"/>
  <c r="H82" i="3"/>
  <c r="L35" i="20"/>
  <c r="K37" i="20"/>
  <c r="L40" i="20"/>
  <c r="K42" i="20"/>
  <c r="M50" i="20"/>
  <c r="L52" i="20"/>
  <c r="L55" i="20"/>
  <c r="K57" i="20"/>
  <c r="N45" i="20"/>
  <c r="M47" i="20"/>
  <c r="M30" i="20"/>
  <c r="M32" i="20" s="1"/>
  <c r="M59" i="19"/>
  <c r="N58" i="19"/>
  <c r="K63" i="19"/>
  <c r="L62" i="19"/>
  <c r="L51" i="19"/>
  <c r="M50" i="19"/>
  <c r="L55" i="19"/>
  <c r="M54" i="19"/>
  <c r="L60" i="20"/>
  <c r="L62" i="20" s="1"/>
  <c r="N65" i="20"/>
  <c r="N67" i="20" s="1"/>
  <c r="P78" i="17"/>
  <c r="I82" i="3" l="1"/>
  <c r="M35" i="20"/>
  <c r="L37" i="20"/>
  <c r="M40" i="20"/>
  <c r="L42" i="20"/>
  <c r="N50" i="20"/>
  <c r="M52" i="20"/>
  <c r="M55" i="20"/>
  <c r="L57" i="20"/>
  <c r="O45" i="20"/>
  <c r="N47" i="20"/>
  <c r="N30" i="20"/>
  <c r="N32" i="20" s="1"/>
  <c r="L63" i="19"/>
  <c r="M62" i="19"/>
  <c r="N59" i="19"/>
  <c r="O58" i="19"/>
  <c r="M55" i="19"/>
  <c r="N54" i="19"/>
  <c r="M51" i="19"/>
  <c r="N50" i="19"/>
  <c r="M60" i="20"/>
  <c r="M62" i="20" s="1"/>
  <c r="O65" i="20"/>
  <c r="O67" i="20" s="1"/>
  <c r="J82" i="3" l="1"/>
  <c r="N35" i="20"/>
  <c r="M37" i="20"/>
  <c r="N40" i="20"/>
  <c r="M42" i="20"/>
  <c r="O50" i="20"/>
  <c r="N52" i="20"/>
  <c r="N55" i="20"/>
  <c r="M57" i="20"/>
  <c r="P45" i="20"/>
  <c r="P47" i="20" s="1"/>
  <c r="O47" i="20"/>
  <c r="O30" i="20"/>
  <c r="O32" i="20" s="1"/>
  <c r="O59" i="19"/>
  <c r="P58" i="19"/>
  <c r="P59" i="19" s="1"/>
  <c r="M63" i="19"/>
  <c r="N62" i="19"/>
  <c r="N51" i="19"/>
  <c r="O50" i="19"/>
  <c r="N55" i="19"/>
  <c r="O54" i="19"/>
  <c r="N60" i="20"/>
  <c r="N62" i="20" s="1"/>
  <c r="P65" i="20"/>
  <c r="P67" i="20" s="1"/>
  <c r="K82" i="3" l="1"/>
  <c r="O35" i="20"/>
  <c r="N37" i="20"/>
  <c r="O40" i="20"/>
  <c r="N42" i="20"/>
  <c r="P50" i="20"/>
  <c r="P52" i="20" s="1"/>
  <c r="O52" i="20"/>
  <c r="O55" i="20"/>
  <c r="N57" i="20"/>
  <c r="P30" i="20"/>
  <c r="P32" i="20" s="1"/>
  <c r="N63" i="19"/>
  <c r="O62" i="19"/>
  <c r="O55" i="19"/>
  <c r="P54" i="19"/>
  <c r="P55" i="19" s="1"/>
  <c r="O51" i="19"/>
  <c r="P50" i="19"/>
  <c r="P51" i="19" s="1"/>
  <c r="O60" i="20"/>
  <c r="O62" i="20" s="1"/>
  <c r="L82" i="3" l="1"/>
  <c r="P35" i="20"/>
  <c r="P37" i="20" s="1"/>
  <c r="O37" i="20"/>
  <c r="P40" i="20"/>
  <c r="P42" i="20" s="1"/>
  <c r="O42" i="20"/>
  <c r="P55" i="20"/>
  <c r="P57" i="20" s="1"/>
  <c r="O57" i="20"/>
  <c r="O63" i="19"/>
  <c r="P62" i="19"/>
  <c r="P63" i="19" s="1"/>
  <c r="P60" i="20"/>
  <c r="P62" i="20" s="1"/>
  <c r="P42" i="21"/>
  <c r="O42" i="21"/>
  <c r="N42" i="21"/>
  <c r="M42" i="21"/>
  <c r="L42" i="21"/>
  <c r="K42" i="21"/>
  <c r="J42" i="21"/>
  <c r="I42" i="21"/>
  <c r="H42" i="21"/>
  <c r="G42" i="21"/>
  <c r="F42" i="21"/>
  <c r="O35" i="21"/>
  <c r="P35" i="21" s="1"/>
  <c r="C37" i="13"/>
  <c r="J13" i="13"/>
  <c r="P36" i="13"/>
  <c r="O36" i="13"/>
  <c r="N36" i="13"/>
  <c r="M36" i="13"/>
  <c r="L36" i="13"/>
  <c r="K36" i="13"/>
  <c r="J36" i="13"/>
  <c r="H36" i="13"/>
  <c r="G36" i="13"/>
  <c r="F36" i="13"/>
  <c r="C34" i="13"/>
  <c r="F34" i="13" s="1"/>
  <c r="G34" i="13" s="1"/>
  <c r="H34" i="13" s="1"/>
  <c r="I34" i="13" s="1"/>
  <c r="J34" i="13" s="1"/>
  <c r="K34" i="13" s="1"/>
  <c r="L34" i="13" s="1"/>
  <c r="M34" i="13" s="1"/>
  <c r="N34" i="13" s="1"/>
  <c r="O34" i="13" s="1"/>
  <c r="P34" i="13" s="1"/>
  <c r="O33" i="18"/>
  <c r="P33" i="18" s="1"/>
  <c r="C32" i="18"/>
  <c r="C31" i="18"/>
  <c r="C30" i="18"/>
  <c r="N82" i="3" l="1"/>
  <c r="M82" i="3"/>
  <c r="P37" i="13"/>
  <c r="F30" i="18"/>
  <c r="G30" i="18"/>
  <c r="G34" i="18" s="1"/>
  <c r="E81" i="3" s="1"/>
  <c r="F31" i="18"/>
  <c r="G31" i="18" s="1"/>
  <c r="F32" i="18"/>
  <c r="G32" i="18" s="1"/>
  <c r="G37" i="13"/>
  <c r="H37" i="13"/>
  <c r="J37" i="13"/>
  <c r="K37" i="13"/>
  <c r="L37" i="13"/>
  <c r="O37" i="13"/>
  <c r="J19" i="21"/>
  <c r="M37" i="13"/>
  <c r="F37" i="13"/>
  <c r="N37" i="13"/>
  <c r="H31" i="18" l="1"/>
  <c r="H30" i="18"/>
  <c r="H34" i="18" s="1"/>
  <c r="F81" i="3" s="1"/>
  <c r="H32" i="18"/>
  <c r="I32" i="18" s="1"/>
  <c r="J32" i="18" s="1"/>
  <c r="K32" i="18" s="1"/>
  <c r="L32" i="18" s="1"/>
  <c r="M32" i="18" s="1"/>
  <c r="N32" i="18" s="1"/>
  <c r="O32" i="18" s="1"/>
  <c r="P32" i="18" s="1"/>
  <c r="C76" i="17"/>
  <c r="D76" i="17" s="1"/>
  <c r="C71" i="17"/>
  <c r="D71" i="17" s="1"/>
  <c r="C55" i="17"/>
  <c r="D55" i="17" s="1"/>
  <c r="C67" i="17"/>
  <c r="D67" i="17" s="1"/>
  <c r="C63" i="17"/>
  <c r="D63" i="17" s="1"/>
  <c r="C59" i="17"/>
  <c r="D59" i="17" s="1"/>
  <c r="C51" i="17"/>
  <c r="D51" i="17" s="1"/>
  <c r="C47" i="17"/>
  <c r="D47" i="17" s="1"/>
  <c r="C43" i="17"/>
  <c r="D43" i="17" s="1"/>
  <c r="C39" i="17"/>
  <c r="D39" i="17" s="1"/>
  <c r="C35" i="17"/>
  <c r="D35" i="17" s="1"/>
  <c r="C31" i="17"/>
  <c r="C55" i="16"/>
  <c r="F55" i="16" s="1"/>
  <c r="G55" i="16" s="1"/>
  <c r="H55" i="16" s="1"/>
  <c r="I55" i="16" s="1"/>
  <c r="J55" i="16" s="1"/>
  <c r="K55" i="16" s="1"/>
  <c r="L55" i="16" s="1"/>
  <c r="M55" i="16" s="1"/>
  <c r="N55" i="16" s="1"/>
  <c r="O55" i="16" s="1"/>
  <c r="P55" i="16" s="1"/>
  <c r="C40" i="16"/>
  <c r="C43" i="16"/>
  <c r="C41" i="16"/>
  <c r="F41" i="16" s="1"/>
  <c r="G41" i="16" s="1"/>
  <c r="H41" i="16" s="1"/>
  <c r="I41" i="16" s="1"/>
  <c r="J41" i="16" s="1"/>
  <c r="K41" i="16" s="1"/>
  <c r="L41" i="16" s="1"/>
  <c r="M41" i="16" s="1"/>
  <c r="N41" i="16" s="1"/>
  <c r="O41" i="16" s="1"/>
  <c r="P41" i="16" s="1"/>
  <c r="C37" i="16"/>
  <c r="C35" i="16"/>
  <c r="C34" i="16"/>
  <c r="D34" i="16" s="1"/>
  <c r="I30" i="18" l="1"/>
  <c r="I34" i="18" s="1"/>
  <c r="G81" i="3" s="1"/>
  <c r="I31" i="18"/>
  <c r="F43" i="16"/>
  <c r="G43" i="16" s="1"/>
  <c r="H43" i="16" s="1"/>
  <c r="I43" i="16" s="1"/>
  <c r="J43" i="16" s="1"/>
  <c r="K43" i="16" s="1"/>
  <c r="L43" i="16" s="1"/>
  <c r="M43" i="16" s="1"/>
  <c r="N43" i="16" s="1"/>
  <c r="O43" i="16" s="1"/>
  <c r="P43" i="16" s="1"/>
  <c r="F35" i="16"/>
  <c r="G35" i="16" s="1"/>
  <c r="H35" i="16" s="1"/>
  <c r="I35" i="16" s="1"/>
  <c r="J35" i="16" s="1"/>
  <c r="K35" i="16" s="1"/>
  <c r="L35" i="16" s="1"/>
  <c r="M35" i="16" s="1"/>
  <c r="N35" i="16" s="1"/>
  <c r="O35" i="16" s="1"/>
  <c r="P35" i="16" s="1"/>
  <c r="F37" i="16"/>
  <c r="G37" i="16"/>
  <c r="H37" i="16" s="1"/>
  <c r="I37" i="16" s="1"/>
  <c r="J37" i="16" s="1"/>
  <c r="K37" i="16" s="1"/>
  <c r="L37" i="16" s="1"/>
  <c r="M37" i="16" s="1"/>
  <c r="N37" i="16" s="1"/>
  <c r="O37" i="16" s="1"/>
  <c r="P37" i="16" s="1"/>
  <c r="F56" i="17"/>
  <c r="G56" i="17" s="1"/>
  <c r="H56" i="17" s="1"/>
  <c r="I56" i="17" s="1"/>
  <c r="J56" i="17" s="1"/>
  <c r="K56" i="17" s="1"/>
  <c r="L56" i="17" s="1"/>
  <c r="M56" i="17" s="1"/>
  <c r="N56" i="17" s="1"/>
  <c r="O56" i="17" s="1"/>
  <c r="P56" i="17" s="1"/>
  <c r="F68" i="17"/>
  <c r="G68" i="17" s="1"/>
  <c r="F72" i="17"/>
  <c r="G72" i="17" s="1"/>
  <c r="H72" i="17" s="1"/>
  <c r="I72" i="17" s="1"/>
  <c r="J72" i="17" s="1"/>
  <c r="K72" i="17" s="1"/>
  <c r="L72" i="17" s="1"/>
  <c r="M72" i="17" s="1"/>
  <c r="N72" i="17" s="1"/>
  <c r="O72" i="17" s="1"/>
  <c r="P72" i="17" s="1"/>
  <c r="F44" i="17"/>
  <c r="G44" i="17" s="1"/>
  <c r="F77" i="17"/>
  <c r="G77" i="17" s="1"/>
  <c r="H77" i="17" s="1"/>
  <c r="I77" i="17" s="1"/>
  <c r="J77" i="17" s="1"/>
  <c r="K77" i="17" s="1"/>
  <c r="L77" i="17" s="1"/>
  <c r="M77" i="17" s="1"/>
  <c r="N77" i="17" s="1"/>
  <c r="O77" i="17" s="1"/>
  <c r="P77" i="17" s="1"/>
  <c r="F60" i="17"/>
  <c r="G60" i="17" s="1"/>
  <c r="H60" i="17" s="1"/>
  <c r="I60" i="17" s="1"/>
  <c r="J60" i="17" s="1"/>
  <c r="K60" i="17" s="1"/>
  <c r="L60" i="17" s="1"/>
  <c r="M60" i="17" s="1"/>
  <c r="N60" i="17" s="1"/>
  <c r="O60" i="17" s="1"/>
  <c r="P60" i="17" s="1"/>
  <c r="F64" i="17"/>
  <c r="F65" i="17" s="1"/>
  <c r="F52" i="17"/>
  <c r="F53" i="17" s="1"/>
  <c r="F36" i="17"/>
  <c r="F37" i="17" s="1"/>
  <c r="F32" i="17"/>
  <c r="F33" i="17" s="1"/>
  <c r="F40" i="17"/>
  <c r="G40" i="17" s="1"/>
  <c r="H41" i="17" s="1"/>
  <c r="J41" i="17" s="1"/>
  <c r="K41" i="17" s="1"/>
  <c r="L41" i="17" s="1"/>
  <c r="M41" i="17" s="1"/>
  <c r="N41" i="17" s="1"/>
  <c r="O41" i="17" s="1"/>
  <c r="P41" i="17" s="1"/>
  <c r="F48" i="17"/>
  <c r="F49" i="17" s="1"/>
  <c r="D31" i="17"/>
  <c r="J31" i="18" l="1"/>
  <c r="J30" i="18"/>
  <c r="J34" i="18" s="1"/>
  <c r="H81" i="3" s="1"/>
  <c r="F57" i="17"/>
  <c r="J57" i="17"/>
  <c r="K57" i="17" s="1"/>
  <c r="L57" i="17" s="1"/>
  <c r="M57" i="17" s="1"/>
  <c r="N57" i="17" s="1"/>
  <c r="O57" i="17" s="1"/>
  <c r="P57" i="17" s="1"/>
  <c r="G64" i="17"/>
  <c r="H64" i="17" s="1"/>
  <c r="I64" i="17" s="1"/>
  <c r="J64" i="17" s="1"/>
  <c r="K64" i="17" s="1"/>
  <c r="G52" i="17"/>
  <c r="G53" i="17" s="1"/>
  <c r="G36" i="17"/>
  <c r="H36" i="17" s="1"/>
  <c r="I36" i="17" s="1"/>
  <c r="J36" i="17" s="1"/>
  <c r="K36" i="17" s="1"/>
  <c r="L36" i="17" s="1"/>
  <c r="M36" i="17" s="1"/>
  <c r="N36" i="17" s="1"/>
  <c r="O36" i="17" s="1"/>
  <c r="P36" i="17" s="1"/>
  <c r="G69" i="17"/>
  <c r="H68" i="17"/>
  <c r="I68" i="17" s="1"/>
  <c r="J68" i="17" s="1"/>
  <c r="K68" i="17" s="1"/>
  <c r="L68" i="17" s="1"/>
  <c r="M68" i="17" s="1"/>
  <c r="N68" i="17" s="1"/>
  <c r="O68" i="17" s="1"/>
  <c r="P68" i="17" s="1"/>
  <c r="F45" i="17"/>
  <c r="F69" i="17"/>
  <c r="H40" i="17"/>
  <c r="I40" i="17" s="1"/>
  <c r="J40" i="17" s="1"/>
  <c r="K40" i="17" s="1"/>
  <c r="L40" i="17" s="1"/>
  <c r="M40" i="17" s="1"/>
  <c r="N40" i="17" s="1"/>
  <c r="O40" i="17" s="1"/>
  <c r="P40" i="17" s="1"/>
  <c r="I65" i="17"/>
  <c r="G32" i="17"/>
  <c r="H32" i="17" s="1"/>
  <c r="I32" i="17" s="1"/>
  <c r="H45" i="17"/>
  <c r="J45" i="17" s="1"/>
  <c r="K45" i="17" s="1"/>
  <c r="L45" i="17" s="1"/>
  <c r="M45" i="17" s="1"/>
  <c r="N45" i="17" s="1"/>
  <c r="O45" i="17" s="1"/>
  <c r="P45" i="17" s="1"/>
  <c r="H44" i="17"/>
  <c r="I44" i="17" s="1"/>
  <c r="J44" i="17" s="1"/>
  <c r="K44" i="17" s="1"/>
  <c r="L44" i="17" s="1"/>
  <c r="M44" i="17" s="1"/>
  <c r="N44" i="17" s="1"/>
  <c r="O44" i="17" s="1"/>
  <c r="P44" i="17" s="1"/>
  <c r="J61" i="17"/>
  <c r="K61" i="17" s="1"/>
  <c r="L61" i="17" s="1"/>
  <c r="M61" i="17" s="1"/>
  <c r="N61" i="17" s="1"/>
  <c r="O61" i="17" s="1"/>
  <c r="P61" i="17" s="1"/>
  <c r="F61" i="17"/>
  <c r="G48" i="17"/>
  <c r="F41" i="17"/>
  <c r="H65" i="17"/>
  <c r="C111" i="15"/>
  <c r="C107" i="15"/>
  <c r="F107" i="15" s="1"/>
  <c r="C62" i="15"/>
  <c r="C61" i="15"/>
  <c r="C60" i="15"/>
  <c r="C59" i="15"/>
  <c r="C58" i="15"/>
  <c r="C57" i="15"/>
  <c r="C56" i="15"/>
  <c r="C50" i="15"/>
  <c r="C49" i="15"/>
  <c r="C48" i="15"/>
  <c r="C47" i="15"/>
  <c r="C46" i="15"/>
  <c r="C45" i="15"/>
  <c r="C44" i="15"/>
  <c r="C38" i="15"/>
  <c r="C37" i="15"/>
  <c r="C36" i="15"/>
  <c r="C35" i="15"/>
  <c r="C34" i="15"/>
  <c r="C33" i="15"/>
  <c r="C32" i="15"/>
  <c r="J37" i="17" l="1"/>
  <c r="K37" i="17" s="1"/>
  <c r="L37" i="17" s="1"/>
  <c r="M37" i="17" s="1"/>
  <c r="N37" i="17" s="1"/>
  <c r="O37" i="17" s="1"/>
  <c r="P37" i="17" s="1"/>
  <c r="K30" i="18"/>
  <c r="K34" i="18" s="1"/>
  <c r="I81" i="3" s="1"/>
  <c r="K31" i="18"/>
  <c r="H52" i="17"/>
  <c r="H53" i="17" s="1"/>
  <c r="G65" i="17"/>
  <c r="J65" i="17"/>
  <c r="H69" i="17"/>
  <c r="I69" i="17"/>
  <c r="G33" i="17"/>
  <c r="H33" i="17"/>
  <c r="J32" i="17"/>
  <c r="I33" i="17"/>
  <c r="H48" i="17"/>
  <c r="G49" i="17"/>
  <c r="L64" i="17"/>
  <c r="K65" i="17"/>
  <c r="G107" i="15"/>
  <c r="H107" i="15" s="1"/>
  <c r="I107" i="15" s="1"/>
  <c r="J107" i="15" s="1"/>
  <c r="K107" i="15" s="1"/>
  <c r="L107" i="15" s="1"/>
  <c r="M107" i="15" s="1"/>
  <c r="N107" i="15" s="1"/>
  <c r="O107" i="15" s="1"/>
  <c r="P107" i="15" s="1"/>
  <c r="D55" i="15"/>
  <c r="D43" i="15"/>
  <c r="D31" i="15"/>
  <c r="L11" i="15"/>
  <c r="C104" i="15" s="1"/>
  <c r="F104" i="15" s="1"/>
  <c r="L10" i="15"/>
  <c r="C103" i="15" s="1"/>
  <c r="F103" i="15" s="1"/>
  <c r="L9" i="15"/>
  <c r="C102" i="15" s="1"/>
  <c r="F102" i="15" s="1"/>
  <c r="L8" i="15"/>
  <c r="C101" i="15" s="1"/>
  <c r="F101" i="15" s="1"/>
  <c r="L7" i="15"/>
  <c r="C100" i="15" s="1"/>
  <c r="F100" i="15" s="1"/>
  <c r="H27" i="15"/>
  <c r="I27" i="15" s="1"/>
  <c r="J27" i="15" s="1"/>
  <c r="K27" i="15" s="1"/>
  <c r="L27" i="15" s="1"/>
  <c r="M27" i="15" s="1"/>
  <c r="N27" i="15" s="1"/>
  <c r="O27" i="15" s="1"/>
  <c r="P27" i="15" s="1"/>
  <c r="G26" i="15"/>
  <c r="C84" i="22"/>
  <c r="C83" i="22"/>
  <c r="C82" i="22"/>
  <c r="C81" i="22"/>
  <c r="C80" i="22"/>
  <c r="C79" i="22"/>
  <c r="C78" i="22"/>
  <c r="C72" i="22"/>
  <c r="C71" i="22"/>
  <c r="C70" i="22"/>
  <c r="C69" i="22"/>
  <c r="C68" i="22"/>
  <c r="C67" i="22"/>
  <c r="C66" i="22"/>
  <c r="C60" i="22"/>
  <c r="C59" i="22"/>
  <c r="C58" i="22"/>
  <c r="C57" i="22"/>
  <c r="C56" i="22"/>
  <c r="C55" i="22"/>
  <c r="C54" i="22"/>
  <c r="C104" i="22"/>
  <c r="C103" i="22"/>
  <c r="C98" i="22"/>
  <c r="C99" i="22"/>
  <c r="C100" i="22"/>
  <c r="C101" i="22"/>
  <c r="C102" i="22"/>
  <c r="C105" i="22"/>
  <c r="G105" i="22" s="1"/>
  <c r="C109" i="22"/>
  <c r="F109" i="22" s="1"/>
  <c r="G109" i="22" s="1"/>
  <c r="H109" i="22" s="1"/>
  <c r="I109" i="22" s="1"/>
  <c r="J109" i="22" s="1"/>
  <c r="K109" i="22" s="1"/>
  <c r="L109" i="22" s="1"/>
  <c r="M109" i="22" s="1"/>
  <c r="N109" i="22" s="1"/>
  <c r="O109" i="22" s="1"/>
  <c r="P109" i="22" s="1"/>
  <c r="C113" i="22"/>
  <c r="C114" i="22"/>
  <c r="C115" i="22"/>
  <c r="C116" i="22"/>
  <c r="C117" i="22"/>
  <c r="C118" i="22"/>
  <c r="C123" i="22"/>
  <c r="D77" i="22"/>
  <c r="C77" i="22" s="1"/>
  <c r="D65" i="22"/>
  <c r="C65" i="22" s="1"/>
  <c r="D53" i="22"/>
  <c r="C53" i="22" s="1"/>
  <c r="D41" i="22"/>
  <c r="C41" i="22" s="1"/>
  <c r="D29" i="22"/>
  <c r="C29" i="22" s="1"/>
  <c r="F123" i="22"/>
  <c r="F122" i="22"/>
  <c r="H25" i="22"/>
  <c r="I25" i="22" s="1"/>
  <c r="J25" i="22" s="1"/>
  <c r="K25" i="22" s="1"/>
  <c r="L25" i="22" s="1"/>
  <c r="M25" i="22" s="1"/>
  <c r="N25" i="22" s="1"/>
  <c r="O25" i="22" s="1"/>
  <c r="P25" i="22" s="1"/>
  <c r="G24" i="22"/>
  <c r="G123" i="22" s="1"/>
  <c r="D20" i="3" l="1"/>
  <c r="F124" i="22"/>
  <c r="E18" i="24" s="1"/>
  <c r="L31" i="18"/>
  <c r="L30" i="18"/>
  <c r="L34" i="18" s="1"/>
  <c r="J81" i="3" s="1"/>
  <c r="F81" i="15"/>
  <c r="G81" i="15" s="1"/>
  <c r="H81" i="15" s="1"/>
  <c r="I81" i="15" s="1"/>
  <c r="J81" i="15" s="1"/>
  <c r="K81" i="15" s="1"/>
  <c r="L81" i="15" s="1"/>
  <c r="M81" i="15" s="1"/>
  <c r="N81" i="15" s="1"/>
  <c r="O81" i="15" s="1"/>
  <c r="P81" i="15" s="1"/>
  <c r="F80" i="15"/>
  <c r="G80" i="15" s="1"/>
  <c r="F83" i="15"/>
  <c r="G83" i="15" s="1"/>
  <c r="H83" i="15" s="1"/>
  <c r="I83" i="15" s="1"/>
  <c r="J83" i="15" s="1"/>
  <c r="K83" i="15" s="1"/>
  <c r="L83" i="15" s="1"/>
  <c r="M83" i="15" s="1"/>
  <c r="N83" i="15" s="1"/>
  <c r="O83" i="15" s="1"/>
  <c r="P83" i="15" s="1"/>
  <c r="F84" i="15"/>
  <c r="G84" i="15" s="1"/>
  <c r="H84" i="15" s="1"/>
  <c r="I84" i="15" s="1"/>
  <c r="J84" i="15" s="1"/>
  <c r="K84" i="15" s="1"/>
  <c r="L84" i="15" s="1"/>
  <c r="M84" i="15" s="1"/>
  <c r="N84" i="15" s="1"/>
  <c r="O84" i="15" s="1"/>
  <c r="P84" i="15" s="1"/>
  <c r="F86" i="15"/>
  <c r="G86" i="15" s="1"/>
  <c r="H86" i="15" s="1"/>
  <c r="I86" i="15" s="1"/>
  <c r="J86" i="15" s="1"/>
  <c r="K86" i="15" s="1"/>
  <c r="L86" i="15" s="1"/>
  <c r="M86" i="15" s="1"/>
  <c r="N86" i="15" s="1"/>
  <c r="O86" i="15" s="1"/>
  <c r="P86" i="15" s="1"/>
  <c r="F82" i="15"/>
  <c r="G82" i="15" s="1"/>
  <c r="H82" i="15" s="1"/>
  <c r="I82" i="15" s="1"/>
  <c r="J82" i="15" s="1"/>
  <c r="K82" i="15" s="1"/>
  <c r="L82" i="15" s="1"/>
  <c r="M82" i="15" s="1"/>
  <c r="N82" i="15" s="1"/>
  <c r="O82" i="15" s="1"/>
  <c r="P82" i="15" s="1"/>
  <c r="F85" i="15"/>
  <c r="G85" i="15" s="1"/>
  <c r="F55" i="22"/>
  <c r="G55" i="22" s="1"/>
  <c r="H55" i="22" s="1"/>
  <c r="I55" i="22" s="1"/>
  <c r="J55" i="22" s="1"/>
  <c r="K55" i="22" s="1"/>
  <c r="L55" i="22" s="1"/>
  <c r="M55" i="22" s="1"/>
  <c r="N55" i="22" s="1"/>
  <c r="O55" i="22" s="1"/>
  <c r="P55" i="22" s="1"/>
  <c r="F81" i="22"/>
  <c r="G81" i="22"/>
  <c r="F43" i="22"/>
  <c r="G43" i="22" s="1"/>
  <c r="H43" i="22" s="1"/>
  <c r="I43" i="22" s="1"/>
  <c r="J43" i="22" s="1"/>
  <c r="K43" i="22" s="1"/>
  <c r="L43" i="22" s="1"/>
  <c r="M43" i="22" s="1"/>
  <c r="N43" i="22" s="1"/>
  <c r="O43" i="22" s="1"/>
  <c r="P43" i="22" s="1"/>
  <c r="F69" i="22"/>
  <c r="G69" i="22" s="1"/>
  <c r="H69" i="22" s="1"/>
  <c r="I69" i="22" s="1"/>
  <c r="J69" i="22" s="1"/>
  <c r="K69" i="22" s="1"/>
  <c r="L69" i="22" s="1"/>
  <c r="M69" i="22" s="1"/>
  <c r="N69" i="22" s="1"/>
  <c r="O69" i="22" s="1"/>
  <c r="P69" i="22" s="1"/>
  <c r="F31" i="22"/>
  <c r="G31" i="22" s="1"/>
  <c r="H31" i="22" s="1"/>
  <c r="I31" i="22" s="1"/>
  <c r="J31" i="22" s="1"/>
  <c r="K31" i="22" s="1"/>
  <c r="L31" i="22" s="1"/>
  <c r="M31" i="22" s="1"/>
  <c r="N31" i="22" s="1"/>
  <c r="O31" i="22" s="1"/>
  <c r="P31" i="22" s="1"/>
  <c r="F57" i="22"/>
  <c r="G57" i="22" s="1"/>
  <c r="H57" i="22" s="1"/>
  <c r="I57" i="22" s="1"/>
  <c r="J57" i="22" s="1"/>
  <c r="K57" i="22" s="1"/>
  <c r="L57" i="22" s="1"/>
  <c r="M57" i="22" s="1"/>
  <c r="N57" i="22" s="1"/>
  <c r="O57" i="22" s="1"/>
  <c r="P57" i="22" s="1"/>
  <c r="F83" i="22"/>
  <c r="F32" i="22"/>
  <c r="G32" i="22" s="1"/>
  <c r="H32" i="22" s="1"/>
  <c r="I32" i="22" s="1"/>
  <c r="J32" i="22" s="1"/>
  <c r="K32" i="22" s="1"/>
  <c r="L32" i="22" s="1"/>
  <c r="M32" i="22" s="1"/>
  <c r="N32" i="22" s="1"/>
  <c r="O32" i="22" s="1"/>
  <c r="P32" i="22" s="1"/>
  <c r="F58" i="22"/>
  <c r="G58" i="22" s="1"/>
  <c r="H58" i="22" s="1"/>
  <c r="I58" i="22" s="1"/>
  <c r="J58" i="22" s="1"/>
  <c r="K58" i="22" s="1"/>
  <c r="L58" i="22" s="1"/>
  <c r="M58" i="22" s="1"/>
  <c r="N58" i="22" s="1"/>
  <c r="O58" i="22" s="1"/>
  <c r="P58" i="22" s="1"/>
  <c r="F84" i="22"/>
  <c r="G84" i="22" s="1"/>
  <c r="F46" i="22"/>
  <c r="G46" i="22" s="1"/>
  <c r="H46" i="22" s="1"/>
  <c r="I46" i="22" s="1"/>
  <c r="J46" i="22" s="1"/>
  <c r="K46" i="22" s="1"/>
  <c r="L46" i="22" s="1"/>
  <c r="M46" i="22" s="1"/>
  <c r="N46" i="22" s="1"/>
  <c r="O46" i="22" s="1"/>
  <c r="P46" i="22" s="1"/>
  <c r="F72" i="22"/>
  <c r="G72" i="22" s="1"/>
  <c r="H72" i="22" s="1"/>
  <c r="I72" i="22" s="1"/>
  <c r="J72" i="22" s="1"/>
  <c r="K72" i="22" s="1"/>
  <c r="L72" i="22" s="1"/>
  <c r="M72" i="22" s="1"/>
  <c r="N72" i="22" s="1"/>
  <c r="O72" i="22" s="1"/>
  <c r="P72" i="22" s="1"/>
  <c r="F34" i="22"/>
  <c r="G34" i="22" s="1"/>
  <c r="H34" i="22" s="1"/>
  <c r="I34" i="22" s="1"/>
  <c r="J34" i="22" s="1"/>
  <c r="K34" i="22" s="1"/>
  <c r="L34" i="22" s="1"/>
  <c r="M34" i="22" s="1"/>
  <c r="N34" i="22" s="1"/>
  <c r="O34" i="22" s="1"/>
  <c r="P34" i="22" s="1"/>
  <c r="F47" i="22"/>
  <c r="G47" i="22" s="1"/>
  <c r="F60" i="22"/>
  <c r="G60" i="22" s="1"/>
  <c r="H60" i="22" s="1"/>
  <c r="I60" i="22" s="1"/>
  <c r="J60" i="22" s="1"/>
  <c r="K60" i="22" s="1"/>
  <c r="L60" i="22" s="1"/>
  <c r="M60" i="22" s="1"/>
  <c r="N60" i="22" s="1"/>
  <c r="O60" i="22" s="1"/>
  <c r="P60" i="22" s="1"/>
  <c r="F78" i="22"/>
  <c r="F42" i="22"/>
  <c r="G42" i="22" s="1"/>
  <c r="F68" i="22"/>
  <c r="G68" i="22" s="1"/>
  <c r="H68" i="22" s="1"/>
  <c r="I68" i="22" s="1"/>
  <c r="J68" i="22" s="1"/>
  <c r="K68" i="22" s="1"/>
  <c r="L68" i="22" s="1"/>
  <c r="M68" i="22" s="1"/>
  <c r="N68" i="22" s="1"/>
  <c r="O68" i="22" s="1"/>
  <c r="P68" i="22" s="1"/>
  <c r="F30" i="22"/>
  <c r="G30" i="22"/>
  <c r="F56" i="22"/>
  <c r="G56" i="22" s="1"/>
  <c r="H56" i="22" s="1"/>
  <c r="I56" i="22" s="1"/>
  <c r="J56" i="22" s="1"/>
  <c r="K56" i="22" s="1"/>
  <c r="L56" i="22" s="1"/>
  <c r="M56" i="22" s="1"/>
  <c r="N56" i="22" s="1"/>
  <c r="O56" i="22" s="1"/>
  <c r="P56" i="22" s="1"/>
  <c r="F82" i="22"/>
  <c r="F44" i="22"/>
  <c r="G44" i="22" s="1"/>
  <c r="H44" i="22" s="1"/>
  <c r="I44" i="22" s="1"/>
  <c r="J44" i="22" s="1"/>
  <c r="K44" i="22" s="1"/>
  <c r="L44" i="22" s="1"/>
  <c r="M44" i="22" s="1"/>
  <c r="N44" i="22" s="1"/>
  <c r="O44" i="22" s="1"/>
  <c r="P44" i="22" s="1"/>
  <c r="F70" i="22"/>
  <c r="G70" i="22" s="1"/>
  <c r="H70" i="22" s="1"/>
  <c r="I70" i="22" s="1"/>
  <c r="J70" i="22" s="1"/>
  <c r="K70" i="22" s="1"/>
  <c r="L70" i="22" s="1"/>
  <c r="M70" i="22" s="1"/>
  <c r="N70" i="22" s="1"/>
  <c r="O70" i="22" s="1"/>
  <c r="P70" i="22" s="1"/>
  <c r="F45" i="22"/>
  <c r="G45" i="22" s="1"/>
  <c r="H45" i="22" s="1"/>
  <c r="I45" i="22" s="1"/>
  <c r="J45" i="22" s="1"/>
  <c r="K45" i="22" s="1"/>
  <c r="L45" i="22" s="1"/>
  <c r="M45" i="22" s="1"/>
  <c r="N45" i="22" s="1"/>
  <c r="O45" i="22" s="1"/>
  <c r="P45" i="22" s="1"/>
  <c r="F71" i="22"/>
  <c r="G71" i="22" s="1"/>
  <c r="F33" i="22"/>
  <c r="G33" i="22" s="1"/>
  <c r="H33" i="22" s="1"/>
  <c r="I33" i="22" s="1"/>
  <c r="J33" i="22" s="1"/>
  <c r="K33" i="22" s="1"/>
  <c r="L33" i="22" s="1"/>
  <c r="M33" i="22" s="1"/>
  <c r="N33" i="22" s="1"/>
  <c r="O33" i="22" s="1"/>
  <c r="P33" i="22" s="1"/>
  <c r="F59" i="22"/>
  <c r="G59" i="22" s="1"/>
  <c r="F35" i="22"/>
  <c r="G35" i="22" s="1"/>
  <c r="F48" i="22"/>
  <c r="G48" i="22" s="1"/>
  <c r="H48" i="22" s="1"/>
  <c r="I48" i="22" s="1"/>
  <c r="J48" i="22" s="1"/>
  <c r="K48" i="22" s="1"/>
  <c r="L48" i="22" s="1"/>
  <c r="M48" i="22" s="1"/>
  <c r="N48" i="22" s="1"/>
  <c r="O48" i="22" s="1"/>
  <c r="P48" i="22" s="1"/>
  <c r="F66" i="22"/>
  <c r="G66" i="22" s="1"/>
  <c r="F79" i="22"/>
  <c r="M118" i="22"/>
  <c r="F118" i="22"/>
  <c r="F36" i="22"/>
  <c r="G36" i="22" s="1"/>
  <c r="H36" i="22" s="1"/>
  <c r="I36" i="22" s="1"/>
  <c r="J36" i="22" s="1"/>
  <c r="K36" i="22" s="1"/>
  <c r="L36" i="22" s="1"/>
  <c r="M36" i="22" s="1"/>
  <c r="N36" i="22" s="1"/>
  <c r="O36" i="22" s="1"/>
  <c r="P36" i="22" s="1"/>
  <c r="F54" i="22"/>
  <c r="G54" i="22" s="1"/>
  <c r="F67" i="22"/>
  <c r="G67" i="22" s="1"/>
  <c r="H67" i="22" s="1"/>
  <c r="I67" i="22" s="1"/>
  <c r="J67" i="22" s="1"/>
  <c r="K67" i="22" s="1"/>
  <c r="L67" i="22" s="1"/>
  <c r="M67" i="22" s="1"/>
  <c r="N67" i="22" s="1"/>
  <c r="O67" i="22" s="1"/>
  <c r="P67" i="22" s="1"/>
  <c r="F80" i="22"/>
  <c r="I52" i="17"/>
  <c r="J52" i="17" s="1"/>
  <c r="K52" i="17" s="1"/>
  <c r="L52" i="17" s="1"/>
  <c r="M52" i="17" s="1"/>
  <c r="N52" i="17" s="1"/>
  <c r="O52" i="17" s="1"/>
  <c r="P52" i="17" s="1"/>
  <c r="M64" i="17"/>
  <c r="L65" i="17"/>
  <c r="I48" i="17"/>
  <c r="H49" i="17"/>
  <c r="K32" i="17"/>
  <c r="L32" i="17" s="1"/>
  <c r="M32" i="17" s="1"/>
  <c r="N32" i="17" s="1"/>
  <c r="O32" i="17" s="1"/>
  <c r="P32" i="17" s="1"/>
  <c r="L33" i="17"/>
  <c r="M33" i="17" s="1"/>
  <c r="N33" i="17" s="1"/>
  <c r="O33" i="17" s="1"/>
  <c r="P33" i="17" s="1"/>
  <c r="M69" i="17"/>
  <c r="F48" i="15"/>
  <c r="G48" i="15" s="1"/>
  <c r="H48" i="15" s="1"/>
  <c r="I48" i="15" s="1"/>
  <c r="J48" i="15" s="1"/>
  <c r="K48" i="15" s="1"/>
  <c r="L48" i="15" s="1"/>
  <c r="M48" i="15" s="1"/>
  <c r="N48" i="15" s="1"/>
  <c r="O48" i="15" s="1"/>
  <c r="P48" i="15" s="1"/>
  <c r="F37" i="15"/>
  <c r="G37" i="15" s="1"/>
  <c r="F61" i="15"/>
  <c r="G61" i="15" s="1"/>
  <c r="F69" i="15"/>
  <c r="F47" i="15"/>
  <c r="G47" i="15" s="1"/>
  <c r="H47" i="15" s="1"/>
  <c r="I47" i="15" s="1"/>
  <c r="J47" i="15" s="1"/>
  <c r="K47" i="15" s="1"/>
  <c r="L47" i="15" s="1"/>
  <c r="M47" i="15" s="1"/>
  <c r="N47" i="15" s="1"/>
  <c r="O47" i="15" s="1"/>
  <c r="P47" i="15" s="1"/>
  <c r="F38" i="15"/>
  <c r="G38" i="15" s="1"/>
  <c r="H38" i="15" s="1"/>
  <c r="I38" i="15" s="1"/>
  <c r="J38" i="15" s="1"/>
  <c r="K38" i="15" s="1"/>
  <c r="L38" i="15" s="1"/>
  <c r="M38" i="15" s="1"/>
  <c r="N38" i="15" s="1"/>
  <c r="O38" i="15" s="1"/>
  <c r="P38" i="15" s="1"/>
  <c r="F74" i="15"/>
  <c r="F60" i="15"/>
  <c r="G60" i="15" s="1"/>
  <c r="H60" i="15" s="1"/>
  <c r="I60" i="15" s="1"/>
  <c r="J60" i="15" s="1"/>
  <c r="K60" i="15" s="1"/>
  <c r="L60" i="15" s="1"/>
  <c r="M60" i="15" s="1"/>
  <c r="N60" i="15" s="1"/>
  <c r="O60" i="15" s="1"/>
  <c r="P60" i="15" s="1"/>
  <c r="F59" i="15"/>
  <c r="G59" i="15" s="1"/>
  <c r="H59" i="15" s="1"/>
  <c r="I59" i="15" s="1"/>
  <c r="J59" i="15" s="1"/>
  <c r="K59" i="15" s="1"/>
  <c r="L59" i="15" s="1"/>
  <c r="M59" i="15" s="1"/>
  <c r="N59" i="15" s="1"/>
  <c r="O59" i="15" s="1"/>
  <c r="P59" i="15" s="1"/>
  <c r="F46" i="15"/>
  <c r="G46" i="15" s="1"/>
  <c r="H46" i="15" s="1"/>
  <c r="I46" i="15" s="1"/>
  <c r="J46" i="15" s="1"/>
  <c r="K46" i="15" s="1"/>
  <c r="L46" i="15" s="1"/>
  <c r="M46" i="15" s="1"/>
  <c r="N46" i="15" s="1"/>
  <c r="O46" i="15" s="1"/>
  <c r="P46" i="15" s="1"/>
  <c r="F68" i="15"/>
  <c r="F45" i="15"/>
  <c r="G45" i="15" s="1"/>
  <c r="H45" i="15" s="1"/>
  <c r="I45" i="15" s="1"/>
  <c r="J45" i="15" s="1"/>
  <c r="K45" i="15" s="1"/>
  <c r="L45" i="15" s="1"/>
  <c r="M45" i="15" s="1"/>
  <c r="N45" i="15" s="1"/>
  <c r="O45" i="15" s="1"/>
  <c r="P45" i="15" s="1"/>
  <c r="F35" i="15"/>
  <c r="G35" i="15" s="1"/>
  <c r="H35" i="15" s="1"/>
  <c r="I35" i="15" s="1"/>
  <c r="J35" i="15" s="1"/>
  <c r="K35" i="15" s="1"/>
  <c r="L35" i="15" s="1"/>
  <c r="M35" i="15" s="1"/>
  <c r="N35" i="15" s="1"/>
  <c r="O35" i="15" s="1"/>
  <c r="P35" i="15" s="1"/>
  <c r="F73" i="15"/>
  <c r="F44" i="15"/>
  <c r="G44" i="15" s="1"/>
  <c r="F36" i="15"/>
  <c r="G36" i="15" s="1"/>
  <c r="H36" i="15" s="1"/>
  <c r="I36" i="15" s="1"/>
  <c r="J36" i="15" s="1"/>
  <c r="K36" i="15" s="1"/>
  <c r="L36" i="15" s="1"/>
  <c r="M36" i="15" s="1"/>
  <c r="N36" i="15" s="1"/>
  <c r="O36" i="15" s="1"/>
  <c r="P36" i="15" s="1"/>
  <c r="F72" i="15"/>
  <c r="F62" i="15"/>
  <c r="G62" i="15" s="1"/>
  <c r="H62" i="15" s="1"/>
  <c r="I62" i="15" s="1"/>
  <c r="J62" i="15" s="1"/>
  <c r="K62" i="15" s="1"/>
  <c r="L62" i="15" s="1"/>
  <c r="M62" i="15" s="1"/>
  <c r="N62" i="15" s="1"/>
  <c r="O62" i="15" s="1"/>
  <c r="P62" i="15" s="1"/>
  <c r="F50" i="15"/>
  <c r="G50" i="15" s="1"/>
  <c r="H50" i="15" s="1"/>
  <c r="I50" i="15" s="1"/>
  <c r="J50" i="15" s="1"/>
  <c r="K50" i="15" s="1"/>
  <c r="L50" i="15" s="1"/>
  <c r="M50" i="15" s="1"/>
  <c r="N50" i="15" s="1"/>
  <c r="O50" i="15" s="1"/>
  <c r="P50" i="15" s="1"/>
  <c r="F33" i="15"/>
  <c r="G33" i="15" s="1"/>
  <c r="H33" i="15" s="1"/>
  <c r="I33" i="15" s="1"/>
  <c r="J33" i="15" s="1"/>
  <c r="K33" i="15" s="1"/>
  <c r="L33" i="15" s="1"/>
  <c r="M33" i="15" s="1"/>
  <c r="N33" i="15" s="1"/>
  <c r="O33" i="15" s="1"/>
  <c r="P33" i="15" s="1"/>
  <c r="F70" i="15"/>
  <c r="F57" i="15"/>
  <c r="G57" i="15" s="1"/>
  <c r="H57" i="15" s="1"/>
  <c r="I57" i="15" s="1"/>
  <c r="J57" i="15" s="1"/>
  <c r="K57" i="15" s="1"/>
  <c r="L57" i="15" s="1"/>
  <c r="M57" i="15" s="1"/>
  <c r="N57" i="15" s="1"/>
  <c r="O57" i="15" s="1"/>
  <c r="P57" i="15" s="1"/>
  <c r="F32" i="15"/>
  <c r="G32" i="15" s="1"/>
  <c r="F49" i="15"/>
  <c r="G49" i="15" s="1"/>
  <c r="F34" i="15"/>
  <c r="G34" i="15" s="1"/>
  <c r="H34" i="15" s="1"/>
  <c r="I34" i="15" s="1"/>
  <c r="J34" i="15" s="1"/>
  <c r="K34" i="15" s="1"/>
  <c r="L34" i="15" s="1"/>
  <c r="M34" i="15" s="1"/>
  <c r="N34" i="15" s="1"/>
  <c r="O34" i="15" s="1"/>
  <c r="P34" i="15" s="1"/>
  <c r="F71" i="15"/>
  <c r="F58" i="15"/>
  <c r="G58" i="15" s="1"/>
  <c r="H58" i="15" s="1"/>
  <c r="I58" i="15" s="1"/>
  <c r="J58" i="15" s="1"/>
  <c r="K58" i="15" s="1"/>
  <c r="L58" i="15" s="1"/>
  <c r="M58" i="15" s="1"/>
  <c r="N58" i="15" s="1"/>
  <c r="O58" i="15" s="1"/>
  <c r="P58" i="15" s="1"/>
  <c r="F56" i="15"/>
  <c r="G56" i="15" s="1"/>
  <c r="F103" i="22"/>
  <c r="G103" i="22" s="1"/>
  <c r="H103" i="22" s="1"/>
  <c r="I103" i="22" s="1"/>
  <c r="J103" i="22" s="1"/>
  <c r="K103" i="22" s="1"/>
  <c r="L103" i="22" s="1"/>
  <c r="M103" i="22" s="1"/>
  <c r="N103" i="22" s="1"/>
  <c r="O103" i="22" s="1"/>
  <c r="P103" i="22" s="1"/>
  <c r="F104" i="22"/>
  <c r="G104" i="22" s="1"/>
  <c r="H104" i="22" s="1"/>
  <c r="I104" i="22" s="1"/>
  <c r="J104" i="22" s="1"/>
  <c r="K104" i="22" s="1"/>
  <c r="L104" i="22" s="1"/>
  <c r="M104" i="22" s="1"/>
  <c r="N104" i="22" s="1"/>
  <c r="O104" i="22" s="1"/>
  <c r="P104" i="22" s="1"/>
  <c r="L14" i="15"/>
  <c r="C105" i="15" s="1"/>
  <c r="F105" i="15" s="1"/>
  <c r="G105" i="15" s="1"/>
  <c r="H105" i="15" s="1"/>
  <c r="I105" i="15" s="1"/>
  <c r="J105" i="15" s="1"/>
  <c r="K105" i="15" s="1"/>
  <c r="L105" i="15" s="1"/>
  <c r="M105" i="15" s="1"/>
  <c r="N105" i="15" s="1"/>
  <c r="O105" i="15" s="1"/>
  <c r="P105" i="15" s="1"/>
  <c r="G102" i="15"/>
  <c r="H102" i="15" s="1"/>
  <c r="I102" i="15" s="1"/>
  <c r="J102" i="15" s="1"/>
  <c r="K102" i="15" s="1"/>
  <c r="L102" i="15" s="1"/>
  <c r="M102" i="15" s="1"/>
  <c r="N102" i="15" s="1"/>
  <c r="O102" i="15" s="1"/>
  <c r="P102" i="15" s="1"/>
  <c r="G101" i="15"/>
  <c r="H101" i="15" s="1"/>
  <c r="I101" i="15" s="1"/>
  <c r="J101" i="15" s="1"/>
  <c r="K101" i="15" s="1"/>
  <c r="L101" i="15" s="1"/>
  <c r="M101" i="15" s="1"/>
  <c r="N101" i="15" s="1"/>
  <c r="O101" i="15" s="1"/>
  <c r="P101" i="15" s="1"/>
  <c r="L15" i="15"/>
  <c r="C106" i="15" s="1"/>
  <c r="F106" i="15" s="1"/>
  <c r="G106" i="15" s="1"/>
  <c r="H106" i="15" s="1"/>
  <c r="I106" i="15" s="1"/>
  <c r="J106" i="15" s="1"/>
  <c r="K106" i="15" s="1"/>
  <c r="L106" i="15" s="1"/>
  <c r="M106" i="15" s="1"/>
  <c r="N106" i="15" s="1"/>
  <c r="O106" i="15" s="1"/>
  <c r="P106" i="15" s="1"/>
  <c r="G100" i="15"/>
  <c r="H100" i="15" s="1"/>
  <c r="I100" i="15" s="1"/>
  <c r="J100" i="15" s="1"/>
  <c r="K100" i="15" s="1"/>
  <c r="L100" i="15" s="1"/>
  <c r="M100" i="15" s="1"/>
  <c r="N100" i="15" s="1"/>
  <c r="O100" i="15" s="1"/>
  <c r="P100" i="15" s="1"/>
  <c r="G103" i="15"/>
  <c r="H103" i="15" s="1"/>
  <c r="I103" i="15" s="1"/>
  <c r="J103" i="15" s="1"/>
  <c r="K103" i="15" s="1"/>
  <c r="L103" i="15" s="1"/>
  <c r="M103" i="15" s="1"/>
  <c r="N103" i="15" s="1"/>
  <c r="O103" i="15" s="1"/>
  <c r="P103" i="15" s="1"/>
  <c r="G104" i="15"/>
  <c r="H104" i="15" s="1"/>
  <c r="I104" i="15" s="1"/>
  <c r="J104" i="15" s="1"/>
  <c r="K104" i="15" s="1"/>
  <c r="L104" i="15" s="1"/>
  <c r="M104" i="15" s="1"/>
  <c r="N104" i="15" s="1"/>
  <c r="O104" i="15" s="1"/>
  <c r="P104" i="15" s="1"/>
  <c r="H26" i="15"/>
  <c r="F100" i="22"/>
  <c r="G100" i="22" s="1"/>
  <c r="H100" i="22" s="1"/>
  <c r="I100" i="22" s="1"/>
  <c r="J100" i="22" s="1"/>
  <c r="K100" i="22" s="1"/>
  <c r="L100" i="22" s="1"/>
  <c r="M100" i="22" s="1"/>
  <c r="N100" i="22" s="1"/>
  <c r="O100" i="22" s="1"/>
  <c r="P100" i="22" s="1"/>
  <c r="I105" i="22"/>
  <c r="G118" i="22"/>
  <c r="F101" i="22"/>
  <c r="G101" i="22" s="1"/>
  <c r="H101" i="22" s="1"/>
  <c r="I101" i="22" s="1"/>
  <c r="J101" i="22" s="1"/>
  <c r="K101" i="22" s="1"/>
  <c r="L101" i="22" s="1"/>
  <c r="M101" i="22" s="1"/>
  <c r="N101" i="22" s="1"/>
  <c r="O101" i="22" s="1"/>
  <c r="P101" i="22" s="1"/>
  <c r="L105" i="22"/>
  <c r="K118" i="22"/>
  <c r="F98" i="22"/>
  <c r="F102" i="22"/>
  <c r="G102" i="22" s="1"/>
  <c r="H102" i="22" s="1"/>
  <c r="I102" i="22" s="1"/>
  <c r="J102" i="22" s="1"/>
  <c r="K102" i="22" s="1"/>
  <c r="L102" i="22" s="1"/>
  <c r="M102" i="22" s="1"/>
  <c r="N102" i="22" s="1"/>
  <c r="O102" i="22" s="1"/>
  <c r="P102" i="22" s="1"/>
  <c r="L118" i="22"/>
  <c r="H24" i="22"/>
  <c r="O105" i="22"/>
  <c r="H118" i="22"/>
  <c r="N118" i="22"/>
  <c r="J118" i="22"/>
  <c r="O118" i="22"/>
  <c r="P118" i="22"/>
  <c r="N105" i="22"/>
  <c r="J105" i="22"/>
  <c r="F105" i="22"/>
  <c r="K105" i="22"/>
  <c r="P105" i="22"/>
  <c r="F99" i="22"/>
  <c r="H105" i="22"/>
  <c r="M105" i="22"/>
  <c r="I118" i="22"/>
  <c r="G122" i="22"/>
  <c r="G124" i="22" s="1"/>
  <c r="F18" i="24" s="1"/>
  <c r="E20" i="3" l="1"/>
  <c r="G89" i="15"/>
  <c r="G65" i="15"/>
  <c r="G62" i="22"/>
  <c r="G63" i="22"/>
  <c r="G38" i="22"/>
  <c r="G64" i="15"/>
  <c r="M30" i="18"/>
  <c r="M34" i="18" s="1"/>
  <c r="K81" i="3" s="1"/>
  <c r="G41" i="15"/>
  <c r="M31" i="18"/>
  <c r="G88" i="15"/>
  <c r="G53" i="15"/>
  <c r="G52" i="15"/>
  <c r="G40" i="15"/>
  <c r="G75" i="22"/>
  <c r="G74" i="22"/>
  <c r="G51" i="22"/>
  <c r="G50" i="22"/>
  <c r="G39" i="22"/>
  <c r="H85" i="15"/>
  <c r="H89" i="15" s="1"/>
  <c r="H80" i="15"/>
  <c r="H88" i="15" s="1"/>
  <c r="H56" i="15"/>
  <c r="H64" i="15" s="1"/>
  <c r="H61" i="15"/>
  <c r="H65" i="15" s="1"/>
  <c r="H44" i="15"/>
  <c r="H52" i="15" s="1"/>
  <c r="H49" i="15"/>
  <c r="H53" i="15" s="1"/>
  <c r="H37" i="15"/>
  <c r="H41" i="15" s="1"/>
  <c r="H32" i="15"/>
  <c r="H40" i="15" s="1"/>
  <c r="G72" i="15"/>
  <c r="H72" i="15" s="1"/>
  <c r="F95" i="15"/>
  <c r="F97" i="15"/>
  <c r="G69" i="15"/>
  <c r="H69" i="15" s="1"/>
  <c r="F92" i="15"/>
  <c r="G71" i="15"/>
  <c r="H71" i="15" s="1"/>
  <c r="F94" i="15"/>
  <c r="G73" i="15"/>
  <c r="F96" i="15"/>
  <c r="F93" i="15"/>
  <c r="G68" i="15"/>
  <c r="F91" i="15"/>
  <c r="H66" i="22"/>
  <c r="H74" i="22" s="1"/>
  <c r="H71" i="22"/>
  <c r="H75" i="22" s="1"/>
  <c r="H54" i="22"/>
  <c r="H62" i="22" s="1"/>
  <c r="H59" i="22"/>
  <c r="H63" i="22" s="1"/>
  <c r="H47" i="22"/>
  <c r="H51" i="22" s="1"/>
  <c r="H42" i="22"/>
  <c r="H50" i="22" s="1"/>
  <c r="F94" i="22"/>
  <c r="F90" i="22"/>
  <c r="H35" i="22"/>
  <c r="H39" i="22" s="1"/>
  <c r="H30" i="22"/>
  <c r="H38" i="22" s="1"/>
  <c r="F95" i="22"/>
  <c r="F92" i="22"/>
  <c r="G78" i="22"/>
  <c r="F89" i="22"/>
  <c r="G80" i="22"/>
  <c r="F91" i="22"/>
  <c r="G79" i="22"/>
  <c r="H79" i="22" s="1"/>
  <c r="H90" i="22" s="1"/>
  <c r="G82" i="22"/>
  <c r="G93" i="22" s="1"/>
  <c r="F93" i="22"/>
  <c r="G83" i="22"/>
  <c r="G87" i="22" s="1"/>
  <c r="G95" i="22"/>
  <c r="G92" i="22"/>
  <c r="H84" i="22"/>
  <c r="H95" i="22" s="1"/>
  <c r="H81" i="22"/>
  <c r="H92" i="22" s="1"/>
  <c r="L53" i="17"/>
  <c r="M53" i="17" s="1"/>
  <c r="N53" i="17" s="1"/>
  <c r="O53" i="17" s="1"/>
  <c r="P53" i="17" s="1"/>
  <c r="I53" i="17"/>
  <c r="J48" i="17"/>
  <c r="I49" i="17"/>
  <c r="N64" i="17"/>
  <c r="M65" i="17"/>
  <c r="N69" i="17"/>
  <c r="G70" i="15"/>
  <c r="G63" i="15"/>
  <c r="H63" i="15" s="1"/>
  <c r="G74" i="15"/>
  <c r="C55" i="15"/>
  <c r="G98" i="22"/>
  <c r="H98" i="22" s="1"/>
  <c r="I26" i="15"/>
  <c r="H122" i="22"/>
  <c r="H123" i="22"/>
  <c r="I24" i="22"/>
  <c r="G99" i="22"/>
  <c r="H99" i="22" s="1"/>
  <c r="I99" i="22" s="1"/>
  <c r="J99" i="22" s="1"/>
  <c r="K99" i="22" s="1"/>
  <c r="L99" i="22" s="1"/>
  <c r="M99" i="22" s="1"/>
  <c r="N99" i="22" s="1"/>
  <c r="O99" i="22" s="1"/>
  <c r="P99" i="22" s="1"/>
  <c r="H124" i="22" l="1"/>
  <c r="G18" i="24" s="1"/>
  <c r="G91" i="22"/>
  <c r="N31" i="18"/>
  <c r="N30" i="18"/>
  <c r="N34" i="18" s="1"/>
  <c r="L81" i="3" s="1"/>
  <c r="G76" i="15"/>
  <c r="E79" i="3" s="1"/>
  <c r="G77" i="15"/>
  <c r="E80" i="3" s="1"/>
  <c r="G86" i="22"/>
  <c r="E77" i="3" s="1"/>
  <c r="H68" i="15"/>
  <c r="H91" i="15" s="1"/>
  <c r="I85" i="15"/>
  <c r="I89" i="15" s="1"/>
  <c r="H73" i="15"/>
  <c r="I80" i="15"/>
  <c r="I88" i="15" s="1"/>
  <c r="I61" i="15"/>
  <c r="I65" i="15" s="1"/>
  <c r="I56" i="15"/>
  <c r="I64" i="15" s="1"/>
  <c r="I49" i="15"/>
  <c r="I53" i="15" s="1"/>
  <c r="I44" i="15"/>
  <c r="I52" i="15" s="1"/>
  <c r="I32" i="15"/>
  <c r="I40" i="15" s="1"/>
  <c r="I37" i="15"/>
  <c r="I41" i="15" s="1"/>
  <c r="G94" i="22"/>
  <c r="E78" i="3"/>
  <c r="G89" i="22"/>
  <c r="I71" i="22"/>
  <c r="I75" i="22" s="1"/>
  <c r="I66" i="22"/>
  <c r="I74" i="22" s="1"/>
  <c r="I59" i="22"/>
  <c r="I63" i="22" s="1"/>
  <c r="I54" i="22"/>
  <c r="I62" i="22" s="1"/>
  <c r="G90" i="22"/>
  <c r="I42" i="22"/>
  <c r="I50" i="22" s="1"/>
  <c r="I47" i="22"/>
  <c r="I51" i="22" s="1"/>
  <c r="H83" i="22"/>
  <c r="H87" i="22" s="1"/>
  <c r="H78" i="22"/>
  <c r="I30" i="22"/>
  <c r="I38" i="22" s="1"/>
  <c r="I35" i="22"/>
  <c r="I39" i="22" s="1"/>
  <c r="H80" i="22"/>
  <c r="H91" i="22" s="1"/>
  <c r="H82" i="22"/>
  <c r="H93" i="22" s="1"/>
  <c r="G97" i="15"/>
  <c r="H95" i="15"/>
  <c r="H94" i="15"/>
  <c r="H92" i="15"/>
  <c r="G95" i="15"/>
  <c r="G93" i="15"/>
  <c r="G96" i="15"/>
  <c r="G91" i="15"/>
  <c r="G94" i="15"/>
  <c r="G92" i="15"/>
  <c r="H74" i="15"/>
  <c r="H97" i="15" s="1"/>
  <c r="H70" i="15"/>
  <c r="H93" i="15" s="1"/>
  <c r="I71" i="15"/>
  <c r="I72" i="15"/>
  <c r="I69" i="15"/>
  <c r="I84" i="22"/>
  <c r="I95" i="22" s="1"/>
  <c r="I81" i="22"/>
  <c r="I92" i="22" s="1"/>
  <c r="I79" i="22"/>
  <c r="I90" i="22" s="1"/>
  <c r="F20" i="3"/>
  <c r="O64" i="17"/>
  <c r="P64" i="17" s="1"/>
  <c r="P65" i="17"/>
  <c r="K48" i="17"/>
  <c r="L48" i="17" s="1"/>
  <c r="M48" i="17" s="1"/>
  <c r="N48" i="17" s="1"/>
  <c r="O48" i="17" s="1"/>
  <c r="P48" i="17" s="1"/>
  <c r="L49" i="17"/>
  <c r="M49" i="17" s="1"/>
  <c r="N49" i="17" s="1"/>
  <c r="O49" i="17" s="1"/>
  <c r="P49" i="17" s="1"/>
  <c r="O69" i="17"/>
  <c r="I63" i="15"/>
  <c r="F108" i="22"/>
  <c r="J26" i="15"/>
  <c r="I122" i="22"/>
  <c r="J24" i="22"/>
  <c r="I123" i="22"/>
  <c r="I98" i="22"/>
  <c r="I124" i="22" l="1"/>
  <c r="H18" i="24" s="1"/>
  <c r="I83" i="22"/>
  <c r="I87" i="22" s="1"/>
  <c r="I68" i="15"/>
  <c r="I91" i="15" s="1"/>
  <c r="O30" i="18"/>
  <c r="O34" i="18" s="1"/>
  <c r="M81" i="3" s="1"/>
  <c r="O31" i="18"/>
  <c r="H76" i="15"/>
  <c r="F79" i="3" s="1"/>
  <c r="H96" i="15"/>
  <c r="H77" i="15"/>
  <c r="F80" i="3" s="1"/>
  <c r="H86" i="22"/>
  <c r="F77" i="3" s="1"/>
  <c r="I82" i="22"/>
  <c r="I93" i="22" s="1"/>
  <c r="J85" i="15"/>
  <c r="J89" i="15" s="1"/>
  <c r="J80" i="15"/>
  <c r="J88" i="15" s="1"/>
  <c r="I73" i="15"/>
  <c r="J56" i="15"/>
  <c r="J64" i="15" s="1"/>
  <c r="J61" i="15"/>
  <c r="J65" i="15" s="1"/>
  <c r="J44" i="15"/>
  <c r="J52" i="15" s="1"/>
  <c r="J49" i="15"/>
  <c r="J53" i="15" s="1"/>
  <c r="I80" i="22"/>
  <c r="I91" i="22" s="1"/>
  <c r="J37" i="15"/>
  <c r="J41" i="15" s="1"/>
  <c r="J32" i="15"/>
  <c r="J40" i="15" s="1"/>
  <c r="H89" i="22"/>
  <c r="H94" i="22"/>
  <c r="F78" i="3"/>
  <c r="J66" i="22"/>
  <c r="J74" i="22" s="1"/>
  <c r="J71" i="22"/>
  <c r="J75" i="22" s="1"/>
  <c r="J54" i="22"/>
  <c r="J62" i="22" s="1"/>
  <c r="J59" i="22"/>
  <c r="J63" i="22" s="1"/>
  <c r="G108" i="22"/>
  <c r="J47" i="22"/>
  <c r="J51" i="22" s="1"/>
  <c r="J42" i="22"/>
  <c r="J50" i="22" s="1"/>
  <c r="I78" i="22"/>
  <c r="J35" i="22"/>
  <c r="J39" i="22" s="1"/>
  <c r="J30" i="22"/>
  <c r="J38" i="22" s="1"/>
  <c r="I92" i="15"/>
  <c r="I95" i="15"/>
  <c r="I94" i="15"/>
  <c r="I74" i="15"/>
  <c r="I97" i="15" s="1"/>
  <c r="J69" i="15"/>
  <c r="I70" i="15"/>
  <c r="I93" i="15" s="1"/>
  <c r="J72" i="15"/>
  <c r="J71" i="15"/>
  <c r="J79" i="22"/>
  <c r="J90" i="22" s="1"/>
  <c r="J81" i="22"/>
  <c r="J92" i="22" s="1"/>
  <c r="J84" i="22"/>
  <c r="J95" i="22" s="1"/>
  <c r="G20" i="3"/>
  <c r="P69" i="17"/>
  <c r="J63" i="15"/>
  <c r="K26" i="15"/>
  <c r="K24" i="22"/>
  <c r="J122" i="22"/>
  <c r="J123" i="22"/>
  <c r="J98" i="22"/>
  <c r="J124" i="22" l="1"/>
  <c r="I18" i="24" s="1"/>
  <c r="J68" i="15"/>
  <c r="K68" i="15" s="1"/>
  <c r="J83" i="22"/>
  <c r="K83" i="22" s="1"/>
  <c r="I94" i="22"/>
  <c r="P31" i="18"/>
  <c r="P30" i="18"/>
  <c r="P34" i="18" s="1"/>
  <c r="N81" i="3" s="1"/>
  <c r="I76" i="15"/>
  <c r="G79" i="3" s="1"/>
  <c r="I77" i="15"/>
  <c r="G80" i="3" s="1"/>
  <c r="J78" i="22"/>
  <c r="K78" i="22" s="1"/>
  <c r="I86" i="22"/>
  <c r="G77" i="3" s="1"/>
  <c r="G78" i="3"/>
  <c r="J82" i="22"/>
  <c r="J93" i="22" s="1"/>
  <c r="I96" i="15"/>
  <c r="K80" i="15"/>
  <c r="K88" i="15" s="1"/>
  <c r="J73" i="15"/>
  <c r="K85" i="15"/>
  <c r="K89" i="15" s="1"/>
  <c r="J80" i="22"/>
  <c r="J91" i="22" s="1"/>
  <c r="K61" i="15"/>
  <c r="K65" i="15" s="1"/>
  <c r="K56" i="15"/>
  <c r="K64" i="15" s="1"/>
  <c r="K49" i="15"/>
  <c r="K53" i="15" s="1"/>
  <c r="K44" i="15"/>
  <c r="K52" i="15" s="1"/>
  <c r="K32" i="15"/>
  <c r="K40" i="15" s="1"/>
  <c r="H108" i="22"/>
  <c r="K37" i="15"/>
  <c r="K41" i="15" s="1"/>
  <c r="I89" i="22"/>
  <c r="K71" i="22"/>
  <c r="K75" i="22" s="1"/>
  <c r="K66" i="22"/>
  <c r="K74" i="22" s="1"/>
  <c r="K59" i="22"/>
  <c r="K63" i="22" s="1"/>
  <c r="K54" i="22"/>
  <c r="K62" i="22" s="1"/>
  <c r="K42" i="22"/>
  <c r="K50" i="22" s="1"/>
  <c r="K47" i="22"/>
  <c r="K51" i="22" s="1"/>
  <c r="K30" i="22"/>
  <c r="K38" i="22" s="1"/>
  <c r="K35" i="22"/>
  <c r="K39" i="22" s="1"/>
  <c r="H20" i="3"/>
  <c r="J92" i="15"/>
  <c r="J94" i="15"/>
  <c r="J95" i="15"/>
  <c r="K71" i="15"/>
  <c r="K69" i="15"/>
  <c r="K72" i="15"/>
  <c r="J70" i="15"/>
  <c r="J93" i="15" s="1"/>
  <c r="J74" i="15"/>
  <c r="J97" i="15" s="1"/>
  <c r="K79" i="22"/>
  <c r="K90" i="22" s="1"/>
  <c r="K84" i="22"/>
  <c r="K95" i="22" s="1"/>
  <c r="K81" i="22"/>
  <c r="K92" i="22" s="1"/>
  <c r="K63" i="15"/>
  <c r="G110" i="22"/>
  <c r="L26" i="15"/>
  <c r="F110" i="22"/>
  <c r="L24" i="22"/>
  <c r="K123" i="22"/>
  <c r="K122" i="22"/>
  <c r="K98" i="22"/>
  <c r="K124" i="22" l="1"/>
  <c r="J18" i="24" s="1"/>
  <c r="I20" i="3"/>
  <c r="J87" i="22"/>
  <c r="H78" i="3" s="1"/>
  <c r="J91" i="15"/>
  <c r="J94" i="22"/>
  <c r="J89" i="22"/>
  <c r="M7" i="18"/>
  <c r="J76" i="15"/>
  <c r="H79" i="3" s="1"/>
  <c r="K73" i="15"/>
  <c r="L73" i="15" s="1"/>
  <c r="J77" i="15"/>
  <c r="H80" i="3" s="1"/>
  <c r="K87" i="22"/>
  <c r="J86" i="22"/>
  <c r="H77" i="3" s="1"/>
  <c r="K82" i="22"/>
  <c r="K93" i="22" s="1"/>
  <c r="J96" i="15"/>
  <c r="K80" i="22"/>
  <c r="K91" i="22" s="1"/>
  <c r="L85" i="15"/>
  <c r="L89" i="15" s="1"/>
  <c r="L80" i="15"/>
  <c r="L88" i="15" s="1"/>
  <c r="L56" i="15"/>
  <c r="L64" i="15" s="1"/>
  <c r="L61" i="15"/>
  <c r="L65" i="15" s="1"/>
  <c r="L44" i="15"/>
  <c r="L52" i="15" s="1"/>
  <c r="I108" i="22"/>
  <c r="L49" i="15"/>
  <c r="L53" i="15" s="1"/>
  <c r="L37" i="15"/>
  <c r="L41" i="15" s="1"/>
  <c r="L32" i="15"/>
  <c r="L40" i="15" s="1"/>
  <c r="L66" i="22"/>
  <c r="L74" i="22" s="1"/>
  <c r="L71" i="22"/>
  <c r="L75" i="22" s="1"/>
  <c r="L54" i="22"/>
  <c r="L62" i="22" s="1"/>
  <c r="L59" i="22"/>
  <c r="L63" i="22" s="1"/>
  <c r="K89" i="22"/>
  <c r="L47" i="22"/>
  <c r="L51" i="22" s="1"/>
  <c r="L42" i="22"/>
  <c r="L50" i="22" s="1"/>
  <c r="L35" i="22"/>
  <c r="L39" i="22" s="1"/>
  <c r="K94" i="22"/>
  <c r="L30" i="22"/>
  <c r="L38" i="22" s="1"/>
  <c r="K94" i="15"/>
  <c r="K92" i="15"/>
  <c r="K91" i="15"/>
  <c r="K95" i="15"/>
  <c r="L72" i="15"/>
  <c r="L69" i="15"/>
  <c r="L68" i="15"/>
  <c r="L71" i="15"/>
  <c r="K74" i="15"/>
  <c r="K97" i="15" s="1"/>
  <c r="K70" i="15"/>
  <c r="K93" i="15" s="1"/>
  <c r="L84" i="22"/>
  <c r="L95" i="22" s="1"/>
  <c r="L79" i="22"/>
  <c r="L90" i="22" s="1"/>
  <c r="L78" i="22"/>
  <c r="L81" i="22"/>
  <c r="L92" i="22" s="1"/>
  <c r="L83" i="22"/>
  <c r="L63" i="15"/>
  <c r="F113" i="22"/>
  <c r="G113" i="22" s="1"/>
  <c r="F115" i="22"/>
  <c r="G115" i="22" s="1"/>
  <c r="F114" i="22"/>
  <c r="G114" i="22" s="1"/>
  <c r="F117" i="22"/>
  <c r="G117" i="22" s="1"/>
  <c r="F116" i="22"/>
  <c r="G116" i="22" s="1"/>
  <c r="H110" i="22"/>
  <c r="M26" i="15"/>
  <c r="L122" i="22"/>
  <c r="M24" i="22"/>
  <c r="L123" i="22"/>
  <c r="L98" i="22"/>
  <c r="L124" i="22" l="1"/>
  <c r="K18" i="24" s="1"/>
  <c r="K96" i="15"/>
  <c r="J108" i="22"/>
  <c r="K108" i="22" s="1"/>
  <c r="L82" i="22"/>
  <c r="L93" i="22" s="1"/>
  <c r="K77" i="15"/>
  <c r="I80" i="3" s="1"/>
  <c r="K76" i="15"/>
  <c r="I79" i="3" s="1"/>
  <c r="L87" i="22"/>
  <c r="K86" i="22"/>
  <c r="I77" i="3" s="1"/>
  <c r="I78" i="3"/>
  <c r="L80" i="22"/>
  <c r="L91" i="22" s="1"/>
  <c r="M80" i="15"/>
  <c r="M88" i="15" s="1"/>
  <c r="M85" i="15"/>
  <c r="M89" i="15" s="1"/>
  <c r="M61" i="15"/>
  <c r="M65" i="15" s="1"/>
  <c r="M56" i="15"/>
  <c r="M64" i="15" s="1"/>
  <c r="M49" i="15"/>
  <c r="M53" i="15" s="1"/>
  <c r="M44" i="15"/>
  <c r="M52" i="15" s="1"/>
  <c r="M32" i="15"/>
  <c r="M40" i="15" s="1"/>
  <c r="M37" i="15"/>
  <c r="M41" i="15" s="1"/>
  <c r="M71" i="22"/>
  <c r="M75" i="22" s="1"/>
  <c r="L89" i="22"/>
  <c r="M66" i="22"/>
  <c r="M74" i="22" s="1"/>
  <c r="M59" i="22"/>
  <c r="M63" i="22" s="1"/>
  <c r="M54" i="22"/>
  <c r="M62" i="22" s="1"/>
  <c r="L94" i="22"/>
  <c r="M42" i="22"/>
  <c r="M50" i="22" s="1"/>
  <c r="M47" i="22"/>
  <c r="M51" i="22" s="1"/>
  <c r="M30" i="22"/>
  <c r="M38" i="22" s="1"/>
  <c r="M35" i="22"/>
  <c r="M39" i="22" s="1"/>
  <c r="L94" i="15"/>
  <c r="L91" i="15"/>
  <c r="L92" i="15"/>
  <c r="L95" i="15"/>
  <c r="L96" i="15"/>
  <c r="M71" i="15"/>
  <c r="M68" i="15"/>
  <c r="L70" i="15"/>
  <c r="L93" i="15" s="1"/>
  <c r="M69" i="15"/>
  <c r="M73" i="15"/>
  <c r="L74" i="15"/>
  <c r="L97" i="15" s="1"/>
  <c r="M72" i="15"/>
  <c r="M83" i="22"/>
  <c r="M81" i="22"/>
  <c r="M92" i="22" s="1"/>
  <c r="M78" i="22"/>
  <c r="M79" i="22"/>
  <c r="M90" i="22" s="1"/>
  <c r="M84" i="22"/>
  <c r="M95" i="22" s="1"/>
  <c r="J20" i="3"/>
  <c r="M63" i="15"/>
  <c r="H114" i="22"/>
  <c r="H116" i="22"/>
  <c r="H117" i="22"/>
  <c r="H113" i="22"/>
  <c r="H115" i="22"/>
  <c r="I110" i="22"/>
  <c r="N26" i="15"/>
  <c r="G120" i="22"/>
  <c r="F10" i="24" s="1"/>
  <c r="F120" i="22"/>
  <c r="E10" i="24" s="1"/>
  <c r="M122" i="22"/>
  <c r="N24" i="22"/>
  <c r="M123" i="22"/>
  <c r="M98" i="22"/>
  <c r="M124" i="22" l="1"/>
  <c r="L18" i="24" s="1"/>
  <c r="D12" i="3"/>
  <c r="E12" i="3"/>
  <c r="M82" i="22"/>
  <c r="M93" i="22" s="1"/>
  <c r="L76" i="15"/>
  <c r="J79" i="3" s="1"/>
  <c r="L77" i="15"/>
  <c r="J80" i="3" s="1"/>
  <c r="M87" i="22"/>
  <c r="M80" i="22"/>
  <c r="M91" i="22" s="1"/>
  <c r="L86" i="22"/>
  <c r="J77" i="3" s="1"/>
  <c r="J78" i="3"/>
  <c r="N80" i="15"/>
  <c r="N88" i="15" s="1"/>
  <c r="N85" i="15"/>
  <c r="N89" i="15" s="1"/>
  <c r="N56" i="15"/>
  <c r="N64" i="15" s="1"/>
  <c r="N61" i="15"/>
  <c r="N65" i="15" s="1"/>
  <c r="N44" i="15"/>
  <c r="N52" i="15" s="1"/>
  <c r="N49" i="15"/>
  <c r="N53" i="15" s="1"/>
  <c r="N37" i="15"/>
  <c r="N41" i="15" s="1"/>
  <c r="N32" i="15"/>
  <c r="N40" i="15" s="1"/>
  <c r="N66" i="22"/>
  <c r="N74" i="22" s="1"/>
  <c r="L108" i="22"/>
  <c r="N71" i="22"/>
  <c r="N75" i="22" s="1"/>
  <c r="M89" i="22"/>
  <c r="N54" i="22"/>
  <c r="N62" i="22" s="1"/>
  <c r="N59" i="22"/>
  <c r="N63" i="22" s="1"/>
  <c r="N47" i="22"/>
  <c r="N51" i="22" s="1"/>
  <c r="N42" i="22"/>
  <c r="N50" i="22" s="1"/>
  <c r="N35" i="22"/>
  <c r="N39" i="22" s="1"/>
  <c r="M94" i="22"/>
  <c r="N30" i="22"/>
  <c r="N38" i="22" s="1"/>
  <c r="M92" i="15"/>
  <c r="M96" i="15"/>
  <c r="M95" i="15"/>
  <c r="M91" i="15"/>
  <c r="M94" i="15"/>
  <c r="N69" i="15"/>
  <c r="N92" i="15" s="1"/>
  <c r="M70" i="15"/>
  <c r="M93" i="15" s="1"/>
  <c r="M74" i="15"/>
  <c r="M97" i="15" s="1"/>
  <c r="N68" i="15"/>
  <c r="N72" i="15"/>
  <c r="N95" i="15" s="1"/>
  <c r="N73" i="15"/>
  <c r="N71" i="15"/>
  <c r="N94" i="15" s="1"/>
  <c r="N81" i="22"/>
  <c r="N92" i="22" s="1"/>
  <c r="N78" i="22"/>
  <c r="N84" i="22"/>
  <c r="N95" i="22" s="1"/>
  <c r="N79" i="22"/>
  <c r="N90" i="22" s="1"/>
  <c r="N83" i="22"/>
  <c r="K20" i="3"/>
  <c r="I114" i="22"/>
  <c r="I115" i="22"/>
  <c r="I113" i="22"/>
  <c r="I117" i="22"/>
  <c r="I116" i="22"/>
  <c r="H120" i="22"/>
  <c r="G10" i="24" s="1"/>
  <c r="J110" i="22"/>
  <c r="O26" i="15"/>
  <c r="O24" i="22"/>
  <c r="N123" i="22"/>
  <c r="N122" i="22"/>
  <c r="N124" i="22" s="1"/>
  <c r="M18" i="24" s="1"/>
  <c r="N98" i="22"/>
  <c r="L20" i="3" l="1"/>
  <c r="F12" i="3"/>
  <c r="N82" i="22"/>
  <c r="N93" i="22" s="1"/>
  <c r="N80" i="22"/>
  <c r="N91" i="22" s="1"/>
  <c r="M77" i="15"/>
  <c r="K80" i="3" s="1"/>
  <c r="M76" i="15"/>
  <c r="K79" i="3" s="1"/>
  <c r="M86" i="22"/>
  <c r="K77" i="3" s="1"/>
  <c r="N87" i="22"/>
  <c r="K78" i="3"/>
  <c r="O80" i="15"/>
  <c r="O88" i="15" s="1"/>
  <c r="O85" i="15"/>
  <c r="O89" i="15" s="1"/>
  <c r="O61" i="15"/>
  <c r="O65" i="15" s="1"/>
  <c r="N96" i="15"/>
  <c r="O56" i="15"/>
  <c r="O64" i="15" s="1"/>
  <c r="N91" i="15"/>
  <c r="O49" i="15"/>
  <c r="O53" i="15" s="1"/>
  <c r="O44" i="15"/>
  <c r="O52" i="15" s="1"/>
  <c r="M108" i="22"/>
  <c r="O32" i="15"/>
  <c r="O40" i="15" s="1"/>
  <c r="O37" i="15"/>
  <c r="O41" i="15" s="1"/>
  <c r="O71" i="22"/>
  <c r="O75" i="22" s="1"/>
  <c r="O66" i="22"/>
  <c r="O74" i="22" s="1"/>
  <c r="N89" i="22"/>
  <c r="O59" i="22"/>
  <c r="O63" i="22" s="1"/>
  <c r="O54" i="22"/>
  <c r="O62" i="22" s="1"/>
  <c r="N94" i="22"/>
  <c r="O42" i="22"/>
  <c r="O50" i="22" s="1"/>
  <c r="O47" i="22"/>
  <c r="O51" i="22" s="1"/>
  <c r="O30" i="22"/>
  <c r="O38" i="22" s="1"/>
  <c r="O35" i="22"/>
  <c r="O39" i="22" s="1"/>
  <c r="O68" i="15"/>
  <c r="O71" i="15"/>
  <c r="O94" i="15" s="1"/>
  <c r="N74" i="15"/>
  <c r="N97" i="15" s="1"/>
  <c r="O73" i="15"/>
  <c r="N70" i="15"/>
  <c r="N93" i="15" s="1"/>
  <c r="O72" i="15"/>
  <c r="O95" i="15" s="1"/>
  <c r="O69" i="15"/>
  <c r="O92" i="15" s="1"/>
  <c r="O79" i="22"/>
  <c r="O90" i="22" s="1"/>
  <c r="O78" i="22"/>
  <c r="O83" i="22"/>
  <c r="O81" i="22"/>
  <c r="O92" i="22" s="1"/>
  <c r="O84" i="22"/>
  <c r="O95" i="22" s="1"/>
  <c r="O82" i="22"/>
  <c r="O93" i="22" s="1"/>
  <c r="J114" i="22"/>
  <c r="J116" i="22"/>
  <c r="J113" i="22"/>
  <c r="J117" i="22"/>
  <c r="J115" i="22"/>
  <c r="I120" i="22"/>
  <c r="H10" i="24" s="1"/>
  <c r="K110" i="22"/>
  <c r="P26" i="15"/>
  <c r="O122" i="22"/>
  <c r="P24" i="22"/>
  <c r="O123" i="22"/>
  <c r="O98" i="22"/>
  <c r="O124" i="22" l="1"/>
  <c r="N18" i="24" s="1"/>
  <c r="G12" i="3"/>
  <c r="O80" i="22"/>
  <c r="N86" i="22"/>
  <c r="L77" i="3" s="1"/>
  <c r="N76" i="15"/>
  <c r="L79" i="3" s="1"/>
  <c r="N77" i="15"/>
  <c r="L80" i="3" s="1"/>
  <c r="O87" i="22"/>
  <c r="M78" i="3" s="1"/>
  <c r="L78" i="3"/>
  <c r="P80" i="15"/>
  <c r="P88" i="15" s="1"/>
  <c r="P85" i="15"/>
  <c r="P89" i="15" s="1"/>
  <c r="P56" i="15"/>
  <c r="P64" i="15" s="1"/>
  <c r="P61" i="15"/>
  <c r="P65" i="15" s="1"/>
  <c r="P44" i="15"/>
  <c r="P52" i="15" s="1"/>
  <c r="O91" i="15"/>
  <c r="P49" i="15"/>
  <c r="P53" i="15" s="1"/>
  <c r="P32" i="15"/>
  <c r="P40" i="15" s="1"/>
  <c r="P37" i="15"/>
  <c r="P41" i="15" s="1"/>
  <c r="O96" i="15"/>
  <c r="N108" i="22"/>
  <c r="P66" i="22"/>
  <c r="P74" i="22" s="1"/>
  <c r="P71" i="22"/>
  <c r="P75" i="22" s="1"/>
  <c r="P54" i="22"/>
  <c r="P62" i="22" s="1"/>
  <c r="P59" i="22"/>
  <c r="P63" i="22" s="1"/>
  <c r="P47" i="22"/>
  <c r="P51" i="22" s="1"/>
  <c r="O94" i="22"/>
  <c r="O89" i="22"/>
  <c r="P42" i="22"/>
  <c r="P50" i="22" s="1"/>
  <c r="P35" i="22"/>
  <c r="P39" i="22" s="1"/>
  <c r="P30" i="22"/>
  <c r="P38" i="22" s="1"/>
  <c r="P73" i="15"/>
  <c r="P72" i="15"/>
  <c r="P95" i="15" s="1"/>
  <c r="P71" i="15"/>
  <c r="P94" i="15" s="1"/>
  <c r="P69" i="15"/>
  <c r="P92" i="15" s="1"/>
  <c r="O74" i="15"/>
  <c r="O97" i="15" s="1"/>
  <c r="O70" i="15"/>
  <c r="O93" i="15" s="1"/>
  <c r="P68" i="15"/>
  <c r="P81" i="22"/>
  <c r="P92" i="22" s="1"/>
  <c r="P79" i="22"/>
  <c r="P90" i="22" s="1"/>
  <c r="P83" i="22"/>
  <c r="P82" i="22"/>
  <c r="P93" i="22" s="1"/>
  <c r="P78" i="22"/>
  <c r="P84" i="22"/>
  <c r="P95" i="22" s="1"/>
  <c r="M20" i="3"/>
  <c r="K114" i="22"/>
  <c r="K115" i="22"/>
  <c r="K117" i="22"/>
  <c r="K113" i="22"/>
  <c r="K116" i="22"/>
  <c r="J120" i="22"/>
  <c r="I10" i="24" s="1"/>
  <c r="L110" i="22"/>
  <c r="P98" i="22"/>
  <c r="O91" i="22" l="1"/>
  <c r="O108" i="22" s="1"/>
  <c r="H12" i="3"/>
  <c r="O86" i="22"/>
  <c r="M77" i="3" s="1"/>
  <c r="P80" i="22"/>
  <c r="P91" i="22" s="1"/>
  <c r="O76" i="15"/>
  <c r="M79" i="3" s="1"/>
  <c r="O77" i="15"/>
  <c r="M80" i="3" s="1"/>
  <c r="P87" i="22"/>
  <c r="N78" i="3" s="1"/>
  <c r="P91" i="15"/>
  <c r="P96" i="15"/>
  <c r="P94" i="22"/>
  <c r="P89" i="22"/>
  <c r="P70" i="15"/>
  <c r="P93" i="15" s="1"/>
  <c r="P74" i="15"/>
  <c r="P97" i="15" s="1"/>
  <c r="L114" i="22"/>
  <c r="L115" i="22"/>
  <c r="L116" i="22"/>
  <c r="L113" i="22"/>
  <c r="L117" i="22"/>
  <c r="K120" i="22"/>
  <c r="J10" i="24" s="1"/>
  <c r="M110" i="22"/>
  <c r="I12" i="3" l="1"/>
  <c r="P86" i="22"/>
  <c r="N77" i="3" s="1"/>
  <c r="P76" i="15"/>
  <c r="N79" i="3" s="1"/>
  <c r="P77" i="15"/>
  <c r="N80" i="3" s="1"/>
  <c r="P108" i="22"/>
  <c r="M114" i="22"/>
  <c r="M116" i="22"/>
  <c r="M117" i="22"/>
  <c r="M113" i="22"/>
  <c r="M115" i="22"/>
  <c r="L120" i="22"/>
  <c r="K10" i="24" s="1"/>
  <c r="N110" i="22"/>
  <c r="J12" i="3" l="1"/>
  <c r="N114" i="22"/>
  <c r="N115" i="22"/>
  <c r="N113" i="22"/>
  <c r="N117" i="22"/>
  <c r="N116" i="22"/>
  <c r="M120" i="22"/>
  <c r="L10" i="24" s="1"/>
  <c r="P110" i="22"/>
  <c r="O110" i="22"/>
  <c r="K12" i="3" l="1"/>
  <c r="O114" i="22"/>
  <c r="P114" i="22" s="1"/>
  <c r="O116" i="22"/>
  <c r="P116" i="22" s="1"/>
  <c r="O115" i="22"/>
  <c r="O117" i="22"/>
  <c r="P117" i="22" s="1"/>
  <c r="O113" i="22"/>
  <c r="P113" i="22" s="1"/>
  <c r="N120" i="22"/>
  <c r="M10" i="24" s="1"/>
  <c r="P115" i="22" l="1"/>
  <c r="P120" i="22" s="1"/>
  <c r="O10" i="24" s="1"/>
  <c r="L12" i="3"/>
  <c r="O120" i="22"/>
  <c r="N10" i="24" s="1"/>
  <c r="M12" i="3" l="1"/>
  <c r="N12" i="3"/>
  <c r="P122" i="22"/>
  <c r="P123" i="22" l="1"/>
  <c r="N20" i="3" s="1"/>
  <c r="C49" i="18"/>
  <c r="F49" i="18" s="1"/>
  <c r="P124" i="22" l="1"/>
  <c r="O18" i="24" s="1"/>
  <c r="G49" i="18"/>
  <c r="H49" i="18" s="1"/>
  <c r="I49" i="18" s="1"/>
  <c r="J49" i="18" s="1"/>
  <c r="K49" i="18" s="1"/>
  <c r="L49" i="18" s="1"/>
  <c r="M49" i="18" s="1"/>
  <c r="N49" i="18" s="1"/>
  <c r="O49" i="18" s="1"/>
  <c r="P49" i="18" s="1"/>
  <c r="F85" i="19"/>
  <c r="F42" i="9"/>
  <c r="C61" i="21"/>
  <c r="F61" i="21" s="1"/>
  <c r="F62" i="21" s="1"/>
  <c r="D26" i="3" l="1"/>
  <c r="E24" i="24"/>
  <c r="C90" i="19"/>
  <c r="F10" i="3"/>
  <c r="G10" i="3" s="1"/>
  <c r="H10" i="3" s="1"/>
  <c r="I10" i="3" s="1"/>
  <c r="J10" i="3" s="1"/>
  <c r="K10" i="3" s="1"/>
  <c r="L10" i="3" s="1"/>
  <c r="M10" i="3" s="1"/>
  <c r="N10" i="3" s="1"/>
  <c r="E9" i="3"/>
  <c r="F9" i="3" s="1"/>
  <c r="G9" i="3" s="1"/>
  <c r="H9" i="3" s="1"/>
  <c r="I9" i="3" s="1"/>
  <c r="J9" i="3" s="1"/>
  <c r="K9" i="3" s="1"/>
  <c r="L9" i="3" s="1"/>
  <c r="M9" i="3" s="1"/>
  <c r="N9" i="3" s="1"/>
  <c r="C50" i="16"/>
  <c r="F50" i="16" s="1"/>
  <c r="C49" i="16"/>
  <c r="F49" i="16" s="1"/>
  <c r="C48" i="16"/>
  <c r="F48" i="16" s="1"/>
  <c r="F90" i="19" l="1"/>
  <c r="L90" i="19"/>
  <c r="N90" i="19"/>
  <c r="M90" i="19"/>
  <c r="K90" i="19"/>
  <c r="I90" i="19"/>
  <c r="J90" i="19"/>
  <c r="G90" i="19"/>
  <c r="H90" i="19"/>
  <c r="P90" i="19"/>
  <c r="O90" i="19"/>
  <c r="H42" i="9" l="1"/>
  <c r="I42" i="9"/>
  <c r="J42" i="9"/>
  <c r="R90" i="19"/>
  <c r="C80" i="20"/>
  <c r="C81" i="20"/>
  <c r="J10" i="20"/>
  <c r="F86" i="20"/>
  <c r="J7" i="20"/>
  <c r="C71" i="20" s="1"/>
  <c r="C70" i="20" l="1"/>
  <c r="C87" i="20" l="1"/>
  <c r="P82" i="20"/>
  <c r="O82" i="20"/>
  <c r="N82" i="20"/>
  <c r="M82" i="20"/>
  <c r="L82" i="20"/>
  <c r="K82" i="20"/>
  <c r="J82" i="20"/>
  <c r="I82" i="20"/>
  <c r="H82" i="20"/>
  <c r="G82" i="20"/>
  <c r="F82" i="20"/>
  <c r="F80" i="20" s="1"/>
  <c r="G80" i="20" s="1"/>
  <c r="H80" i="20" s="1"/>
  <c r="I80" i="20" s="1"/>
  <c r="J80" i="20" s="1"/>
  <c r="K80" i="20" s="1"/>
  <c r="L80" i="20" s="1"/>
  <c r="M80" i="20" s="1"/>
  <c r="N80" i="20" s="1"/>
  <c r="O80" i="20" s="1"/>
  <c r="P80" i="20" s="1"/>
  <c r="C82" i="20"/>
  <c r="C76" i="20"/>
  <c r="C72" i="20"/>
  <c r="M72" i="20" s="1"/>
  <c r="H26" i="20"/>
  <c r="I26" i="20" s="1"/>
  <c r="J26" i="20" s="1"/>
  <c r="K26" i="20" s="1"/>
  <c r="L26" i="20" s="1"/>
  <c r="M26" i="20" s="1"/>
  <c r="N26" i="20" s="1"/>
  <c r="O26" i="20" s="1"/>
  <c r="P26" i="20" s="1"/>
  <c r="G25" i="20"/>
  <c r="H22" i="19"/>
  <c r="I22" i="19" s="1"/>
  <c r="J22" i="19" s="1"/>
  <c r="K22" i="19" s="1"/>
  <c r="L22" i="19" s="1"/>
  <c r="M22" i="19" s="1"/>
  <c r="N22" i="19" s="1"/>
  <c r="O22" i="19" s="1"/>
  <c r="P22" i="19" s="1"/>
  <c r="G21" i="19"/>
  <c r="G85" i="19" s="1"/>
  <c r="I76" i="20" l="1"/>
  <c r="P76" i="20"/>
  <c r="H76" i="20"/>
  <c r="O76" i="20"/>
  <c r="G76" i="20"/>
  <c r="N76" i="20"/>
  <c r="M76" i="20"/>
  <c r="L76" i="20"/>
  <c r="K76" i="20"/>
  <c r="J76" i="20"/>
  <c r="G86" i="20"/>
  <c r="H25" i="20"/>
  <c r="I25" i="20" s="1"/>
  <c r="J25" i="20" s="1"/>
  <c r="J86" i="20" s="1"/>
  <c r="F87" i="20"/>
  <c r="G72" i="20"/>
  <c r="J72" i="20"/>
  <c r="L72" i="20"/>
  <c r="O72" i="20"/>
  <c r="F72" i="20"/>
  <c r="H72" i="20"/>
  <c r="K72" i="20"/>
  <c r="N72" i="20"/>
  <c r="P72" i="20"/>
  <c r="F76" i="20"/>
  <c r="I72" i="20"/>
  <c r="F86" i="19"/>
  <c r="G86" i="19"/>
  <c r="H21" i="19"/>
  <c r="H85" i="19" s="1"/>
  <c r="C38" i="13"/>
  <c r="Y14" i="1"/>
  <c r="X14" i="1"/>
  <c r="W14" i="1"/>
  <c r="V14" i="1"/>
  <c r="U14" i="1"/>
  <c r="T14" i="1"/>
  <c r="S14" i="1"/>
  <c r="R14" i="1"/>
  <c r="Q14" i="1"/>
  <c r="C62" i="18"/>
  <c r="F61" i="18"/>
  <c r="C41" i="18"/>
  <c r="F41" i="18" s="1"/>
  <c r="F48" i="18" s="1"/>
  <c r="C40" i="18"/>
  <c r="F40" i="18" s="1"/>
  <c r="F47" i="18" s="1"/>
  <c r="C39" i="18"/>
  <c r="F39" i="18" s="1"/>
  <c r="F46" i="18" s="1"/>
  <c r="D27" i="3" l="1"/>
  <c r="F88" i="20"/>
  <c r="E25" i="24" s="1"/>
  <c r="Z14" i="1"/>
  <c r="G6" i="9" s="1"/>
  <c r="G87" i="20"/>
  <c r="E27" i="3" s="1"/>
  <c r="N42" i="13"/>
  <c r="M42" i="13"/>
  <c r="L42" i="13"/>
  <c r="K42" i="13"/>
  <c r="J42" i="13"/>
  <c r="F42" i="13"/>
  <c r="I42" i="13"/>
  <c r="P42" i="13"/>
  <c r="H42" i="13"/>
  <c r="O42" i="13"/>
  <c r="G42" i="13"/>
  <c r="H39" i="9" s="1"/>
  <c r="H86" i="20"/>
  <c r="I86" i="20"/>
  <c r="F71" i="20"/>
  <c r="G71" i="20" s="1"/>
  <c r="H71" i="20" s="1"/>
  <c r="I71" i="20" s="1"/>
  <c r="J71" i="20" s="1"/>
  <c r="K71" i="20" s="1"/>
  <c r="L71" i="20" s="1"/>
  <c r="M71" i="20" s="1"/>
  <c r="N71" i="20" s="1"/>
  <c r="O71" i="20" s="1"/>
  <c r="P71" i="20" s="1"/>
  <c r="F70" i="20"/>
  <c r="K25" i="20"/>
  <c r="K86" i="20" s="1"/>
  <c r="J87" i="20"/>
  <c r="H27" i="3" s="1"/>
  <c r="F38" i="13"/>
  <c r="H86" i="19"/>
  <c r="I21" i="19"/>
  <c r="I85" i="19" s="1"/>
  <c r="F62" i="18"/>
  <c r="D24" i="3" s="1"/>
  <c r="C101" i="17"/>
  <c r="F100" i="17"/>
  <c r="D25" i="3" l="1"/>
  <c r="F39" i="13"/>
  <c r="E23" i="24" s="1"/>
  <c r="E22" i="24"/>
  <c r="G88" i="20"/>
  <c r="F25" i="24" s="1"/>
  <c r="J88" i="20"/>
  <c r="I25" i="24" s="1"/>
  <c r="I39" i="9"/>
  <c r="J39" i="9"/>
  <c r="F75" i="20"/>
  <c r="F77" i="20" s="1"/>
  <c r="F81" i="20" s="1"/>
  <c r="I87" i="20"/>
  <c r="G27" i="3" s="1"/>
  <c r="H87" i="20"/>
  <c r="F27" i="3" s="1"/>
  <c r="F101" i="17"/>
  <c r="D23" i="3" s="1"/>
  <c r="G70" i="20"/>
  <c r="K87" i="20"/>
  <c r="I27" i="3" s="1"/>
  <c r="L25" i="20"/>
  <c r="L86" i="20" s="1"/>
  <c r="J21" i="19"/>
  <c r="J85" i="19" s="1"/>
  <c r="I86" i="19"/>
  <c r="I88" i="20" l="1"/>
  <c r="H25" i="24" s="1"/>
  <c r="H88" i="20"/>
  <c r="G25" i="24" s="1"/>
  <c r="K88" i="20"/>
  <c r="J25" i="24" s="1"/>
  <c r="G39" i="9"/>
  <c r="G75" i="20"/>
  <c r="G77" i="20" s="1"/>
  <c r="H70" i="20"/>
  <c r="M25" i="20"/>
  <c r="M86" i="20" s="1"/>
  <c r="L87" i="20"/>
  <c r="J27" i="3" s="1"/>
  <c r="F84" i="20"/>
  <c r="J86" i="19"/>
  <c r="K21" i="19"/>
  <c r="K85" i="19" s="1"/>
  <c r="C69" i="16"/>
  <c r="F68" i="16"/>
  <c r="C60" i="16"/>
  <c r="C47" i="16"/>
  <c r="F47" i="16" s="1"/>
  <c r="L88" i="20" l="1"/>
  <c r="K25" i="24" s="1"/>
  <c r="D16" i="3"/>
  <c r="E14" i="24"/>
  <c r="H75" i="20"/>
  <c r="H77" i="20" s="1"/>
  <c r="F54" i="16"/>
  <c r="F56" i="16" s="1"/>
  <c r="G81" i="20"/>
  <c r="I70" i="20"/>
  <c r="M87" i="20"/>
  <c r="K27" i="3" s="1"/>
  <c r="N25" i="20"/>
  <c r="N86" i="20" s="1"/>
  <c r="K86" i="19"/>
  <c r="L21" i="19"/>
  <c r="L85" i="19" s="1"/>
  <c r="F69" i="16"/>
  <c r="D22" i="3" s="1"/>
  <c r="M88" i="20" l="1"/>
  <c r="L25" i="24" s="1"/>
  <c r="I75" i="20"/>
  <c r="I77" i="20" s="1"/>
  <c r="G84" i="20"/>
  <c r="H81" i="20"/>
  <c r="J70" i="20"/>
  <c r="O25" i="20"/>
  <c r="O86" i="20" s="1"/>
  <c r="N87" i="20"/>
  <c r="L27" i="3" s="1"/>
  <c r="L86" i="19"/>
  <c r="M21" i="19"/>
  <c r="M85" i="19" s="1"/>
  <c r="F14" i="24" l="1"/>
  <c r="N88" i="20"/>
  <c r="M25" i="24" s="1"/>
  <c r="J75" i="20"/>
  <c r="J77" i="20" s="1"/>
  <c r="E16" i="3"/>
  <c r="H84" i="20"/>
  <c r="I81" i="20"/>
  <c r="K70" i="20"/>
  <c r="O87" i="20"/>
  <c r="M27" i="3" s="1"/>
  <c r="P25" i="20"/>
  <c r="N21" i="19"/>
  <c r="N85" i="19" s="1"/>
  <c r="M86" i="19"/>
  <c r="G14" i="24" l="1"/>
  <c r="O88" i="20"/>
  <c r="N25" i="24" s="1"/>
  <c r="K75" i="20"/>
  <c r="K77" i="20" s="1"/>
  <c r="J81" i="20"/>
  <c r="F16" i="3"/>
  <c r="I84" i="20"/>
  <c r="L70" i="20"/>
  <c r="N86" i="19"/>
  <c r="O21" i="19"/>
  <c r="O85" i="19" s="1"/>
  <c r="H14" i="24" l="1"/>
  <c r="L75" i="20"/>
  <c r="L77" i="20" s="1"/>
  <c r="G16" i="3"/>
  <c r="J84" i="20"/>
  <c r="K81" i="20"/>
  <c r="M70" i="20"/>
  <c r="O86" i="19"/>
  <c r="P21" i="19"/>
  <c r="N65" i="9"/>
  <c r="I14" i="24" l="1"/>
  <c r="D60" i="9"/>
  <c r="F60" i="9" s="1"/>
  <c r="J60" i="9"/>
  <c r="J76" i="9" s="1"/>
  <c r="I60" i="9"/>
  <c r="H60" i="9"/>
  <c r="H76" i="9" s="1"/>
  <c r="J59" i="9"/>
  <c r="J75" i="9" s="1"/>
  <c r="I59" i="9"/>
  <c r="I75" i="9" s="1"/>
  <c r="H59" i="9"/>
  <c r="H56" i="9"/>
  <c r="J56" i="9"/>
  <c r="J72" i="9" s="1"/>
  <c r="I56" i="9"/>
  <c r="I72" i="9" s="1"/>
  <c r="M75" i="20"/>
  <c r="M77" i="20" s="1"/>
  <c r="H16" i="3"/>
  <c r="D59" i="9"/>
  <c r="D57" i="9"/>
  <c r="F57" i="9" s="1"/>
  <c r="K84" i="20"/>
  <c r="L81" i="20"/>
  <c r="N70" i="20"/>
  <c r="J14" i="24" l="1"/>
  <c r="F116" i="3"/>
  <c r="G60" i="9"/>
  <c r="F76" i="9"/>
  <c r="G76" i="9" s="1"/>
  <c r="C66" i="21"/>
  <c r="F66" i="21" s="1"/>
  <c r="F73" i="9"/>
  <c r="C94" i="19"/>
  <c r="F94" i="19" s="1"/>
  <c r="G56" i="9"/>
  <c r="H75" i="9"/>
  <c r="I76" i="9"/>
  <c r="H72" i="9"/>
  <c r="M68" i="9"/>
  <c r="M69" i="9" s="1"/>
  <c r="M70" i="9" s="1"/>
  <c r="N75" i="20"/>
  <c r="N77" i="20" s="1"/>
  <c r="M81" i="20"/>
  <c r="I16" i="3"/>
  <c r="G66" i="21"/>
  <c r="F59" i="9"/>
  <c r="L84" i="20"/>
  <c r="O70" i="20"/>
  <c r="C51" i="21"/>
  <c r="M51" i="21" s="1"/>
  <c r="F46" i="21"/>
  <c r="H29" i="21"/>
  <c r="I29" i="21" s="1"/>
  <c r="J29" i="21" s="1"/>
  <c r="K29" i="21" s="1"/>
  <c r="L29" i="21" s="1"/>
  <c r="M29" i="21" s="1"/>
  <c r="N29" i="21" s="1"/>
  <c r="O29" i="21" s="1"/>
  <c r="P29" i="21" s="1"/>
  <c r="G28" i="21"/>
  <c r="K14" i="24" l="1"/>
  <c r="H94" i="19"/>
  <c r="M94" i="19"/>
  <c r="O66" i="21"/>
  <c r="H66" i="21"/>
  <c r="L66" i="21"/>
  <c r="N94" i="19"/>
  <c r="J94" i="19"/>
  <c r="I66" i="21"/>
  <c r="N66" i="21"/>
  <c r="L94" i="19"/>
  <c r="J66" i="21"/>
  <c r="P94" i="19"/>
  <c r="F118" i="3"/>
  <c r="G59" i="9"/>
  <c r="F75" i="9"/>
  <c r="G75" i="9" s="1"/>
  <c r="K94" i="19"/>
  <c r="I94" i="19"/>
  <c r="G94" i="19"/>
  <c r="K66" i="21"/>
  <c r="P66" i="21"/>
  <c r="O94" i="19"/>
  <c r="M66" i="21"/>
  <c r="M71" i="9"/>
  <c r="O75" i="20"/>
  <c r="O77" i="20" s="1"/>
  <c r="J16" i="3"/>
  <c r="G58" i="21"/>
  <c r="G59" i="21"/>
  <c r="C93" i="19"/>
  <c r="H28" i="21"/>
  <c r="F51" i="21"/>
  <c r="J51" i="21"/>
  <c r="O51" i="21"/>
  <c r="H51" i="21"/>
  <c r="L51" i="21"/>
  <c r="G51" i="21"/>
  <c r="G47" i="21" s="1"/>
  <c r="H47" i="21" s="1"/>
  <c r="I51" i="21"/>
  <c r="K51" i="21"/>
  <c r="N51" i="21"/>
  <c r="P51" i="21"/>
  <c r="M84" i="20"/>
  <c r="N81" i="20"/>
  <c r="P70" i="20"/>
  <c r="C84" i="17"/>
  <c r="P84" i="17" s="1"/>
  <c r="C83" i="17"/>
  <c r="C82" i="17"/>
  <c r="P42" i="18"/>
  <c r="O42" i="18"/>
  <c r="N42" i="18"/>
  <c r="M42" i="18"/>
  <c r="L42" i="18"/>
  <c r="K42" i="18"/>
  <c r="J42" i="18"/>
  <c r="I42" i="18"/>
  <c r="H42" i="18"/>
  <c r="G42" i="18"/>
  <c r="F42" i="18"/>
  <c r="C38" i="18"/>
  <c r="L122" i="3" s="1"/>
  <c r="C37" i="18"/>
  <c r="C56" i="18"/>
  <c r="C55" i="18"/>
  <c r="C54" i="18"/>
  <c r="C53" i="18"/>
  <c r="L14" i="24" l="1"/>
  <c r="F37" i="18"/>
  <c r="L121" i="3"/>
  <c r="R94" i="19"/>
  <c r="C106" i="19" s="1"/>
  <c r="D9" i="6"/>
  <c r="G57" i="24"/>
  <c r="I6" i="6"/>
  <c r="M104" i="3" s="1"/>
  <c r="P75" i="20"/>
  <c r="P77" i="20" s="1"/>
  <c r="F93" i="19"/>
  <c r="K93" i="19"/>
  <c r="O93" i="19"/>
  <c r="J93" i="19"/>
  <c r="N93" i="19"/>
  <c r="I93" i="19"/>
  <c r="H93" i="19"/>
  <c r="P93" i="19"/>
  <c r="G93" i="19"/>
  <c r="L93" i="19"/>
  <c r="M93" i="19"/>
  <c r="K16" i="3"/>
  <c r="H58" i="21"/>
  <c r="H59" i="21"/>
  <c r="I47" i="21"/>
  <c r="G61" i="21"/>
  <c r="G62" i="21" s="1"/>
  <c r="I28" i="21"/>
  <c r="G46" i="21"/>
  <c r="N84" i="20"/>
  <c r="O81" i="20"/>
  <c r="G37" i="18"/>
  <c r="H37" i="18" s="1"/>
  <c r="I37" i="18" s="1"/>
  <c r="J37" i="18" s="1"/>
  <c r="K37" i="18" s="1"/>
  <c r="L37" i="18" s="1"/>
  <c r="M37" i="18" s="1"/>
  <c r="N37" i="18" s="1"/>
  <c r="O37" i="18" s="1"/>
  <c r="P37" i="18" s="1"/>
  <c r="G39" i="18"/>
  <c r="G46" i="18" s="1"/>
  <c r="G41" i="18"/>
  <c r="G48" i="18" s="1"/>
  <c r="G40" i="18"/>
  <c r="G47" i="18" s="1"/>
  <c r="I84" i="17"/>
  <c r="M84" i="17"/>
  <c r="F84" i="17"/>
  <c r="F83" i="17" s="1"/>
  <c r="J84" i="17"/>
  <c r="N84" i="17"/>
  <c r="G84" i="17"/>
  <c r="K84" i="17"/>
  <c r="O84" i="17"/>
  <c r="H84" i="17"/>
  <c r="L84" i="17"/>
  <c r="F38" i="18"/>
  <c r="F45" i="18" s="1"/>
  <c r="M14" i="24" l="1"/>
  <c r="E26" i="3"/>
  <c r="F24" i="24"/>
  <c r="G116" i="3"/>
  <c r="H61" i="21"/>
  <c r="H62" i="21" s="1"/>
  <c r="R93" i="19"/>
  <c r="L16" i="3"/>
  <c r="I58" i="21"/>
  <c r="I59" i="21"/>
  <c r="J47" i="21"/>
  <c r="K47" i="21" s="1"/>
  <c r="L47" i="21" s="1"/>
  <c r="M47" i="21" s="1"/>
  <c r="N47" i="21" s="1"/>
  <c r="O47" i="21" s="1"/>
  <c r="P47" i="21" s="1"/>
  <c r="I54" i="21"/>
  <c r="J54" i="21" s="1"/>
  <c r="H40" i="18"/>
  <c r="H47" i="18" s="1"/>
  <c r="H41" i="18"/>
  <c r="H48" i="18" s="1"/>
  <c r="J28" i="21"/>
  <c r="H46" i="21"/>
  <c r="O84" i="20"/>
  <c r="P81" i="20"/>
  <c r="H39" i="18"/>
  <c r="H46" i="18" s="1"/>
  <c r="P85" i="19"/>
  <c r="G38" i="18"/>
  <c r="G45" i="18" s="1"/>
  <c r="F50" i="18"/>
  <c r="G83" i="17"/>
  <c r="F82" i="17"/>
  <c r="G82" i="17" s="1"/>
  <c r="H82" i="17" s="1"/>
  <c r="I82" i="17" s="1"/>
  <c r="J82" i="17" s="1"/>
  <c r="K82" i="17" s="1"/>
  <c r="L82" i="17" s="1"/>
  <c r="M82" i="17" s="1"/>
  <c r="N82" i="17" s="1"/>
  <c r="O82" i="17" s="1"/>
  <c r="P82" i="17" s="1"/>
  <c r="F41" i="9"/>
  <c r="C89" i="19" s="1"/>
  <c r="F40" i="9"/>
  <c r="C65" i="21" s="1"/>
  <c r="N14" i="24" l="1"/>
  <c r="F26" i="3"/>
  <c r="G24" i="24"/>
  <c r="C105" i="19"/>
  <c r="G118" i="3" s="1"/>
  <c r="F89" i="19"/>
  <c r="K89" i="19"/>
  <c r="G89" i="19"/>
  <c r="L89" i="19"/>
  <c r="J89" i="19"/>
  <c r="O89" i="19"/>
  <c r="H89" i="19"/>
  <c r="N89" i="19"/>
  <c r="P89" i="19"/>
  <c r="I89" i="19"/>
  <c r="M89" i="19"/>
  <c r="M16" i="3"/>
  <c r="J58" i="21"/>
  <c r="J59" i="21"/>
  <c r="F65" i="21"/>
  <c r="H65" i="21"/>
  <c r="N65" i="21"/>
  <c r="G65" i="21"/>
  <c r="P65" i="21"/>
  <c r="I65" i="21"/>
  <c r="M65" i="21"/>
  <c r="O65" i="21"/>
  <c r="J65" i="21"/>
  <c r="K65" i="21"/>
  <c r="L65" i="21"/>
  <c r="M20" i="21"/>
  <c r="M21" i="21" s="1"/>
  <c r="M9" i="21"/>
  <c r="M10" i="21" s="1"/>
  <c r="M11" i="21" s="1"/>
  <c r="M12" i="21" s="1"/>
  <c r="M13" i="21" s="1"/>
  <c r="J12" i="21" s="1"/>
  <c r="J20" i="21"/>
  <c r="I41" i="18"/>
  <c r="I40" i="18"/>
  <c r="H83" i="17"/>
  <c r="K28" i="21"/>
  <c r="G56" i="21"/>
  <c r="I46" i="21"/>
  <c r="J46" i="21" s="1"/>
  <c r="K46" i="21" s="1"/>
  <c r="L46" i="21" s="1"/>
  <c r="M46" i="21" s="1"/>
  <c r="P86" i="20"/>
  <c r="P84" i="20"/>
  <c r="O14" i="24" s="1"/>
  <c r="I39" i="18"/>
  <c r="I46" i="18" s="1"/>
  <c r="H38" i="18"/>
  <c r="H45" i="18" s="1"/>
  <c r="G50" i="18"/>
  <c r="C63" i="16"/>
  <c r="C62" i="16"/>
  <c r="C61" i="16"/>
  <c r="C59" i="16"/>
  <c r="C51" i="16"/>
  <c r="O51" i="16" s="1"/>
  <c r="K54" i="21" l="1"/>
  <c r="L54" i="21" s="1"/>
  <c r="M54" i="21" s="1"/>
  <c r="N16" i="3"/>
  <c r="I41" i="9"/>
  <c r="I58" i="9" s="1"/>
  <c r="I74" i="9" s="1"/>
  <c r="J41" i="9"/>
  <c r="J58" i="9" s="1"/>
  <c r="J74" i="9" s="1"/>
  <c r="H41" i="9"/>
  <c r="I40" i="9"/>
  <c r="I57" i="9" s="1"/>
  <c r="I73" i="9" s="1"/>
  <c r="J40" i="9"/>
  <c r="J57" i="9" s="1"/>
  <c r="J73" i="9" s="1"/>
  <c r="H40" i="9"/>
  <c r="R89" i="19"/>
  <c r="P87" i="20"/>
  <c r="N27" i="3" s="1"/>
  <c r="K58" i="21"/>
  <c r="K59" i="21"/>
  <c r="J41" i="18"/>
  <c r="I48" i="18"/>
  <c r="J40" i="18"/>
  <c r="I47" i="18"/>
  <c r="I67" i="21"/>
  <c r="H44" i="24" s="1"/>
  <c r="P67" i="21"/>
  <c r="O44" i="24" s="1"/>
  <c r="G67" i="21"/>
  <c r="F44" i="24" s="1"/>
  <c r="N46" i="21"/>
  <c r="O46" i="21" s="1"/>
  <c r="P46" i="21" s="1"/>
  <c r="J67" i="21"/>
  <c r="I44" i="24" s="1"/>
  <c r="M22" i="21"/>
  <c r="M23" i="21" s="1"/>
  <c r="M24" i="21" s="1"/>
  <c r="J14" i="21" s="1"/>
  <c r="I83" i="17"/>
  <c r="L28" i="21"/>
  <c r="H56" i="21"/>
  <c r="J39" i="18"/>
  <c r="J46" i="18" s="1"/>
  <c r="P86" i="19"/>
  <c r="I38" i="18"/>
  <c r="I45" i="18" s="1"/>
  <c r="L51" i="16"/>
  <c r="H51" i="16"/>
  <c r="P51" i="16"/>
  <c r="I51" i="16"/>
  <c r="M51" i="16"/>
  <c r="F51" i="16"/>
  <c r="J51" i="16"/>
  <c r="N51" i="16"/>
  <c r="G51" i="16"/>
  <c r="K51" i="16"/>
  <c r="P88" i="20" l="1"/>
  <c r="O25" i="24" s="1"/>
  <c r="H46" i="3"/>
  <c r="E46" i="3"/>
  <c r="N46" i="3"/>
  <c r="G46" i="3"/>
  <c r="H57" i="9"/>
  <c r="H58" i="9"/>
  <c r="L58" i="21"/>
  <c r="L59" i="21"/>
  <c r="N54" i="21"/>
  <c r="O54" i="21" s="1"/>
  <c r="P54" i="21" s="1"/>
  <c r="J48" i="18"/>
  <c r="K41" i="18"/>
  <c r="K40" i="18"/>
  <c r="J47" i="18"/>
  <c r="G69" i="21"/>
  <c r="H67" i="21"/>
  <c r="G44" i="24" s="1"/>
  <c r="L67" i="21"/>
  <c r="K44" i="24" s="1"/>
  <c r="K67" i="21"/>
  <c r="J44" i="24" s="1"/>
  <c r="M67" i="21"/>
  <c r="L44" i="24" s="1"/>
  <c r="N67" i="21"/>
  <c r="M44" i="24" s="1"/>
  <c r="O67" i="21"/>
  <c r="N44" i="24" s="1"/>
  <c r="J83" i="17"/>
  <c r="M28" i="21"/>
  <c r="I56" i="21"/>
  <c r="G50" i="16"/>
  <c r="G49" i="16"/>
  <c r="H49" i="16" s="1"/>
  <c r="I49" i="16" s="1"/>
  <c r="J49" i="16" s="1"/>
  <c r="K49" i="16" s="1"/>
  <c r="L49" i="16" s="1"/>
  <c r="M49" i="16" s="1"/>
  <c r="N49" i="16" s="1"/>
  <c r="O49" i="16" s="1"/>
  <c r="P49" i="16" s="1"/>
  <c r="G48" i="16"/>
  <c r="G47" i="16"/>
  <c r="H47" i="16" s="1"/>
  <c r="I47" i="16" s="1"/>
  <c r="J47" i="16" s="1"/>
  <c r="K39" i="18"/>
  <c r="K46" i="18" s="1"/>
  <c r="J38" i="18"/>
  <c r="J45" i="18" s="1"/>
  <c r="K46" i="3" l="1"/>
  <c r="I46" i="3"/>
  <c r="L46" i="3"/>
  <c r="J46" i="3"/>
  <c r="F46" i="3"/>
  <c r="M46" i="3"/>
  <c r="H74" i="9"/>
  <c r="H73" i="9"/>
  <c r="M58" i="21"/>
  <c r="M59" i="21"/>
  <c r="H69" i="21"/>
  <c r="L41" i="18"/>
  <c r="K48" i="18"/>
  <c r="L40" i="18"/>
  <c r="K47" i="18"/>
  <c r="G54" i="16"/>
  <c r="G56" i="16" s="1"/>
  <c r="K83" i="17"/>
  <c r="K47" i="16"/>
  <c r="L47" i="16" s="1"/>
  <c r="M47" i="16" s="1"/>
  <c r="N47" i="16" s="1"/>
  <c r="O47" i="16" s="1"/>
  <c r="P47" i="16" s="1"/>
  <c r="N28" i="21"/>
  <c r="J56" i="21"/>
  <c r="H48" i="16"/>
  <c r="I48" i="16" s="1"/>
  <c r="H50" i="16"/>
  <c r="L39" i="18"/>
  <c r="L46" i="18" s="1"/>
  <c r="K38" i="18"/>
  <c r="N58" i="21" l="1"/>
  <c r="N59" i="21"/>
  <c r="L38" i="18"/>
  <c r="K45" i="18"/>
  <c r="M40" i="18"/>
  <c r="L47" i="18"/>
  <c r="M41" i="18"/>
  <c r="L48" i="18"/>
  <c r="I50" i="16"/>
  <c r="H54" i="16"/>
  <c r="L83" i="17"/>
  <c r="O28" i="21"/>
  <c r="K56" i="21"/>
  <c r="J50" i="16"/>
  <c r="J48" i="16"/>
  <c r="M39" i="18"/>
  <c r="M46" i="18" s="1"/>
  <c r="O58" i="21" l="1"/>
  <c r="O59" i="21"/>
  <c r="N40" i="18"/>
  <c r="M47" i="18"/>
  <c r="M38" i="18"/>
  <c r="L45" i="18"/>
  <c r="N41" i="18"/>
  <c r="M48" i="18"/>
  <c r="I54" i="16"/>
  <c r="J54" i="16" s="1"/>
  <c r="M83" i="17"/>
  <c r="H56" i="16"/>
  <c r="P28" i="21"/>
  <c r="L56" i="21"/>
  <c r="K48" i="16"/>
  <c r="K50" i="16"/>
  <c r="N39" i="18"/>
  <c r="N46" i="18" s="1"/>
  <c r="D50" i="9"/>
  <c r="F50" i="9" s="1"/>
  <c r="D58" i="9"/>
  <c r="D56" i="9"/>
  <c r="N38" i="18" l="1"/>
  <c r="M45" i="18"/>
  <c r="O40" i="18"/>
  <c r="N47" i="18"/>
  <c r="O41" i="18"/>
  <c r="N48" i="18"/>
  <c r="K54" i="16"/>
  <c r="N83" i="17"/>
  <c r="I56" i="16"/>
  <c r="F56" i="9"/>
  <c r="M56" i="21"/>
  <c r="L50" i="16"/>
  <c r="L48" i="16"/>
  <c r="F58" i="9"/>
  <c r="O39" i="18"/>
  <c r="O46" i="18" s="1"/>
  <c r="G50" i="9"/>
  <c r="G66" i="9" l="1"/>
  <c r="G112" i="3"/>
  <c r="G58" i="9"/>
  <c r="F74" i="9"/>
  <c r="G74" i="9" s="1"/>
  <c r="C43" i="13"/>
  <c r="F43" i="13" s="1"/>
  <c r="F72" i="9"/>
  <c r="G72" i="9" s="1"/>
  <c r="C92" i="19"/>
  <c r="F92" i="19" s="1"/>
  <c r="F117" i="3"/>
  <c r="P40" i="18"/>
  <c r="O47" i="18"/>
  <c r="O38" i="18"/>
  <c r="N45" i="18"/>
  <c r="P41" i="18"/>
  <c r="O48" i="18"/>
  <c r="L54" i="16"/>
  <c r="O83" i="17"/>
  <c r="J56" i="16"/>
  <c r="N56" i="21"/>
  <c r="M48" i="16"/>
  <c r="M50" i="16"/>
  <c r="P39" i="18"/>
  <c r="P46" i="18" s="1"/>
  <c r="G43" i="13" l="1"/>
  <c r="G44" i="13" s="1"/>
  <c r="F43" i="24" s="1"/>
  <c r="I43" i="13"/>
  <c r="J43" i="13"/>
  <c r="K43" i="13"/>
  <c r="L43" i="13"/>
  <c r="M43" i="13"/>
  <c r="J92" i="19"/>
  <c r="N43" i="13"/>
  <c r="N92" i="19"/>
  <c r="N95" i="19" s="1"/>
  <c r="L47" i="3" s="1"/>
  <c r="O92" i="19"/>
  <c r="H43" i="13"/>
  <c r="M92" i="19"/>
  <c r="K92" i="19"/>
  <c r="K95" i="19" s="1"/>
  <c r="I47" i="3" s="1"/>
  <c r="H92" i="19"/>
  <c r="H95" i="19" s="1"/>
  <c r="F47" i="3" s="1"/>
  <c r="O43" i="13"/>
  <c r="L92" i="19"/>
  <c r="P43" i="13"/>
  <c r="I92" i="19"/>
  <c r="G92" i="19"/>
  <c r="P92" i="19"/>
  <c r="P95" i="19" s="1"/>
  <c r="N47" i="3" s="1"/>
  <c r="E37" i="24"/>
  <c r="F66" i="9"/>
  <c r="P38" i="18"/>
  <c r="O45" i="18"/>
  <c r="P47" i="18"/>
  <c r="P48" i="18"/>
  <c r="M54" i="16"/>
  <c r="I44" i="13"/>
  <c r="H43" i="24" s="1"/>
  <c r="P83" i="17"/>
  <c r="K56" i="16"/>
  <c r="O56" i="21"/>
  <c r="N50" i="16"/>
  <c r="N48" i="16"/>
  <c r="G45" i="24" l="1"/>
  <c r="J45" i="24"/>
  <c r="O45" i="24"/>
  <c r="M45" i="24"/>
  <c r="R92" i="19"/>
  <c r="C104" i="19" s="1"/>
  <c r="G117" i="3" s="1"/>
  <c r="G119" i="3" s="1"/>
  <c r="D17" i="6"/>
  <c r="G45" i="3"/>
  <c r="E45" i="3"/>
  <c r="P97" i="19"/>
  <c r="K97" i="19"/>
  <c r="H97" i="19"/>
  <c r="M95" i="19"/>
  <c r="K47" i="3" s="1"/>
  <c r="N97" i="19"/>
  <c r="J95" i="19"/>
  <c r="H47" i="3" s="1"/>
  <c r="G95" i="19"/>
  <c r="E47" i="3" s="1"/>
  <c r="P45" i="18"/>
  <c r="N54" i="16"/>
  <c r="H44" i="13"/>
  <c r="G43" i="24" s="1"/>
  <c r="K44" i="13"/>
  <c r="J43" i="24" s="1"/>
  <c r="N44" i="13"/>
  <c r="M43" i="24" s="1"/>
  <c r="J44" i="13"/>
  <c r="I43" i="24" s="1"/>
  <c r="M44" i="13"/>
  <c r="L43" i="24" s="1"/>
  <c r="P44" i="13"/>
  <c r="O43" i="24" s="1"/>
  <c r="O44" i="13"/>
  <c r="N43" i="24" s="1"/>
  <c r="L44" i="13"/>
  <c r="K43" i="24" s="1"/>
  <c r="L56" i="16"/>
  <c r="O110" i="15"/>
  <c r="P56" i="21"/>
  <c r="O48" i="16"/>
  <c r="O50" i="16"/>
  <c r="D62" i="9"/>
  <c r="E62" i="9" s="1"/>
  <c r="D61" i="9"/>
  <c r="E61" i="9" s="1"/>
  <c r="D51" i="9"/>
  <c r="D54" i="9"/>
  <c r="D55" i="9"/>
  <c r="D52" i="9"/>
  <c r="P96" i="17"/>
  <c r="O96" i="17"/>
  <c r="N96" i="17"/>
  <c r="M96" i="17"/>
  <c r="L96" i="17"/>
  <c r="K96" i="17"/>
  <c r="J96" i="17"/>
  <c r="I96" i="17"/>
  <c r="H96" i="17"/>
  <c r="G96" i="17"/>
  <c r="F96" i="17"/>
  <c r="C96" i="17"/>
  <c r="C95" i="17"/>
  <c r="J9" i="17"/>
  <c r="J7" i="17"/>
  <c r="L45" i="24" l="1"/>
  <c r="F45" i="24"/>
  <c r="I45" i="24"/>
  <c r="F45" i="3"/>
  <c r="J45" i="3"/>
  <c r="H45" i="3"/>
  <c r="I45" i="3"/>
  <c r="O112" i="15"/>
  <c r="O111" i="15"/>
  <c r="M21" i="3" s="1"/>
  <c r="D53" i="9"/>
  <c r="J15" i="13"/>
  <c r="J97" i="19"/>
  <c r="M97" i="19"/>
  <c r="G97" i="19"/>
  <c r="O54" i="16"/>
  <c r="M45" i="3"/>
  <c r="N45" i="3"/>
  <c r="K45" i="3"/>
  <c r="L45" i="3"/>
  <c r="M56" i="16"/>
  <c r="M110" i="15"/>
  <c r="J110" i="15"/>
  <c r="P110" i="15"/>
  <c r="K110" i="15"/>
  <c r="N110" i="15"/>
  <c r="L110" i="15"/>
  <c r="P50" i="16"/>
  <c r="P48" i="16"/>
  <c r="F53" i="9"/>
  <c r="F52" i="9"/>
  <c r="F51" i="9"/>
  <c r="F55" i="9"/>
  <c r="F61" i="9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O97" i="1"/>
  <c r="O96" i="1"/>
  <c r="O95" i="1"/>
  <c r="O94" i="1"/>
  <c r="O93" i="1"/>
  <c r="V26" i="1" s="1"/>
  <c r="O92" i="1"/>
  <c r="Q26" i="1" s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C93" i="20" l="1"/>
  <c r="G61" i="9"/>
  <c r="F71" i="9"/>
  <c r="C66" i="18"/>
  <c r="N66" i="18" s="1"/>
  <c r="C73" i="16"/>
  <c r="K73" i="16" s="1"/>
  <c r="F69" i="9"/>
  <c r="F67" i="9"/>
  <c r="C128" i="22"/>
  <c r="F68" i="9"/>
  <c r="C117" i="15"/>
  <c r="K117" i="15" s="1"/>
  <c r="O113" i="15"/>
  <c r="N19" i="24" s="1"/>
  <c r="L112" i="15"/>
  <c r="L111" i="15"/>
  <c r="J21" i="3" s="1"/>
  <c r="N112" i="15"/>
  <c r="N111" i="15"/>
  <c r="L21" i="3" s="1"/>
  <c r="K112" i="15"/>
  <c r="K111" i="15"/>
  <c r="I21" i="3" s="1"/>
  <c r="P112" i="15"/>
  <c r="P111" i="15"/>
  <c r="N21" i="3" s="1"/>
  <c r="J111" i="15"/>
  <c r="H21" i="3" s="1"/>
  <c r="J112" i="15"/>
  <c r="M112" i="15"/>
  <c r="M111" i="15"/>
  <c r="K21" i="3" s="1"/>
  <c r="Z26" i="1"/>
  <c r="G23" i="9" s="1"/>
  <c r="D33" i="3" s="1"/>
  <c r="F128" i="22"/>
  <c r="M128" i="22"/>
  <c r="I128" i="22"/>
  <c r="J128" i="22"/>
  <c r="K128" i="22"/>
  <c r="N128" i="22"/>
  <c r="O128" i="22"/>
  <c r="L128" i="22"/>
  <c r="P128" i="22"/>
  <c r="G128" i="22"/>
  <c r="H128" i="22"/>
  <c r="F93" i="20"/>
  <c r="H93" i="20"/>
  <c r="G93" i="20"/>
  <c r="K93" i="20"/>
  <c r="I93" i="20"/>
  <c r="O93" i="20"/>
  <c r="P93" i="20"/>
  <c r="J93" i="20"/>
  <c r="N93" i="20"/>
  <c r="L93" i="20"/>
  <c r="M93" i="20"/>
  <c r="F117" i="15"/>
  <c r="H117" i="15"/>
  <c r="P117" i="15"/>
  <c r="I117" i="15"/>
  <c r="G117" i="15"/>
  <c r="N117" i="15"/>
  <c r="P54" i="16"/>
  <c r="N56" i="16"/>
  <c r="F54" i="9"/>
  <c r="F62" i="9"/>
  <c r="C57" i="18"/>
  <c r="F57" i="18" s="1"/>
  <c r="H25" i="18"/>
  <c r="I25" i="18" s="1"/>
  <c r="J25" i="18" s="1"/>
  <c r="K25" i="18" s="1"/>
  <c r="L25" i="18" s="1"/>
  <c r="M25" i="18" s="1"/>
  <c r="N25" i="18" s="1"/>
  <c r="O25" i="18" s="1"/>
  <c r="P25" i="18" s="1"/>
  <c r="G24" i="18"/>
  <c r="C94" i="17"/>
  <c r="C93" i="17"/>
  <c r="C92" i="17"/>
  <c r="C88" i="17"/>
  <c r="F88" i="17" s="1"/>
  <c r="F87" i="17" s="1"/>
  <c r="H27" i="17"/>
  <c r="I27" i="17" s="1"/>
  <c r="J27" i="17" s="1"/>
  <c r="K27" i="17" s="1"/>
  <c r="L27" i="17" s="1"/>
  <c r="M27" i="17" s="1"/>
  <c r="N27" i="17" s="1"/>
  <c r="O27" i="17" s="1"/>
  <c r="P27" i="17" s="1"/>
  <c r="G26" i="17"/>
  <c r="L117" i="15" l="1"/>
  <c r="I73" i="16"/>
  <c r="J73" i="16"/>
  <c r="J117" i="15"/>
  <c r="G66" i="18"/>
  <c r="O66" i="18"/>
  <c r="H66" i="18"/>
  <c r="O117" i="15"/>
  <c r="P66" i="18"/>
  <c r="M117" i="15"/>
  <c r="F73" i="16"/>
  <c r="G73" i="16"/>
  <c r="K66" i="18"/>
  <c r="O73" i="16"/>
  <c r="G62" i="9"/>
  <c r="L66" i="18"/>
  <c r="I66" i="18"/>
  <c r="M73" i="16"/>
  <c r="M66" i="18"/>
  <c r="J66" i="18"/>
  <c r="H73" i="16"/>
  <c r="F70" i="9"/>
  <c r="C105" i="17"/>
  <c r="L73" i="16"/>
  <c r="F66" i="18"/>
  <c r="P73" i="16"/>
  <c r="N73" i="16"/>
  <c r="P113" i="15"/>
  <c r="O19" i="24" s="1"/>
  <c r="N113" i="15"/>
  <c r="M19" i="24" s="1"/>
  <c r="K113" i="15"/>
  <c r="J19" i="24" s="1"/>
  <c r="L113" i="15"/>
  <c r="K19" i="24" s="1"/>
  <c r="M113" i="15"/>
  <c r="L19" i="24" s="1"/>
  <c r="J113" i="15"/>
  <c r="R93" i="20"/>
  <c r="F89" i="17"/>
  <c r="P56" i="16"/>
  <c r="O56" i="16"/>
  <c r="H26" i="17"/>
  <c r="I26" i="17" s="1"/>
  <c r="G100" i="17"/>
  <c r="G101" i="17" s="1"/>
  <c r="E23" i="3" s="1"/>
  <c r="C94" i="20"/>
  <c r="F63" i="9"/>
  <c r="H24" i="18"/>
  <c r="G61" i="18"/>
  <c r="G57" i="18"/>
  <c r="H57" i="18" s="1"/>
  <c r="I57" i="18" s="1"/>
  <c r="J57" i="18" s="1"/>
  <c r="K57" i="18" s="1"/>
  <c r="L57" i="18" s="1"/>
  <c r="M57" i="18" s="1"/>
  <c r="N57" i="18" s="1"/>
  <c r="O57" i="18" s="1"/>
  <c r="P57" i="18" s="1"/>
  <c r="F56" i="18"/>
  <c r="G56" i="18" s="1"/>
  <c r="F55" i="18"/>
  <c r="F54" i="18"/>
  <c r="F53" i="18"/>
  <c r="O88" i="17"/>
  <c r="K88" i="17"/>
  <c r="G88" i="17"/>
  <c r="G87" i="17" s="1"/>
  <c r="H87" i="17" s="1"/>
  <c r="I87" i="17" s="1"/>
  <c r="J87" i="17" s="1"/>
  <c r="K87" i="17" s="1"/>
  <c r="L87" i="17" s="1"/>
  <c r="M87" i="17" s="1"/>
  <c r="N87" i="17" s="1"/>
  <c r="O87" i="17" s="1"/>
  <c r="P87" i="17" s="1"/>
  <c r="N88" i="17"/>
  <c r="J88" i="17"/>
  <c r="M88" i="17"/>
  <c r="I88" i="17"/>
  <c r="P88" i="17"/>
  <c r="L88" i="17"/>
  <c r="H88" i="17"/>
  <c r="C64" i="16"/>
  <c r="H30" i="16"/>
  <c r="I30" i="16" s="1"/>
  <c r="J30" i="16" s="1"/>
  <c r="K30" i="16" s="1"/>
  <c r="L30" i="16" s="1"/>
  <c r="M30" i="16" s="1"/>
  <c r="N30" i="16" s="1"/>
  <c r="O30" i="16" s="1"/>
  <c r="P30" i="16" s="1"/>
  <c r="G29" i="16"/>
  <c r="I19" i="24" l="1"/>
  <c r="G54" i="18"/>
  <c r="F94" i="20"/>
  <c r="N94" i="20"/>
  <c r="P94" i="20"/>
  <c r="M94" i="20"/>
  <c r="J94" i="20"/>
  <c r="I94" i="20"/>
  <c r="O94" i="20"/>
  <c r="K94" i="20"/>
  <c r="H94" i="20"/>
  <c r="G94" i="20"/>
  <c r="L94" i="20"/>
  <c r="F105" i="17"/>
  <c r="L105" i="17"/>
  <c r="M105" i="17"/>
  <c r="K105" i="17"/>
  <c r="J105" i="17"/>
  <c r="G105" i="17"/>
  <c r="P105" i="17"/>
  <c r="N105" i="17"/>
  <c r="O105" i="17"/>
  <c r="I105" i="17"/>
  <c r="H105" i="17"/>
  <c r="G89" i="17"/>
  <c r="H100" i="17"/>
  <c r="H101" i="17" s="1"/>
  <c r="F23" i="3" s="1"/>
  <c r="G62" i="18"/>
  <c r="E24" i="3" s="1"/>
  <c r="H29" i="16"/>
  <c r="H68" i="16" s="1"/>
  <c r="G68" i="16"/>
  <c r="G53" i="18"/>
  <c r="F59" i="18"/>
  <c r="G55" i="18"/>
  <c r="I24" i="18"/>
  <c r="H61" i="18"/>
  <c r="J26" i="17"/>
  <c r="I100" i="17"/>
  <c r="N64" i="16"/>
  <c r="J64" i="16"/>
  <c r="F64" i="16"/>
  <c r="F59" i="16" s="1"/>
  <c r="I64" i="16"/>
  <c r="P64" i="16"/>
  <c r="L64" i="16"/>
  <c r="H64" i="16"/>
  <c r="O64" i="16"/>
  <c r="K64" i="16"/>
  <c r="G64" i="16"/>
  <c r="M64" i="16"/>
  <c r="D15" i="3" l="1"/>
  <c r="E13" i="24"/>
  <c r="G22" i="24"/>
  <c r="F22" i="24"/>
  <c r="R94" i="20"/>
  <c r="H89" i="17"/>
  <c r="I29" i="16"/>
  <c r="J29" i="16" s="1"/>
  <c r="G69" i="16"/>
  <c r="E22" i="3" s="1"/>
  <c r="I101" i="17"/>
  <c r="G23" i="3" s="1"/>
  <c r="H62" i="18"/>
  <c r="F24" i="3" s="1"/>
  <c r="J24" i="18"/>
  <c r="I61" i="18"/>
  <c r="G59" i="18"/>
  <c r="K26" i="17"/>
  <c r="J100" i="17"/>
  <c r="H69" i="16"/>
  <c r="F22" i="3" s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45" i="9"/>
  <c r="F44" i="9"/>
  <c r="F39" i="9"/>
  <c r="F38" i="9"/>
  <c r="F37" i="9"/>
  <c r="F36" i="9"/>
  <c r="C72" i="16" s="1"/>
  <c r="F35" i="9"/>
  <c r="F34" i="9"/>
  <c r="F33" i="9"/>
  <c r="C91" i="20" l="1"/>
  <c r="G44" i="9"/>
  <c r="F77" i="9"/>
  <c r="C92" i="20"/>
  <c r="G45" i="9"/>
  <c r="F78" i="9"/>
  <c r="G78" i="9" s="1"/>
  <c r="F13" i="24"/>
  <c r="G20" i="24"/>
  <c r="F20" i="24"/>
  <c r="G33" i="9"/>
  <c r="F112" i="3"/>
  <c r="D39" i="3"/>
  <c r="F127" i="22"/>
  <c r="H127" i="22"/>
  <c r="O127" i="22"/>
  <c r="G127" i="22"/>
  <c r="J127" i="22"/>
  <c r="P127" i="22"/>
  <c r="I127" i="22"/>
  <c r="K127" i="22"/>
  <c r="L127" i="22"/>
  <c r="N127" i="22"/>
  <c r="M127" i="22"/>
  <c r="F91" i="20"/>
  <c r="H91" i="20"/>
  <c r="G91" i="20"/>
  <c r="M91" i="20"/>
  <c r="I91" i="20"/>
  <c r="J91" i="20"/>
  <c r="O91" i="20"/>
  <c r="P91" i="20"/>
  <c r="N91" i="20"/>
  <c r="L91" i="20"/>
  <c r="K91" i="20"/>
  <c r="F92" i="20"/>
  <c r="L92" i="20"/>
  <c r="J92" i="20"/>
  <c r="P92" i="20"/>
  <c r="M92" i="20"/>
  <c r="O92" i="20"/>
  <c r="I92" i="20"/>
  <c r="K92" i="20"/>
  <c r="H92" i="20"/>
  <c r="N92" i="20"/>
  <c r="G92" i="20"/>
  <c r="F116" i="15"/>
  <c r="G116" i="15"/>
  <c r="H116" i="15"/>
  <c r="P116" i="15"/>
  <c r="I116" i="15"/>
  <c r="K116" i="15"/>
  <c r="N116" i="15"/>
  <c r="M116" i="15"/>
  <c r="O116" i="15"/>
  <c r="J116" i="15"/>
  <c r="L116" i="15"/>
  <c r="G72" i="16"/>
  <c r="L72" i="16"/>
  <c r="F72" i="16"/>
  <c r="K72" i="16"/>
  <c r="J72" i="16"/>
  <c r="I72" i="16"/>
  <c r="P72" i="16"/>
  <c r="H72" i="16"/>
  <c r="O72" i="16"/>
  <c r="N72" i="16"/>
  <c r="M72" i="16"/>
  <c r="I68" i="16"/>
  <c r="I89" i="17"/>
  <c r="E15" i="3"/>
  <c r="J101" i="17"/>
  <c r="H23" i="3" s="1"/>
  <c r="I62" i="18"/>
  <c r="G24" i="3" s="1"/>
  <c r="K24" i="18"/>
  <c r="J61" i="18"/>
  <c r="L26" i="17"/>
  <c r="K100" i="17"/>
  <c r="K29" i="16"/>
  <c r="J68" i="16"/>
  <c r="F46" i="9"/>
  <c r="G77" i="9" l="1"/>
  <c r="F102" i="3"/>
  <c r="H22" i="24"/>
  <c r="I69" i="16"/>
  <c r="G22" i="3" s="1"/>
  <c r="J36" i="9"/>
  <c r="J53" i="9" s="1"/>
  <c r="J69" i="9" s="1"/>
  <c r="H36" i="9"/>
  <c r="H44" i="9"/>
  <c r="I34" i="9"/>
  <c r="I51" i="9" s="1"/>
  <c r="I67" i="9" s="1"/>
  <c r="J44" i="9"/>
  <c r="J61" i="9" s="1"/>
  <c r="J77" i="9" s="1"/>
  <c r="I45" i="9"/>
  <c r="I62" i="9" s="1"/>
  <c r="I78" i="9" s="1"/>
  <c r="J45" i="9"/>
  <c r="J62" i="9" s="1"/>
  <c r="J78" i="9" s="1"/>
  <c r="H45" i="9"/>
  <c r="J95" i="20"/>
  <c r="I46" i="24" s="1"/>
  <c r="I44" i="9"/>
  <c r="I61" i="9" s="1"/>
  <c r="I77" i="9" s="1"/>
  <c r="I36" i="9"/>
  <c r="I53" i="9" s="1"/>
  <c r="I69" i="9" s="1"/>
  <c r="J35" i="9"/>
  <c r="J52" i="9" s="1"/>
  <c r="J68" i="9" s="1"/>
  <c r="I35" i="9"/>
  <c r="I52" i="9" s="1"/>
  <c r="I68" i="9" s="1"/>
  <c r="H35" i="9"/>
  <c r="H34" i="9"/>
  <c r="J34" i="9"/>
  <c r="J51" i="9" s="1"/>
  <c r="J67" i="9" s="1"/>
  <c r="R91" i="20"/>
  <c r="R92" i="20"/>
  <c r="K129" i="22"/>
  <c r="J38" i="24" s="1"/>
  <c r="O129" i="22"/>
  <c r="N38" i="24" s="1"/>
  <c r="N129" i="22"/>
  <c r="M38" i="24" s="1"/>
  <c r="L129" i="22"/>
  <c r="K38" i="24" s="1"/>
  <c r="O95" i="20"/>
  <c r="N46" i="24" s="1"/>
  <c r="F104" i="17"/>
  <c r="L104" i="17"/>
  <c r="L106" i="17" s="1"/>
  <c r="K41" i="24" s="1"/>
  <c r="M104" i="17"/>
  <c r="K104" i="17"/>
  <c r="K106" i="17" s="1"/>
  <c r="J41" i="24" s="1"/>
  <c r="G104" i="17"/>
  <c r="P104" i="17"/>
  <c r="J104" i="17"/>
  <c r="O104" i="17"/>
  <c r="N104" i="17"/>
  <c r="H104" i="17"/>
  <c r="I104" i="17"/>
  <c r="I106" i="17" s="1"/>
  <c r="H41" i="24" s="1"/>
  <c r="N95" i="20"/>
  <c r="M46" i="24" s="1"/>
  <c r="P95" i="20"/>
  <c r="O46" i="24" s="1"/>
  <c r="I95" i="20"/>
  <c r="H46" i="24" s="1"/>
  <c r="H95" i="20"/>
  <c r="G46" i="24" s="1"/>
  <c r="K95" i="20"/>
  <c r="J46" i="24" s="1"/>
  <c r="L95" i="20"/>
  <c r="K46" i="24" s="1"/>
  <c r="H74" i="16"/>
  <c r="G40" i="24" s="1"/>
  <c r="K74" i="16"/>
  <c r="J40" i="24" s="1"/>
  <c r="P74" i="16"/>
  <c r="O40" i="24" s="1"/>
  <c r="J74" i="16"/>
  <c r="I40" i="24" s="1"/>
  <c r="M74" i="16"/>
  <c r="L40" i="24" s="1"/>
  <c r="I74" i="16"/>
  <c r="H40" i="24" s="1"/>
  <c r="N74" i="16"/>
  <c r="M40" i="24" s="1"/>
  <c r="L74" i="16"/>
  <c r="K40" i="24" s="1"/>
  <c r="O74" i="16"/>
  <c r="N40" i="24" s="1"/>
  <c r="G74" i="16"/>
  <c r="F40" i="24" s="1"/>
  <c r="J89" i="17"/>
  <c r="O118" i="15"/>
  <c r="N39" i="24" s="1"/>
  <c r="H118" i="15"/>
  <c r="G39" i="24" s="1"/>
  <c r="M118" i="15"/>
  <c r="L39" i="24" s="1"/>
  <c r="F118" i="15"/>
  <c r="K118" i="15"/>
  <c r="J39" i="24" s="1"/>
  <c r="L118" i="15"/>
  <c r="K39" i="24" s="1"/>
  <c r="N65" i="18"/>
  <c r="F65" i="18"/>
  <c r="M65" i="18"/>
  <c r="L65" i="18"/>
  <c r="K65" i="18"/>
  <c r="J65" i="18"/>
  <c r="I65" i="18"/>
  <c r="P65" i="18"/>
  <c r="H65" i="18"/>
  <c r="O65" i="18"/>
  <c r="G65" i="18"/>
  <c r="K101" i="17"/>
  <c r="I23" i="3" s="1"/>
  <c r="J62" i="18"/>
  <c r="H24" i="3" s="1"/>
  <c r="F63" i="16"/>
  <c r="F61" i="16"/>
  <c r="F60" i="16"/>
  <c r="G60" i="16" s="1"/>
  <c r="F62" i="16"/>
  <c r="L24" i="18"/>
  <c r="K61" i="18"/>
  <c r="M26" i="17"/>
  <c r="L100" i="17"/>
  <c r="J69" i="16"/>
  <c r="H22" i="3" s="1"/>
  <c r="L29" i="16"/>
  <c r="K68" i="16"/>
  <c r="I22" i="24" l="1"/>
  <c r="H20" i="24"/>
  <c r="I20" i="24"/>
  <c r="D41" i="3"/>
  <c r="E39" i="24"/>
  <c r="L42" i="3"/>
  <c r="I48" i="3"/>
  <c r="M48" i="3"/>
  <c r="K41" i="3"/>
  <c r="G42" i="3"/>
  <c r="F48" i="3"/>
  <c r="J40" i="3"/>
  <c r="F41" i="3"/>
  <c r="K42" i="3"/>
  <c r="G48" i="3"/>
  <c r="L40" i="3"/>
  <c r="M41" i="3"/>
  <c r="H42" i="3"/>
  <c r="N48" i="3"/>
  <c r="M40" i="3"/>
  <c r="I41" i="3"/>
  <c r="J42" i="3"/>
  <c r="J48" i="3"/>
  <c r="N42" i="3"/>
  <c r="L48" i="3"/>
  <c r="I43" i="3"/>
  <c r="I40" i="3"/>
  <c r="E42" i="3"/>
  <c r="I42" i="3"/>
  <c r="G43" i="3"/>
  <c r="J41" i="3"/>
  <c r="M42" i="3"/>
  <c r="F42" i="3"/>
  <c r="J43" i="3"/>
  <c r="H48" i="3"/>
  <c r="H62" i="9"/>
  <c r="H61" i="9"/>
  <c r="H52" i="9"/>
  <c r="H53" i="9"/>
  <c r="C105" i="20"/>
  <c r="C104" i="20"/>
  <c r="I38" i="9"/>
  <c r="I55" i="9" s="1"/>
  <c r="I71" i="9" s="1"/>
  <c r="G118" i="15"/>
  <c r="F39" i="24" s="1"/>
  <c r="J37" i="9"/>
  <c r="J54" i="9" s="1"/>
  <c r="J70" i="9" s="1"/>
  <c r="H37" i="9"/>
  <c r="J38" i="9"/>
  <c r="J55" i="9" s="1"/>
  <c r="J71" i="9" s="1"/>
  <c r="H38" i="9"/>
  <c r="J106" i="17"/>
  <c r="I41" i="24" s="1"/>
  <c r="I37" i="9"/>
  <c r="I54" i="9" s="1"/>
  <c r="I70" i="9" s="1"/>
  <c r="H51" i="9"/>
  <c r="M129" i="22"/>
  <c r="L38" i="24" s="1"/>
  <c r="H129" i="22"/>
  <c r="G38" i="24" s="1"/>
  <c r="G129" i="22"/>
  <c r="F38" i="24" s="1"/>
  <c r="P129" i="22"/>
  <c r="O38" i="24" s="1"/>
  <c r="I129" i="22"/>
  <c r="H38" i="24" s="1"/>
  <c r="J129" i="22"/>
  <c r="I38" i="24" s="1"/>
  <c r="J97" i="20"/>
  <c r="N97" i="20"/>
  <c r="K97" i="20"/>
  <c r="M106" i="17"/>
  <c r="L41" i="24" s="1"/>
  <c r="M95" i="20"/>
  <c r="L46" i="24" s="1"/>
  <c r="H106" i="17"/>
  <c r="G41" i="24" s="1"/>
  <c r="O106" i="17"/>
  <c r="N41" i="24" s="1"/>
  <c r="G106" i="17"/>
  <c r="F41" i="24" s="1"/>
  <c r="H97" i="20"/>
  <c r="N106" i="17"/>
  <c r="M41" i="24" s="1"/>
  <c r="L97" i="20"/>
  <c r="O97" i="20"/>
  <c r="I97" i="20"/>
  <c r="P97" i="20"/>
  <c r="N131" i="22"/>
  <c r="K131" i="22"/>
  <c r="F129" i="22"/>
  <c r="E38" i="24" s="1"/>
  <c r="K89" i="17"/>
  <c r="P118" i="15"/>
  <c r="O39" i="24" s="1"/>
  <c r="I118" i="15"/>
  <c r="H39" i="24" s="1"/>
  <c r="N118" i="15"/>
  <c r="M39" i="24" s="1"/>
  <c r="L120" i="15"/>
  <c r="K120" i="15"/>
  <c r="O120" i="15"/>
  <c r="M120" i="15"/>
  <c r="J118" i="15"/>
  <c r="I39" i="24" s="1"/>
  <c r="M67" i="18"/>
  <c r="L42" i="24" s="1"/>
  <c r="G59" i="16"/>
  <c r="G62" i="16"/>
  <c r="G63" i="16"/>
  <c r="L101" i="17"/>
  <c r="J23" i="3" s="1"/>
  <c r="K62" i="18"/>
  <c r="I24" i="3" s="1"/>
  <c r="G61" i="16"/>
  <c r="F66" i="16"/>
  <c r="M24" i="18"/>
  <c r="L61" i="18"/>
  <c r="N26" i="17"/>
  <c r="M100" i="17"/>
  <c r="K69" i="16"/>
  <c r="I22" i="3" s="1"/>
  <c r="M29" i="16"/>
  <c r="L68" i="16"/>
  <c r="H25" i="13"/>
  <c r="I25" i="13" s="1"/>
  <c r="J25" i="13" s="1"/>
  <c r="K25" i="13" s="1"/>
  <c r="L25" i="13" s="1"/>
  <c r="M25" i="13" s="1"/>
  <c r="N25" i="13" s="1"/>
  <c r="O25" i="13" s="1"/>
  <c r="P25" i="13" s="1"/>
  <c r="J22" i="24" l="1"/>
  <c r="D13" i="3"/>
  <c r="E11" i="24"/>
  <c r="E15" i="24" s="1"/>
  <c r="E53" i="24" s="1"/>
  <c r="E20" i="24"/>
  <c r="J20" i="24"/>
  <c r="L47" i="24"/>
  <c r="L48" i="24"/>
  <c r="G40" i="3"/>
  <c r="L41" i="3"/>
  <c r="K48" i="3"/>
  <c r="G41" i="3"/>
  <c r="K43" i="3"/>
  <c r="F40" i="3"/>
  <c r="K44" i="3"/>
  <c r="N41" i="3"/>
  <c r="K40" i="3"/>
  <c r="E41" i="3"/>
  <c r="M43" i="3"/>
  <c r="F43" i="3"/>
  <c r="N40" i="3"/>
  <c r="E40" i="3"/>
  <c r="H41" i="3"/>
  <c r="L43" i="3"/>
  <c r="E43" i="3"/>
  <c r="H40" i="3"/>
  <c r="H43" i="3"/>
  <c r="H69" i="9"/>
  <c r="H77" i="9"/>
  <c r="H68" i="9"/>
  <c r="H78" i="9"/>
  <c r="H67" i="9"/>
  <c r="H54" i="9"/>
  <c r="H55" i="9"/>
  <c r="I79" i="9"/>
  <c r="J79" i="9"/>
  <c r="D40" i="3"/>
  <c r="J63" i="9"/>
  <c r="I63" i="9"/>
  <c r="J46" i="9"/>
  <c r="I46" i="9"/>
  <c r="G95" i="20"/>
  <c r="F46" i="24" s="1"/>
  <c r="M131" i="22"/>
  <c r="I131" i="22"/>
  <c r="H131" i="22"/>
  <c r="P131" i="22"/>
  <c r="G131" i="22"/>
  <c r="J131" i="22"/>
  <c r="P106" i="17"/>
  <c r="O41" i="24" s="1"/>
  <c r="F131" i="22"/>
  <c r="M97" i="20"/>
  <c r="P120" i="15"/>
  <c r="C123" i="15"/>
  <c r="C135" i="22"/>
  <c r="L131" i="22"/>
  <c r="O131" i="22"/>
  <c r="K67" i="18"/>
  <c r="J42" i="24" s="1"/>
  <c r="N67" i="18"/>
  <c r="M42" i="24" s="1"/>
  <c r="M47" i="24" s="1"/>
  <c r="O67" i="18"/>
  <c r="N42" i="24" s="1"/>
  <c r="P67" i="18"/>
  <c r="O42" i="24" s="1"/>
  <c r="L89" i="17"/>
  <c r="N120" i="15"/>
  <c r="J120" i="15"/>
  <c r="J67" i="18"/>
  <c r="I42" i="24" s="1"/>
  <c r="I47" i="24" s="1"/>
  <c r="L67" i="18"/>
  <c r="H59" i="16"/>
  <c r="H61" i="16"/>
  <c r="H50" i="18"/>
  <c r="G66" i="16"/>
  <c r="H63" i="16"/>
  <c r="M101" i="17"/>
  <c r="K23" i="3" s="1"/>
  <c r="L62" i="18"/>
  <c r="J24" i="3" s="1"/>
  <c r="H62" i="16"/>
  <c r="H60" i="16"/>
  <c r="N24" i="18"/>
  <c r="M61" i="18"/>
  <c r="O26" i="17"/>
  <c r="N100" i="17"/>
  <c r="L69" i="16"/>
  <c r="J22" i="3" s="1"/>
  <c r="N29" i="16"/>
  <c r="M68" i="16"/>
  <c r="G24" i="13"/>
  <c r="O12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X20" i="1" s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U20" i="1" s="1"/>
  <c r="O19" i="1"/>
  <c r="O18" i="1"/>
  <c r="O17" i="1"/>
  <c r="O16" i="1"/>
  <c r="O15" i="1"/>
  <c r="O14" i="1"/>
  <c r="O13" i="1"/>
  <c r="Y20" i="1" s="1"/>
  <c r="O11" i="1"/>
  <c r="W20" i="1" s="1"/>
  <c r="K22" i="24" l="1"/>
  <c r="K20" i="24"/>
  <c r="J48" i="24"/>
  <c r="J47" i="24"/>
  <c r="J44" i="3"/>
  <c r="K42" i="24"/>
  <c r="O47" i="24"/>
  <c r="M48" i="24"/>
  <c r="O48" i="24"/>
  <c r="I48" i="24"/>
  <c r="F11" i="24"/>
  <c r="H46" i="9"/>
  <c r="H44" i="3"/>
  <c r="H49" i="3" s="1"/>
  <c r="E13" i="3"/>
  <c r="N44" i="3"/>
  <c r="M44" i="3"/>
  <c r="E48" i="3"/>
  <c r="N43" i="3"/>
  <c r="I44" i="3"/>
  <c r="I49" i="3" s="1"/>
  <c r="H70" i="9"/>
  <c r="H71" i="9"/>
  <c r="H63" i="9"/>
  <c r="L44" i="3"/>
  <c r="L49" i="3" s="1"/>
  <c r="G97" i="20"/>
  <c r="R20" i="1"/>
  <c r="S20" i="1"/>
  <c r="Q20" i="1"/>
  <c r="T20" i="1"/>
  <c r="K49" i="3"/>
  <c r="C134" i="22"/>
  <c r="C137" i="22" s="1"/>
  <c r="C136" i="22"/>
  <c r="M89" i="17"/>
  <c r="G76" i="16"/>
  <c r="F67" i="21"/>
  <c r="I50" i="18"/>
  <c r="H56" i="18"/>
  <c r="H54" i="18"/>
  <c r="H55" i="18"/>
  <c r="H53" i="18"/>
  <c r="K50" i="18"/>
  <c r="L50" i="18"/>
  <c r="M50" i="18"/>
  <c r="P50" i="18"/>
  <c r="N50" i="18"/>
  <c r="J50" i="18"/>
  <c r="O50" i="18"/>
  <c r="I62" i="16"/>
  <c r="H66" i="16"/>
  <c r="I60" i="16"/>
  <c r="I63" i="16"/>
  <c r="I59" i="16"/>
  <c r="I61" i="16"/>
  <c r="N101" i="17"/>
  <c r="L23" i="3" s="1"/>
  <c r="M62" i="18"/>
  <c r="K24" i="3" s="1"/>
  <c r="O24" i="18"/>
  <c r="N61" i="18"/>
  <c r="H24" i="13"/>
  <c r="P26" i="17"/>
  <c r="O100" i="17"/>
  <c r="M69" i="16"/>
  <c r="K22" i="3" s="1"/>
  <c r="O29" i="16"/>
  <c r="N68" i="16"/>
  <c r="N58" i="1"/>
  <c r="N98" i="1" s="1"/>
  <c r="M58" i="1"/>
  <c r="M98" i="1" s="1"/>
  <c r="L22" i="24" l="1"/>
  <c r="L20" i="24"/>
  <c r="C72" i="21"/>
  <c r="E44" i="24"/>
  <c r="G11" i="24"/>
  <c r="N49" i="3"/>
  <c r="N56" i="3" s="1"/>
  <c r="H79" i="9"/>
  <c r="H56" i="3"/>
  <c r="K56" i="3"/>
  <c r="L56" i="3"/>
  <c r="I56" i="3"/>
  <c r="H76" i="16"/>
  <c r="F13" i="3"/>
  <c r="I53" i="18"/>
  <c r="J53" i="18" s="1"/>
  <c r="K53" i="18" s="1"/>
  <c r="L53" i="18" s="1"/>
  <c r="M53" i="18" s="1"/>
  <c r="N89" i="17"/>
  <c r="D46" i="3"/>
  <c r="Z20" i="1"/>
  <c r="G22" i="9" s="1"/>
  <c r="D32" i="3" s="1"/>
  <c r="I55" i="18"/>
  <c r="J55" i="18" s="1"/>
  <c r="K55" i="18" s="1"/>
  <c r="L55" i="18" s="1"/>
  <c r="M55" i="18" s="1"/>
  <c r="N55" i="18" s="1"/>
  <c r="O55" i="18" s="1"/>
  <c r="P55" i="18" s="1"/>
  <c r="I54" i="18"/>
  <c r="J54" i="18" s="1"/>
  <c r="K54" i="18" s="1"/>
  <c r="L54" i="18" s="1"/>
  <c r="M54" i="18" s="1"/>
  <c r="N54" i="18" s="1"/>
  <c r="O54" i="18" s="1"/>
  <c r="P54" i="18" s="1"/>
  <c r="I56" i="18"/>
  <c r="J56" i="18" s="1"/>
  <c r="K56" i="18" s="1"/>
  <c r="L56" i="18" s="1"/>
  <c r="M56" i="18" s="1"/>
  <c r="N56" i="18" s="1"/>
  <c r="O56" i="18" s="1"/>
  <c r="P56" i="18" s="1"/>
  <c r="H59" i="18"/>
  <c r="J63" i="16"/>
  <c r="I66" i="16"/>
  <c r="O101" i="17"/>
  <c r="M23" i="3" s="1"/>
  <c r="G38" i="13"/>
  <c r="G39" i="13" s="1"/>
  <c r="F23" i="24" s="1"/>
  <c r="N62" i="18"/>
  <c r="L24" i="3" s="1"/>
  <c r="J62" i="16"/>
  <c r="J60" i="16"/>
  <c r="J59" i="16"/>
  <c r="J61" i="16"/>
  <c r="P24" i="18"/>
  <c r="O61" i="18"/>
  <c r="I24" i="13"/>
  <c r="N69" i="16"/>
  <c r="L22" i="3" s="1"/>
  <c r="P29" i="16"/>
  <c r="O68" i="16"/>
  <c r="G13" i="24" l="1"/>
  <c r="M22" i="24"/>
  <c r="M20" i="24"/>
  <c r="H11" i="24"/>
  <c r="G24" i="9"/>
  <c r="G46" i="13"/>
  <c r="E25" i="3"/>
  <c r="I76" i="16"/>
  <c r="G13" i="3"/>
  <c r="O89" i="17"/>
  <c r="P89" i="17"/>
  <c r="I59" i="18"/>
  <c r="F15" i="3"/>
  <c r="J59" i="18"/>
  <c r="K61" i="16"/>
  <c r="K63" i="16"/>
  <c r="K62" i="16"/>
  <c r="K60" i="16"/>
  <c r="H38" i="13"/>
  <c r="H39" i="13" s="1"/>
  <c r="G23" i="24" s="1"/>
  <c r="O62" i="18"/>
  <c r="M24" i="3" s="1"/>
  <c r="K59" i="16"/>
  <c r="J66" i="16"/>
  <c r="K59" i="18"/>
  <c r="L59" i="18"/>
  <c r="J24" i="13"/>
  <c r="N53" i="18"/>
  <c r="M59" i="18"/>
  <c r="O69" i="16"/>
  <c r="M22" i="3" s="1"/>
  <c r="G6" i="13"/>
  <c r="L13" i="24" l="1"/>
  <c r="K13" i="24"/>
  <c r="J13" i="24"/>
  <c r="I13" i="24"/>
  <c r="H13" i="24"/>
  <c r="N22" i="24"/>
  <c r="N20" i="24"/>
  <c r="I11" i="24"/>
  <c r="H13" i="3"/>
  <c r="H15" i="3"/>
  <c r="G15" i="3"/>
  <c r="G107" i="3"/>
  <c r="H46" i="13"/>
  <c r="F25" i="3"/>
  <c r="J16" i="13"/>
  <c r="J17" i="13" s="1"/>
  <c r="J69" i="18"/>
  <c r="L63" i="16"/>
  <c r="J76" i="16"/>
  <c r="I49" i="24" s="1"/>
  <c r="M69" i="18"/>
  <c r="K15" i="3"/>
  <c r="L69" i="18"/>
  <c r="J15" i="3"/>
  <c r="K69" i="18"/>
  <c r="I15" i="3"/>
  <c r="L61" i="16"/>
  <c r="L62" i="16"/>
  <c r="L60" i="16"/>
  <c r="K66" i="16"/>
  <c r="L59" i="16"/>
  <c r="K24" i="13"/>
  <c r="O53" i="18"/>
  <c r="N59" i="18"/>
  <c r="F106" i="17"/>
  <c r="F74" i="16"/>
  <c r="M13" i="24" l="1"/>
  <c r="E40" i="24"/>
  <c r="D42" i="3"/>
  <c r="C111" i="17"/>
  <c r="E41" i="24"/>
  <c r="I56" i="24"/>
  <c r="J11" i="24"/>
  <c r="I13" i="3"/>
  <c r="C79" i="16"/>
  <c r="J14" i="13"/>
  <c r="J18" i="13" s="1"/>
  <c r="J21" i="21"/>
  <c r="K76" i="16"/>
  <c r="J49" i="24" s="1"/>
  <c r="J56" i="24" s="1"/>
  <c r="D43" i="3"/>
  <c r="N69" i="18"/>
  <c r="L15" i="3"/>
  <c r="M63" i="16"/>
  <c r="M62" i="16"/>
  <c r="M61" i="16"/>
  <c r="M60" i="16"/>
  <c r="N60" i="16" s="1"/>
  <c r="L66" i="16"/>
  <c r="M59" i="16"/>
  <c r="J38" i="13"/>
  <c r="L24" i="13"/>
  <c r="P53" i="18"/>
  <c r="P59" i="18" s="1"/>
  <c r="O13" i="24" s="1"/>
  <c r="O59" i="18"/>
  <c r="F76" i="16"/>
  <c r="O58" i="1"/>
  <c r="N13" i="24" l="1"/>
  <c r="J39" i="13"/>
  <c r="I23" i="24" s="1"/>
  <c r="K11" i="24"/>
  <c r="J13" i="3"/>
  <c r="M15" i="3"/>
  <c r="N15" i="3"/>
  <c r="J19" i="13"/>
  <c r="J6" i="13" s="1"/>
  <c r="J8" i="13" s="1"/>
  <c r="C33" i="13" s="1"/>
  <c r="F33" i="13" s="1"/>
  <c r="G33" i="13" s="1"/>
  <c r="H33" i="13" s="1"/>
  <c r="I33" i="13" s="1"/>
  <c r="J46" i="13"/>
  <c r="H25" i="3"/>
  <c r="J22" i="21"/>
  <c r="J23" i="21" s="1"/>
  <c r="J24" i="21" s="1"/>
  <c r="J10" i="21" s="1"/>
  <c r="C48" i="21" s="1"/>
  <c r="F48" i="21" s="1"/>
  <c r="G48" i="21" s="1"/>
  <c r="H48" i="21" s="1"/>
  <c r="I48" i="21" s="1"/>
  <c r="J48" i="21" s="1"/>
  <c r="K48" i="21" s="1"/>
  <c r="L48" i="21" s="1"/>
  <c r="M48" i="21" s="1"/>
  <c r="N48" i="21" s="1"/>
  <c r="O48" i="21" s="1"/>
  <c r="P48" i="21" s="1"/>
  <c r="P58" i="21" s="1"/>
  <c r="C50" i="21"/>
  <c r="F50" i="21" s="1"/>
  <c r="G50" i="21" s="1"/>
  <c r="H50" i="21" s="1"/>
  <c r="I50" i="21" s="1"/>
  <c r="J50" i="21" s="1"/>
  <c r="K50" i="21" s="1"/>
  <c r="L50" i="21" s="1"/>
  <c r="M50" i="21" s="1"/>
  <c r="N50" i="21" s="1"/>
  <c r="O50" i="21" s="1"/>
  <c r="C49" i="21"/>
  <c r="F49" i="21" s="1"/>
  <c r="G49" i="21" s="1"/>
  <c r="H49" i="21" s="1"/>
  <c r="I49" i="21" s="1"/>
  <c r="N61" i="16"/>
  <c r="N62" i="16"/>
  <c r="L76" i="16"/>
  <c r="N63" i="16"/>
  <c r="N59" i="16"/>
  <c r="M66" i="16"/>
  <c r="F95" i="20"/>
  <c r="E46" i="24" s="1"/>
  <c r="F44" i="13"/>
  <c r="E43" i="24" s="1"/>
  <c r="K38" i="13"/>
  <c r="M24" i="13"/>
  <c r="P61" i="18"/>
  <c r="O69" i="18"/>
  <c r="G25" i="9"/>
  <c r="O98" i="1"/>
  <c r="K39" i="13" l="1"/>
  <c r="J23" i="24" s="1"/>
  <c r="L11" i="24"/>
  <c r="K13" i="3"/>
  <c r="P50" i="21"/>
  <c r="P60" i="21" s="1"/>
  <c r="O60" i="21"/>
  <c r="G26" i="9"/>
  <c r="G111" i="3" s="1"/>
  <c r="D34" i="3"/>
  <c r="D35" i="3" s="1"/>
  <c r="D55" i="3" s="1"/>
  <c r="H66" i="3" s="1"/>
  <c r="K46" i="13"/>
  <c r="I25" i="3"/>
  <c r="D48" i="3"/>
  <c r="C100" i="20"/>
  <c r="F46" i="13"/>
  <c r="C49" i="13"/>
  <c r="I61" i="21"/>
  <c r="I62" i="21" s="1"/>
  <c r="J49" i="21"/>
  <c r="D45" i="3"/>
  <c r="J33" i="13"/>
  <c r="K33" i="13" s="1"/>
  <c r="L33" i="13" s="1"/>
  <c r="M33" i="13" s="1"/>
  <c r="N33" i="13" s="1"/>
  <c r="O33" i="13" s="1"/>
  <c r="P33" i="13" s="1"/>
  <c r="I36" i="13"/>
  <c r="M76" i="16"/>
  <c r="L49" i="24" s="1"/>
  <c r="L56" i="24" s="1"/>
  <c r="P62" i="18"/>
  <c r="N24" i="3" s="1"/>
  <c r="O62" i="16"/>
  <c r="P62" i="16" s="1"/>
  <c r="O63" i="16"/>
  <c r="P63" i="16" s="1"/>
  <c r="O61" i="16"/>
  <c r="O60" i="16"/>
  <c r="P60" i="16" s="1"/>
  <c r="N66" i="16"/>
  <c r="O59" i="16"/>
  <c r="F97" i="20"/>
  <c r="L38" i="13"/>
  <c r="N24" i="13"/>
  <c r="F94" i="17"/>
  <c r="F92" i="17"/>
  <c r="F95" i="17"/>
  <c r="F93" i="17"/>
  <c r="P61" i="16" l="1"/>
  <c r="I69" i="21"/>
  <c r="H24" i="24"/>
  <c r="G26" i="3"/>
  <c r="L39" i="13"/>
  <c r="K23" i="24" s="1"/>
  <c r="M11" i="24"/>
  <c r="O22" i="24"/>
  <c r="L13" i="3"/>
  <c r="F107" i="3"/>
  <c r="G29" i="9"/>
  <c r="L46" i="13"/>
  <c r="J25" i="3"/>
  <c r="I37" i="13"/>
  <c r="J61" i="21"/>
  <c r="J62" i="21" s="1"/>
  <c r="K49" i="21"/>
  <c r="I38" i="13"/>
  <c r="N76" i="16"/>
  <c r="M49" i="24" s="1"/>
  <c r="P69" i="18"/>
  <c r="M38" i="13"/>
  <c r="P59" i="16"/>
  <c r="O66" i="16"/>
  <c r="C99" i="20"/>
  <c r="C102" i="20" s="1"/>
  <c r="C101" i="20"/>
  <c r="O24" i="13"/>
  <c r="G92" i="17"/>
  <c r="G95" i="17"/>
  <c r="F98" i="17"/>
  <c r="G93" i="17"/>
  <c r="G94" i="17"/>
  <c r="G103" i="3"/>
  <c r="P66" i="16" l="1"/>
  <c r="N13" i="3" s="1"/>
  <c r="J69" i="21"/>
  <c r="H26" i="3"/>
  <c r="I24" i="24"/>
  <c r="I26" i="24" s="1"/>
  <c r="I54" i="24" s="1"/>
  <c r="M39" i="13"/>
  <c r="L23" i="24" s="1"/>
  <c r="M56" i="24"/>
  <c r="I39" i="13"/>
  <c r="H23" i="24" s="1"/>
  <c r="N11" i="24"/>
  <c r="M13" i="3"/>
  <c r="F103" i="3"/>
  <c r="H28" i="3"/>
  <c r="H54" i="3" s="1"/>
  <c r="M46" i="13"/>
  <c r="K25" i="3"/>
  <c r="G25" i="3"/>
  <c r="I46" i="13"/>
  <c r="K61" i="21"/>
  <c r="K62" i="21" s="1"/>
  <c r="L49" i="21"/>
  <c r="P68" i="16"/>
  <c r="H93" i="17"/>
  <c r="F108" i="17"/>
  <c r="D14" i="3"/>
  <c r="N38" i="13"/>
  <c r="O76" i="16"/>
  <c r="P24" i="13"/>
  <c r="G98" i="17"/>
  <c r="O11" i="24" l="1"/>
  <c r="F12" i="24"/>
  <c r="F15" i="24" s="1"/>
  <c r="F53" i="24" s="1"/>
  <c r="K69" i="21"/>
  <c r="J24" i="24"/>
  <c r="J26" i="24" s="1"/>
  <c r="J54" i="24" s="1"/>
  <c r="I26" i="3"/>
  <c r="I28" i="3"/>
  <c r="I54" i="3" s="1"/>
  <c r="N46" i="13"/>
  <c r="L25" i="3"/>
  <c r="L61" i="21"/>
  <c r="L62" i="21" s="1"/>
  <c r="M49" i="21"/>
  <c r="H95" i="17"/>
  <c r="I95" i="17" s="1"/>
  <c r="H92" i="17"/>
  <c r="I92" i="17" s="1"/>
  <c r="H94" i="17"/>
  <c r="I94" i="17" s="1"/>
  <c r="G108" i="17"/>
  <c r="E14" i="3"/>
  <c r="O38" i="13"/>
  <c r="P69" i="16"/>
  <c r="P76" i="16" s="1"/>
  <c r="O49" i="24" s="1"/>
  <c r="O56" i="24" s="1"/>
  <c r="I93" i="17"/>
  <c r="L69" i="21" l="1"/>
  <c r="J26" i="3"/>
  <c r="J28" i="3" s="1"/>
  <c r="J54" i="3" s="1"/>
  <c r="K24" i="24"/>
  <c r="K26" i="24" s="1"/>
  <c r="K54" i="24" s="1"/>
  <c r="O20" i="24"/>
  <c r="O46" i="13"/>
  <c r="M25" i="3"/>
  <c r="M61" i="21"/>
  <c r="M62" i="21" s="1"/>
  <c r="N49" i="21"/>
  <c r="H98" i="17"/>
  <c r="N22" i="3"/>
  <c r="P38" i="13"/>
  <c r="C80" i="16"/>
  <c r="C78" i="16"/>
  <c r="C81" i="16" s="1"/>
  <c r="J95" i="17"/>
  <c r="J94" i="17"/>
  <c r="J92" i="17"/>
  <c r="I98" i="17"/>
  <c r="J93" i="17"/>
  <c r="H12" i="24" l="1"/>
  <c r="H15" i="24" s="1"/>
  <c r="H53" i="24" s="1"/>
  <c r="G12" i="24"/>
  <c r="G15" i="24" s="1"/>
  <c r="G53" i="24" s="1"/>
  <c r="M69" i="21"/>
  <c r="L24" i="24"/>
  <c r="L26" i="24" s="1"/>
  <c r="L54" i="24" s="1"/>
  <c r="K26" i="3"/>
  <c r="K28" i="3" s="1"/>
  <c r="K54" i="3" s="1"/>
  <c r="H108" i="17"/>
  <c r="P46" i="13"/>
  <c r="N25" i="3"/>
  <c r="N61" i="21"/>
  <c r="N62" i="21" s="1"/>
  <c r="O49" i="21"/>
  <c r="F14" i="3"/>
  <c r="I108" i="17"/>
  <c r="G14" i="3"/>
  <c r="K93" i="17"/>
  <c r="K92" i="17"/>
  <c r="K94" i="17"/>
  <c r="J98" i="17"/>
  <c r="K95" i="17"/>
  <c r="I12" i="24" l="1"/>
  <c r="I15" i="24" s="1"/>
  <c r="I53" i="24" s="1"/>
  <c r="N69" i="21"/>
  <c r="L26" i="3"/>
  <c r="M24" i="24"/>
  <c r="M26" i="24" s="1"/>
  <c r="M54" i="24" s="1"/>
  <c r="C48" i="13"/>
  <c r="C51" i="13" s="1"/>
  <c r="L28" i="3"/>
  <c r="L54" i="3" s="1"/>
  <c r="O61" i="21"/>
  <c r="P49" i="21"/>
  <c r="J108" i="17"/>
  <c r="H14" i="3"/>
  <c r="L95" i="17"/>
  <c r="L93" i="17"/>
  <c r="L94" i="17"/>
  <c r="L92" i="17"/>
  <c r="K98" i="17"/>
  <c r="J12" i="24" l="1"/>
  <c r="J15" i="24" s="1"/>
  <c r="J53" i="24" s="1"/>
  <c r="R76" i="24" s="1"/>
  <c r="R80" i="24" s="1"/>
  <c r="R82" i="24" s="1"/>
  <c r="J78" i="24" s="1"/>
  <c r="J82" i="24" s="1"/>
  <c r="I14" i="3"/>
  <c r="O62" i="21"/>
  <c r="N24" i="24" s="1"/>
  <c r="N26" i="24" s="1"/>
  <c r="N54" i="24" s="1"/>
  <c r="P59" i="21"/>
  <c r="K108" i="17"/>
  <c r="L98" i="17"/>
  <c r="M94" i="17"/>
  <c r="M95" i="17"/>
  <c r="M93" i="17"/>
  <c r="M92" i="17"/>
  <c r="R87" i="24" l="1"/>
  <c r="J77" i="24" s="1"/>
  <c r="R85" i="24"/>
  <c r="J80" i="24" s="1"/>
  <c r="J81" i="24" s="1"/>
  <c r="J88" i="24" s="1"/>
  <c r="I62" i="3" s="1"/>
  <c r="D8" i="6"/>
  <c r="K12" i="24"/>
  <c r="K15" i="24" s="1"/>
  <c r="K53" i="24" s="1"/>
  <c r="J79" i="24"/>
  <c r="M101" i="3" s="1"/>
  <c r="M26" i="3"/>
  <c r="M28" i="3" s="1"/>
  <c r="M54" i="3" s="1"/>
  <c r="O69" i="21"/>
  <c r="P61" i="21"/>
  <c r="P62" i="21" s="1"/>
  <c r="O24" i="24" s="1"/>
  <c r="L108" i="17"/>
  <c r="J14" i="3"/>
  <c r="N92" i="17"/>
  <c r="N93" i="17"/>
  <c r="N95" i="17"/>
  <c r="M98" i="17"/>
  <c r="N94" i="17"/>
  <c r="K78" i="24" l="1"/>
  <c r="K82" i="24" s="1"/>
  <c r="M80" i="24"/>
  <c r="K80" i="24"/>
  <c r="N80" i="24"/>
  <c r="O80" i="24"/>
  <c r="L80" i="24"/>
  <c r="L12" i="24"/>
  <c r="L15" i="24" s="1"/>
  <c r="L53" i="24" s="1"/>
  <c r="N26" i="3"/>
  <c r="P69" i="21"/>
  <c r="M108" i="17"/>
  <c r="K14" i="3"/>
  <c r="O92" i="17"/>
  <c r="O95" i="17"/>
  <c r="O93" i="17"/>
  <c r="O94" i="17"/>
  <c r="N98" i="17"/>
  <c r="K81" i="24" l="1"/>
  <c r="K88" i="24" s="1"/>
  <c r="J62" i="3" s="1"/>
  <c r="M12" i="24"/>
  <c r="M15" i="24" s="1"/>
  <c r="M53" i="24" s="1"/>
  <c r="N108" i="17"/>
  <c r="L14" i="3"/>
  <c r="P94" i="17"/>
  <c r="P93" i="17"/>
  <c r="P95" i="17"/>
  <c r="P92" i="17"/>
  <c r="O98" i="17"/>
  <c r="L78" i="24" l="1"/>
  <c r="L82" i="24" s="1"/>
  <c r="L81" i="24" s="1"/>
  <c r="L88" i="24" s="1"/>
  <c r="K62" i="3" s="1"/>
  <c r="N12" i="24"/>
  <c r="N15" i="24" s="1"/>
  <c r="N53" i="24" s="1"/>
  <c r="M14" i="3"/>
  <c r="P98" i="17"/>
  <c r="O12" i="24" s="1"/>
  <c r="O15" i="24" s="1"/>
  <c r="O53" i="24" s="1"/>
  <c r="P100" i="17"/>
  <c r="O108" i="17"/>
  <c r="M78" i="24" l="1"/>
  <c r="M82" i="24" s="1"/>
  <c r="M81" i="24" s="1"/>
  <c r="M88" i="24" s="1"/>
  <c r="L62" i="3" s="1"/>
  <c r="N14" i="3"/>
  <c r="P101" i="17"/>
  <c r="N23" i="3" s="1"/>
  <c r="N78" i="24" l="1"/>
  <c r="N82" i="24" s="1"/>
  <c r="N81" i="24" s="1"/>
  <c r="N88" i="24" s="1"/>
  <c r="M62" i="3" s="1"/>
  <c r="O21" i="24"/>
  <c r="O26" i="24" s="1"/>
  <c r="O54" i="24" s="1"/>
  <c r="P108" i="17"/>
  <c r="O78" i="24" l="1"/>
  <c r="O83" i="24" s="1"/>
  <c r="C112" i="17"/>
  <c r="C110" i="17"/>
  <c r="C113" i="17" s="1"/>
  <c r="F56" i="21"/>
  <c r="F69" i="21" s="1"/>
  <c r="O82" i="24" l="1"/>
  <c r="O81" i="24" s="1"/>
  <c r="O88" i="24" s="1"/>
  <c r="N62" i="3" s="1"/>
  <c r="D17" i="3"/>
  <c r="D53" i="3" s="1"/>
  <c r="E17" i="3" l="1"/>
  <c r="E53" i="3" s="1"/>
  <c r="F17" i="3" l="1"/>
  <c r="F53" i="3" s="1"/>
  <c r="G17" i="3" l="1"/>
  <c r="G53" i="3" s="1"/>
  <c r="H17" i="3" l="1"/>
  <c r="H53" i="3" s="1"/>
  <c r="H59" i="3" l="1"/>
  <c r="I17" i="3"/>
  <c r="I53" i="3" s="1"/>
  <c r="I59" i="3" l="1"/>
  <c r="J17" i="3"/>
  <c r="J53" i="3" s="1"/>
  <c r="K17" i="3" l="1"/>
  <c r="K53" i="3" s="1"/>
  <c r="K59" i="3" l="1"/>
  <c r="L17" i="3"/>
  <c r="L53" i="3" s="1"/>
  <c r="L59" i="3" l="1"/>
  <c r="N17" i="3"/>
  <c r="N53" i="3" s="1"/>
  <c r="M17" i="3"/>
  <c r="M53" i="3" s="1"/>
  <c r="N28" i="3" l="1"/>
  <c r="C71" i="21"/>
  <c r="C74" i="21" s="1"/>
  <c r="N54" i="3" l="1"/>
  <c r="F95" i="19"/>
  <c r="E45" i="24" l="1"/>
  <c r="D47" i="3"/>
  <c r="H67" i="3"/>
  <c r="N59" i="3"/>
  <c r="F97" i="19"/>
  <c r="I95" i="19"/>
  <c r="G47" i="3" s="1"/>
  <c r="H45" i="24" l="1"/>
  <c r="I97" i="19"/>
  <c r="O95" i="19"/>
  <c r="M47" i="3" s="1"/>
  <c r="L95" i="19"/>
  <c r="J47" i="3" s="1"/>
  <c r="K45" i="24" l="1"/>
  <c r="N45" i="24"/>
  <c r="C100" i="19"/>
  <c r="L97" i="19"/>
  <c r="O97" i="19"/>
  <c r="N47" i="24" l="1"/>
  <c r="N48" i="24"/>
  <c r="K47" i="24"/>
  <c r="K48" i="24"/>
  <c r="N49" i="24"/>
  <c r="N56" i="24" s="1"/>
  <c r="K49" i="24"/>
  <c r="K56" i="24" s="1"/>
  <c r="M49" i="3"/>
  <c r="J49" i="3"/>
  <c r="C99" i="19"/>
  <c r="C102" i="19" s="1"/>
  <c r="G67" i="18"/>
  <c r="F42" i="24" s="1"/>
  <c r="I67" i="18"/>
  <c r="H42" i="24" s="1"/>
  <c r="H67" i="18"/>
  <c r="G42" i="24" s="1"/>
  <c r="G48" i="24" l="1"/>
  <c r="G47" i="24"/>
  <c r="F47" i="24"/>
  <c r="F48" i="24"/>
  <c r="H47" i="24"/>
  <c r="H48" i="24"/>
  <c r="E44" i="3"/>
  <c r="F44" i="3"/>
  <c r="G44" i="3"/>
  <c r="J56" i="3"/>
  <c r="J59" i="3" s="1"/>
  <c r="M56" i="3"/>
  <c r="M59" i="3" s="1"/>
  <c r="H69" i="18"/>
  <c r="I69" i="18"/>
  <c r="G69" i="18"/>
  <c r="E49" i="3" l="1"/>
  <c r="G49" i="3"/>
  <c r="F49" i="3"/>
  <c r="D40" i="16"/>
  <c r="F67" i="18"/>
  <c r="E42" i="24" s="1"/>
  <c r="E47" i="24" l="1"/>
  <c r="D19" i="6" s="1"/>
  <c r="E48" i="24"/>
  <c r="D20" i="6" s="1"/>
  <c r="D18" i="6"/>
  <c r="F56" i="3"/>
  <c r="G56" i="3"/>
  <c r="E56" i="3"/>
  <c r="C72" i="18"/>
  <c r="F69" i="18"/>
  <c r="C71" i="18" s="1"/>
  <c r="D44" i="3"/>
  <c r="D49" i="3" s="1"/>
  <c r="D56" i="3" l="1"/>
  <c r="C74" i="18"/>
  <c r="I110" i="15" l="1"/>
  <c r="G110" i="15"/>
  <c r="H110" i="15"/>
  <c r="H112" i="15" l="1"/>
  <c r="H111" i="15"/>
  <c r="F21" i="3" s="1"/>
  <c r="F28" i="3" s="1"/>
  <c r="F54" i="3" s="1"/>
  <c r="G112" i="15"/>
  <c r="G111" i="15"/>
  <c r="G120" i="15" s="1"/>
  <c r="F49" i="24" s="1"/>
  <c r="I111" i="15"/>
  <c r="G21" i="3" s="1"/>
  <c r="G28" i="3" s="1"/>
  <c r="G54" i="3" s="1"/>
  <c r="I112" i="15"/>
  <c r="F110" i="15"/>
  <c r="F56" i="24" l="1"/>
  <c r="H113" i="15"/>
  <c r="I113" i="15"/>
  <c r="G113" i="15"/>
  <c r="F112" i="15"/>
  <c r="F111" i="15"/>
  <c r="F113" i="15" s="1"/>
  <c r="E19" i="24" s="1"/>
  <c r="G59" i="3"/>
  <c r="F59" i="3"/>
  <c r="H120" i="15"/>
  <c r="G49" i="24" s="1"/>
  <c r="G56" i="24" s="1"/>
  <c r="I120" i="15"/>
  <c r="H49" i="24" s="1"/>
  <c r="H56" i="24" s="1"/>
  <c r="E21" i="3"/>
  <c r="F120" i="15" l="1"/>
  <c r="F19" i="24"/>
  <c r="F26" i="24" s="1"/>
  <c r="F54" i="24" s="1"/>
  <c r="H19" i="24"/>
  <c r="H26" i="24" s="1"/>
  <c r="H54" i="24" s="1"/>
  <c r="G19" i="24"/>
  <c r="G26" i="24" s="1"/>
  <c r="G54" i="24" s="1"/>
  <c r="I8" i="6"/>
  <c r="D11" i="6" s="1"/>
  <c r="D21" i="3"/>
  <c r="D28" i="3" s="1"/>
  <c r="D54" i="3" s="1"/>
  <c r="E28" i="3"/>
  <c r="E54" i="3" s="1"/>
  <c r="C124" i="15"/>
  <c r="C122" i="15"/>
  <c r="C125" i="15" s="1"/>
  <c r="M106" i="3" l="1"/>
  <c r="F59" i="24"/>
  <c r="G59" i="24" s="1"/>
  <c r="H59" i="24" s="1"/>
  <c r="I59" i="24" s="1"/>
  <c r="I61" i="24" s="1"/>
  <c r="D59" i="3"/>
  <c r="E59" i="3"/>
  <c r="C342" i="26"/>
  <c r="D342" i="26"/>
  <c r="F339" i="26"/>
  <c r="F340" i="26"/>
  <c r="F331" i="26"/>
  <c r="G331" i="26" s="1"/>
  <c r="F336" i="26"/>
  <c r="F337" i="26"/>
  <c r="G337" i="26" s="1"/>
  <c r="F335" i="26"/>
  <c r="E342" i="26"/>
  <c r="F329" i="26"/>
  <c r="F330" i="26"/>
  <c r="G7" i="9" s="1"/>
  <c r="G34" i="9" s="1"/>
  <c r="F332" i="26"/>
  <c r="G6" i="17" s="1"/>
  <c r="G7" i="17" s="1"/>
  <c r="F61" i="24" l="1"/>
  <c r="G61" i="24"/>
  <c r="G70" i="24" s="1"/>
  <c r="H61" i="24"/>
  <c r="H70" i="24" s="1"/>
  <c r="J59" i="24"/>
  <c r="J61" i="24" s="1"/>
  <c r="I70" i="24"/>
  <c r="D67" i="3"/>
  <c r="G340" i="26"/>
  <c r="G335" i="26"/>
  <c r="G13" i="9"/>
  <c r="G40" i="9" s="1"/>
  <c r="G339" i="26"/>
  <c r="G11" i="9"/>
  <c r="G38" i="9" s="1"/>
  <c r="G332" i="26"/>
  <c r="G10" i="9"/>
  <c r="G37" i="9" s="1"/>
  <c r="G336" i="26"/>
  <c r="G9" i="9"/>
  <c r="G329" i="26"/>
  <c r="G8" i="9"/>
  <c r="G330" i="26"/>
  <c r="F342" i="26"/>
  <c r="G36" i="9" l="1"/>
  <c r="G6" i="16"/>
  <c r="G7" i="16" s="1"/>
  <c r="K59" i="24"/>
  <c r="K61" i="24" s="1"/>
  <c r="K87" i="24" s="1"/>
  <c r="J70" i="24"/>
  <c r="G51" i="9"/>
  <c r="G35" i="9"/>
  <c r="E69" i="9"/>
  <c r="G69" i="9" s="1"/>
  <c r="G53" i="9"/>
  <c r="E70" i="9"/>
  <c r="G70" i="9" s="1"/>
  <c r="G54" i="9"/>
  <c r="E68" i="9"/>
  <c r="G68" i="9" s="1"/>
  <c r="G52" i="9"/>
  <c r="E73" i="9"/>
  <c r="G73" i="9" s="1"/>
  <c r="G57" i="9"/>
  <c r="E71" i="9"/>
  <c r="G71" i="9" s="1"/>
  <c r="G55" i="9"/>
  <c r="C343" i="26"/>
  <c r="E67" i="9"/>
  <c r="G67" i="9" s="1"/>
  <c r="G19" i="9"/>
  <c r="K16" i="9" s="1"/>
  <c r="G6" i="20"/>
  <c r="G7" i="20" s="1"/>
  <c r="G6" i="21"/>
  <c r="G6" i="18"/>
  <c r="G7" i="18" s="1"/>
  <c r="G7" i="15"/>
  <c r="G8" i="15" s="1"/>
  <c r="G6" i="22"/>
  <c r="G7" i="22" s="1"/>
  <c r="E343" i="26"/>
  <c r="D343" i="26"/>
  <c r="J61" i="3" l="1"/>
  <c r="L59" i="24"/>
  <c r="L61" i="24" s="1"/>
  <c r="L87" i="24" s="1"/>
  <c r="K61" i="3" s="1"/>
  <c r="E49" i="24"/>
  <c r="E56" i="24" s="1"/>
  <c r="G108" i="3"/>
  <c r="G97" i="3"/>
  <c r="G104" i="3"/>
  <c r="G106" i="3"/>
  <c r="G102" i="3"/>
  <c r="G101" i="3"/>
  <c r="G99" i="3"/>
  <c r="D21" i="6"/>
  <c r="K7" i="9"/>
  <c r="K15" i="9"/>
  <c r="G46" i="9"/>
  <c r="G63" i="9"/>
  <c r="K9" i="9"/>
  <c r="K13" i="9"/>
  <c r="K12" i="9"/>
  <c r="K17" i="9"/>
  <c r="K6" i="9"/>
  <c r="K18" i="9"/>
  <c r="K14" i="9"/>
  <c r="K8" i="9"/>
  <c r="K10" i="9"/>
  <c r="K11" i="9"/>
  <c r="E29" i="9"/>
  <c r="F343" i="26"/>
  <c r="M59" i="24" l="1"/>
  <c r="M61" i="24" s="1"/>
  <c r="M87" i="24" s="1"/>
  <c r="G79" i="9"/>
  <c r="K66" i="9" s="1"/>
  <c r="F106" i="3"/>
  <c r="F99" i="3"/>
  <c r="F108" i="3"/>
  <c r="F101" i="3"/>
  <c r="F104" i="3"/>
  <c r="K59" i="9"/>
  <c r="F97" i="3"/>
  <c r="K60" i="9"/>
  <c r="K43" i="9"/>
  <c r="K42" i="9"/>
  <c r="K52" i="9"/>
  <c r="K35" i="9"/>
  <c r="K34" i="9"/>
  <c r="K51" i="9"/>
  <c r="K19" i="9"/>
  <c r="K57" i="9"/>
  <c r="K62" i="9"/>
  <c r="K55" i="9"/>
  <c r="K58" i="9"/>
  <c r="K53" i="9"/>
  <c r="K50" i="9"/>
  <c r="K56" i="9"/>
  <c r="K54" i="9"/>
  <c r="K61" i="9"/>
  <c r="K39" i="9"/>
  <c r="K37" i="9"/>
  <c r="K40" i="9"/>
  <c r="K44" i="9"/>
  <c r="K41" i="9"/>
  <c r="K38" i="9"/>
  <c r="K33" i="9"/>
  <c r="K36" i="9"/>
  <c r="K45" i="9"/>
  <c r="L61" i="3" l="1"/>
  <c r="N59" i="24"/>
  <c r="N61" i="24" s="1"/>
  <c r="N87" i="24" s="1"/>
  <c r="M61" i="3" s="1"/>
  <c r="G113" i="3"/>
  <c r="K76" i="9"/>
  <c r="K75" i="9"/>
  <c r="K74" i="9"/>
  <c r="K78" i="9"/>
  <c r="K77" i="9"/>
  <c r="K68" i="9"/>
  <c r="K73" i="9"/>
  <c r="K70" i="9"/>
  <c r="K69" i="9"/>
  <c r="K72" i="9"/>
  <c r="K71" i="9"/>
  <c r="K67" i="9"/>
  <c r="K63" i="9"/>
  <c r="K46" i="9"/>
  <c r="O59" i="24" l="1"/>
  <c r="O61" i="24" s="1"/>
  <c r="O87" i="24" s="1"/>
  <c r="N61" i="3" s="1"/>
  <c r="K79" i="9"/>
  <c r="G121" i="3"/>
  <c r="G122" i="3" s="1"/>
  <c r="G123" i="3" s="1"/>
  <c r="D12" i="6" l="1"/>
  <c r="E17" i="6"/>
  <c r="E16" i="6"/>
  <c r="E18" i="6"/>
  <c r="E19" i="6"/>
  <c r="E20" i="6"/>
  <c r="E21" i="6" l="1"/>
  <c r="E11" i="6" l="1"/>
  <c r="E9" i="6"/>
  <c r="E10" i="6"/>
  <c r="E26" i="24" l="1"/>
  <c r="E54" i="24" s="1"/>
  <c r="E61" i="24" s="1"/>
  <c r="R65" i="24" l="1"/>
  <c r="R67" i="24" l="1"/>
  <c r="M100" i="3" s="1"/>
  <c r="F69" i="24" l="1"/>
  <c r="R71" i="24"/>
  <c r="F72" i="24" s="1"/>
  <c r="R73" i="24"/>
  <c r="E64" i="24" s="1"/>
  <c r="E65" i="24" l="1"/>
  <c r="E66" i="24" s="1"/>
  <c r="E87" i="24" s="1"/>
  <c r="D61" i="3" s="1"/>
  <c r="M97" i="3"/>
  <c r="D66" i="3" s="1"/>
  <c r="F64" i="24" l="1"/>
  <c r="F70" i="24" s="1"/>
  <c r="E8" i="6"/>
  <c r="J73" i="24" l="1"/>
  <c r="J74" i="24"/>
  <c r="F65" i="24"/>
  <c r="F66" i="24" s="1"/>
  <c r="G73" i="24"/>
  <c r="G87" i="24" s="1"/>
  <c r="F61" i="3" s="1"/>
  <c r="F73" i="24"/>
  <c r="F71" i="24"/>
  <c r="G69" i="24" s="1"/>
  <c r="G71" i="24" s="1"/>
  <c r="H69" i="24" s="1"/>
  <c r="H71" i="24" s="1"/>
  <c r="I69" i="24" s="1"/>
  <c r="I71" i="24" s="1"/>
  <c r="J69" i="24" s="1"/>
  <c r="J71" i="24" s="1"/>
  <c r="H73" i="24"/>
  <c r="H87" i="24" s="1"/>
  <c r="G61" i="3" s="1"/>
  <c r="I73" i="24"/>
  <c r="I87" i="24" s="1"/>
  <c r="H61" i="3" s="1"/>
  <c r="M108" i="3"/>
  <c r="F87" i="24" l="1"/>
  <c r="E61" i="3" s="1"/>
  <c r="D7" i="6"/>
  <c r="H65" i="3" s="1"/>
  <c r="N97" i="3"/>
  <c r="N101" i="3"/>
  <c r="N105" i="3"/>
  <c r="N104" i="3"/>
  <c r="N106" i="3"/>
  <c r="N100" i="3"/>
  <c r="E7" i="6" l="1"/>
  <c r="D6" i="6"/>
  <c r="E6" i="6" s="1"/>
  <c r="J87" i="24"/>
  <c r="I61" i="3" s="1"/>
  <c r="H68" i="3" s="1"/>
  <c r="N108" i="3"/>
  <c r="E12" i="6" l="1"/>
  <c r="D65" i="3"/>
  <c r="D69" i="3" s="1"/>
  <c r="D68" i="3"/>
</calcChain>
</file>

<file path=xl/sharedStrings.xml><?xml version="1.0" encoding="utf-8"?>
<sst xmlns="http://schemas.openxmlformats.org/spreadsheetml/2006/main" count="2221" uniqueCount="621">
  <si>
    <t>Parcels</t>
  </si>
  <si>
    <t>Parcel #</t>
  </si>
  <si>
    <t>Zoning Code</t>
  </si>
  <si>
    <t>Land Use</t>
  </si>
  <si>
    <t>Lot Size</t>
  </si>
  <si>
    <t>Built Area</t>
  </si>
  <si>
    <t>T6-8-O</t>
  </si>
  <si>
    <t>T6-12-O</t>
  </si>
  <si>
    <t>T5-O</t>
  </si>
  <si>
    <t>4837 WAREHOUSE TERMINAL OR STG : WAREHOUSE OR STORAGE</t>
  </si>
  <si>
    <t>0081 VACANT RESIDENTIAL : VACANT LAND</t>
  </si>
  <si>
    <t>1081 VACANT LAND - COMMERCIAL : VACANT LAND</t>
  </si>
  <si>
    <t>0803 MULTIFAMILY 2-9 UNITS : MULTIFAMILY 3 OR MORE UNITS</t>
  </si>
  <si>
    <t>0802 MULTIFAMILY 2-9 UNITS : 2 LIVING UNITS</t>
  </si>
  <si>
    <t>0101 RESIDENTIAL - SINGLE FAMILY : 1 UNIT</t>
  </si>
  <si>
    <t>1066 VACANT LAND - COMMERCIAL : EXTRA FEA OTHER THAN PARKING</t>
  </si>
  <si>
    <t>2111 RESTAURANT OR CAFETERIA : RETAIL OUTLET</t>
  </si>
  <si>
    <t>2865 PARKING LOT/MOBILE HOME PARK : PARKING LOT</t>
  </si>
  <si>
    <t>4081 VACANT LAND - INDUSTRIAL : VACANT LAND</t>
  </si>
  <si>
    <t>4132 LIGHT MANUFACTURING : LIGHT MFG &amp; FOOD PROCESSING</t>
  </si>
  <si>
    <t>2719 AUTOMOTIVE OR MARINE : AUTOMOTIVE OR MARINE</t>
  </si>
  <si>
    <t>4937 OPEN STORAGE : WAREHOUSE OR STORAGE</t>
  </si>
  <si>
    <t>1111 STORE : RETAIL OUTLET</t>
  </si>
  <si>
    <t>1813 OFFICE BUILDING - MULTISTORY : OFFICE BUILDING</t>
  </si>
  <si>
    <t>2019 Land Value</t>
  </si>
  <si>
    <t>2019 Market Value</t>
  </si>
  <si>
    <t>E/W</t>
  </si>
  <si>
    <t>E</t>
  </si>
  <si>
    <t>I</t>
  </si>
  <si>
    <t>W</t>
  </si>
  <si>
    <t>Hard Costs</t>
  </si>
  <si>
    <t>Multifamily</t>
  </si>
  <si>
    <t>Condominium</t>
  </si>
  <si>
    <t>Hotel</t>
  </si>
  <si>
    <t>Office</t>
  </si>
  <si>
    <t>Retail</t>
  </si>
  <si>
    <t>Soft Costs</t>
  </si>
  <si>
    <t>PSF</t>
  </si>
  <si>
    <t>Total Costs</t>
  </si>
  <si>
    <t>Contingency</t>
  </si>
  <si>
    <t>Developer Fee</t>
  </si>
  <si>
    <t>Sale Costs</t>
  </si>
  <si>
    <t>Parking</t>
  </si>
  <si>
    <t>Holding Period</t>
  </si>
  <si>
    <t>years</t>
  </si>
  <si>
    <t>Total</t>
  </si>
  <si>
    <t>Expense Growth</t>
  </si>
  <si>
    <t>II</t>
  </si>
  <si>
    <t>III</t>
  </si>
  <si>
    <t>Phase</t>
  </si>
  <si>
    <t>Studio</t>
  </si>
  <si>
    <t>Multifamily Residential</t>
  </si>
  <si>
    <t>Condominium Residential</t>
  </si>
  <si>
    <t>Sale PSF</t>
  </si>
  <si>
    <t>Total Cost</t>
  </si>
  <si>
    <t>Opex</t>
  </si>
  <si>
    <t>Mgt. Fee</t>
  </si>
  <si>
    <t>Capex</t>
  </si>
  <si>
    <t>GSF</t>
  </si>
  <si>
    <t>Overall</t>
  </si>
  <si>
    <t>Demolition</t>
  </si>
  <si>
    <t>Budget</t>
  </si>
  <si>
    <t>% of Total</t>
  </si>
  <si>
    <t>Hard Costs Subtotal</t>
  </si>
  <si>
    <t>Acquisitions Subtotal</t>
  </si>
  <si>
    <t>Gross Square Footage</t>
  </si>
  <si>
    <t>Gross Square Footage Subtotal</t>
  </si>
  <si>
    <t>Architectural &amp; Engineering</t>
  </si>
  <si>
    <t>Permits</t>
  </si>
  <si>
    <t>Environmental/Geotechnical</t>
  </si>
  <si>
    <t>Bank Legal</t>
  </si>
  <si>
    <t>Developer Legal</t>
  </si>
  <si>
    <t>Marketing</t>
  </si>
  <si>
    <t>Taxes During Construction</t>
  </si>
  <si>
    <t>Insurance</t>
  </si>
  <si>
    <t>Accounting</t>
  </si>
  <si>
    <t>Title &amp; Survey</t>
  </si>
  <si>
    <t>Appraisal</t>
  </si>
  <si>
    <t>Construction Monitoring &amp; Testing</t>
  </si>
  <si>
    <t>Construction Inspections</t>
  </si>
  <si>
    <t>LEED Certification Fee</t>
  </si>
  <si>
    <t>Soft Cost Contingency</t>
  </si>
  <si>
    <t>Soft Costs Subtotal</t>
  </si>
  <si>
    <t>Financing Costs</t>
  </si>
  <si>
    <t>Financing Costs Subtotal</t>
  </si>
  <si>
    <t>%</t>
  </si>
  <si>
    <t>Competition Sites</t>
  </si>
  <si>
    <t>Units</t>
  </si>
  <si>
    <t>Gross Revenue</t>
  </si>
  <si>
    <t>Management Fees</t>
  </si>
  <si>
    <t>Vacancy Loss</t>
  </si>
  <si>
    <t>Capital Expenditures</t>
  </si>
  <si>
    <t>Total SF</t>
  </si>
  <si>
    <t>Occupancy</t>
  </si>
  <si>
    <t>ADR</t>
  </si>
  <si>
    <t>RevPAR</t>
  </si>
  <si>
    <t>Rooms</t>
  </si>
  <si>
    <t>Other Income</t>
  </si>
  <si>
    <t>F&amp;B Revenue</t>
  </si>
  <si>
    <t>NOI</t>
  </si>
  <si>
    <t>Action</t>
  </si>
  <si>
    <t>Retail Cashflow</t>
  </si>
  <si>
    <t>Hotel Cashflow</t>
  </si>
  <si>
    <t>Development Costs</t>
  </si>
  <si>
    <t>Total Development Costs</t>
  </si>
  <si>
    <t>Closing</t>
  </si>
  <si>
    <t>Effective Gross Income</t>
  </si>
  <si>
    <t>Area Information</t>
  </si>
  <si>
    <t>Total GSF</t>
  </si>
  <si>
    <t>Loss Area</t>
  </si>
  <si>
    <t>Revenue</t>
  </si>
  <si>
    <t>Valuation</t>
  </si>
  <si>
    <t xml:space="preserve">Assumptions </t>
  </si>
  <si>
    <t>Revenue Growth</t>
  </si>
  <si>
    <t>Occupancy Y1</t>
  </si>
  <si>
    <t>Occupancy Y2</t>
  </si>
  <si>
    <t>Occupancy Y3+</t>
  </si>
  <si>
    <t>Entry Cap</t>
  </si>
  <si>
    <t>Exit Cap</t>
  </si>
  <si>
    <t>Sales Cost</t>
  </si>
  <si>
    <t>1BR</t>
  </si>
  <si>
    <t>2BR</t>
  </si>
  <si>
    <t>3BR</t>
  </si>
  <si>
    <t>4BR</t>
  </si>
  <si>
    <t>Expenses</t>
  </si>
  <si>
    <t>RE Tax</t>
  </si>
  <si>
    <t>Total RSF</t>
  </si>
  <si>
    <t>Revenues</t>
  </si>
  <si>
    <t>Operational Expenditures</t>
  </si>
  <si>
    <t>Sale Proceeds</t>
  </si>
  <si>
    <t>Profit</t>
  </si>
  <si>
    <t>Demolition Costs</t>
  </si>
  <si>
    <t xml:space="preserve">     Revenue Growth Factor</t>
  </si>
  <si>
    <t xml:space="preserve">     Expense Growth Factor</t>
  </si>
  <si>
    <t>Real Estate Tax</t>
  </si>
  <si>
    <t>Construction Timeline</t>
  </si>
  <si>
    <t>Check</t>
  </si>
  <si>
    <t>Above Grade Parking</t>
  </si>
  <si>
    <t>Below Grade Parking</t>
  </si>
  <si>
    <t>Acquisition Of Properties</t>
  </si>
  <si>
    <t>Additional Sites</t>
  </si>
  <si>
    <t>Vacant</t>
  </si>
  <si>
    <t>Current Land Use</t>
  </si>
  <si>
    <t>Built Area (SF)</t>
  </si>
  <si>
    <t>Lot Size (SF)</t>
  </si>
  <si>
    <t>Multifamily Cashflow</t>
  </si>
  <si>
    <t>Condominium Cashflow</t>
  </si>
  <si>
    <t>Proposed Land Use</t>
  </si>
  <si>
    <t>MU</t>
  </si>
  <si>
    <t>CO</t>
  </si>
  <si>
    <t>OF</t>
  </si>
  <si>
    <t>RE</t>
  </si>
  <si>
    <t>IN</t>
  </si>
  <si>
    <t>PA</t>
  </si>
  <si>
    <t>Office Cashflow</t>
  </si>
  <si>
    <t>HO</t>
  </si>
  <si>
    <t>FF&amp;E</t>
  </si>
  <si>
    <t>T6-8-O; T6-12-O</t>
  </si>
  <si>
    <t>0303 MULTIFAMILY 10 UNITS PLUS : MULTIFAMILY 3 OR MORE UNITS</t>
  </si>
  <si>
    <t>1209 MIXED USE-STORE/RESIDENTIAL : MIXED USE - RESIDENTIAL</t>
  </si>
  <si>
    <t>6981 CONTAINER NURSERY ABOVE-GR : VACANT LAND</t>
  </si>
  <si>
    <t>8080 VACANT GOVERNMENTAL : VACANT LAND - GOVERNMENTAL</t>
  </si>
  <si>
    <t>7241 EDUCATIONAL/SCIENTIFIC - EX : EDUCATIONAL - PRIVATE</t>
  </si>
  <si>
    <t>1713 OFFICE BUILDING - ONE STORY : OFFICE BUILDING</t>
  </si>
  <si>
    <t>1211 MIXED USE-STORE/RESIDENTIAL : RETAIL OUTLET</t>
  </si>
  <si>
    <t>0066 VACANT RESIDENTIAL : EXTRA FEA OTHER THAN PARKING</t>
  </si>
  <si>
    <t>1229 MIXED USE-STORE/RESIDENTIAL : MIXED USE - COMMERCIAL</t>
  </si>
  <si>
    <t>2914 WHOLESALE OUTLET : WHOLESALE OUTLET</t>
  </si>
  <si>
    <t>Unit Price</t>
  </si>
  <si>
    <t>Factors</t>
  </si>
  <si>
    <t>Inflation</t>
  </si>
  <si>
    <t>Capital Reserves</t>
  </si>
  <si>
    <t>Avg. Size (SF)</t>
  </si>
  <si>
    <t>Price Inflation Factor</t>
  </si>
  <si>
    <t>Soft Costs Breakdown</t>
  </si>
  <si>
    <t>Hard Costs Contingency</t>
  </si>
  <si>
    <t>Soft Costs Contingency</t>
  </si>
  <si>
    <t>2020 - 2021</t>
  </si>
  <si>
    <t>Revenue (Affordable)</t>
  </si>
  <si>
    <t>Revenue (Market)</t>
  </si>
  <si>
    <t>% of EGI</t>
  </si>
  <si>
    <t>Total Soft Costs</t>
  </si>
  <si>
    <t>Total Hard  Costs</t>
  </si>
  <si>
    <t>Build</t>
  </si>
  <si>
    <t>None</t>
  </si>
  <si>
    <t>(Market) Studio Rent PSF</t>
  </si>
  <si>
    <t>(Market) 1BR Rent PSF</t>
  </si>
  <si>
    <t>(Market) 2BR Rent PSF</t>
  </si>
  <si>
    <t>(Market) 3BR Rent PSF</t>
  </si>
  <si>
    <t>(Market) 4BR Rent PSF</t>
  </si>
  <si>
    <t>(Affordable) 2BR Rent PSF</t>
  </si>
  <si>
    <t>(Affordable) 3BR Rent PSF</t>
  </si>
  <si>
    <t xml:space="preserve">     Occupancy Rate</t>
  </si>
  <si>
    <t>Varies</t>
  </si>
  <si>
    <t>Average Room SF</t>
  </si>
  <si>
    <t>Developer Fees</t>
  </si>
  <si>
    <t>Developer Fees Subtotal</t>
  </si>
  <si>
    <t>Factor</t>
  </si>
  <si>
    <t>Reserves Subtotal</t>
  </si>
  <si>
    <t>Acquisition Closing Costs</t>
  </si>
  <si>
    <t>F&amp;B Rent PSF</t>
  </si>
  <si>
    <t>Equity Multiple</t>
  </si>
  <si>
    <t>Unleveraged Cash Flow</t>
  </si>
  <si>
    <t>Upper Retail Monthly Rent</t>
  </si>
  <si>
    <t>Upper Retail Annual Rent</t>
  </si>
  <si>
    <t>Loan Amount</t>
  </si>
  <si>
    <t>Period</t>
  </si>
  <si>
    <t>Sources</t>
  </si>
  <si>
    <t>Uses</t>
  </si>
  <si>
    <t>Equity</t>
  </si>
  <si>
    <t>Land Value Cost</t>
  </si>
  <si>
    <t>Event Space PSF</t>
  </si>
  <si>
    <t>Arts</t>
  </si>
  <si>
    <t>Infrastructure</t>
  </si>
  <si>
    <t>Inflation Factor</t>
  </si>
  <si>
    <t>Ground Level Retail Rent PSF</t>
  </si>
  <si>
    <t>Upper Level Retail Rent PSF</t>
  </si>
  <si>
    <t>Ground Level Retail Revenue</t>
  </si>
  <si>
    <t>Ground Retail Monthly Rent</t>
  </si>
  <si>
    <t>Ground Retail Annual Rent</t>
  </si>
  <si>
    <t>AR</t>
  </si>
  <si>
    <t>ED</t>
  </si>
  <si>
    <t>Education</t>
  </si>
  <si>
    <t>Affordable Component</t>
  </si>
  <si>
    <t>Operational Recoveries</t>
  </si>
  <si>
    <t>Opex Recoveries</t>
  </si>
  <si>
    <t>Ground Level Retail Portion</t>
  </si>
  <si>
    <t>Upper Level Retail Portion</t>
  </si>
  <si>
    <t>Equity Invested</t>
  </si>
  <si>
    <t>Event Space Revenue</t>
  </si>
  <si>
    <t>Event Space Rent PSF</t>
  </si>
  <si>
    <t>Hotel Area</t>
  </si>
  <si>
    <t>F&amp;B Area</t>
  </si>
  <si>
    <t>Event Space Area</t>
  </si>
  <si>
    <t>Demolish GFA</t>
  </si>
  <si>
    <t>Infrastructure Cashflow</t>
  </si>
  <si>
    <t>Elevated Park GSF</t>
  </si>
  <si>
    <t>Parking Cashflow</t>
  </si>
  <si>
    <t>Monthly Parking Rent</t>
  </si>
  <si>
    <t>/unit</t>
  </si>
  <si>
    <t>Annual Parking Rent</t>
  </si>
  <si>
    <t>Unit Area (SF)</t>
  </si>
  <si>
    <t>Hard Costs - AG</t>
  </si>
  <si>
    <t>Hard Costs - BG</t>
  </si>
  <si>
    <t>Soft Costs -AG</t>
  </si>
  <si>
    <t>Soft Costs - BG</t>
  </si>
  <si>
    <t>Above Grade Parking Unit Rent</t>
  </si>
  <si>
    <t>Below Grade Parking Unit Rent</t>
  </si>
  <si>
    <t>Annual Opex</t>
  </si>
  <si>
    <t>Monthly Opex</t>
  </si>
  <si>
    <t>Venue Occupation</t>
  </si>
  <si>
    <t>Retail Occupation</t>
  </si>
  <si>
    <t>CAM Reimbursements</t>
  </si>
  <si>
    <t>Office Occupancy</t>
  </si>
  <si>
    <t>MakerSpace™ Retail Occupancy</t>
  </si>
  <si>
    <t>CreativeSpace™ Market Occupancy</t>
  </si>
  <si>
    <t>Summary Board</t>
  </si>
  <si>
    <t>Total Net Operating Income</t>
  </si>
  <si>
    <t>Net Operating Income</t>
  </si>
  <si>
    <t xml:space="preserve">     Multifamily</t>
  </si>
  <si>
    <t xml:space="preserve">     Condominium</t>
  </si>
  <si>
    <t xml:space="preserve">     Office</t>
  </si>
  <si>
    <t xml:space="preserve">     Retail</t>
  </si>
  <si>
    <t xml:space="preserve">     Hotel</t>
  </si>
  <si>
    <t xml:space="preserve">     Parking</t>
  </si>
  <si>
    <t>Total Sale Proceeds</t>
  </si>
  <si>
    <t xml:space="preserve">     Infrastructure</t>
  </si>
  <si>
    <t>Annual Cash Flow</t>
  </si>
  <si>
    <t>Net Sale Proceeds</t>
  </si>
  <si>
    <t xml:space="preserve">     Total Sale Proceeds</t>
  </si>
  <si>
    <t xml:space="preserve">     Total Net Operating Income</t>
  </si>
  <si>
    <t xml:space="preserve">     Total Development Costs</t>
  </si>
  <si>
    <t>Unleveraged Net Cash Flow</t>
  </si>
  <si>
    <t>Leveraged Net Cash Flow</t>
  </si>
  <si>
    <t>Ground Plaza GSF</t>
  </si>
  <si>
    <t>Events Revenue</t>
  </si>
  <si>
    <t>N/A</t>
  </si>
  <si>
    <t>Sale Estimation</t>
  </si>
  <si>
    <t>Building MU-1 Built GSF</t>
  </si>
  <si>
    <t>Building MU-4 Built GSF</t>
  </si>
  <si>
    <t>Building MU-5 Built GSF</t>
  </si>
  <si>
    <t>Building MU-6 Built GSF</t>
  </si>
  <si>
    <t>Building MU-7 Built GSF</t>
  </si>
  <si>
    <t>RSF</t>
  </si>
  <si>
    <t>Annual PSF</t>
  </si>
  <si>
    <t>% Distribution</t>
  </si>
  <si>
    <t xml:space="preserve">     (Market) Studio Units Delivered</t>
  </si>
  <si>
    <t xml:space="preserve">     (Market) 1BR Units Delivered</t>
  </si>
  <si>
    <t xml:space="preserve">     (Market) 2BR Units Delivered</t>
  </si>
  <si>
    <t xml:space="preserve">     (Market) 3BR Units Delivered</t>
  </si>
  <si>
    <t xml:space="preserve">     (Market) 4BR Units Delivered</t>
  </si>
  <si>
    <t xml:space="preserve">     (Affordable) 2BR Units Delivered</t>
  </si>
  <si>
    <t xml:space="preserve">     (Affordable) 3BR Units Delivered</t>
  </si>
  <si>
    <t>(Market) Studio Units Absorption</t>
  </si>
  <si>
    <t>(Market) 1BR Units Absorption</t>
  </si>
  <si>
    <t>(Market) 2BR Units Absorption</t>
  </si>
  <si>
    <t>(Market) 3BR Units Absorption</t>
  </si>
  <si>
    <t>(Market) 4BR Units Absorption</t>
  </si>
  <si>
    <t>(Affordable) 2BR Units Absorption</t>
  </si>
  <si>
    <t>(Affordable) 3BR Units Absorption</t>
  </si>
  <si>
    <t>Building CO-1 Built GSF</t>
  </si>
  <si>
    <t>Building CO-2 Built GSF</t>
  </si>
  <si>
    <t>Building CO-3 Built GSF</t>
  </si>
  <si>
    <t xml:space="preserve">Unit Sale </t>
  </si>
  <si>
    <t>Program Information</t>
  </si>
  <si>
    <t>Building OF-1 Built GSF</t>
  </si>
  <si>
    <t xml:space="preserve">     Maker Space Office Delivered</t>
  </si>
  <si>
    <t>Building OF-2 Built GSF</t>
  </si>
  <si>
    <t xml:space="preserve">     Creative Space Office Delivered</t>
  </si>
  <si>
    <t xml:space="preserve">     Maker Space F&amp;B Delivered</t>
  </si>
  <si>
    <t xml:space="preserve">     Creative Space F&amp;B Delivered</t>
  </si>
  <si>
    <t>Creative Space Office RSF</t>
  </si>
  <si>
    <t>Creative Space Retail RSF</t>
  </si>
  <si>
    <t>Maker Space Office RSF</t>
  </si>
  <si>
    <t>Maker Space Retail RSF</t>
  </si>
  <si>
    <t>Maker Space Office Rent PSF</t>
  </si>
  <si>
    <t>Maker Space F&amp;B Rent PSF</t>
  </si>
  <si>
    <t>Creative Space Office Rent PSF</t>
  </si>
  <si>
    <t>Creative Space F&amp;B Rent PSF</t>
  </si>
  <si>
    <t xml:space="preserve">     Revenue Growth</t>
  </si>
  <si>
    <t xml:space="preserve">     Ground Floor Retail Delivered</t>
  </si>
  <si>
    <t>Building ED-1 Built GSF</t>
  </si>
  <si>
    <t>Building RE-1 Built GSF</t>
  </si>
  <si>
    <t xml:space="preserve">     Upper Floor Retail Delivered</t>
  </si>
  <si>
    <t>Building RE-2 Built GSF</t>
  </si>
  <si>
    <t xml:space="preserve">     Hotel Rooms Delivered</t>
  </si>
  <si>
    <t xml:space="preserve">     Hotel F&amp;B Area Delivered</t>
  </si>
  <si>
    <t xml:space="preserve">     Hotel Event Space Delivered</t>
  </si>
  <si>
    <t>University Ground Sale PSF</t>
  </si>
  <si>
    <t>Delivery Year</t>
  </si>
  <si>
    <t xml:space="preserve">     Completion</t>
  </si>
  <si>
    <t>Cap Rate</t>
  </si>
  <si>
    <t>Capitalized Value</t>
  </si>
  <si>
    <t>Construction Hard Cost</t>
  </si>
  <si>
    <t>Construction Soft Cost</t>
  </si>
  <si>
    <t>Construction Cost</t>
  </si>
  <si>
    <t>Residual Land Value</t>
  </si>
  <si>
    <t>Land Value PSF</t>
  </si>
  <si>
    <t>Discount For University Purchase</t>
  </si>
  <si>
    <t>Developer Completion Fee</t>
  </si>
  <si>
    <t>Building AR-1 Built GSF</t>
  </si>
  <si>
    <t xml:space="preserve">     MoMA Miami Museum Delivered</t>
  </si>
  <si>
    <t>Building AR-2 Built GSF</t>
  </si>
  <si>
    <t xml:space="preserve">     Nader Art Museum Delivered</t>
  </si>
  <si>
    <t>Building AR-3 Built GSF</t>
  </si>
  <si>
    <t xml:space="preserve">     Performance Center Delivered</t>
  </si>
  <si>
    <t>Nader Art Museum Sale PSF</t>
  </si>
  <si>
    <t>HBU Ground Sale PSF</t>
  </si>
  <si>
    <t>Nader Art Museum Discount</t>
  </si>
  <si>
    <t>ED-1 HBU Land Value Calculation (BOE) - Office</t>
  </si>
  <si>
    <t>Nader Art Museum Ground Sale PSF</t>
  </si>
  <si>
    <t>Nader Art Museum Sale Proceeds</t>
  </si>
  <si>
    <t>Net Gross Income</t>
  </si>
  <si>
    <t>Product Type</t>
  </si>
  <si>
    <t>AR-1</t>
  </si>
  <si>
    <t>Museum</t>
  </si>
  <si>
    <t>Performance Center</t>
  </si>
  <si>
    <t>Maker Space</t>
  </si>
  <si>
    <t>Creative Space</t>
  </si>
  <si>
    <t>School</t>
  </si>
  <si>
    <t xml:space="preserve"> </t>
  </si>
  <si>
    <t>PA-1</t>
  </si>
  <si>
    <t>HO-1</t>
  </si>
  <si>
    <t>MU-1</t>
  </si>
  <si>
    <t>RE-1</t>
  </si>
  <si>
    <t>AR-2</t>
  </si>
  <si>
    <t>CO-1</t>
  </si>
  <si>
    <t>CO-2</t>
  </si>
  <si>
    <t>MU-2 &amp; MU-3</t>
  </si>
  <si>
    <t>MU-4</t>
  </si>
  <si>
    <t>MU-5</t>
  </si>
  <si>
    <t>AR-3</t>
  </si>
  <si>
    <t>CO-3</t>
  </si>
  <si>
    <t>OF-1</t>
  </si>
  <si>
    <t>OF-2</t>
  </si>
  <si>
    <t>MU-6</t>
  </si>
  <si>
    <t>RE-2</t>
  </si>
  <si>
    <t>ED-1</t>
  </si>
  <si>
    <t>TOTAL</t>
  </si>
  <si>
    <t>Grand Total</t>
  </si>
  <si>
    <t>Development Schedule</t>
  </si>
  <si>
    <t>Multifamily - Market</t>
  </si>
  <si>
    <t>Condominium - Market</t>
  </si>
  <si>
    <t>Multifamily - Affordable</t>
  </si>
  <si>
    <t>Condominium - Affordable</t>
  </si>
  <si>
    <t>University</t>
  </si>
  <si>
    <t>Museum (MoMA Miami Art Museum)</t>
  </si>
  <si>
    <t>Museum (Nader Art Museum)</t>
  </si>
  <si>
    <t>Phase I</t>
  </si>
  <si>
    <t>Phase II</t>
  </si>
  <si>
    <t>Phase III</t>
  </si>
  <si>
    <t>Building MU-2 + MU-3 Built GSF</t>
  </si>
  <si>
    <t>(Market) Studio Unit Rent</t>
  </si>
  <si>
    <t>(Market) 1BR Units Rent</t>
  </si>
  <si>
    <t>(Market) 2BR Units Rent</t>
  </si>
  <si>
    <t>(Market) 3BR Units Rent</t>
  </si>
  <si>
    <t>(Market) 4BR Units Rent</t>
  </si>
  <si>
    <t>(Affordable) 2BR Units Rent</t>
  </si>
  <si>
    <t>(Affordable) 3BR Units Rent</t>
  </si>
  <si>
    <t>Annual Unit</t>
  </si>
  <si>
    <t>CO-4</t>
  </si>
  <si>
    <t>Building CO-4 Built GSF</t>
  </si>
  <si>
    <t>CreativeSpace™ Retail Rent PSF</t>
  </si>
  <si>
    <t>Building MU-2 &amp; MU-3 Built GSF</t>
  </si>
  <si>
    <t>Performance Center Museum Discount</t>
  </si>
  <si>
    <t>Performance Center Sale PSF</t>
  </si>
  <si>
    <t>Performance Center Ground Sale PSF</t>
  </si>
  <si>
    <t>MoMA Museum Ground Sale PSF</t>
  </si>
  <si>
    <t>MoMA Museum Sale PSF</t>
  </si>
  <si>
    <t>MoMA Museum Discount</t>
  </si>
  <si>
    <t>AR-1 HBU Land Value Calculation (BOE) -Retail</t>
  </si>
  <si>
    <t>AR-2 HBU Land Value Calculation (BOE) - Retail</t>
  </si>
  <si>
    <t>AR-3 HBU Land Value Calculation (BOE) - Retail</t>
  </si>
  <si>
    <t>Performance Center Sale Proceeds</t>
  </si>
  <si>
    <t>MoMA Miami Museum Sale Proceeds</t>
  </si>
  <si>
    <t>Construction Loan</t>
  </si>
  <si>
    <t xml:space="preserve">     Sales Rate</t>
  </si>
  <si>
    <t>MoMA Lease Annual PSF</t>
  </si>
  <si>
    <t>Nader Lease Annual PSF</t>
  </si>
  <si>
    <t>Gross Lease Revenue</t>
  </si>
  <si>
    <t>MoMA Museum Lease PSF</t>
  </si>
  <si>
    <t>Nader Art Museum Lease PSF</t>
  </si>
  <si>
    <t xml:space="preserve">     Below Grade Parking Units Delivered</t>
  </si>
  <si>
    <t xml:space="preserve">     Above Grade Parking Units Delivered</t>
  </si>
  <si>
    <t>Building PA-1 Built GSF</t>
  </si>
  <si>
    <t>Building HO-1 Built GSF</t>
  </si>
  <si>
    <t>Tri-Rail Station Platform</t>
  </si>
  <si>
    <t>Bridge Phase I</t>
  </si>
  <si>
    <t>Bridge Phase II</t>
  </si>
  <si>
    <t>Ground Plaza Phase I</t>
  </si>
  <si>
    <t>Ground Plaza Phase II</t>
  </si>
  <si>
    <t>Ground Plaza Phase III</t>
  </si>
  <si>
    <t>Percentage</t>
  </si>
  <si>
    <t>Sidewalks</t>
  </si>
  <si>
    <t>Bike Lane</t>
  </si>
  <si>
    <t>Travel Lane</t>
  </si>
  <si>
    <t>Vegetation</t>
  </si>
  <si>
    <t>Tri-Rail Staiton Platform</t>
  </si>
  <si>
    <t xml:space="preserve">      Completion</t>
  </si>
  <si>
    <t xml:space="preserve">      Bridge Phase II Delivered</t>
  </si>
  <si>
    <t xml:space="preserve">      Bridge Phase I Delivered</t>
  </si>
  <si>
    <t xml:space="preserve">      Tri-Rail Station Platform Delivered</t>
  </si>
  <si>
    <t>Bike Lanes</t>
  </si>
  <si>
    <t xml:space="preserve">      Bike Lanes Delivered</t>
  </si>
  <si>
    <t>Travel Lanes</t>
  </si>
  <si>
    <t xml:space="preserve">      Travel Lanes Delivered</t>
  </si>
  <si>
    <t xml:space="preserve">      Vegetation Delivered</t>
  </si>
  <si>
    <t xml:space="preserve">      Sidewalks Delivered</t>
  </si>
  <si>
    <t xml:space="preserve">      Ground Phase III Delivered</t>
  </si>
  <si>
    <t xml:space="preserve">      Ground Phase II Delivered</t>
  </si>
  <si>
    <t xml:space="preserve">      Ground Phase I Delivered</t>
  </si>
  <si>
    <t>Hard Costs - Bridge</t>
  </si>
  <si>
    <t>Soft Costs - Bridge</t>
  </si>
  <si>
    <t>Infrastructure - Ground</t>
  </si>
  <si>
    <t>Infrastructure - Bridge</t>
  </si>
  <si>
    <t>Hard Costs - Ground</t>
  </si>
  <si>
    <t>Soft Costs - Ground</t>
  </si>
  <si>
    <t>Acquisition Costs</t>
  </si>
  <si>
    <t xml:space="preserve">     Owned Parcels</t>
  </si>
  <si>
    <t xml:space="preserve">     Additional Parcels</t>
  </si>
  <si>
    <t xml:space="preserve">     Demolish</t>
  </si>
  <si>
    <t>Owned Parcels</t>
  </si>
  <si>
    <t>Additional Parcels</t>
  </si>
  <si>
    <t>Acquisitions (Owned Parcels)</t>
  </si>
  <si>
    <t xml:space="preserve">     Acquisition Closing Costs</t>
  </si>
  <si>
    <t>Total Acquisitions Costs</t>
  </si>
  <si>
    <t xml:space="preserve">     Total Acquisitions Costs</t>
  </si>
  <si>
    <t>CO-5</t>
  </si>
  <si>
    <t>Building CO-5 Built GSF</t>
  </si>
  <si>
    <t>Hard Costs - Rail</t>
  </si>
  <si>
    <t>Soft Costs - Rail</t>
  </si>
  <si>
    <t>Infrastructure - Rail</t>
  </si>
  <si>
    <t>Combined Construction Costs</t>
  </si>
  <si>
    <t>Construction Costs - Bridge</t>
  </si>
  <si>
    <t>Construction Costs - Ground</t>
  </si>
  <si>
    <t>Construction Costs - Rail</t>
  </si>
  <si>
    <t>Construction Costs Parking - Above Grade</t>
  </si>
  <si>
    <t>Construction Costs Parking - Below Grade</t>
  </si>
  <si>
    <t xml:space="preserve">*Construction Costs from RLB Publications Q3 2019 North America https://www.rlb.com/wp-content/uploads/2019/10/Q3-2019-QCR.pdf </t>
  </si>
  <si>
    <t>Construction Costs Subtotal</t>
  </si>
  <si>
    <t>LTC</t>
  </si>
  <si>
    <t>Equity Contribution</t>
  </si>
  <si>
    <t>Return Summary</t>
  </si>
  <si>
    <t>Unleveraged IRR</t>
  </si>
  <si>
    <t>Equity In</t>
  </si>
  <si>
    <t xml:space="preserve">Leveraged IRR </t>
  </si>
  <si>
    <t>EM</t>
  </si>
  <si>
    <t>Value Summary</t>
  </si>
  <si>
    <t>Loan To Value</t>
  </si>
  <si>
    <t>Current Site Value (Year 0)</t>
  </si>
  <si>
    <t>Projected Site Value</t>
  </si>
  <si>
    <t>2. MULTI-YEAR DEVELOPMENT PROGRAM</t>
  </si>
  <si>
    <t>Buildout</t>
  </si>
  <si>
    <t>Square Feet</t>
  </si>
  <si>
    <t>Program</t>
  </si>
  <si>
    <t xml:space="preserve">     Market Multifamily Units Delivered</t>
  </si>
  <si>
    <t xml:space="preserve">     Affordable Multifamily Units Delivered</t>
  </si>
  <si>
    <t xml:space="preserve">     Market Condominium Units Delivered</t>
  </si>
  <si>
    <t xml:space="preserve">     Affordable Condominium Units Delivered</t>
  </si>
  <si>
    <t xml:space="preserve">     Above Grade Parking Units</t>
  </si>
  <si>
    <t xml:space="preserve">     Below Grade Parking Units</t>
  </si>
  <si>
    <t>3. UNIT DEVELOPMENT &amp; INFRASTRUCTURE COSTS</t>
  </si>
  <si>
    <t>Unit Costs</t>
  </si>
  <si>
    <t>Tri-Rail Train Station</t>
  </si>
  <si>
    <t>Bridge</t>
  </si>
  <si>
    <t>Land Acquisition</t>
  </si>
  <si>
    <t>Total Public Infrastructure Costs</t>
  </si>
  <si>
    <t>4. EQUITY &amp; FINANCING</t>
  </si>
  <si>
    <t>Equity Sources</t>
  </si>
  <si>
    <t>Office (Maker Space)</t>
  </si>
  <si>
    <t>Office (Creative Space)</t>
  </si>
  <si>
    <t>Museum (Performance Center)</t>
  </si>
  <si>
    <t>Public Subsidies</t>
  </si>
  <si>
    <t>Amount</t>
  </si>
  <si>
    <t>Total Sources</t>
  </si>
  <si>
    <t>Land Acquisition Cost</t>
  </si>
  <si>
    <t>Development Charge</t>
  </si>
  <si>
    <t>Total Uses</t>
  </si>
  <si>
    <t>Tri-Rail Total Costs</t>
  </si>
  <si>
    <t>Grants &amp; Subsidies</t>
  </si>
  <si>
    <t>RE Tax On Sale</t>
  </si>
  <si>
    <t>RE Sales Tax</t>
  </si>
  <si>
    <t>2) BUILD Transportation Grants Program</t>
  </si>
  <si>
    <t>3) Florida Low-Income Housing Credit (HC) Program - Construction</t>
  </si>
  <si>
    <t>1) Tri-Rail Station Refund</t>
  </si>
  <si>
    <t>Notes</t>
  </si>
  <si>
    <t>1) Competition brief states all costs of the rail station will be subsidized by Tri-Rail.</t>
  </si>
  <si>
    <t>3) Florida State provides real estate tax abatements for 10 years if 20% of residential development is dedicated low-income households of 50% and lower AMI.</t>
  </si>
  <si>
    <t>2) U.S DOT maximum subsidizing of $25 million per state for public transit-oriented projects. (Eg. Miami Underline project received a $22.3 million grant on a $98.8 million project.)</t>
  </si>
  <si>
    <t>Midedgewyn Group Development Equity</t>
  </si>
  <si>
    <t>Total Funding</t>
  </si>
  <si>
    <t>3) 9% Tax Abatement in provision of 20% Low-Income Housing for 50% or lower households.</t>
  </si>
  <si>
    <t>2) U.S DOT grant given for public infrastructure projects with a maximum of $25,000,000.</t>
  </si>
  <si>
    <t>1) Tri-Rail to fully reimburse the construction costs of additional train stations in site area.</t>
  </si>
  <si>
    <t>BUILD Transportation Grants Program (2)</t>
  </si>
  <si>
    <t>Florida Low-Income Housing Credit Program (3)</t>
  </si>
  <si>
    <t>Tri-Rail Station Refund (1)</t>
  </si>
  <si>
    <t>5. MARKET ASSUMPTIONS</t>
  </si>
  <si>
    <t>Assumption</t>
  </si>
  <si>
    <t>Ground</t>
  </si>
  <si>
    <t>Parking - Below Grade</t>
  </si>
  <si>
    <t>Parking - Above Grade</t>
  </si>
  <si>
    <t>Stabilized NOI</t>
  </si>
  <si>
    <t>Combined Cash Flows</t>
  </si>
  <si>
    <t>Construction Loan Proceeds</t>
  </si>
  <si>
    <t>Construction Loan Balance</t>
  </si>
  <si>
    <t>Debt Repayment</t>
  </si>
  <si>
    <t>Permanent Financing</t>
  </si>
  <si>
    <t>Equity Requirement</t>
  </si>
  <si>
    <t>Max Loan Amount</t>
  </si>
  <si>
    <t>Interest Only</t>
  </si>
  <si>
    <t>Interest Rate</t>
  </si>
  <si>
    <t>Service Fee %</t>
  </si>
  <si>
    <t>Service Fee</t>
  </si>
  <si>
    <t>Projected Value</t>
  </si>
  <si>
    <t>Annual Debt</t>
  </si>
  <si>
    <t>Blended Cap Rate</t>
  </si>
  <si>
    <t>Equity Opening Balance</t>
  </si>
  <si>
    <t>Equity Draw</t>
  </si>
  <si>
    <t>Equity Ending Balance</t>
  </si>
  <si>
    <t>Phase II Permanent Financing</t>
  </si>
  <si>
    <t>Stabilized Year</t>
  </si>
  <si>
    <t>Construction Loan Ending Balance</t>
  </si>
  <si>
    <t>Construction Loan Servicing Fee</t>
  </si>
  <si>
    <t>Permanent Loan</t>
  </si>
  <si>
    <t>Permanent Loan Balance</t>
  </si>
  <si>
    <t>Permanent Loan Payment</t>
  </si>
  <si>
    <t>Permanent Loan Principal</t>
  </si>
  <si>
    <t>Permanent Loan Interest Payment</t>
  </si>
  <si>
    <t>Construction Loan Interest Payment</t>
  </si>
  <si>
    <t>Permanent Loan Servicing Costs</t>
  </si>
  <si>
    <t>Phase I&amp;II - Construction Loan</t>
  </si>
  <si>
    <t>Permanent Loan Proceeds</t>
  </si>
  <si>
    <t>Financing Sources</t>
  </si>
  <si>
    <t>Total Private Development Costs</t>
  </si>
  <si>
    <t xml:space="preserve">     Contingency</t>
  </si>
  <si>
    <t xml:space="preserve">     Developer Fee</t>
  </si>
  <si>
    <t>Permanent Loan (LTV: 70%)</t>
  </si>
  <si>
    <t>Monthly PSF</t>
  </si>
  <si>
    <t>Revenue Assumptions</t>
  </si>
  <si>
    <t>Hotel - ADR</t>
  </si>
  <si>
    <t>Hotel - Occupancy</t>
  </si>
  <si>
    <t>Hotel - RevPAR</t>
  </si>
  <si>
    <t>Multi - Occupancy</t>
  </si>
  <si>
    <t>Parking (Monthly Unit Rent)</t>
  </si>
  <si>
    <t>Condo - Blended Sale PSF (Market)</t>
  </si>
  <si>
    <t>Condo - Blended Sale PSF (Affordable)</t>
  </si>
  <si>
    <t>Multi - Monthly Blended Rent PSF (Affordable)</t>
  </si>
  <si>
    <t>Multi - Monthly Blended Rent PSF (Market)</t>
  </si>
  <si>
    <t>Maker Space Retail Rent RSF</t>
  </si>
  <si>
    <t>Maker Space Office Annual Rent PSF</t>
  </si>
  <si>
    <t>Maker Space Office Monthly Rent PSF</t>
  </si>
  <si>
    <t>Creative Space Monthly Rent PSF</t>
  </si>
  <si>
    <t>Creative Space Annual Rent PSF</t>
  </si>
  <si>
    <t>Office - Creative Space Monthly Rent PSF</t>
  </si>
  <si>
    <t>Office - Maker Space Monthly Rent PSF</t>
  </si>
  <si>
    <t>Retail - Monthly Rent PSF</t>
  </si>
  <si>
    <t>Cap Rate Assumptions</t>
  </si>
  <si>
    <t>Advised by HR&amp;A, NYC (2019)</t>
  </si>
  <si>
    <t>ISG Market Report Miami 2019</t>
  </si>
  <si>
    <t>CBRE Report Miami Hotel Outlook 2019</t>
  </si>
  <si>
    <t>Miami Habitat</t>
  </si>
  <si>
    <t>Retail - Occupancy Rate</t>
  </si>
  <si>
    <t>Wynwood BID Report 2019</t>
  </si>
  <si>
    <t xml:space="preserve">MiamiHerald Article </t>
  </si>
  <si>
    <t>CBRE Miami 2018 H1 Report</t>
  </si>
  <si>
    <t>Zillow</t>
  </si>
  <si>
    <t>1. PROFORMA</t>
  </si>
  <si>
    <t>Absorption</t>
  </si>
  <si>
    <t>MoMA Miami Museum</t>
  </si>
  <si>
    <t>Nader Art Museum</t>
  </si>
  <si>
    <t>Team No: 2019246</t>
  </si>
  <si>
    <t>Sale Cost</t>
  </si>
  <si>
    <t>Museum Cashflow</t>
  </si>
  <si>
    <t>University - University of São Paulo Miami Campus - Cashflow</t>
  </si>
  <si>
    <t xml:space="preserve">     University</t>
  </si>
  <si>
    <t xml:space="preserve">     Museum</t>
  </si>
  <si>
    <t>NPV</t>
  </si>
  <si>
    <t>Debt Service</t>
  </si>
  <si>
    <t>Construction Loan (LTC: 65%, Int. )</t>
  </si>
  <si>
    <t>Sources &amp; Uses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</si>
</sst>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Year&quot;\ 0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$&quot;#,##0.00"/>
    <numFmt numFmtId="169" formatCode="0.0%"/>
    <numFmt numFmtId="170" formatCode="&quot;$&quot;#,##0.0"/>
    <numFmt numFmtId="171" formatCode="&quot;$&quot;#,##0"/>
    <numFmt numFmtId="172" formatCode="_(&quot;$&quot;* #,##0_);_(&quot;$&quot;* \(#,##0\);_(&quot;$&quot;* &quot;-&quot;?_);_(@_)"/>
    <numFmt numFmtId="173" formatCode="0.00&quot;X&quot;"/>
    <numFmt numFmtId="174" formatCode="0;\-0;\-"/>
    <numFmt numFmtId="175" formatCode="#,##0;\-#,##0;\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Arial"/>
      <family val="2"/>
    </font>
    <font>
      <i/>
      <sz val="11"/>
      <color rgb="FF0000FF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0"/>
      <color rgb="FF0000FF"/>
      <name val="Arial"/>
      <family val="2"/>
    </font>
    <font>
      <b/>
      <i/>
      <u/>
      <sz val="10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sz val="10"/>
      <color theme="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1"/>
      <color theme="1" tint="0.34998626667073579"/>
      <name val="Calibri"/>
      <family val="2"/>
      <scheme val="minor"/>
    </font>
    <font>
      <i/>
      <sz val="10"/>
      <color theme="1" tint="0.34998626667073579"/>
      <name val="Arial"/>
      <family val="2"/>
    </font>
    <font>
      <u/>
      <sz val="1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3" fillId="0" borderId="0" applyNumberFormat="0" applyFont="0" applyFill="0" applyBorder="0" applyProtection="0">
      <alignment horizontal="center" wrapText="1"/>
    </xf>
    <xf numFmtId="0" fontId="29" fillId="0" borderId="0" applyNumberFormat="0" applyFill="0" applyBorder="0" applyAlignment="0" applyProtection="0"/>
  </cellStyleXfs>
  <cellXfs count="866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0" fillId="0" borderId="1" xfId="0" applyBorder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/>
    </xf>
    <xf numFmtId="0" fontId="4" fillId="0" borderId="0" xfId="0" applyFont="1"/>
    <xf numFmtId="0" fontId="0" fillId="0" borderId="0" xfId="0" applyFont="1" applyFill="1"/>
    <xf numFmtId="0" fontId="0" fillId="0" borderId="1" xfId="0" applyFont="1" applyFill="1" applyBorder="1"/>
    <xf numFmtId="0" fontId="0" fillId="0" borderId="0" xfId="0" applyFont="1" applyFill="1" applyBorder="1"/>
    <xf numFmtId="0" fontId="0" fillId="0" borderId="0" xfId="0" applyFill="1"/>
    <xf numFmtId="0" fontId="2" fillId="0" borderId="0" xfId="0" applyFont="1" applyFill="1" applyBorder="1"/>
    <xf numFmtId="0" fontId="0" fillId="0" borderId="0" xfId="0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5" fillId="0" borderId="0" xfId="0" applyFont="1" applyBorder="1"/>
    <xf numFmtId="0" fontId="2" fillId="3" borderId="0" xfId="0" applyFont="1" applyFill="1"/>
    <xf numFmtId="0" fontId="0" fillId="3" borderId="0" xfId="0" applyFill="1" applyAlignment="1">
      <alignment horizontal="center"/>
    </xf>
    <xf numFmtId="0" fontId="0" fillId="0" borderId="1" xfId="0" applyFont="1" applyFill="1" applyBorder="1" applyAlignment="1">
      <alignment horizontal="left"/>
    </xf>
    <xf numFmtId="0" fontId="2" fillId="2" borderId="3" xfId="0" applyFont="1" applyFill="1" applyBorder="1"/>
    <xf numFmtId="0" fontId="7" fillId="2" borderId="4" xfId="0" applyFont="1" applyFill="1" applyBorder="1"/>
    <xf numFmtId="0" fontId="7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0" fillId="0" borderId="5" xfId="0" applyBorder="1"/>
    <xf numFmtId="0" fontId="2" fillId="2" borderId="4" xfId="0" applyFont="1" applyFill="1" applyBorder="1"/>
    <xf numFmtId="164" fontId="0" fillId="0" borderId="0" xfId="1" applyNumberFormat="1" applyFont="1"/>
    <xf numFmtId="0" fontId="0" fillId="0" borderId="0" xfId="0" applyFont="1"/>
    <xf numFmtId="0" fontId="0" fillId="0" borderId="0" xfId="0" applyBorder="1"/>
    <xf numFmtId="0" fontId="0" fillId="0" borderId="0" xfId="0" applyFill="1" applyBorder="1"/>
    <xf numFmtId="167" fontId="0" fillId="0" borderId="0" xfId="3" applyNumberFormat="1" applyFont="1"/>
    <xf numFmtId="6" fontId="0" fillId="0" borderId="0" xfId="0" applyNumberFormat="1"/>
    <xf numFmtId="6" fontId="0" fillId="0" borderId="1" xfId="0" applyNumberFormat="1" applyBorder="1"/>
    <xf numFmtId="0" fontId="2" fillId="6" borderId="5" xfId="0" applyFont="1" applyFill="1" applyBorder="1" applyAlignment="1">
      <alignment horizontal="center"/>
    </xf>
    <xf numFmtId="165" fontId="2" fillId="10" borderId="0" xfId="0" applyNumberFormat="1" applyFont="1" applyFill="1" applyAlignment="1">
      <alignment horizontal="center" vertical="center"/>
    </xf>
    <xf numFmtId="0" fontId="0" fillId="10" borderId="0" xfId="0" applyNumberFormat="1" applyFill="1" applyAlignment="1">
      <alignment horizontal="center" vertical="center"/>
    </xf>
    <xf numFmtId="0" fontId="0" fillId="0" borderId="4" xfId="0" applyBorder="1"/>
    <xf numFmtId="0" fontId="2" fillId="8" borderId="0" xfId="0" applyFont="1" applyFill="1"/>
    <xf numFmtId="0" fontId="0" fillId="8" borderId="0" xfId="0" applyFill="1"/>
    <xf numFmtId="0" fontId="6" fillId="8" borderId="0" xfId="0" applyFont="1" applyFill="1"/>
    <xf numFmtId="0" fontId="7" fillId="8" borderId="0" xfId="0" applyFont="1" applyFill="1"/>
    <xf numFmtId="9" fontId="5" fillId="8" borderId="0" xfId="0" applyNumberFormat="1" applyFont="1" applyFill="1"/>
    <xf numFmtId="0" fontId="2" fillId="0" borderId="3" xfId="0" applyFont="1" applyFill="1" applyBorder="1"/>
    <xf numFmtId="0" fontId="7" fillId="0" borderId="0" xfId="0" applyFont="1" applyFill="1" applyBorder="1"/>
    <xf numFmtId="0" fontId="0" fillId="0" borderId="6" xfId="0" applyBorder="1"/>
    <xf numFmtId="0" fontId="0" fillId="0" borderId="9" xfId="0" applyBorder="1"/>
    <xf numFmtId="0" fontId="5" fillId="8" borderId="0" xfId="0" applyFont="1" applyFill="1"/>
    <xf numFmtId="167" fontId="0" fillId="0" borderId="0" xfId="0" applyNumberFormat="1"/>
    <xf numFmtId="9" fontId="0" fillId="0" borderId="0" xfId="2" applyFont="1" applyFill="1" applyBorder="1"/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64" fontId="0" fillId="8" borderId="0" xfId="1" applyNumberFormat="1" applyFont="1" applyFill="1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4" fontId="5" fillId="0" borderId="0" xfId="1" applyNumberFormat="1" applyFont="1" applyFill="1" applyBorder="1" applyAlignment="1">
      <alignment vertical="top"/>
    </xf>
    <xf numFmtId="164" fontId="5" fillId="0" borderId="0" xfId="1" applyNumberFormat="1" applyFont="1" applyFill="1" applyBorder="1" applyAlignment="1"/>
    <xf numFmtId="164" fontId="5" fillId="0" borderId="0" xfId="1" applyNumberFormat="1" applyFont="1" applyFill="1" applyBorder="1" applyAlignment="1">
      <alignment horizontal="left"/>
    </xf>
    <xf numFmtId="6" fontId="5" fillId="0" borderId="0" xfId="0" applyNumberFormat="1" applyFont="1" applyBorder="1" applyAlignment="1"/>
    <xf numFmtId="6" fontId="5" fillId="0" borderId="0" xfId="0" applyNumberFormat="1" applyFont="1" applyBorder="1" applyAlignment="1">
      <alignment vertical="top"/>
    </xf>
    <xf numFmtId="6" fontId="5" fillId="0" borderId="1" xfId="0" applyNumberFormat="1" applyFont="1" applyBorder="1" applyAlignment="1"/>
    <xf numFmtId="9" fontId="0" fillId="0" borderId="0" xfId="2" applyFont="1" applyFill="1" applyAlignment="1">
      <alignment horizontal="center"/>
    </xf>
    <xf numFmtId="0" fontId="0" fillId="3" borderId="0" xfId="0" applyFill="1"/>
    <xf numFmtId="0" fontId="3" fillId="0" borderId="0" xfId="0" applyFont="1" applyBorder="1"/>
    <xf numFmtId="9" fontId="5" fillId="8" borderId="0" xfId="2" applyFont="1" applyFill="1"/>
    <xf numFmtId="10" fontId="5" fillId="8" borderId="0" xfId="0" applyNumberFormat="1" applyFont="1" applyFill="1"/>
    <xf numFmtId="0" fontId="7" fillId="8" borderId="0" xfId="0" applyFont="1" applyFill="1" applyAlignment="1">
      <alignment horizontal="right"/>
    </xf>
    <xf numFmtId="168" fontId="0" fillId="8" borderId="0" xfId="3" applyNumberFormat="1" applyFont="1" applyFill="1"/>
    <xf numFmtId="168" fontId="5" fillId="8" borderId="0" xfId="3" applyNumberFormat="1" applyFont="1" applyFill="1"/>
    <xf numFmtId="168" fontId="0" fillId="0" borderId="0" xfId="0" applyNumberFormat="1"/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4" xfId="0" applyBorder="1" applyAlignment="1">
      <alignment horizontal="center"/>
    </xf>
    <xf numFmtId="9" fontId="5" fillId="8" borderId="0" xfId="2" applyNumberFormat="1" applyFont="1" applyFill="1"/>
    <xf numFmtId="168" fontId="0" fillId="0" borderId="0" xfId="3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8" fontId="5" fillId="8" borderId="0" xfId="0" applyNumberFormat="1" applyFont="1" applyFill="1"/>
    <xf numFmtId="169" fontId="5" fillId="8" borderId="0" xfId="0" applyNumberFormat="1" applyFont="1" applyFill="1"/>
    <xf numFmtId="171" fontId="0" fillId="8" borderId="0" xfId="0" applyNumberFormat="1" applyFill="1"/>
    <xf numFmtId="168" fontId="5" fillId="8" borderId="0" xfId="0" applyNumberFormat="1" applyFont="1" applyFill="1"/>
    <xf numFmtId="0" fontId="2" fillId="2" borderId="3" xfId="0" applyFont="1" applyFill="1" applyBorder="1" applyAlignment="1">
      <alignment wrapText="1"/>
    </xf>
    <xf numFmtId="0" fontId="7" fillId="2" borderId="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2" fillId="5" borderId="4" xfId="0" applyFont="1" applyFill="1" applyBorder="1" applyAlignment="1">
      <alignment horizontal="center" wrapText="1"/>
    </xf>
    <xf numFmtId="0" fontId="2" fillId="6" borderId="4" xfId="0" applyFont="1" applyFill="1" applyBorder="1" applyAlignment="1">
      <alignment horizontal="center" wrapText="1"/>
    </xf>
    <xf numFmtId="0" fontId="0" fillId="0" borderId="5" xfId="0" applyBorder="1" applyAlignment="1">
      <alignment wrapText="1"/>
    </xf>
    <xf numFmtId="0" fontId="5" fillId="8" borderId="0" xfId="0" applyNumberFormat="1" applyFont="1" applyFill="1"/>
    <xf numFmtId="169" fontId="0" fillId="0" borderId="0" xfId="2" applyNumberFormat="1" applyFont="1" applyAlignment="1">
      <alignment horizontal="right"/>
    </xf>
    <xf numFmtId="166" fontId="7" fillId="0" borderId="0" xfId="3" applyNumberFormat="1" applyFont="1" applyBorder="1" applyAlignment="1">
      <alignment horizontal="right"/>
    </xf>
    <xf numFmtId="164" fontId="0" fillId="0" borderId="1" xfId="1" applyNumberFormat="1" applyFont="1" applyBorder="1"/>
    <xf numFmtId="164" fontId="0" fillId="0" borderId="0" xfId="1" applyNumberFormat="1" applyFont="1" applyBorder="1"/>
    <xf numFmtId="9" fontId="7" fillId="0" borderId="0" xfId="0" applyNumberFormat="1" applyFont="1" applyFill="1" applyAlignment="1">
      <alignment horizontal="center" vertical="center"/>
    </xf>
    <xf numFmtId="0" fontId="2" fillId="2" borderId="4" xfId="0" applyFont="1" applyFill="1" applyBorder="1" applyAlignment="1">
      <alignment wrapText="1"/>
    </xf>
    <xf numFmtId="9" fontId="10" fillId="0" borderId="4" xfId="0" applyNumberFormat="1" applyFont="1" applyBorder="1" applyAlignment="1">
      <alignment horizontal="center"/>
    </xf>
    <xf numFmtId="9" fontId="10" fillId="0" borderId="1" xfId="0" applyNumberFormat="1" applyFon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0" borderId="10" xfId="0" applyBorder="1"/>
    <xf numFmtId="0" fontId="0" fillId="8" borderId="1" xfId="0" applyFill="1" applyBorder="1"/>
    <xf numFmtId="0" fontId="6" fillId="8" borderId="12" xfId="0" applyFont="1" applyFill="1" applyBorder="1"/>
    <xf numFmtId="0" fontId="7" fillId="8" borderId="12" xfId="0" applyFont="1" applyFill="1" applyBorder="1" applyAlignment="1">
      <alignment horizontal="right"/>
    </xf>
    <xf numFmtId="0" fontId="0" fillId="8" borderId="12" xfId="0" applyFill="1" applyBorder="1"/>
    <xf numFmtId="0" fontId="5" fillId="8" borderId="12" xfId="0" applyFont="1" applyFill="1" applyBorder="1"/>
    <xf numFmtId="168" fontId="5" fillId="8" borderId="12" xfId="0" applyNumberFormat="1" applyFont="1" applyFill="1" applyBorder="1"/>
    <xf numFmtId="9" fontId="0" fillId="8" borderId="0" xfId="0" applyNumberFormat="1" applyFill="1"/>
    <xf numFmtId="171" fontId="0" fillId="0" borderId="0" xfId="3" applyNumberFormat="1" applyFont="1"/>
    <xf numFmtId="0" fontId="2" fillId="0" borderId="0" xfId="0" applyFont="1" applyBorder="1"/>
    <xf numFmtId="6" fontId="5" fillId="8" borderId="0" xfId="0" applyNumberFormat="1" applyFont="1" applyFill="1"/>
    <xf numFmtId="164" fontId="0" fillId="8" borderId="0" xfId="0" applyNumberFormat="1" applyFill="1"/>
    <xf numFmtId="0" fontId="0" fillId="8" borderId="0" xfId="0" applyFill="1" applyAlignment="1">
      <alignment wrapText="1"/>
    </xf>
    <xf numFmtId="168" fontId="0" fillId="8" borderId="0" xfId="0" applyNumberFormat="1" applyFill="1"/>
    <xf numFmtId="168" fontId="3" fillId="8" borderId="0" xfId="0" applyNumberFormat="1" applyFont="1" applyFill="1" applyAlignment="1">
      <alignment horizontal="right"/>
    </xf>
    <xf numFmtId="171" fontId="5" fillId="8" borderId="0" xfId="0" applyNumberFormat="1" applyFont="1" applyFill="1"/>
    <xf numFmtId="6" fontId="0" fillId="8" borderId="0" xfId="0" applyNumberFormat="1" applyFill="1"/>
    <xf numFmtId="0" fontId="0" fillId="0" borderId="0" xfId="0" applyAlignment="1">
      <alignment horizontal="center"/>
    </xf>
    <xf numFmtId="164" fontId="0" fillId="0" borderId="0" xfId="1" applyNumberFormat="1" applyFont="1" applyFill="1"/>
    <xf numFmtId="0" fontId="0" fillId="0" borderId="0" xfId="0" applyFill="1" applyBorder="1" applyAlignment="1">
      <alignment horizontal="center"/>
    </xf>
    <xf numFmtId="171" fontId="0" fillId="0" borderId="0" xfId="0" applyNumberFormat="1"/>
    <xf numFmtId="0" fontId="11" fillId="0" borderId="0" xfId="0" applyFont="1" applyFill="1" applyBorder="1" applyAlignment="1">
      <alignment horizontal="center"/>
    </xf>
    <xf numFmtId="0" fontId="7" fillId="8" borderId="0" xfId="0" applyFont="1" applyFill="1" applyAlignment="1">
      <alignment horizontal="left"/>
    </xf>
    <xf numFmtId="0" fontId="7" fillId="8" borderId="0" xfId="0" applyNumberFormat="1" applyFont="1" applyFill="1" applyAlignment="1">
      <alignment horizontal="left"/>
    </xf>
    <xf numFmtId="1" fontId="7" fillId="8" borderId="0" xfId="0" applyNumberFormat="1" applyFont="1" applyFill="1" applyAlignment="1">
      <alignment horizontal="left"/>
    </xf>
    <xf numFmtId="171" fontId="0" fillId="0" borderId="4" xfId="0" applyNumberFormat="1" applyBorder="1"/>
    <xf numFmtId="168" fontId="0" fillId="0" borderId="1" xfId="0" applyNumberFormat="1" applyBorder="1"/>
    <xf numFmtId="171" fontId="0" fillId="0" borderId="1" xfId="0" applyNumberFormat="1" applyBorder="1"/>
    <xf numFmtId="172" fontId="0" fillId="0" borderId="1" xfId="0" applyNumberFormat="1" applyBorder="1"/>
    <xf numFmtId="172" fontId="0" fillId="0" borderId="0" xfId="0" applyNumberFormat="1"/>
    <xf numFmtId="44" fontId="0" fillId="0" borderId="1" xfId="0" applyNumberFormat="1" applyBorder="1"/>
    <xf numFmtId="171" fontId="0" fillId="0" borderId="8" xfId="0" applyNumberFormat="1" applyBorder="1" applyAlignment="1">
      <alignment horizontal="right"/>
    </xf>
    <xf numFmtId="9" fontId="0" fillId="0" borderId="11" xfId="0" applyNumberFormat="1" applyBorder="1" applyAlignment="1">
      <alignment horizontal="right"/>
    </xf>
    <xf numFmtId="173" fontId="0" fillId="0" borderId="7" xfId="0" applyNumberFormat="1" applyBorder="1" applyAlignment="1">
      <alignment horizontal="right"/>
    </xf>
    <xf numFmtId="171" fontId="0" fillId="0" borderId="11" xfId="0" applyNumberFormat="1" applyBorder="1" applyAlignment="1">
      <alignment horizontal="right"/>
    </xf>
    <xf numFmtId="171" fontId="0" fillId="0" borderId="0" xfId="0" applyNumberFormat="1" applyBorder="1"/>
    <xf numFmtId="168" fontId="0" fillId="0" borderId="0" xfId="3" applyNumberFormat="1" applyFont="1" applyFill="1" applyAlignment="1">
      <alignment horizontal="right" vertical="center"/>
    </xf>
    <xf numFmtId="171" fontId="0" fillId="0" borderId="0" xfId="0" applyNumberFormat="1" applyAlignment="1">
      <alignment horizontal="right"/>
    </xf>
    <xf numFmtId="171" fontId="0" fillId="0" borderId="4" xfId="0" applyNumberFormat="1" applyBorder="1" applyAlignment="1">
      <alignment horizontal="right"/>
    </xf>
    <xf numFmtId="171" fontId="0" fillId="0" borderId="1" xfId="0" applyNumberFormat="1" applyBorder="1" applyAlignment="1">
      <alignment horizontal="right"/>
    </xf>
    <xf numFmtId="0" fontId="0" fillId="0" borderId="0" xfId="0" applyFill="1" applyBorder="1" applyAlignment="1">
      <alignment horizontal="right"/>
    </xf>
    <xf numFmtId="171" fontId="0" fillId="0" borderId="0" xfId="0" applyNumberFormat="1" applyFill="1" applyBorder="1" applyAlignment="1">
      <alignment horizontal="right"/>
    </xf>
    <xf numFmtId="168" fontId="0" fillId="0" borderId="4" xfId="0" applyNumberFormat="1" applyBorder="1" applyAlignment="1">
      <alignment horizontal="right"/>
    </xf>
    <xf numFmtId="0" fontId="5" fillId="0" borderId="0" xfId="0" applyFont="1" applyAlignment="1">
      <alignment horizontal="center"/>
    </xf>
    <xf numFmtId="169" fontId="10" fillId="0" borderId="0" xfId="2" applyNumberFormat="1" applyFont="1" applyFill="1" applyBorder="1" applyAlignment="1">
      <alignment horizontal="center"/>
    </xf>
    <xf numFmtId="169" fontId="10" fillId="0" borderId="1" xfId="2" applyNumberFormat="1" applyFont="1" applyFill="1" applyBorder="1" applyAlignment="1">
      <alignment horizontal="center"/>
    </xf>
    <xf numFmtId="9" fontId="7" fillId="0" borderId="0" xfId="2" applyFont="1" applyFill="1" applyAlignment="1">
      <alignment horizontal="right" vertical="center"/>
    </xf>
    <xf numFmtId="0" fontId="5" fillId="8" borderId="0" xfId="2" applyNumberFormat="1" applyFont="1" applyFill="1"/>
    <xf numFmtId="168" fontId="0" fillId="0" borderId="0" xfId="0" applyNumberFormat="1" applyAlignment="1">
      <alignment horizontal="right"/>
    </xf>
    <xf numFmtId="164" fontId="5" fillId="0" borderId="0" xfId="1" applyNumberFormat="1" applyFont="1"/>
    <xf numFmtId="164" fontId="5" fillId="8" borderId="0" xfId="0" applyNumberFormat="1" applyFont="1" applyFill="1"/>
    <xf numFmtId="168" fontId="0" fillId="0" borderId="5" xfId="0" applyNumberFormat="1" applyBorder="1" applyAlignment="1">
      <alignment horizontal="right"/>
    </xf>
    <xf numFmtId="171" fontId="0" fillId="0" borderId="5" xfId="0" applyNumberFormat="1" applyBorder="1" applyAlignment="1">
      <alignment horizontal="right"/>
    </xf>
    <xf numFmtId="9" fontId="0" fillId="0" borderId="1" xfId="2" applyFont="1" applyFill="1" applyBorder="1" applyAlignment="1">
      <alignment horizontal="right"/>
    </xf>
    <xf numFmtId="3" fontId="5" fillId="8" borderId="0" xfId="0" applyNumberFormat="1" applyFont="1" applyFill="1"/>
    <xf numFmtId="0" fontId="0" fillId="8" borderId="0" xfId="0" applyFill="1" applyAlignment="1">
      <alignment horizontal="left"/>
    </xf>
    <xf numFmtId="164" fontId="5" fillId="8" borderId="0" xfId="1" applyNumberFormat="1" applyFont="1" applyFill="1"/>
    <xf numFmtId="9" fontId="7" fillId="8" borderId="0" xfId="0" applyNumberFormat="1" applyFont="1" applyFill="1" applyAlignment="1">
      <alignment horizontal="left"/>
    </xf>
    <xf numFmtId="0" fontId="10" fillId="8" borderId="0" xfId="0" applyFont="1" applyFill="1"/>
    <xf numFmtId="10" fontId="5" fillId="0" borderId="1" xfId="0" applyNumberFormat="1" applyFont="1" applyBorder="1" applyAlignment="1">
      <alignment horizontal="center"/>
    </xf>
    <xf numFmtId="171" fontId="0" fillId="0" borderId="5" xfId="0" applyNumberFormat="1" applyBorder="1"/>
    <xf numFmtId="0" fontId="11" fillId="0" borderId="0" xfId="0" applyFont="1" applyFill="1" applyBorder="1"/>
    <xf numFmtId="9" fontId="10" fillId="0" borderId="1" xfId="2" applyFont="1" applyFill="1" applyBorder="1" applyAlignment="1">
      <alignment horizontal="center"/>
    </xf>
    <xf numFmtId="10" fontId="5" fillId="8" borderId="0" xfId="2" applyNumberFormat="1" applyFont="1" applyFill="1"/>
    <xf numFmtId="0" fontId="7" fillId="8" borderId="0" xfId="0" applyFont="1" applyFill="1" applyBorder="1" applyAlignment="1">
      <alignment horizontal="right"/>
    </xf>
    <xf numFmtId="9" fontId="0" fillId="8" borderId="12" xfId="2" applyFont="1" applyFill="1" applyBorder="1"/>
    <xf numFmtId="171" fontId="0" fillId="0" borderId="1" xfId="0" applyNumberFormat="1" applyFill="1" applyBorder="1" applyAlignment="1">
      <alignment horizontal="right"/>
    </xf>
    <xf numFmtId="169" fontId="7" fillId="0" borderId="1" xfId="0" applyNumberFormat="1" applyFont="1" applyFill="1" applyBorder="1" applyAlignment="1">
      <alignment horizontal="right"/>
    </xf>
    <xf numFmtId="9" fontId="5" fillId="8" borderId="0" xfId="2" applyFont="1" applyFill="1" applyAlignment="1">
      <alignment horizontal="right"/>
    </xf>
    <xf numFmtId="168" fontId="3" fillId="8" borderId="0" xfId="0" applyNumberFormat="1" applyFont="1" applyFill="1"/>
    <xf numFmtId="171" fontId="3" fillId="8" borderId="1" xfId="0" applyNumberFormat="1" applyFont="1" applyFill="1" applyBorder="1"/>
    <xf numFmtId="171" fontId="3" fillId="8" borderId="0" xfId="3" applyNumberFormat="1" applyFont="1" applyFill="1"/>
    <xf numFmtId="0" fontId="2" fillId="8" borderId="1" xfId="0" applyFont="1" applyFill="1" applyBorder="1"/>
    <xf numFmtId="171" fontId="13" fillId="8" borderId="1" xfId="0" applyNumberFormat="1" applyFont="1" applyFill="1" applyBorder="1"/>
    <xf numFmtId="0" fontId="2" fillId="8" borderId="4" xfId="0" applyFont="1" applyFill="1" applyBorder="1"/>
    <xf numFmtId="168" fontId="0" fillId="8" borderId="4" xfId="0" applyNumberFormat="1" applyFont="1" applyFill="1" applyBorder="1"/>
    <xf numFmtId="171" fontId="13" fillId="8" borderId="0" xfId="0" applyNumberFormat="1" applyFont="1" applyFill="1"/>
    <xf numFmtId="0" fontId="9" fillId="0" borderId="0" xfId="4"/>
    <xf numFmtId="0" fontId="14" fillId="0" borderId="0" xfId="4" applyFont="1"/>
    <xf numFmtId="0" fontId="9" fillId="12" borderId="0" xfId="4" applyFill="1"/>
    <xf numFmtId="0" fontId="9" fillId="12" borderId="0" xfId="4" applyFill="1" applyAlignment="1">
      <alignment horizontal="center"/>
    </xf>
    <xf numFmtId="0" fontId="9" fillId="0" borderId="0" xfId="4" applyAlignment="1">
      <alignment horizontal="left"/>
    </xf>
    <xf numFmtId="175" fontId="9" fillId="12" borderId="0" xfId="4" applyNumberFormat="1" applyFill="1" applyAlignment="1">
      <alignment horizontal="right"/>
    </xf>
    <xf numFmtId="0" fontId="9" fillId="12" borderId="0" xfId="4" applyFill="1" applyAlignment="1">
      <alignment horizontal="left"/>
    </xf>
    <xf numFmtId="41" fontId="9" fillId="12" borderId="0" xfId="4" applyNumberFormat="1" applyFill="1"/>
    <xf numFmtId="0" fontId="2" fillId="0" borderId="0" xfId="4" applyFont="1"/>
    <xf numFmtId="42" fontId="9" fillId="12" borderId="0" xfId="4" applyNumberFormat="1" applyFill="1"/>
    <xf numFmtId="164" fontId="9" fillId="0" borderId="0" xfId="4" applyNumberFormat="1" applyAlignment="1">
      <alignment horizontal="right"/>
    </xf>
    <xf numFmtId="0" fontId="16" fillId="0" borderId="0" xfId="4" applyFont="1" applyAlignment="1">
      <alignment horizontal="centerContinuous"/>
    </xf>
    <xf numFmtId="0" fontId="21" fillId="0" borderId="0" xfId="4" applyFont="1" applyAlignment="1">
      <alignment horizontal="centerContinuous"/>
    </xf>
    <xf numFmtId="164" fontId="9" fillId="12" borderId="0" xfId="4" applyNumberFormat="1" applyFill="1"/>
    <xf numFmtId="38" fontId="9" fillId="0" borderId="0" xfId="4" applyNumberFormat="1"/>
    <xf numFmtId="0" fontId="20" fillId="0" borderId="0" xfId="4" applyFont="1" applyAlignment="1">
      <alignment horizontal="center"/>
    </xf>
    <xf numFmtId="0" fontId="20" fillId="12" borderId="0" xfId="4" applyFont="1" applyFill="1" applyAlignment="1">
      <alignment horizontal="center"/>
    </xf>
    <xf numFmtId="3" fontId="2" fillId="0" borderId="4" xfId="4" applyNumberFormat="1" applyFont="1" applyBorder="1" applyAlignment="1">
      <alignment horizontal="right"/>
    </xf>
    <xf numFmtId="171" fontId="5" fillId="8" borderId="12" xfId="0" applyNumberFormat="1" applyFont="1" applyFill="1" applyBorder="1"/>
    <xf numFmtId="171" fontId="7" fillId="8" borderId="12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9" fontId="7" fillId="0" borderId="1" xfId="0" applyNumberFormat="1" applyFont="1" applyFill="1" applyBorder="1" applyAlignment="1">
      <alignment horizontal="right"/>
    </xf>
    <xf numFmtId="171" fontId="0" fillId="0" borderId="8" xfId="0" applyNumberFormat="1" applyBorder="1" applyAlignment="1">
      <alignment horizontal="center"/>
    </xf>
    <xf numFmtId="171" fontId="0" fillId="0" borderId="11" xfId="0" applyNumberFormat="1" applyBorder="1" applyAlignment="1">
      <alignment horizontal="center"/>
    </xf>
    <xf numFmtId="9" fontId="0" fillId="0" borderId="11" xfId="0" applyNumberFormat="1" applyBorder="1" applyAlignment="1">
      <alignment horizontal="center"/>
    </xf>
    <xf numFmtId="173" fontId="0" fillId="0" borderId="7" xfId="0" applyNumberFormat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0" fillId="10" borderId="10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right" vertical="center"/>
    </xf>
    <xf numFmtId="164" fontId="0" fillId="11" borderId="10" xfId="1" applyNumberFormat="1" applyFont="1" applyFill="1" applyBorder="1" applyAlignment="1">
      <alignment horizontal="right" vertical="center"/>
    </xf>
    <xf numFmtId="164" fontId="0" fillId="0" borderId="10" xfId="1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horizontal="right"/>
    </xf>
    <xf numFmtId="171" fontId="0" fillId="0" borderId="10" xfId="0" applyNumberFormat="1" applyFill="1" applyBorder="1" applyAlignment="1">
      <alignment horizontal="right"/>
    </xf>
    <xf numFmtId="171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171" fontId="0" fillId="0" borderId="10" xfId="0" applyNumberFormat="1" applyBorder="1"/>
    <xf numFmtId="171" fontId="0" fillId="0" borderId="3" xfId="0" applyNumberFormat="1" applyBorder="1" applyAlignment="1">
      <alignment horizontal="right"/>
    </xf>
    <xf numFmtId="0" fontId="2" fillId="5" borderId="3" xfId="0" applyFont="1" applyFill="1" applyBorder="1" applyAlignment="1">
      <alignment horizontal="center"/>
    </xf>
    <xf numFmtId="9" fontId="0" fillId="0" borderId="10" xfId="0" applyNumberFormat="1" applyFill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10" borderId="0" xfId="0" applyFill="1" applyBorder="1" applyAlignment="1">
      <alignment horizontal="center"/>
    </xf>
    <xf numFmtId="0" fontId="0" fillId="10" borderId="0" xfId="0" applyFill="1" applyBorder="1"/>
    <xf numFmtId="165" fontId="2" fillId="10" borderId="0" xfId="0" applyNumberFormat="1" applyFont="1" applyFill="1" applyBorder="1" applyAlignment="1">
      <alignment horizontal="center" vertical="center"/>
    </xf>
    <xf numFmtId="165" fontId="2" fillId="10" borderId="16" xfId="0" applyNumberFormat="1" applyFont="1" applyFill="1" applyBorder="1" applyAlignment="1">
      <alignment horizontal="center" vertical="center"/>
    </xf>
    <xf numFmtId="0" fontId="0" fillId="1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right" vertical="center"/>
    </xf>
    <xf numFmtId="9" fontId="7" fillId="11" borderId="0" xfId="0" applyNumberFormat="1" applyFont="1" applyFill="1" applyBorder="1" applyAlignment="1">
      <alignment horizontal="center"/>
    </xf>
    <xf numFmtId="164" fontId="0" fillId="11" borderId="0" xfId="1" applyNumberFormat="1" applyFont="1" applyFill="1" applyBorder="1" applyAlignment="1">
      <alignment horizontal="center"/>
    </xf>
    <xf numFmtId="164" fontId="0" fillId="11" borderId="0" xfId="1" applyNumberFormat="1" applyFont="1" applyFill="1" applyBorder="1" applyAlignment="1">
      <alignment horizontal="right" vertical="center"/>
    </xf>
    <xf numFmtId="9" fontId="0" fillId="0" borderId="0" xfId="0" applyNumberFormat="1" applyBorder="1" applyAlignment="1">
      <alignment horizontal="center"/>
    </xf>
    <xf numFmtId="164" fontId="7" fillId="0" borderId="0" xfId="1" applyNumberFormat="1" applyFont="1" applyFill="1" applyBorder="1" applyAlignment="1">
      <alignment horizontal="center"/>
    </xf>
    <xf numFmtId="164" fontId="0" fillId="0" borderId="0" xfId="1" applyNumberFormat="1" applyFont="1" applyFill="1" applyBorder="1" applyAlignment="1">
      <alignment horizontal="center"/>
    </xf>
    <xf numFmtId="164" fontId="0" fillId="0" borderId="0" xfId="1" applyNumberFormat="1" applyFont="1" applyFill="1" applyBorder="1" applyAlignment="1">
      <alignment horizontal="right" vertical="center"/>
    </xf>
    <xf numFmtId="9" fontId="0" fillId="0" borderId="0" xfId="0" applyNumberForma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right" vertical="center"/>
    </xf>
    <xf numFmtId="168" fontId="7" fillId="0" borderId="0" xfId="3" applyNumberFormat="1" applyFont="1" applyFill="1" applyBorder="1" applyAlignment="1">
      <alignment horizontal="right" vertical="center"/>
    </xf>
    <xf numFmtId="9" fontId="0" fillId="0" borderId="0" xfId="0" applyNumberFormat="1" applyBorder="1" applyAlignment="1">
      <alignment horizontal="right"/>
    </xf>
    <xf numFmtId="6" fontId="0" fillId="0" borderId="0" xfId="0" applyNumberFormat="1" applyFill="1" applyBorder="1" applyAlignment="1">
      <alignment horizontal="center"/>
    </xf>
    <xf numFmtId="171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7" fillId="0" borderId="0" xfId="0" applyFont="1" applyBorder="1" applyAlignment="1">
      <alignment horizontal="center"/>
    </xf>
    <xf numFmtId="169" fontId="10" fillId="0" borderId="0" xfId="0" applyNumberFormat="1" applyFont="1" applyBorder="1" applyAlignment="1">
      <alignment horizontal="center"/>
    </xf>
    <xf numFmtId="169" fontId="10" fillId="0" borderId="0" xfId="2" applyNumberFormat="1" applyFont="1" applyBorder="1" applyAlignment="1">
      <alignment horizontal="center"/>
    </xf>
    <xf numFmtId="169" fontId="0" fillId="0" borderId="0" xfId="0" applyNumberFormat="1" applyBorder="1" applyAlignment="1">
      <alignment horizontal="right"/>
    </xf>
    <xf numFmtId="0" fontId="5" fillId="0" borderId="0" xfId="0" applyFont="1" applyBorder="1" applyAlignment="1">
      <alignment horizontal="center"/>
    </xf>
    <xf numFmtId="9" fontId="10" fillId="0" borderId="0" xfId="0" applyNumberFormat="1" applyFont="1" applyBorder="1" applyAlignment="1">
      <alignment horizontal="center"/>
    </xf>
    <xf numFmtId="168" fontId="10" fillId="0" borderId="0" xfId="3" applyNumberFormat="1" applyFont="1" applyBorder="1" applyAlignment="1">
      <alignment horizontal="center"/>
    </xf>
    <xf numFmtId="8" fontId="10" fillId="0" borderId="0" xfId="0" applyNumberFormat="1" applyFont="1" applyFill="1" applyBorder="1" applyAlignment="1">
      <alignment horizontal="center"/>
    </xf>
    <xf numFmtId="9" fontId="10" fillId="11" borderId="0" xfId="0" applyNumberFormat="1" applyFont="1" applyFill="1" applyBorder="1" applyAlignment="1">
      <alignment horizontal="center"/>
    </xf>
    <xf numFmtId="169" fontId="3" fillId="8" borderId="1" xfId="0" applyNumberFormat="1" applyFont="1" applyFill="1" applyBorder="1"/>
    <xf numFmtId="10" fontId="3" fillId="8" borderId="1" xfId="0" applyNumberFormat="1" applyFont="1" applyFill="1" applyBorder="1"/>
    <xf numFmtId="10" fontId="10" fillId="0" borderId="1" xfId="2" applyNumberFormat="1" applyFont="1" applyFill="1" applyBorder="1" applyAlignment="1">
      <alignment horizontal="center"/>
    </xf>
    <xf numFmtId="10" fontId="7" fillId="0" borderId="1" xfId="2" applyNumberFormat="1" applyFont="1" applyFill="1" applyBorder="1"/>
    <xf numFmtId="9" fontId="5" fillId="8" borderId="0" xfId="0" applyNumberFormat="1" applyFont="1" applyFill="1" applyAlignment="1">
      <alignment horizontal="right"/>
    </xf>
    <xf numFmtId="0" fontId="9" fillId="12" borderId="0" xfId="4" applyFont="1" applyFill="1" applyBorder="1"/>
    <xf numFmtId="3" fontId="9" fillId="12" borderId="0" xfId="4" applyNumberFormat="1" applyFill="1" applyBorder="1" applyAlignment="1">
      <alignment horizontal="center"/>
    </xf>
    <xf numFmtId="0" fontId="9" fillId="8" borderId="0" xfId="4" applyFont="1" applyFill="1" applyBorder="1"/>
    <xf numFmtId="3" fontId="9" fillId="8" borderId="0" xfId="4" applyNumberFormat="1" applyFill="1" applyBorder="1" applyAlignment="1">
      <alignment horizontal="center"/>
    </xf>
    <xf numFmtId="0" fontId="9" fillId="0" borderId="0" xfId="4" applyFont="1" applyBorder="1" applyAlignment="1">
      <alignment horizontal="left"/>
    </xf>
    <xf numFmtId="175" fontId="9" fillId="12" borderId="0" xfId="4" applyNumberFormat="1" applyFill="1" applyBorder="1" applyAlignment="1">
      <alignment horizontal="center"/>
    </xf>
    <xf numFmtId="0" fontId="9" fillId="0" borderId="0" xfId="4" applyFont="1" applyBorder="1"/>
    <xf numFmtId="0" fontId="9" fillId="0" borderId="0" xfId="4" applyFont="1" applyBorder="1" applyAlignment="1">
      <alignment horizontal="center"/>
    </xf>
    <xf numFmtId="3" fontId="9" fillId="12" borderId="11" xfId="4" applyNumberFormat="1" applyFill="1" applyBorder="1" applyAlignment="1">
      <alignment horizontal="center"/>
    </xf>
    <xf numFmtId="3" fontId="9" fillId="8" borderId="11" xfId="4" applyNumberFormat="1" applyFill="1" applyBorder="1" applyAlignment="1">
      <alignment horizontal="center"/>
    </xf>
    <xf numFmtId="175" fontId="9" fillId="12" borderId="11" xfId="4" applyNumberFormat="1" applyFill="1" applyBorder="1" applyAlignment="1">
      <alignment horizontal="center"/>
    </xf>
    <xf numFmtId="0" fontId="9" fillId="12" borderId="11" xfId="4" applyFill="1" applyBorder="1" applyAlignment="1">
      <alignment horizontal="center"/>
    </xf>
    <xf numFmtId="0" fontId="20" fillId="12" borderId="11" xfId="4" applyFont="1" applyFill="1" applyBorder="1" applyAlignment="1">
      <alignment horizontal="center"/>
    </xf>
    <xf numFmtId="0" fontId="20" fillId="8" borderId="11" xfId="4" applyFont="1" applyFill="1" applyBorder="1" applyAlignment="1">
      <alignment horizontal="center"/>
    </xf>
    <xf numFmtId="164" fontId="20" fillId="8" borderId="11" xfId="5" applyNumberFormat="1" applyFont="1" applyFill="1" applyBorder="1" applyAlignment="1">
      <alignment horizontal="center"/>
    </xf>
    <xf numFmtId="164" fontId="20" fillId="0" borderId="11" xfId="5" applyNumberFormat="1" applyFont="1" applyFill="1" applyBorder="1" applyAlignment="1">
      <alignment horizontal="center"/>
    </xf>
    <xf numFmtId="165" fontId="2" fillId="10" borderId="20" xfId="0" applyNumberFormat="1" applyFont="1" applyFill="1" applyBorder="1" applyAlignment="1">
      <alignment horizontal="center" vertical="center"/>
    </xf>
    <xf numFmtId="0" fontId="2" fillId="9" borderId="20" xfId="0" applyFont="1" applyFill="1" applyBorder="1" applyAlignment="1">
      <alignment horizontal="center" vertical="center"/>
    </xf>
    <xf numFmtId="0" fontId="2" fillId="9" borderId="12" xfId="0" applyFont="1" applyFill="1" applyBorder="1" applyAlignment="1">
      <alignment horizontal="center" vertical="center"/>
    </xf>
    <xf numFmtId="165" fontId="2" fillId="10" borderId="8" xfId="0" applyNumberFormat="1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/>
    </xf>
    <xf numFmtId="165" fontId="2" fillId="10" borderId="11" xfId="0" applyNumberFormat="1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/>
    </xf>
    <xf numFmtId="0" fontId="0" fillId="10" borderId="11" xfId="0" applyNumberFormat="1" applyFill="1" applyBorder="1" applyAlignment="1">
      <alignment horizontal="center" vertical="center"/>
    </xf>
    <xf numFmtId="0" fontId="2" fillId="8" borderId="5" xfId="4" applyFont="1" applyFill="1" applyBorder="1" applyAlignment="1">
      <alignment horizontal="center"/>
    </xf>
    <xf numFmtId="42" fontId="23" fillId="12" borderId="0" xfId="4" applyNumberFormat="1" applyFont="1" applyFill="1" applyAlignment="1">
      <alignment horizontal="center"/>
    </xf>
    <xf numFmtId="164" fontId="24" fillId="0" borderId="0" xfId="4" applyNumberFormat="1" applyFont="1" applyAlignment="1">
      <alignment horizontal="center"/>
    </xf>
    <xf numFmtId="0" fontId="2" fillId="0" borderId="3" xfId="4" applyFont="1" applyBorder="1"/>
    <xf numFmtId="3" fontId="13" fillId="0" borderId="4" xfId="4" applyNumberFormat="1" applyFont="1" applyBorder="1" applyAlignment="1">
      <alignment horizontal="right"/>
    </xf>
    <xf numFmtId="0" fontId="25" fillId="0" borderId="0" xfId="0" applyFont="1" applyAlignment="1">
      <alignment horizontal="center"/>
    </xf>
    <xf numFmtId="0" fontId="26" fillId="12" borderId="0" xfId="4" applyFont="1" applyFill="1"/>
    <xf numFmtId="0" fontId="0" fillId="0" borderId="11" xfId="0" applyNumberFormat="1" applyFill="1" applyBorder="1" applyAlignment="1">
      <alignment horizontal="right" vertical="center"/>
    </xf>
    <xf numFmtId="164" fontId="0" fillId="11" borderId="11" xfId="1" applyNumberFormat="1" applyFont="1" applyFill="1" applyBorder="1" applyAlignment="1">
      <alignment horizontal="right" vertical="center"/>
    </xf>
    <xf numFmtId="164" fontId="0" fillId="0" borderId="11" xfId="0" applyNumberFormat="1" applyFill="1" applyBorder="1" applyAlignment="1">
      <alignment horizontal="right" vertical="center"/>
    </xf>
    <xf numFmtId="9" fontId="7" fillId="0" borderId="11" xfId="2" applyFont="1" applyFill="1" applyBorder="1" applyAlignment="1">
      <alignment horizontal="right" vertical="center"/>
    </xf>
    <xf numFmtId="164" fontId="0" fillId="11" borderId="11" xfId="0" applyNumberFormat="1" applyFill="1" applyBorder="1" applyAlignment="1">
      <alignment horizontal="right" vertical="center"/>
    </xf>
    <xf numFmtId="0" fontId="0" fillId="0" borderId="11" xfId="0" applyBorder="1" applyAlignment="1">
      <alignment horizontal="right"/>
    </xf>
    <xf numFmtId="171" fontId="0" fillId="0" borderId="11" xfId="3" applyNumberFormat="1" applyFont="1" applyFill="1" applyBorder="1" applyAlignment="1">
      <alignment horizontal="right" vertical="center"/>
    </xf>
    <xf numFmtId="9" fontId="7" fillId="0" borderId="11" xfId="0" applyNumberFormat="1" applyFont="1" applyFill="1" applyBorder="1" applyAlignment="1">
      <alignment horizontal="right"/>
    </xf>
    <xf numFmtId="168" fontId="0" fillId="0" borderId="11" xfId="3" applyNumberFormat="1" applyFont="1" applyFill="1" applyBorder="1" applyAlignment="1">
      <alignment horizontal="right" vertical="center"/>
    </xf>
    <xf numFmtId="0" fontId="0" fillId="0" borderId="11" xfId="0" applyFill="1" applyBorder="1" applyAlignment="1">
      <alignment horizontal="right"/>
    </xf>
    <xf numFmtId="171" fontId="0" fillId="0" borderId="11" xfId="0" applyNumberFormat="1" applyFill="1" applyBorder="1" applyAlignment="1">
      <alignment horizontal="right"/>
    </xf>
    <xf numFmtId="9" fontId="7" fillId="0" borderId="7" xfId="0" applyNumberFormat="1" applyFont="1" applyFill="1" applyBorder="1" applyAlignment="1">
      <alignment horizontal="right"/>
    </xf>
    <xf numFmtId="169" fontId="7" fillId="0" borderId="11" xfId="2" applyNumberFormat="1" applyFont="1" applyBorder="1" applyAlignment="1">
      <alignment horizontal="right"/>
    </xf>
    <xf numFmtId="171" fontId="0" fillId="0" borderId="7" xfId="0" applyNumberFormat="1" applyBorder="1" applyAlignment="1">
      <alignment horizontal="right"/>
    </xf>
    <xf numFmtId="0" fontId="0" fillId="10" borderId="11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0" fillId="11" borderId="11" xfId="0" applyFill="1" applyBorder="1" applyAlignment="1">
      <alignment horizontal="center"/>
    </xf>
    <xf numFmtId="168" fontId="0" fillId="0" borderId="11" xfId="3" applyNumberFormat="1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1" fontId="0" fillId="0" borderId="11" xfId="0" applyNumberFormat="1" applyFill="1" applyBorder="1" applyAlignment="1">
      <alignment horizontal="right" vertical="center"/>
    </xf>
    <xf numFmtId="171" fontId="0" fillId="0" borderId="11" xfId="3" applyNumberFormat="1" applyFont="1" applyBorder="1" applyAlignment="1">
      <alignment horizontal="right"/>
    </xf>
    <xf numFmtId="0" fontId="2" fillId="4" borderId="22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6" borderId="22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0" fillId="10" borderId="6" xfId="0" applyFill="1" applyBorder="1"/>
    <xf numFmtId="0" fontId="0" fillId="10" borderId="22" xfId="0" applyFill="1" applyBorder="1" applyAlignment="1">
      <alignment horizontal="center"/>
    </xf>
    <xf numFmtId="0" fontId="0" fillId="10" borderId="8" xfId="0" applyFill="1" applyBorder="1" applyAlignment="1">
      <alignment horizontal="center"/>
    </xf>
    <xf numFmtId="165" fontId="2" fillId="10" borderId="22" xfId="0" applyNumberFormat="1" applyFont="1" applyFill="1" applyBorder="1" applyAlignment="1">
      <alignment horizontal="center" vertical="center"/>
    </xf>
    <xf numFmtId="0" fontId="0" fillId="10" borderId="10" xfId="0" applyFill="1" applyBorder="1"/>
    <xf numFmtId="0" fontId="0" fillId="0" borderId="10" xfId="0" applyFill="1" applyBorder="1"/>
    <xf numFmtId="0" fontId="2" fillId="0" borderId="10" xfId="0" applyFont="1" applyFill="1" applyBorder="1"/>
    <xf numFmtId="0" fontId="2" fillId="11" borderId="10" xfId="0" applyFont="1" applyFill="1" applyBorder="1"/>
    <xf numFmtId="164" fontId="0" fillId="11" borderId="0" xfId="0" applyNumberFormat="1" applyFill="1" applyBorder="1"/>
    <xf numFmtId="9" fontId="7" fillId="11" borderId="0" xfId="0" applyNumberFormat="1" applyFont="1" applyFill="1" applyBorder="1" applyAlignment="1">
      <alignment horizontal="right"/>
    </xf>
    <xf numFmtId="9" fontId="0" fillId="0" borderId="0" xfId="0" applyNumberFormat="1" applyBorder="1"/>
    <xf numFmtId="0" fontId="7" fillId="0" borderId="0" xfId="0" applyFont="1" applyFill="1" applyBorder="1" applyAlignment="1">
      <alignment horizontal="right"/>
    </xf>
    <xf numFmtId="164" fontId="0" fillId="0" borderId="0" xfId="0" applyNumberFormat="1" applyFill="1" applyBorder="1" applyAlignment="1">
      <alignment horizontal="right" vertical="center"/>
    </xf>
    <xf numFmtId="0" fontId="7" fillId="0" borderId="10" xfId="0" applyFont="1" applyFill="1" applyBorder="1"/>
    <xf numFmtId="0" fontId="7" fillId="0" borderId="0" xfId="0" applyFont="1" applyBorder="1"/>
    <xf numFmtId="9" fontId="7" fillId="0" borderId="0" xfId="2" applyFont="1" applyFill="1" applyBorder="1" applyAlignment="1">
      <alignment horizontal="right" vertical="center"/>
    </xf>
    <xf numFmtId="164" fontId="0" fillId="11" borderId="0" xfId="0" applyNumberFormat="1" applyFill="1" applyBorder="1" applyAlignment="1">
      <alignment horizontal="right" vertical="center"/>
    </xf>
    <xf numFmtId="171" fontId="10" fillId="0" borderId="0" xfId="3" applyNumberFormat="1" applyFont="1" applyFill="1" applyBorder="1" applyAlignment="1">
      <alignment horizontal="center"/>
    </xf>
    <xf numFmtId="168" fontId="0" fillId="0" borderId="0" xfId="3" applyNumberFormat="1" applyFont="1" applyFill="1" applyBorder="1" applyAlignment="1">
      <alignment horizontal="center"/>
    </xf>
    <xf numFmtId="171" fontId="0" fillId="0" borderId="0" xfId="3" applyNumberFormat="1" applyFont="1" applyFill="1" applyBorder="1" applyAlignment="1">
      <alignment horizontal="right" vertical="center"/>
    </xf>
    <xf numFmtId="171" fontId="10" fillId="0" borderId="0" xfId="0" applyNumberFormat="1" applyFont="1" applyFill="1" applyBorder="1" applyAlignment="1">
      <alignment horizontal="center"/>
    </xf>
    <xf numFmtId="9" fontId="10" fillId="0" borderId="0" xfId="0" applyNumberFormat="1" applyFont="1" applyFill="1" applyBorder="1" applyAlignment="1">
      <alignment horizontal="center"/>
    </xf>
    <xf numFmtId="9" fontId="7" fillId="0" borderId="0" xfId="0" applyNumberFormat="1" applyFont="1" applyFill="1" applyBorder="1" applyAlignment="1">
      <alignment horizontal="right"/>
    </xf>
    <xf numFmtId="170" fontId="7" fillId="0" borderId="0" xfId="0" applyNumberFormat="1" applyFont="1" applyFill="1" applyBorder="1" applyAlignment="1">
      <alignment horizontal="center"/>
    </xf>
    <xf numFmtId="168" fontId="0" fillId="0" borderId="0" xfId="3" applyNumberFormat="1" applyFont="1" applyFill="1" applyBorder="1" applyAlignment="1">
      <alignment horizontal="right" vertical="center"/>
    </xf>
    <xf numFmtId="0" fontId="7" fillId="0" borderId="9" xfId="0" applyFont="1" applyFill="1" applyBorder="1"/>
    <xf numFmtId="0" fontId="2" fillId="0" borderId="10" xfId="0" applyFont="1" applyBorder="1"/>
    <xf numFmtId="0" fontId="7" fillId="0" borderId="10" xfId="0" applyFont="1" applyBorder="1"/>
    <xf numFmtId="169" fontId="7" fillId="0" borderId="0" xfId="2" applyNumberFormat="1" applyFont="1" applyBorder="1" applyAlignment="1">
      <alignment horizontal="right"/>
    </xf>
    <xf numFmtId="9" fontId="10" fillId="0" borderId="0" xfId="2" applyFont="1" applyBorder="1" applyAlignment="1">
      <alignment horizontal="center"/>
    </xf>
    <xf numFmtId="0" fontId="0" fillId="0" borderId="9" xfId="0" applyFill="1" applyBorder="1"/>
    <xf numFmtId="164" fontId="0" fillId="0" borderId="11" xfId="1" applyNumberFormat="1" applyFont="1" applyFill="1" applyBorder="1" applyAlignment="1">
      <alignment horizontal="right" vertical="center"/>
    </xf>
    <xf numFmtId="164" fontId="0" fillId="11" borderId="0" xfId="0" applyNumberFormat="1" applyFill="1" applyBorder="1" applyAlignment="1">
      <alignment horizontal="center"/>
    </xf>
    <xf numFmtId="0" fontId="0" fillId="11" borderId="0" xfId="0" applyFill="1" applyBorder="1" applyAlignment="1">
      <alignment horizontal="center"/>
    </xf>
    <xf numFmtId="9" fontId="0" fillId="0" borderId="0" xfId="2" applyFont="1" applyFill="1" applyBorder="1" applyAlignment="1">
      <alignment horizontal="right" vertical="center"/>
    </xf>
    <xf numFmtId="9" fontId="0" fillId="0" borderId="11" xfId="2" applyFont="1" applyFill="1" applyBorder="1" applyAlignment="1">
      <alignment horizontal="right" vertical="center"/>
    </xf>
    <xf numFmtId="0" fontId="12" fillId="0" borderId="0" xfId="0" applyFont="1" applyBorder="1" applyAlignment="1">
      <alignment horizontal="center"/>
    </xf>
    <xf numFmtId="170" fontId="10" fillId="0" borderId="0" xfId="3" applyNumberFormat="1" applyFont="1" applyFill="1" applyBorder="1" applyAlignment="1">
      <alignment horizontal="center"/>
    </xf>
    <xf numFmtId="170" fontId="10" fillId="0" borderId="0" xfId="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right" vertical="center"/>
    </xf>
    <xf numFmtId="9" fontId="7" fillId="0" borderId="11" xfId="0" applyNumberFormat="1" applyFont="1" applyFill="1" applyBorder="1" applyAlignment="1">
      <alignment horizontal="right" vertical="center"/>
    </xf>
    <xf numFmtId="171" fontId="0" fillId="0" borderId="7" xfId="0" applyNumberFormat="1" applyFill="1" applyBorder="1" applyAlignment="1">
      <alignment horizontal="right"/>
    </xf>
    <xf numFmtId="169" fontId="7" fillId="0" borderId="11" xfId="0" applyNumberFormat="1" applyFont="1" applyBorder="1" applyAlignment="1">
      <alignment horizontal="right"/>
    </xf>
    <xf numFmtId="171" fontId="0" fillId="0" borderId="12" xfId="0" applyNumberFormat="1" applyBorder="1" applyAlignment="1">
      <alignment horizontal="right"/>
    </xf>
    <xf numFmtId="168" fontId="0" fillId="0" borderId="12" xfId="0" applyNumberFormat="1" applyBorder="1" applyAlignment="1">
      <alignment horizontal="right"/>
    </xf>
    <xf numFmtId="0" fontId="0" fillId="10" borderId="22" xfId="0" applyFill="1" applyBorder="1"/>
    <xf numFmtId="9" fontId="7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/>
    </xf>
    <xf numFmtId="169" fontId="7" fillId="0" borderId="0" xfId="0" applyNumberFormat="1" applyFont="1" applyBorder="1" applyAlignment="1">
      <alignment horizontal="center"/>
    </xf>
    <xf numFmtId="169" fontId="7" fillId="0" borderId="0" xfId="0" applyNumberFormat="1" applyFont="1" applyBorder="1" applyAlignment="1">
      <alignment horizontal="right"/>
    </xf>
    <xf numFmtId="0" fontId="0" fillId="10" borderId="8" xfId="0" applyFill="1" applyBorder="1"/>
    <xf numFmtId="0" fontId="0" fillId="10" borderId="11" xfId="0" applyFill="1" applyBorder="1"/>
    <xf numFmtId="0" fontId="0" fillId="0" borderId="11" xfId="0" applyFill="1" applyBorder="1"/>
    <xf numFmtId="0" fontId="7" fillId="0" borderId="11" xfId="0" applyFont="1" applyFill="1" applyBorder="1"/>
    <xf numFmtId="0" fontId="0" fillId="0" borderId="7" xfId="0" applyFill="1" applyBorder="1"/>
    <xf numFmtId="0" fontId="0" fillId="0" borderId="11" xfId="0" applyBorder="1"/>
    <xf numFmtId="169" fontId="7" fillId="0" borderId="11" xfId="0" applyNumberFormat="1" applyFont="1" applyBorder="1"/>
    <xf numFmtId="0" fontId="0" fillId="0" borderId="7" xfId="0" applyBorder="1"/>
    <xf numFmtId="164" fontId="0" fillId="0" borderId="0" xfId="0" applyNumberFormat="1" applyFill="1" applyBorder="1" applyAlignment="1">
      <alignment horizontal="center"/>
    </xf>
    <xf numFmtId="169" fontId="7" fillId="0" borderId="7" xfId="0" applyNumberFormat="1" applyFont="1" applyFill="1" applyBorder="1" applyAlignment="1">
      <alignment horizontal="right"/>
    </xf>
    <xf numFmtId="0" fontId="2" fillId="9" borderId="8" xfId="0" applyFont="1" applyFill="1" applyBorder="1" applyAlignment="1">
      <alignment horizontal="center" vertical="center"/>
    </xf>
    <xf numFmtId="0" fontId="7" fillId="10" borderId="22" xfId="0" applyFont="1" applyFill="1" applyBorder="1" applyAlignment="1">
      <alignment horizontal="center"/>
    </xf>
    <xf numFmtId="0" fontId="7" fillId="10" borderId="0" xfId="0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9" fontId="7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68" fontId="10" fillId="0" borderId="0" xfId="2" applyNumberFormat="1" applyFont="1" applyFill="1" applyBorder="1" applyAlignment="1">
      <alignment horizontal="center"/>
    </xf>
    <xf numFmtId="9" fontId="0" fillId="0" borderId="11" xfId="0" applyNumberFormat="1" applyFill="1" applyBorder="1" applyAlignment="1">
      <alignment horizontal="right" vertical="center"/>
    </xf>
    <xf numFmtId="0" fontId="0" fillId="0" borderId="10" xfId="0" applyFont="1" applyFill="1" applyBorder="1"/>
    <xf numFmtId="168" fontId="7" fillId="0" borderId="11" xfId="3" applyNumberFormat="1" applyFont="1" applyFill="1" applyBorder="1" applyAlignment="1">
      <alignment horizontal="right" vertical="center"/>
    </xf>
    <xf numFmtId="171" fontId="0" fillId="0" borderId="11" xfId="0" applyNumberFormat="1" applyBorder="1"/>
    <xf numFmtId="169" fontId="0" fillId="0" borderId="11" xfId="0" applyNumberFormat="1" applyBorder="1" applyAlignment="1">
      <alignment horizontal="right"/>
    </xf>
    <xf numFmtId="0" fontId="2" fillId="4" borderId="6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0" fontId="0" fillId="0" borderId="0" xfId="2" applyNumberFormat="1" applyFont="1" applyFill="1" applyBorder="1" applyAlignment="1">
      <alignment horizontal="right"/>
    </xf>
    <xf numFmtId="10" fontId="0" fillId="0" borderId="11" xfId="2" applyNumberFormat="1" applyFont="1" applyFill="1" applyBorder="1" applyAlignment="1">
      <alignment horizontal="right"/>
    </xf>
    <xf numFmtId="9" fontId="5" fillId="0" borderId="0" xfId="2" applyNumberFormat="1" applyFont="1" applyFill="1" applyBorder="1"/>
    <xf numFmtId="9" fontId="5" fillId="0" borderId="0" xfId="0" applyNumberFormat="1" applyFont="1" applyFill="1" applyBorder="1"/>
    <xf numFmtId="8" fontId="7" fillId="0" borderId="11" xfId="0" applyNumberFormat="1" applyFont="1" applyFill="1" applyBorder="1" applyAlignment="1">
      <alignment horizontal="right" vertical="center"/>
    </xf>
    <xf numFmtId="168" fontId="0" fillId="0" borderId="11" xfId="3" applyNumberFormat="1" applyFont="1" applyFill="1" applyBorder="1" applyAlignment="1">
      <alignment horizontal="right"/>
    </xf>
    <xf numFmtId="9" fontId="7" fillId="0" borderId="11" xfId="2" applyFont="1" applyFill="1" applyBorder="1" applyAlignment="1">
      <alignment horizontal="right"/>
    </xf>
    <xf numFmtId="9" fontId="7" fillId="0" borderId="0" xfId="0" applyNumberFormat="1" applyFont="1" applyBorder="1"/>
    <xf numFmtId="10" fontId="10" fillId="0" borderId="0" xfId="2" applyNumberFormat="1" applyFont="1" applyFill="1" applyBorder="1" applyAlignment="1">
      <alignment horizontal="center"/>
    </xf>
    <xf numFmtId="9" fontId="7" fillId="0" borderId="0" xfId="2" applyFont="1" applyFill="1" applyBorder="1" applyAlignment="1">
      <alignment horizontal="center"/>
    </xf>
    <xf numFmtId="10" fontId="10" fillId="0" borderId="0" xfId="2" applyNumberFormat="1" applyFont="1" applyBorder="1" applyAlignment="1">
      <alignment horizont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164" fontId="0" fillId="11" borderId="0" xfId="0" applyNumberFormat="1" applyFill="1" applyBorder="1" applyAlignment="1">
      <alignment horizontal="right"/>
    </xf>
    <xf numFmtId="9" fontId="7" fillId="0" borderId="0" xfId="0" applyNumberFormat="1" applyFont="1" applyBorder="1" applyAlignment="1">
      <alignment horizontal="right"/>
    </xf>
    <xf numFmtId="9" fontId="7" fillId="0" borderId="0" xfId="0" applyNumberFormat="1" applyFont="1" applyFill="1" applyBorder="1" applyAlignment="1">
      <alignment horizontal="center" vertical="center"/>
    </xf>
    <xf numFmtId="9" fontId="7" fillId="0" borderId="11" xfId="0" applyNumberFormat="1" applyFont="1" applyFill="1" applyBorder="1" applyAlignment="1">
      <alignment horizontal="center" vertical="center"/>
    </xf>
    <xf numFmtId="170" fontId="7" fillId="0" borderId="0" xfId="3" applyNumberFormat="1" applyFont="1" applyFill="1" applyBorder="1" applyAlignment="1">
      <alignment horizontal="center"/>
    </xf>
    <xf numFmtId="168" fontId="0" fillId="0" borderId="0" xfId="3" applyNumberFormat="1" applyFont="1" applyFill="1" applyBorder="1" applyAlignment="1">
      <alignment horizontal="center" vertical="center"/>
    </xf>
    <xf numFmtId="168" fontId="0" fillId="0" borderId="11" xfId="3" applyNumberFormat="1" applyFont="1" applyFill="1" applyBorder="1" applyAlignment="1">
      <alignment horizontal="center" vertical="center"/>
    </xf>
    <xf numFmtId="168" fontId="7" fillId="0" borderId="0" xfId="3" applyNumberFormat="1" applyFont="1" applyFill="1" applyBorder="1" applyAlignment="1">
      <alignment horizontal="center"/>
    </xf>
    <xf numFmtId="9" fontId="7" fillId="0" borderId="11" xfId="2" applyFont="1" applyFill="1" applyBorder="1" applyAlignment="1">
      <alignment horizontal="center"/>
    </xf>
    <xf numFmtId="171" fontId="0" fillId="0" borderId="0" xfId="0" applyNumberFormat="1" applyFill="1" applyBorder="1"/>
    <xf numFmtId="171" fontId="0" fillId="0" borderId="11" xfId="0" applyNumberFormat="1" applyFill="1" applyBorder="1"/>
    <xf numFmtId="10" fontId="7" fillId="0" borderId="7" xfId="2" applyNumberFormat="1" applyFont="1" applyFill="1" applyBorder="1"/>
    <xf numFmtId="0" fontId="0" fillId="0" borderId="10" xfId="0" applyFont="1" applyBorder="1"/>
    <xf numFmtId="10" fontId="5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10" borderId="21" xfId="0" applyNumberFormat="1" applyFill="1" applyBorder="1" applyAlignment="1">
      <alignment horizontal="center" vertical="center"/>
    </xf>
    <xf numFmtId="0" fontId="0" fillId="0" borderId="21" xfId="0" applyNumberFormat="1" applyFill="1" applyBorder="1" applyAlignment="1">
      <alignment horizontal="center" vertical="center"/>
    </xf>
    <xf numFmtId="0" fontId="0" fillId="0" borderId="21" xfId="0" applyNumberFormat="1" applyFill="1" applyBorder="1" applyAlignment="1">
      <alignment horizontal="right" vertical="center"/>
    </xf>
    <xf numFmtId="164" fontId="0" fillId="11" borderId="21" xfId="0" applyNumberFormat="1" applyFill="1" applyBorder="1" applyAlignment="1">
      <alignment horizontal="right" vertical="center"/>
    </xf>
    <xf numFmtId="164" fontId="0" fillId="0" borderId="21" xfId="0" applyNumberFormat="1" applyFill="1" applyBorder="1" applyAlignment="1">
      <alignment horizontal="right" vertical="center"/>
    </xf>
    <xf numFmtId="9" fontId="7" fillId="0" borderId="21" xfId="0" applyNumberFormat="1" applyFont="1" applyFill="1" applyBorder="1" applyAlignment="1">
      <alignment horizontal="center" vertical="center"/>
    </xf>
    <xf numFmtId="164" fontId="0" fillId="11" borderId="21" xfId="1" applyNumberFormat="1" applyFont="1" applyFill="1" applyBorder="1" applyAlignment="1">
      <alignment horizontal="right" vertical="center"/>
    </xf>
    <xf numFmtId="164" fontId="0" fillId="0" borderId="21" xfId="1" applyNumberFormat="1" applyFont="1" applyFill="1" applyBorder="1" applyAlignment="1">
      <alignment horizontal="right" vertical="center"/>
    </xf>
    <xf numFmtId="0" fontId="0" fillId="0" borderId="21" xfId="0" applyFill="1" applyBorder="1" applyAlignment="1">
      <alignment horizontal="center"/>
    </xf>
    <xf numFmtId="168" fontId="0" fillId="0" borderId="21" xfId="3" applyNumberFormat="1" applyFont="1" applyFill="1" applyBorder="1" applyAlignment="1">
      <alignment horizontal="center"/>
    </xf>
    <xf numFmtId="9" fontId="7" fillId="0" borderId="21" xfId="2" applyFont="1" applyFill="1" applyBorder="1" applyAlignment="1">
      <alignment horizontal="center"/>
    </xf>
    <xf numFmtId="0" fontId="0" fillId="0" borderId="21" xfId="0" applyFill="1" applyBorder="1"/>
    <xf numFmtId="171" fontId="0" fillId="0" borderId="21" xfId="0" applyNumberFormat="1" applyFill="1" applyBorder="1"/>
    <xf numFmtId="10" fontId="7" fillId="0" borderId="23" xfId="2" applyNumberFormat="1" applyFont="1" applyFill="1" applyBorder="1"/>
    <xf numFmtId="171" fontId="0" fillId="0" borderId="21" xfId="0" applyNumberFormat="1" applyBorder="1"/>
    <xf numFmtId="171" fontId="0" fillId="0" borderId="21" xfId="0" applyNumberFormat="1" applyBorder="1" applyAlignment="1">
      <alignment horizontal="right"/>
    </xf>
    <xf numFmtId="171" fontId="0" fillId="0" borderId="23" xfId="0" applyNumberFormat="1" applyBorder="1" applyAlignment="1">
      <alignment horizontal="right"/>
    </xf>
    <xf numFmtId="0" fontId="0" fillId="0" borderId="21" xfId="0" applyBorder="1"/>
    <xf numFmtId="171" fontId="0" fillId="0" borderId="12" xfId="0" applyNumberFormat="1" applyBorder="1"/>
    <xf numFmtId="165" fontId="2" fillId="10" borderId="6" xfId="0" applyNumberFormat="1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164" fontId="0" fillId="11" borderId="10" xfId="0" applyNumberFormat="1" applyFill="1" applyBorder="1" applyAlignment="1">
      <alignment horizontal="right" vertical="center"/>
    </xf>
    <xf numFmtId="164" fontId="0" fillId="0" borderId="10" xfId="0" applyNumberFormat="1" applyFill="1" applyBorder="1" applyAlignment="1">
      <alignment horizontal="right" vertical="center"/>
    </xf>
    <xf numFmtId="9" fontId="7" fillId="0" borderId="10" xfId="0" applyNumberFormat="1" applyFont="1" applyFill="1" applyBorder="1" applyAlignment="1">
      <alignment horizontal="right" vertical="center"/>
    </xf>
    <xf numFmtId="9" fontId="7" fillId="0" borderId="10" xfId="0" applyNumberFormat="1" applyFont="1" applyFill="1" applyBorder="1" applyAlignment="1">
      <alignment horizontal="center" vertical="center"/>
    </xf>
    <xf numFmtId="168" fontId="0" fillId="0" borderId="10" xfId="3" applyNumberFormat="1" applyFont="1" applyFill="1" applyBorder="1" applyAlignment="1">
      <alignment horizontal="center" vertical="center"/>
    </xf>
    <xf numFmtId="9" fontId="7" fillId="0" borderId="10" xfId="2" applyFont="1" applyFill="1" applyBorder="1" applyAlignment="1">
      <alignment horizontal="center"/>
    </xf>
    <xf numFmtId="171" fontId="0" fillId="0" borderId="10" xfId="0" applyNumberFormat="1" applyFill="1" applyBorder="1"/>
    <xf numFmtId="10" fontId="7" fillId="0" borderId="9" xfId="2" applyNumberFormat="1" applyFont="1" applyFill="1" applyBorder="1"/>
    <xf numFmtId="171" fontId="0" fillId="0" borderId="9" xfId="0" applyNumberFormat="1" applyBorder="1" applyAlignment="1">
      <alignment horizontal="right"/>
    </xf>
    <xf numFmtId="171" fontId="0" fillId="0" borderId="3" xfId="0" applyNumberFormat="1" applyBorder="1"/>
    <xf numFmtId="9" fontId="7" fillId="0" borderId="10" xfId="2" applyFont="1" applyFill="1" applyBorder="1"/>
    <xf numFmtId="9" fontId="7" fillId="0" borderId="0" xfId="2" applyFont="1" applyBorder="1"/>
    <xf numFmtId="171" fontId="10" fillId="0" borderId="0" xfId="2" applyNumberFormat="1" applyFont="1" applyBorder="1" applyAlignment="1">
      <alignment horizontal="center"/>
    </xf>
    <xf numFmtId="9" fontId="7" fillId="0" borderId="21" xfId="2" applyFont="1" applyFill="1" applyBorder="1" applyAlignment="1">
      <alignment horizontal="right" vertical="center"/>
    </xf>
    <xf numFmtId="0" fontId="0" fillId="0" borderId="21" xfId="0" applyBorder="1" applyAlignment="1">
      <alignment horizontal="right"/>
    </xf>
    <xf numFmtId="168" fontId="0" fillId="0" borderId="21" xfId="3" applyNumberFormat="1" applyFont="1" applyFill="1" applyBorder="1" applyAlignment="1">
      <alignment horizontal="right" vertical="center"/>
    </xf>
    <xf numFmtId="9" fontId="7" fillId="0" borderId="21" xfId="0" applyNumberFormat="1" applyFont="1" applyFill="1" applyBorder="1" applyAlignment="1">
      <alignment horizontal="right" vertical="center"/>
    </xf>
    <xf numFmtId="0" fontId="0" fillId="0" borderId="21" xfId="0" applyFill="1" applyBorder="1" applyAlignment="1">
      <alignment horizontal="right"/>
    </xf>
    <xf numFmtId="171" fontId="0" fillId="0" borderId="21" xfId="0" applyNumberFormat="1" applyFill="1" applyBorder="1" applyAlignment="1">
      <alignment horizontal="right"/>
    </xf>
    <xf numFmtId="169" fontId="7" fillId="0" borderId="23" xfId="0" applyNumberFormat="1" applyFont="1" applyFill="1" applyBorder="1" applyAlignment="1">
      <alignment horizontal="right"/>
    </xf>
    <xf numFmtId="169" fontId="7" fillId="0" borderId="21" xfId="2" applyNumberFormat="1" applyFont="1" applyBorder="1" applyAlignment="1">
      <alignment horizontal="right"/>
    </xf>
    <xf numFmtId="9" fontId="7" fillId="0" borderId="10" xfId="2" applyFont="1" applyFill="1" applyBorder="1" applyAlignment="1">
      <alignment horizontal="right" vertical="center"/>
    </xf>
    <xf numFmtId="168" fontId="0" fillId="0" borderId="10" xfId="3" applyNumberFormat="1" applyFont="1" applyFill="1" applyBorder="1" applyAlignment="1">
      <alignment horizontal="right" vertical="center"/>
    </xf>
    <xf numFmtId="169" fontId="7" fillId="0" borderId="9" xfId="0" applyNumberFormat="1" applyFont="1" applyFill="1" applyBorder="1" applyAlignment="1">
      <alignment horizontal="right"/>
    </xf>
    <xf numFmtId="169" fontId="7" fillId="0" borderId="10" xfId="2" applyNumberFormat="1" applyFont="1" applyBorder="1" applyAlignment="1">
      <alignment horizontal="right"/>
    </xf>
    <xf numFmtId="168" fontId="0" fillId="0" borderId="3" xfId="0" applyNumberFormat="1" applyBorder="1" applyAlignment="1">
      <alignment horizontal="right"/>
    </xf>
    <xf numFmtId="175" fontId="9" fillId="8" borderId="0" xfId="4" applyNumberFormat="1" applyFill="1" applyBorder="1" applyAlignment="1">
      <alignment horizontal="center"/>
    </xf>
    <xf numFmtId="0" fontId="0" fillId="13" borderId="0" xfId="0" applyFill="1" applyAlignment="1">
      <alignment horizontal="right"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 horizontal="center"/>
    </xf>
    <xf numFmtId="164" fontId="5" fillId="13" borderId="0" xfId="1" applyNumberFormat="1" applyFont="1" applyFill="1" applyBorder="1" applyAlignment="1">
      <alignment horizontal="left"/>
    </xf>
    <xf numFmtId="164" fontId="5" fillId="13" borderId="0" xfId="1" applyNumberFormat="1" applyFont="1" applyFill="1"/>
    <xf numFmtId="9" fontId="0" fillId="13" borderId="0" xfId="2" applyFont="1" applyFill="1" applyAlignment="1">
      <alignment horizontal="center"/>
    </xf>
    <xf numFmtId="0" fontId="5" fillId="13" borderId="0" xfId="0" applyFont="1" applyFill="1" applyAlignment="1">
      <alignment horizontal="center"/>
    </xf>
    <xf numFmtId="0" fontId="0" fillId="13" borderId="0" xfId="0" applyFill="1"/>
    <xf numFmtId="6" fontId="5" fillId="13" borderId="0" xfId="0" applyNumberFormat="1" applyFont="1" applyFill="1" applyBorder="1" applyAlignment="1"/>
    <xf numFmtId="6" fontId="0" fillId="13" borderId="0" xfId="0" applyNumberFormat="1" applyFill="1"/>
    <xf numFmtId="0" fontId="3" fillId="13" borderId="0" xfId="0" applyFont="1" applyFill="1"/>
    <xf numFmtId="164" fontId="5" fillId="13" borderId="0" xfId="1" applyNumberFormat="1" applyFont="1" applyFill="1" applyBorder="1" applyAlignment="1">
      <alignment horizontal="center"/>
    </xf>
    <xf numFmtId="164" fontId="5" fillId="13" borderId="0" xfId="1" applyNumberFormat="1" applyFont="1" applyFill="1" applyAlignment="1">
      <alignment horizontal="center"/>
    </xf>
    <xf numFmtId="6" fontId="5" fillId="13" borderId="0" xfId="0" applyNumberFormat="1" applyFont="1" applyFill="1" applyBorder="1" applyAlignment="1">
      <alignment horizontal="right"/>
    </xf>
    <xf numFmtId="164" fontId="5" fillId="13" borderId="0" xfId="1" applyNumberFormat="1" applyFont="1" applyFill="1" applyBorder="1" applyAlignment="1">
      <alignment horizontal="center" vertical="top"/>
    </xf>
    <xf numFmtId="6" fontId="5" fillId="13" borderId="0" xfId="0" applyNumberFormat="1" applyFont="1" applyFill="1" applyBorder="1" applyAlignment="1">
      <alignment horizontal="right" vertical="top"/>
    </xf>
    <xf numFmtId="6" fontId="5" fillId="13" borderId="0" xfId="0" applyNumberFormat="1" applyFont="1" applyFill="1" applyBorder="1" applyAlignment="1">
      <alignment horizontal="right" vertical="center"/>
    </xf>
    <xf numFmtId="6" fontId="5" fillId="13" borderId="1" xfId="0" applyNumberFormat="1" applyFont="1" applyFill="1" applyBorder="1" applyAlignment="1">
      <alignment horizontal="right"/>
    </xf>
    <xf numFmtId="6" fontId="0" fillId="13" borderId="1" xfId="0" applyNumberFormat="1" applyFill="1" applyBorder="1"/>
    <xf numFmtId="164" fontId="10" fillId="11" borderId="0" xfId="0" applyNumberFormat="1" applyFont="1" applyFill="1" applyBorder="1" applyAlignment="1">
      <alignment horizontal="center"/>
    </xf>
    <xf numFmtId="164" fontId="3" fillId="0" borderId="1" xfId="1" applyNumberFormat="1" applyFont="1" applyBorder="1"/>
    <xf numFmtId="164" fontId="7" fillId="0" borderId="0" xfId="1" applyNumberFormat="1" applyFont="1" applyFill="1" applyBorder="1" applyAlignment="1">
      <alignment horizontal="right" vertical="center"/>
    </xf>
    <xf numFmtId="168" fontId="7" fillId="8" borderId="0" xfId="0" applyNumberFormat="1" applyFont="1" applyFill="1" applyBorder="1" applyAlignment="1">
      <alignment horizontal="right"/>
    </xf>
    <xf numFmtId="0" fontId="8" fillId="0" borderId="0" xfId="0" applyFont="1"/>
    <xf numFmtId="168" fontId="7" fillId="0" borderId="0" xfId="0" applyNumberFormat="1" applyFont="1" applyAlignment="1">
      <alignment horizontal="center"/>
    </xf>
    <xf numFmtId="171" fontId="7" fillId="0" borderId="0" xfId="0" applyNumberFormat="1" applyFont="1" applyAlignment="1">
      <alignment horizontal="center"/>
    </xf>
    <xf numFmtId="169" fontId="7" fillId="0" borderId="11" xfId="0" applyNumberFormat="1" applyFont="1" applyFill="1" applyBorder="1" applyAlignment="1">
      <alignment horizontal="right"/>
    </xf>
    <xf numFmtId="171" fontId="7" fillId="0" borderId="11" xfId="0" applyNumberFormat="1" applyFont="1" applyFill="1" applyBorder="1" applyAlignment="1">
      <alignment horizontal="right"/>
    </xf>
    <xf numFmtId="9" fontId="0" fillId="0" borderId="7" xfId="2" applyFont="1" applyFill="1" applyBorder="1" applyAlignment="1">
      <alignment horizontal="right"/>
    </xf>
    <xf numFmtId="0" fontId="2" fillId="4" borderId="24" xfId="0" applyFont="1" applyFill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2" fillId="5" borderId="24" xfId="0" applyFont="1" applyFill="1" applyBorder="1" applyAlignment="1">
      <alignment horizontal="center"/>
    </xf>
    <xf numFmtId="0" fontId="2" fillId="5" borderId="25" xfId="0" applyFont="1" applyFill="1" applyBorder="1" applyAlignment="1">
      <alignment horizontal="center"/>
    </xf>
    <xf numFmtId="0" fontId="2" fillId="6" borderId="24" xfId="0" applyFont="1" applyFill="1" applyBorder="1" applyAlignment="1">
      <alignment horizontal="center"/>
    </xf>
    <xf numFmtId="0" fontId="2" fillId="6" borderId="26" xfId="0" applyFont="1" applyFill="1" applyBorder="1" applyAlignment="1">
      <alignment horizontal="center"/>
    </xf>
    <xf numFmtId="0" fontId="6" fillId="0" borderId="13" xfId="0" applyFont="1" applyBorder="1"/>
    <xf numFmtId="0" fontId="0" fillId="0" borderId="15" xfId="0" applyFont="1" applyFill="1" applyBorder="1"/>
    <xf numFmtId="0" fontId="0" fillId="0" borderId="0" xfId="0" applyFont="1" applyBorder="1"/>
    <xf numFmtId="0" fontId="0" fillId="0" borderId="15" xfId="0" applyFont="1" applyBorder="1"/>
    <xf numFmtId="171" fontId="0" fillId="0" borderId="16" xfId="0" applyNumberFormat="1" applyFont="1" applyBorder="1"/>
    <xf numFmtId="0" fontId="0" fillId="0" borderId="17" xfId="0" applyFont="1" applyFill="1" applyBorder="1"/>
    <xf numFmtId="0" fontId="0" fillId="0" borderId="2" xfId="0" applyFont="1" applyBorder="1"/>
    <xf numFmtId="0" fontId="0" fillId="0" borderId="18" xfId="0" applyFont="1" applyBorder="1"/>
    <xf numFmtId="0" fontId="0" fillId="0" borderId="17" xfId="0" applyFont="1" applyBorder="1"/>
    <xf numFmtId="0" fontId="2" fillId="14" borderId="0" xfId="0" applyFont="1" applyFill="1" applyBorder="1"/>
    <xf numFmtId="164" fontId="7" fillId="0" borderId="0" xfId="2" applyNumberFormat="1" applyFont="1" applyFill="1" applyBorder="1" applyAlignment="1">
      <alignment horizontal="right" vertical="center"/>
    </xf>
    <xf numFmtId="164" fontId="7" fillId="0" borderId="11" xfId="2" applyNumberFormat="1" applyFont="1" applyFill="1" applyBorder="1" applyAlignment="1">
      <alignment horizontal="right" vertical="center"/>
    </xf>
    <xf numFmtId="1" fontId="0" fillId="0" borderId="0" xfId="1" applyNumberFormat="1" applyFont="1" applyBorder="1" applyAlignment="1">
      <alignment horizontal="center"/>
    </xf>
    <xf numFmtId="0" fontId="0" fillId="0" borderId="22" xfId="0" applyBorder="1"/>
    <xf numFmtId="1" fontId="0" fillId="0" borderId="11" xfId="1" applyNumberFormat="1" applyFont="1" applyBorder="1" applyAlignment="1">
      <alignment horizontal="center"/>
    </xf>
    <xf numFmtId="165" fontId="2" fillId="10" borderId="10" xfId="0" applyNumberFormat="1" applyFont="1" applyFill="1" applyBorder="1" applyAlignment="1">
      <alignment horizontal="center" vertical="center"/>
    </xf>
    <xf numFmtId="1" fontId="0" fillId="0" borderId="10" xfId="1" applyNumberFormat="1" applyFont="1" applyBorder="1" applyAlignment="1">
      <alignment horizontal="center"/>
    </xf>
    <xf numFmtId="0" fontId="2" fillId="0" borderId="10" xfId="0" applyFont="1" applyBorder="1" applyAlignment="1">
      <alignment horizontal="left" indent="1"/>
    </xf>
    <xf numFmtId="3" fontId="3" fillId="0" borderId="22" xfId="0" applyNumberFormat="1" applyFont="1" applyBorder="1"/>
    <xf numFmtId="0" fontId="19" fillId="12" borderId="0" xfId="4" applyFont="1" applyFill="1" applyAlignment="1">
      <alignment horizontal="left" indent="2"/>
    </xf>
    <xf numFmtId="2" fontId="0" fillId="0" borderId="18" xfId="0" applyNumberFormat="1" applyFont="1" applyBorder="1"/>
    <xf numFmtId="10" fontId="0" fillId="0" borderId="16" xfId="0" applyNumberFormat="1" applyFont="1" applyBorder="1"/>
    <xf numFmtId="168" fontId="10" fillId="0" borderId="1" xfId="3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71" fontId="0" fillId="0" borderId="23" xfId="0" applyNumberFormat="1" applyBorder="1"/>
    <xf numFmtId="171" fontId="0" fillId="0" borderId="9" xfId="0" applyNumberFormat="1" applyBorder="1"/>
    <xf numFmtId="171" fontId="0" fillId="0" borderId="7" xfId="0" applyNumberFormat="1" applyBorder="1"/>
    <xf numFmtId="44" fontId="5" fillId="8" borderId="0" xfId="3" applyFont="1" applyFill="1"/>
    <xf numFmtId="171" fontId="5" fillId="0" borderId="0" xfId="0" applyNumberFormat="1" applyFont="1" applyFill="1"/>
    <xf numFmtId="171" fontId="5" fillId="0" borderId="0" xfId="3" applyNumberFormat="1" applyFont="1" applyFill="1"/>
    <xf numFmtId="0" fontId="5" fillId="0" borderId="0" xfId="0" applyFont="1" applyFill="1"/>
    <xf numFmtId="0" fontId="6" fillId="0" borderId="0" xfId="0" applyFont="1"/>
    <xf numFmtId="0" fontId="0" fillId="0" borderId="0" xfId="0" applyFill="1" applyAlignment="1">
      <alignment horizontal="left"/>
    </xf>
    <xf numFmtId="9" fontId="10" fillId="0" borderId="0" xfId="0" applyNumberFormat="1" applyFont="1" applyAlignment="1">
      <alignment horizontal="left" indent="1"/>
    </xf>
    <xf numFmtId="3" fontId="0" fillId="0" borderId="0" xfId="0" applyNumberFormat="1" applyBorder="1"/>
    <xf numFmtId="0" fontId="2" fillId="14" borderId="13" xfId="0" applyFont="1" applyFill="1" applyBorder="1"/>
    <xf numFmtId="0" fontId="0" fillId="14" borderId="14" xfId="0" applyFill="1" applyBorder="1"/>
    <xf numFmtId="0" fontId="0" fillId="14" borderId="19" xfId="0" applyFill="1" applyBorder="1"/>
    <xf numFmtId="0" fontId="9" fillId="12" borderId="27" xfId="4" applyFill="1" applyBorder="1" applyAlignment="1">
      <alignment horizontal="left" indent="2"/>
    </xf>
    <xf numFmtId="0" fontId="9" fillId="12" borderId="15" xfId="4" applyFill="1" applyBorder="1" applyAlignment="1">
      <alignment horizontal="left" indent="2"/>
    </xf>
    <xf numFmtId="169" fontId="0" fillId="0" borderId="16" xfId="2" applyNumberFormat="1" applyFont="1" applyBorder="1"/>
    <xf numFmtId="3" fontId="3" fillId="0" borderId="0" xfId="0" applyNumberFormat="1" applyFont="1" applyBorder="1"/>
    <xf numFmtId="0" fontId="15" fillId="12" borderId="28" xfId="4" applyFont="1" applyFill="1" applyBorder="1"/>
    <xf numFmtId="0" fontId="2" fillId="0" borderId="29" xfId="0" applyFont="1" applyBorder="1"/>
    <xf numFmtId="3" fontId="2" fillId="0" borderId="29" xfId="0" applyNumberFormat="1" applyFont="1" applyBorder="1"/>
    <xf numFmtId="9" fontId="2" fillId="0" borderId="30" xfId="2" applyFont="1" applyBorder="1"/>
    <xf numFmtId="0" fontId="2" fillId="14" borderId="31" xfId="0" applyFont="1" applyFill="1" applyBorder="1"/>
    <xf numFmtId="0" fontId="0" fillId="14" borderId="24" xfId="0" applyFill="1" applyBorder="1"/>
    <xf numFmtId="0" fontId="0" fillId="14" borderId="26" xfId="0" applyFill="1" applyBorder="1"/>
    <xf numFmtId="0" fontId="6" fillId="0" borderId="10" xfId="0" applyFont="1" applyBorder="1"/>
    <xf numFmtId="0" fontId="6" fillId="0" borderId="6" xfId="0" applyFont="1" applyBorder="1"/>
    <xf numFmtId="0" fontId="6" fillId="0" borderId="22" xfId="0" applyFont="1" applyBorder="1" applyAlignment="1">
      <alignment horizontal="right"/>
    </xf>
    <xf numFmtId="9" fontId="6" fillId="0" borderId="8" xfId="2" applyFont="1" applyBorder="1" applyAlignment="1">
      <alignment horizontal="center"/>
    </xf>
    <xf numFmtId="0" fontId="0" fillId="0" borderId="6" xfId="0" applyFont="1" applyBorder="1"/>
    <xf numFmtId="0" fontId="0" fillId="10" borderId="0" xfId="0" applyNumberFormat="1" applyFont="1" applyFill="1" applyBorder="1" applyAlignment="1">
      <alignment horizontal="center" vertical="center"/>
    </xf>
    <xf numFmtId="0" fontId="0" fillId="10" borderId="11" xfId="0" applyNumberFormat="1" applyFont="1" applyFill="1" applyBorder="1" applyAlignment="1">
      <alignment horizontal="center" vertical="center"/>
    </xf>
    <xf numFmtId="171" fontId="0" fillId="0" borderId="0" xfId="0" applyNumberFormat="1" applyFont="1" applyFill="1" applyBorder="1" applyAlignment="1">
      <alignment horizontal="right" vertical="center"/>
    </xf>
    <xf numFmtId="171" fontId="0" fillId="0" borderId="11" xfId="0" applyNumberFormat="1" applyFont="1" applyFill="1" applyBorder="1" applyAlignment="1">
      <alignment horizontal="right" vertical="center"/>
    </xf>
    <xf numFmtId="171" fontId="0" fillId="0" borderId="0" xfId="0" applyNumberFormat="1" applyFont="1" applyBorder="1"/>
    <xf numFmtId="171" fontId="0" fillId="0" borderId="11" xfId="0" applyNumberFormat="1" applyFont="1" applyBorder="1"/>
    <xf numFmtId="0" fontId="0" fillId="0" borderId="9" xfId="0" applyFont="1" applyBorder="1"/>
    <xf numFmtId="171" fontId="0" fillId="0" borderId="1" xfId="0" applyNumberFormat="1" applyFont="1" applyBorder="1"/>
    <xf numFmtId="171" fontId="0" fillId="0" borderId="7" xfId="0" applyNumberFormat="1" applyFont="1" applyBorder="1"/>
    <xf numFmtId="0" fontId="0" fillId="0" borderId="11" xfId="0" applyFont="1" applyBorder="1"/>
    <xf numFmtId="0" fontId="0" fillId="8" borderId="10" xfId="0" applyFont="1" applyFill="1" applyBorder="1"/>
    <xf numFmtId="0" fontId="0" fillId="8" borderId="0" xfId="0" applyFont="1" applyFill="1" applyBorder="1"/>
    <xf numFmtId="0" fontId="0" fillId="8" borderId="11" xfId="0" applyFont="1" applyFill="1" applyBorder="1"/>
    <xf numFmtId="0" fontId="0" fillId="0" borderId="11" xfId="0" applyFont="1" applyFill="1" applyBorder="1"/>
    <xf numFmtId="0" fontId="0" fillId="0" borderId="9" xfId="0" applyFont="1" applyFill="1" applyBorder="1"/>
    <xf numFmtId="0" fontId="0" fillId="0" borderId="7" xfId="0" applyFont="1" applyFill="1" applyBorder="1"/>
    <xf numFmtId="171" fontId="0" fillId="0" borderId="4" xfId="0" applyNumberFormat="1" applyFont="1" applyBorder="1"/>
    <xf numFmtId="171" fontId="0" fillId="0" borderId="5" xfId="0" applyNumberFormat="1" applyFont="1" applyBorder="1"/>
    <xf numFmtId="0" fontId="0" fillId="0" borderId="19" xfId="0" applyFont="1" applyBorder="1"/>
    <xf numFmtId="0" fontId="0" fillId="0" borderId="14" xfId="0" applyFont="1" applyBorder="1"/>
    <xf numFmtId="10" fontId="0" fillId="0" borderId="16" xfId="2" applyNumberFormat="1" applyFont="1" applyBorder="1"/>
    <xf numFmtId="0" fontId="0" fillId="0" borderId="22" xfId="0" applyFont="1" applyBorder="1"/>
    <xf numFmtId="0" fontId="0" fillId="10" borderId="9" xfId="0" applyNumberFormat="1" applyFont="1" applyFill="1" applyBorder="1" applyAlignment="1">
      <alignment horizontal="center" vertical="center"/>
    </xf>
    <xf numFmtId="0" fontId="0" fillId="10" borderId="1" xfId="0" applyNumberFormat="1" applyFont="1" applyFill="1" applyBorder="1" applyAlignment="1">
      <alignment horizontal="center" vertical="center"/>
    </xf>
    <xf numFmtId="0" fontId="0" fillId="10" borderId="7" xfId="0" applyNumberFormat="1" applyFont="1" applyFill="1" applyBorder="1" applyAlignment="1">
      <alignment horizontal="center" vertical="center"/>
    </xf>
    <xf numFmtId="1" fontId="0" fillId="0" borderId="6" xfId="0" applyNumberFormat="1" applyFont="1" applyBorder="1" applyAlignment="1">
      <alignment horizontal="center"/>
    </xf>
    <xf numFmtId="1" fontId="0" fillId="0" borderId="22" xfId="0" applyNumberFormat="1" applyFont="1" applyBorder="1" applyAlignment="1">
      <alignment horizontal="center"/>
    </xf>
    <xf numFmtId="1" fontId="0" fillId="0" borderId="8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14" borderId="0" xfId="0" applyFont="1" applyFill="1" applyBorder="1"/>
    <xf numFmtId="0" fontId="0" fillId="0" borderId="1" xfId="0" applyFont="1" applyBorder="1"/>
    <xf numFmtId="0" fontId="0" fillId="0" borderId="7" xfId="0" applyFont="1" applyBorder="1"/>
    <xf numFmtId="0" fontId="3" fillId="0" borderId="0" xfId="4" applyFont="1" applyBorder="1" applyAlignment="1">
      <alignment horizontal="left" indent="1"/>
    </xf>
    <xf numFmtId="0" fontId="3" fillId="12" borderId="0" xfId="4" applyFont="1" applyFill="1" applyBorder="1" applyAlignment="1">
      <alignment horizontal="left" indent="1"/>
    </xf>
    <xf numFmtId="0" fontId="3" fillId="0" borderId="10" xfId="4" applyFont="1" applyBorder="1" applyAlignment="1">
      <alignment horizontal="left" indent="2"/>
    </xf>
    <xf numFmtId="0" fontId="3" fillId="12" borderId="10" xfId="4" applyFont="1" applyFill="1" applyBorder="1" applyAlignment="1">
      <alignment horizontal="left" indent="2"/>
    </xf>
    <xf numFmtId="0" fontId="13" fillId="14" borderId="0" xfId="4" applyFont="1" applyFill="1" applyAlignment="1">
      <alignment horizontal="left"/>
    </xf>
    <xf numFmtId="0" fontId="13" fillId="0" borderId="0" xfId="4" applyFont="1" applyFill="1" applyAlignment="1">
      <alignment horizontal="left"/>
    </xf>
    <xf numFmtId="0" fontId="13" fillId="12" borderId="6" xfId="4" applyFont="1" applyFill="1" applyBorder="1" applyAlignment="1">
      <alignment horizontal="left"/>
    </xf>
    <xf numFmtId="0" fontId="3" fillId="0" borderId="10" xfId="4" applyFont="1" applyBorder="1" applyAlignment="1">
      <alignment horizontal="left" indent="1"/>
    </xf>
    <xf numFmtId="0" fontId="3" fillId="12" borderId="10" xfId="4" applyFont="1" applyFill="1" applyBorder="1" applyAlignment="1">
      <alignment horizontal="left" indent="1"/>
    </xf>
    <xf numFmtId="0" fontId="3" fillId="12" borderId="9" xfId="4" applyFont="1" applyFill="1" applyBorder="1" applyAlignment="1">
      <alignment horizontal="left" indent="1"/>
    </xf>
    <xf numFmtId="0" fontId="3" fillId="12" borderId="10" xfId="4" applyFont="1" applyFill="1" applyBorder="1" applyAlignment="1">
      <alignment horizontal="left"/>
    </xf>
    <xf numFmtId="0" fontId="13" fillId="12" borderId="10" xfId="4" applyFont="1" applyFill="1" applyBorder="1" applyAlignment="1">
      <alignment horizontal="left"/>
    </xf>
    <xf numFmtId="0" fontId="0" fillId="0" borderId="8" xfId="0" applyFont="1" applyBorder="1"/>
    <xf numFmtId="0" fontId="2" fillId="0" borderId="11" xfId="0" applyFont="1" applyBorder="1"/>
    <xf numFmtId="171" fontId="0" fillId="0" borderId="11" xfId="0" applyNumberFormat="1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168" fontId="5" fillId="0" borderId="0" xfId="3" applyNumberFormat="1" applyFont="1" applyBorder="1" applyAlignment="1">
      <alignment horizontal="center"/>
    </xf>
    <xf numFmtId="168" fontId="10" fillId="0" borderId="1" xfId="0" applyNumberFormat="1" applyFont="1" applyBorder="1" applyAlignment="1">
      <alignment horizontal="center"/>
    </xf>
    <xf numFmtId="171" fontId="0" fillId="0" borderId="7" xfId="0" applyNumberFormat="1" applyFont="1" applyBorder="1" applyAlignment="1">
      <alignment horizontal="center"/>
    </xf>
    <xf numFmtId="168" fontId="5" fillId="0" borderId="0" xfId="1" applyNumberFormat="1" applyFont="1" applyBorder="1" applyAlignment="1">
      <alignment horizontal="center"/>
    </xf>
    <xf numFmtId="168" fontId="5" fillId="0" borderId="1" xfId="1" applyNumberFormat="1" applyFont="1" applyBorder="1" applyAlignment="1">
      <alignment horizontal="center"/>
    </xf>
    <xf numFmtId="0" fontId="27" fillId="0" borderId="8" xfId="0" applyFont="1" applyFill="1" applyBorder="1" applyAlignment="1">
      <alignment horizontal="center"/>
    </xf>
    <xf numFmtId="171" fontId="0" fillId="0" borderId="11" xfId="0" applyNumberFormat="1" applyFont="1" applyBorder="1" applyAlignment="1">
      <alignment horizontal="left" indent="2"/>
    </xf>
    <xf numFmtId="171" fontId="3" fillId="0" borderId="11" xfId="1" applyNumberFormat="1" applyFont="1" applyBorder="1" applyAlignment="1">
      <alignment horizontal="right" indent="2"/>
    </xf>
    <xf numFmtId="171" fontId="3" fillId="0" borderId="11" xfId="0" applyNumberFormat="1" applyFont="1" applyBorder="1" applyAlignment="1">
      <alignment horizontal="right" indent="2"/>
    </xf>
    <xf numFmtId="171" fontId="3" fillId="0" borderId="7" xfId="1" applyNumberFormat="1" applyFont="1" applyBorder="1" applyAlignment="1">
      <alignment horizontal="right" indent="2"/>
    </xf>
    <xf numFmtId="171" fontId="12" fillId="0" borderId="11" xfId="0" applyNumberFormat="1" applyFont="1" applyBorder="1" applyAlignment="1">
      <alignment horizontal="center"/>
    </xf>
    <xf numFmtId="9" fontId="0" fillId="0" borderId="0" xfId="0" applyNumberFormat="1" applyFont="1" applyBorder="1"/>
    <xf numFmtId="9" fontId="7" fillId="0" borderId="1" xfId="0" applyNumberFormat="1" applyFont="1" applyBorder="1" applyAlignment="1">
      <alignment horizontal="center"/>
    </xf>
    <xf numFmtId="43" fontId="9" fillId="12" borderId="0" xfId="4" applyNumberFormat="1" applyFill="1"/>
    <xf numFmtId="164" fontId="7" fillId="0" borderId="0" xfId="2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indent="1"/>
    </xf>
    <xf numFmtId="0" fontId="0" fillId="10" borderId="0" xfId="0" applyFont="1" applyFill="1" applyBorder="1"/>
    <xf numFmtId="0" fontId="2" fillId="0" borderId="4" xfId="0" applyFont="1" applyBorder="1"/>
    <xf numFmtId="0" fontId="6" fillId="0" borderId="14" xfId="0" applyFont="1" applyBorder="1"/>
    <xf numFmtId="0" fontId="0" fillId="0" borderId="2" xfId="0" applyFont="1" applyFill="1" applyBorder="1"/>
    <xf numFmtId="0" fontId="2" fillId="0" borderId="0" xfId="0" applyFont="1" applyBorder="1" applyAlignment="1">
      <alignment horizontal="left" indent="1"/>
    </xf>
    <xf numFmtId="0" fontId="3" fillId="0" borderId="0" xfId="4" applyFont="1" applyBorder="1" applyAlignment="1">
      <alignment horizontal="left" indent="2"/>
    </xf>
    <xf numFmtId="0" fontId="3" fillId="12" borderId="0" xfId="4" applyFont="1" applyFill="1" applyBorder="1" applyAlignment="1">
      <alignment horizontal="left" indent="2"/>
    </xf>
    <xf numFmtId="0" fontId="13" fillId="12" borderId="22" xfId="4" applyFont="1" applyFill="1" applyBorder="1" applyAlignment="1">
      <alignment horizontal="left"/>
    </xf>
    <xf numFmtId="0" fontId="3" fillId="12" borderId="1" xfId="4" applyFont="1" applyFill="1" applyBorder="1" applyAlignment="1">
      <alignment horizontal="left" indent="1"/>
    </xf>
    <xf numFmtId="0" fontId="3" fillId="12" borderId="0" xfId="4" applyFont="1" applyFill="1" applyBorder="1" applyAlignment="1">
      <alignment horizontal="left"/>
    </xf>
    <xf numFmtId="0" fontId="13" fillId="12" borderId="0" xfId="4" applyFont="1" applyFill="1" applyBorder="1" applyAlignment="1">
      <alignment horizontal="left"/>
    </xf>
    <xf numFmtId="10" fontId="0" fillId="0" borderId="0" xfId="0" applyNumberFormat="1" applyFont="1" applyBorder="1"/>
    <xf numFmtId="10" fontId="0" fillId="0" borderId="1" xfId="0" applyNumberFormat="1" applyFont="1" applyBorder="1"/>
    <xf numFmtId="0" fontId="0" fillId="0" borderId="0" xfId="0" applyAlignment="1">
      <alignment horizontal="left"/>
    </xf>
    <xf numFmtId="10" fontId="5" fillId="0" borderId="0" xfId="0" applyNumberFormat="1" applyFont="1" applyAlignment="1">
      <alignment horizontal="left"/>
    </xf>
    <xf numFmtId="9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171" fontId="0" fillId="0" borderId="0" xfId="0" applyNumberFormat="1" applyAlignment="1">
      <alignment horizontal="left"/>
    </xf>
    <xf numFmtId="10" fontId="10" fillId="0" borderId="1" xfId="2" applyNumberFormat="1" applyFont="1" applyBorder="1" applyAlignment="1">
      <alignment horizontal="center"/>
    </xf>
    <xf numFmtId="0" fontId="0" fillId="10" borderId="10" xfId="0" applyNumberFormat="1" applyFont="1" applyFill="1" applyBorder="1" applyAlignment="1">
      <alignment horizontal="center" vertical="center"/>
    </xf>
    <xf numFmtId="171" fontId="0" fillId="0" borderId="10" xfId="0" applyNumberFormat="1" applyFont="1" applyFill="1" applyBorder="1" applyAlignment="1">
      <alignment horizontal="right" vertical="center"/>
    </xf>
    <xf numFmtId="171" fontId="0" fillId="0" borderId="10" xfId="0" applyNumberFormat="1" applyFont="1" applyBorder="1"/>
    <xf numFmtId="171" fontId="0" fillId="0" borderId="9" xfId="0" applyNumberFormat="1" applyFont="1" applyBorder="1"/>
    <xf numFmtId="171" fontId="0" fillId="0" borderId="3" xfId="0" applyNumberFormat="1" applyFont="1" applyBorder="1"/>
    <xf numFmtId="171" fontId="0" fillId="0" borderId="0" xfId="0" applyNumberFormat="1" applyBorder="1" applyAlignment="1">
      <alignment horizontal="center"/>
    </xf>
    <xf numFmtId="0" fontId="0" fillId="0" borderId="9" xfId="0" applyFont="1" applyFill="1" applyBorder="1" applyAlignment="1">
      <alignment horizontal="left" indent="1"/>
    </xf>
    <xf numFmtId="0" fontId="0" fillId="0" borderId="1" xfId="0" applyBorder="1" applyAlignment="1">
      <alignment horizontal="right"/>
    </xf>
    <xf numFmtId="171" fontId="28" fillId="0" borderId="0" xfId="0" applyNumberFormat="1" applyFont="1" applyBorder="1" applyAlignment="1">
      <alignment horizontal="right"/>
    </xf>
    <xf numFmtId="0" fontId="9" fillId="12" borderId="10" xfId="4" applyFill="1" applyBorder="1" applyAlignment="1">
      <alignment horizontal="left" indent="2"/>
    </xf>
    <xf numFmtId="171" fontId="28" fillId="0" borderId="11" xfId="0" applyNumberFormat="1" applyFont="1" applyBorder="1" applyAlignment="1">
      <alignment horizontal="right"/>
    </xf>
    <xf numFmtId="165" fontId="2" fillId="10" borderId="21" xfId="0" applyNumberFormat="1" applyFont="1" applyFill="1" applyBorder="1" applyAlignment="1">
      <alignment horizontal="center" vertical="center"/>
    </xf>
    <xf numFmtId="0" fontId="0" fillId="10" borderId="21" xfId="0" applyNumberFormat="1" applyFont="1" applyFill="1" applyBorder="1" applyAlignment="1">
      <alignment horizontal="center" vertical="center"/>
    </xf>
    <xf numFmtId="171" fontId="0" fillId="0" borderId="21" xfId="0" applyNumberFormat="1" applyFont="1" applyFill="1" applyBorder="1" applyAlignment="1">
      <alignment horizontal="right" vertical="center"/>
    </xf>
    <xf numFmtId="171" fontId="0" fillId="0" borderId="21" xfId="0" applyNumberFormat="1" applyFont="1" applyBorder="1"/>
    <xf numFmtId="171" fontId="0" fillId="0" borderId="23" xfId="0" applyNumberFormat="1" applyFont="1" applyBorder="1"/>
    <xf numFmtId="0" fontId="0" fillId="0" borderId="21" xfId="0" applyFont="1" applyBorder="1"/>
    <xf numFmtId="0" fontId="0" fillId="8" borderId="21" xfId="0" applyFont="1" applyFill="1" applyBorder="1"/>
    <xf numFmtId="0" fontId="0" fillId="0" borderId="21" xfId="0" applyFont="1" applyFill="1" applyBorder="1"/>
    <xf numFmtId="171" fontId="0" fillId="0" borderId="21" xfId="0" applyNumberFormat="1" applyFont="1" applyFill="1" applyBorder="1"/>
    <xf numFmtId="171" fontId="0" fillId="0" borderId="23" xfId="0" applyNumberFormat="1" applyFont="1" applyFill="1" applyBorder="1"/>
    <xf numFmtId="171" fontId="0" fillId="0" borderId="12" xfId="0" applyNumberFormat="1" applyFont="1" applyBorder="1"/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right"/>
    </xf>
    <xf numFmtId="0" fontId="0" fillId="0" borderId="7" xfId="0" applyBorder="1" applyAlignment="1">
      <alignment horizontal="right"/>
    </xf>
    <xf numFmtId="171" fontId="28" fillId="0" borderId="10" xfId="0" applyNumberFormat="1" applyFont="1" applyBorder="1" applyAlignment="1">
      <alignment horizontal="right"/>
    </xf>
    <xf numFmtId="0" fontId="0" fillId="10" borderId="23" xfId="0" applyNumberFormat="1" applyFont="1" applyFill="1" applyBorder="1" applyAlignment="1">
      <alignment horizontal="center" vertical="center"/>
    </xf>
    <xf numFmtId="0" fontId="2" fillId="7" borderId="3" xfId="0" applyFont="1" applyFill="1" applyBorder="1"/>
    <xf numFmtId="0" fontId="2" fillId="7" borderId="4" xfId="0" applyFont="1" applyFill="1" applyBorder="1"/>
    <xf numFmtId="171" fontId="0" fillId="7" borderId="12" xfId="0" applyNumberFormat="1" applyFont="1" applyFill="1" applyBorder="1"/>
    <xf numFmtId="171" fontId="0" fillId="7" borderId="3" xfId="0" applyNumberFormat="1" applyFont="1" applyFill="1" applyBorder="1"/>
    <xf numFmtId="171" fontId="0" fillId="7" borderId="4" xfId="0" applyNumberFormat="1" applyFont="1" applyFill="1" applyBorder="1"/>
    <xf numFmtId="171" fontId="0" fillId="7" borderId="5" xfId="0" applyNumberFormat="1" applyFont="1" applyFill="1" applyBorder="1"/>
    <xf numFmtId="0" fontId="2" fillId="7" borderId="3" xfId="0" applyFont="1" applyFill="1" applyBorder="1" applyAlignment="1">
      <alignment horizontal="left" indent="1"/>
    </xf>
    <xf numFmtId="0" fontId="0" fillId="7" borderId="4" xfId="0" applyFill="1" applyBorder="1"/>
    <xf numFmtId="171" fontId="0" fillId="7" borderId="12" xfId="0" applyNumberFormat="1" applyFill="1" applyBorder="1"/>
    <xf numFmtId="171" fontId="0" fillId="7" borderId="3" xfId="0" applyNumberFormat="1" applyFill="1" applyBorder="1"/>
    <xf numFmtId="171" fontId="0" fillId="7" borderId="4" xfId="0" applyNumberFormat="1" applyFill="1" applyBorder="1"/>
    <xf numFmtId="171" fontId="0" fillId="7" borderId="5" xfId="0" applyNumberFormat="1" applyFill="1" applyBorder="1"/>
    <xf numFmtId="0" fontId="6" fillId="8" borderId="6" xfId="0" applyFont="1" applyFill="1" applyBorder="1" applyAlignment="1">
      <alignment horizontal="left"/>
    </xf>
    <xf numFmtId="0" fontId="0" fillId="8" borderId="8" xfId="0" applyFill="1" applyBorder="1" applyAlignment="1">
      <alignment horizontal="left"/>
    </xf>
    <xf numFmtId="0" fontId="0" fillId="8" borderId="10" xfId="0" applyFill="1" applyBorder="1" applyAlignment="1">
      <alignment horizontal="left"/>
    </xf>
    <xf numFmtId="171" fontId="0" fillId="8" borderId="11" xfId="0" applyNumberFormat="1" applyFill="1" applyBorder="1" applyAlignment="1">
      <alignment horizontal="left"/>
    </xf>
    <xf numFmtId="9" fontId="5" fillId="8" borderId="11" xfId="0" applyNumberFormat="1" applyFont="1" applyFill="1" applyBorder="1" applyAlignment="1">
      <alignment horizontal="left"/>
    </xf>
    <xf numFmtId="0" fontId="2" fillId="8" borderId="10" xfId="0" applyFont="1" applyFill="1" applyBorder="1" applyAlignment="1">
      <alignment horizontal="left"/>
    </xf>
    <xf numFmtId="0" fontId="7" fillId="8" borderId="10" xfId="0" applyFont="1" applyFill="1" applyBorder="1" applyAlignment="1">
      <alignment horizontal="left"/>
    </xf>
    <xf numFmtId="0" fontId="0" fillId="8" borderId="11" xfId="0" applyFill="1" applyBorder="1" applyAlignment="1">
      <alignment horizontal="left"/>
    </xf>
    <xf numFmtId="0" fontId="0" fillId="8" borderId="10" xfId="0" applyFill="1" applyBorder="1"/>
    <xf numFmtId="0" fontId="0" fillId="8" borderId="11" xfId="0" applyFill="1" applyBorder="1"/>
    <xf numFmtId="0" fontId="6" fillId="8" borderId="10" xfId="0" applyFont="1" applyFill="1" applyBorder="1" applyAlignment="1">
      <alignment horizontal="left"/>
    </xf>
    <xf numFmtId="0" fontId="5" fillId="8" borderId="11" xfId="0" applyNumberFormat="1" applyFont="1" applyFill="1" applyBorder="1" applyAlignment="1">
      <alignment horizontal="left"/>
    </xf>
    <xf numFmtId="10" fontId="5" fillId="8" borderId="11" xfId="0" applyNumberFormat="1" applyFont="1" applyFill="1" applyBorder="1" applyAlignment="1">
      <alignment horizontal="left"/>
    </xf>
    <xf numFmtId="0" fontId="5" fillId="8" borderId="11" xfId="0" applyFont="1" applyFill="1" applyBorder="1" applyAlignment="1">
      <alignment horizontal="left"/>
    </xf>
    <xf numFmtId="0" fontId="0" fillId="8" borderId="9" xfId="0" applyFill="1" applyBorder="1" applyAlignment="1">
      <alignment horizontal="left"/>
    </xf>
    <xf numFmtId="171" fontId="0" fillId="8" borderId="7" xfId="0" applyNumberFormat="1" applyFill="1" applyBorder="1" applyAlignment="1">
      <alignment horizontal="left"/>
    </xf>
    <xf numFmtId="0" fontId="2" fillId="0" borderId="10" xfId="0" applyFont="1" applyFill="1" applyBorder="1" applyAlignment="1">
      <alignment horizontal="left" indent="1"/>
    </xf>
    <xf numFmtId="169" fontId="0" fillId="0" borderId="11" xfId="2" applyNumberFormat="1" applyFont="1" applyBorder="1" applyAlignment="1">
      <alignment horizontal="center"/>
    </xf>
    <xf numFmtId="0" fontId="8" fillId="0" borderId="10" xfId="0" applyFont="1" applyBorder="1"/>
    <xf numFmtId="0" fontId="8" fillId="0" borderId="0" xfId="0" applyFont="1" applyBorder="1"/>
    <xf numFmtId="0" fontId="8" fillId="0" borderId="0" xfId="0" applyFont="1" applyFill="1" applyBorder="1"/>
    <xf numFmtId="0" fontId="8" fillId="0" borderId="9" xfId="0" applyFont="1" applyBorder="1"/>
    <xf numFmtId="0" fontId="8" fillId="0" borderId="1" xfId="0" applyFont="1" applyBorder="1"/>
    <xf numFmtId="0" fontId="8" fillId="0" borderId="1" xfId="0" applyFont="1" applyFill="1" applyBorder="1"/>
    <xf numFmtId="9" fontId="5" fillId="0" borderId="0" xfId="0" applyNumberFormat="1" applyFont="1" applyBorder="1"/>
    <xf numFmtId="9" fontId="5" fillId="0" borderId="1" xfId="0" applyNumberFormat="1" applyFont="1" applyBorder="1"/>
    <xf numFmtId="10" fontId="5" fillId="0" borderId="0" xfId="0" applyNumberFormat="1" applyFont="1" applyBorder="1"/>
    <xf numFmtId="10" fontId="5" fillId="0" borderId="1" xfId="0" applyNumberFormat="1" applyFont="1" applyBorder="1"/>
    <xf numFmtId="0" fontId="7" fillId="2" borderId="5" xfId="0" applyFont="1" applyFill="1" applyBorder="1" applyAlignment="1">
      <alignment horizontal="right"/>
    </xf>
    <xf numFmtId="169" fontId="0" fillId="0" borderId="11" xfId="2" applyNumberFormat="1" applyFont="1" applyBorder="1" applyAlignment="1">
      <alignment horizontal="right"/>
    </xf>
    <xf numFmtId="169" fontId="0" fillId="0" borderId="7" xfId="2" applyNumberFormat="1" applyFont="1" applyBorder="1" applyAlignment="1">
      <alignment horizontal="right"/>
    </xf>
    <xf numFmtId="0" fontId="7" fillId="2" borderId="5" xfId="0" applyFont="1" applyFill="1" applyBorder="1"/>
    <xf numFmtId="0" fontId="0" fillId="0" borderId="3" xfId="0" applyBorder="1"/>
    <xf numFmtId="9" fontId="0" fillId="0" borderId="7" xfId="2" applyFont="1" applyBorder="1"/>
    <xf numFmtId="164" fontId="3" fillId="0" borderId="0" xfId="1" applyNumberFormat="1" applyFont="1" applyBorder="1"/>
    <xf numFmtId="9" fontId="0" fillId="0" borderId="11" xfId="2" applyFont="1" applyFill="1" applyBorder="1"/>
    <xf numFmtId="0" fontId="0" fillId="0" borderId="10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9" fontId="0" fillId="0" borderId="7" xfId="2" applyFont="1" applyFill="1" applyBorder="1"/>
    <xf numFmtId="0" fontId="2" fillId="2" borderId="5" xfId="0" applyFont="1" applyFill="1" applyBorder="1" applyAlignment="1">
      <alignment horizontal="center"/>
    </xf>
    <xf numFmtId="168" fontId="0" fillId="0" borderId="0" xfId="0" applyNumberFormat="1" applyBorder="1"/>
    <xf numFmtId="171" fontId="0" fillId="0" borderId="11" xfId="3" applyNumberFormat="1" applyFont="1" applyBorder="1"/>
    <xf numFmtId="171" fontId="0" fillId="0" borderId="7" xfId="3" applyNumberFormat="1" applyFont="1" applyBorder="1"/>
    <xf numFmtId="0" fontId="0" fillId="0" borderId="3" xfId="0" applyFont="1" applyBorder="1"/>
    <xf numFmtId="171" fontId="0" fillId="0" borderId="5" xfId="3" applyNumberFormat="1" applyFont="1" applyBorder="1"/>
    <xf numFmtId="44" fontId="0" fillId="0" borderId="7" xfId="0" applyNumberFormat="1" applyBorder="1"/>
    <xf numFmtId="0" fontId="2" fillId="0" borderId="6" xfId="0" applyFont="1" applyFill="1" applyBorder="1" applyAlignment="1">
      <alignment horizontal="left"/>
    </xf>
    <xf numFmtId="0" fontId="0" fillId="0" borderId="8" xfId="0" applyBorder="1"/>
    <xf numFmtId="171" fontId="0" fillId="0" borderId="10" xfId="0" applyNumberFormat="1" applyBorder="1" applyAlignment="1">
      <alignment horizontal="left"/>
    </xf>
    <xf numFmtId="171" fontId="0" fillId="0" borderId="9" xfId="0" applyNumberFormat="1" applyBorder="1" applyAlignment="1">
      <alignment horizontal="left"/>
    </xf>
    <xf numFmtId="3" fontId="5" fillId="0" borderId="0" xfId="0" applyNumberFormat="1" applyFont="1" applyBorder="1"/>
    <xf numFmtId="0" fontId="12" fillId="0" borderId="0" xfId="0" applyFont="1" applyFill="1" applyBorder="1" applyAlignment="1">
      <alignment horizontal="center"/>
    </xf>
    <xf numFmtId="0" fontId="29" fillId="0" borderId="0" xfId="7" applyBorder="1"/>
    <xf numFmtId="0" fontId="29" fillId="0" borderId="0" xfId="7" applyFill="1" applyBorder="1"/>
    <xf numFmtId="0" fontId="12" fillId="0" borderId="22" xfId="0" applyFont="1" applyFill="1" applyBorder="1" applyAlignment="1">
      <alignment horizontal="center"/>
    </xf>
    <xf numFmtId="168" fontId="5" fillId="0" borderId="0" xfId="0" applyNumberFormat="1" applyFont="1" applyBorder="1" applyAlignment="1">
      <alignment horizontal="center"/>
    </xf>
    <xf numFmtId="8" fontId="5" fillId="0" borderId="0" xfId="0" applyNumberFormat="1" applyFont="1" applyBorder="1" applyAlignment="1">
      <alignment horizontal="center"/>
    </xf>
    <xf numFmtId="9" fontId="5" fillId="0" borderId="0" xfId="0" applyNumberFormat="1" applyFont="1" applyBorder="1" applyAlignment="1">
      <alignment horizontal="center"/>
    </xf>
    <xf numFmtId="9" fontId="5" fillId="0" borderId="0" xfId="2" applyFont="1" applyBorder="1" applyAlignment="1">
      <alignment horizontal="center"/>
    </xf>
    <xf numFmtId="0" fontId="2" fillId="0" borderId="6" xfId="0" applyFont="1" applyBorder="1"/>
    <xf numFmtId="0" fontId="12" fillId="0" borderId="22" xfId="0" applyFont="1" applyBorder="1"/>
    <xf numFmtId="0" fontId="3" fillId="0" borderId="10" xfId="4" applyFont="1" applyFill="1" applyBorder="1" applyAlignment="1">
      <alignment horizontal="left" indent="1"/>
    </xf>
    <xf numFmtId="0" fontId="0" fillId="10" borderId="13" xfId="0" applyFont="1" applyFill="1" applyBorder="1"/>
    <xf numFmtId="0" fontId="0" fillId="10" borderId="14" xfId="0" applyFont="1" applyFill="1" applyBorder="1"/>
    <xf numFmtId="0" fontId="0" fillId="10" borderId="15" xfId="0" applyFont="1" applyFill="1" applyBorder="1"/>
    <xf numFmtId="0" fontId="0" fillId="10" borderId="16" xfId="0" applyNumberFormat="1" applyFont="1" applyFill="1" applyBorder="1" applyAlignment="1">
      <alignment horizontal="center" vertical="center"/>
    </xf>
    <xf numFmtId="0" fontId="2" fillId="0" borderId="15" xfId="0" applyFont="1" applyFill="1" applyBorder="1"/>
    <xf numFmtId="171" fontId="0" fillId="0" borderId="16" xfId="0" applyNumberFormat="1" applyFont="1" applyFill="1" applyBorder="1" applyAlignment="1">
      <alignment horizontal="right" vertical="center"/>
    </xf>
    <xf numFmtId="0" fontId="0" fillId="0" borderId="33" xfId="0" applyFont="1" applyBorder="1"/>
    <xf numFmtId="171" fontId="0" fillId="0" borderId="34" xfId="0" applyNumberFormat="1" applyFont="1" applyBorder="1"/>
    <xf numFmtId="0" fontId="2" fillId="0" borderId="15" xfId="0" applyFont="1" applyBorder="1"/>
    <xf numFmtId="0" fontId="0" fillId="0" borderId="16" xfId="0" applyFont="1" applyBorder="1"/>
    <xf numFmtId="0" fontId="0" fillId="8" borderId="15" xfId="0" applyFont="1" applyFill="1" applyBorder="1"/>
    <xf numFmtId="0" fontId="0" fillId="8" borderId="16" xfId="0" applyFont="1" applyFill="1" applyBorder="1"/>
    <xf numFmtId="0" fontId="0" fillId="0" borderId="16" xfId="0" applyFont="1" applyFill="1" applyBorder="1"/>
    <xf numFmtId="0" fontId="0" fillId="0" borderId="33" xfId="0" applyFont="1" applyFill="1" applyBorder="1"/>
    <xf numFmtId="0" fontId="0" fillId="0" borderId="34" xfId="0" applyFont="1" applyFill="1" applyBorder="1"/>
    <xf numFmtId="0" fontId="2" fillId="0" borderId="35" xfId="0" applyFont="1" applyBorder="1"/>
    <xf numFmtId="171" fontId="0" fillId="0" borderId="36" xfId="0" applyNumberFormat="1" applyFont="1" applyBorder="1"/>
    <xf numFmtId="0" fontId="30" fillId="0" borderId="0" xfId="0" applyFont="1" applyFill="1" applyBorder="1"/>
    <xf numFmtId="0" fontId="29" fillId="0" borderId="0" xfId="7" applyFill="1" applyAlignment="1">
      <alignment horizontal="left"/>
    </xf>
    <xf numFmtId="175" fontId="9" fillId="8" borderId="11" xfId="4" applyNumberFormat="1" applyFill="1" applyBorder="1" applyAlignment="1">
      <alignment horizontal="center"/>
    </xf>
    <xf numFmtId="0" fontId="9" fillId="12" borderId="6" xfId="4" applyFont="1" applyFill="1" applyBorder="1"/>
    <xf numFmtId="0" fontId="9" fillId="12" borderId="22" xfId="4" applyFont="1" applyFill="1" applyBorder="1"/>
    <xf numFmtId="0" fontId="20" fillId="12" borderId="8" xfId="4" applyFont="1" applyFill="1" applyBorder="1" applyAlignment="1">
      <alignment horizontal="center"/>
    </xf>
    <xf numFmtId="0" fontId="9" fillId="12" borderId="8" xfId="4" applyFill="1" applyBorder="1" applyAlignment="1">
      <alignment horizontal="center"/>
    </xf>
    <xf numFmtId="0" fontId="9" fillId="12" borderId="22" xfId="4" applyFill="1" applyBorder="1" applyAlignment="1">
      <alignment horizontal="center"/>
    </xf>
    <xf numFmtId="0" fontId="18" fillId="12" borderId="10" xfId="4" applyFont="1" applyFill="1" applyBorder="1"/>
    <xf numFmtId="0" fontId="18" fillId="8" borderId="10" xfId="4" applyFont="1" applyFill="1" applyBorder="1"/>
    <xf numFmtId="0" fontId="22" fillId="8" borderId="10" xfId="4" applyFont="1" applyFill="1" applyBorder="1" applyAlignment="1">
      <alignment horizontal="left" indent="1"/>
    </xf>
    <xf numFmtId="0" fontId="9" fillId="8" borderId="10" xfId="4" applyFont="1" applyFill="1" applyBorder="1" applyAlignment="1">
      <alignment horizontal="left" indent="2"/>
    </xf>
    <xf numFmtId="0" fontId="22" fillId="12" borderId="10" xfId="4" applyFont="1" applyFill="1" applyBorder="1" applyAlignment="1">
      <alignment horizontal="left" indent="1"/>
    </xf>
    <xf numFmtId="0" fontId="9" fillId="12" borderId="10" xfId="4" applyFont="1" applyFill="1" applyBorder="1" applyAlignment="1">
      <alignment horizontal="left" indent="2"/>
    </xf>
    <xf numFmtId="0" fontId="9" fillId="0" borderId="10" xfId="4" applyFont="1" applyBorder="1"/>
    <xf numFmtId="174" fontId="22" fillId="12" borderId="10" xfId="4" applyNumberFormat="1" applyFont="1" applyFill="1" applyBorder="1" applyAlignment="1">
      <alignment horizontal="left" indent="1"/>
    </xf>
    <xf numFmtId="0" fontId="9" fillId="12" borderId="9" xfId="4" applyFill="1" applyBorder="1"/>
    <xf numFmtId="0" fontId="9" fillId="12" borderId="1" xfId="4" applyFill="1" applyBorder="1"/>
    <xf numFmtId="0" fontId="20" fillId="12" borderId="7" xfId="4" applyFont="1" applyFill="1" applyBorder="1" applyAlignment="1">
      <alignment horizontal="center"/>
    </xf>
    <xf numFmtId="0" fontId="9" fillId="12" borderId="7" xfId="4" applyFill="1" applyBorder="1" applyAlignment="1">
      <alignment horizontal="center"/>
    </xf>
    <xf numFmtId="42" fontId="9" fillId="12" borderId="1" xfId="4" applyNumberFormat="1" applyFill="1" applyBorder="1" applyAlignment="1">
      <alignment horizontal="center"/>
    </xf>
    <xf numFmtId="42" fontId="9" fillId="12" borderId="7" xfId="4" applyNumberFormat="1" applyFill="1" applyBorder="1" applyAlignment="1">
      <alignment horizontal="center"/>
    </xf>
    <xf numFmtId="0" fontId="9" fillId="12" borderId="3" xfId="4" applyFill="1" applyBorder="1" applyAlignment="1">
      <alignment horizontal="center"/>
    </xf>
    <xf numFmtId="0" fontId="15" fillId="12" borderId="4" xfId="4" applyFont="1" applyFill="1" applyBorder="1" applyAlignment="1">
      <alignment horizontal="left"/>
    </xf>
    <xf numFmtId="0" fontId="17" fillId="12" borderId="5" xfId="4" applyFont="1" applyFill="1" applyBorder="1" applyAlignment="1">
      <alignment horizontal="center"/>
    </xf>
    <xf numFmtId="0" fontId="9" fillId="12" borderId="3" xfId="4" applyFill="1" applyBorder="1"/>
    <xf numFmtId="0" fontId="9" fillId="12" borderId="4" xfId="4" applyFill="1" applyBorder="1"/>
    <xf numFmtId="0" fontId="20" fillId="12" borderId="5" xfId="4" applyFont="1" applyFill="1" applyBorder="1" applyAlignment="1">
      <alignment horizontal="center"/>
    </xf>
    <xf numFmtId="164" fontId="7" fillId="0" borderId="0" xfId="1" applyNumberFormat="1" applyFont="1" applyBorder="1" applyAlignment="1">
      <alignment horizontal="right"/>
    </xf>
    <xf numFmtId="172" fontId="0" fillId="0" borderId="0" xfId="0" applyNumberFormat="1" applyBorder="1"/>
    <xf numFmtId="9" fontId="0" fillId="0" borderId="11" xfId="2" applyFont="1" applyBorder="1"/>
    <xf numFmtId="167" fontId="0" fillId="0" borderId="1" xfId="0" applyNumberFormat="1" applyBorder="1"/>
    <xf numFmtId="166" fontId="7" fillId="0" borderId="0" xfId="0" applyNumberFormat="1" applyFont="1" applyBorder="1" applyAlignment="1">
      <alignment horizontal="right"/>
    </xf>
    <xf numFmtId="167" fontId="10" fillId="0" borderId="0" xfId="3" applyNumberFormat="1" applyFont="1" applyBorder="1" applyAlignment="1">
      <alignment horizontal="right"/>
    </xf>
    <xf numFmtId="168" fontId="7" fillId="0" borderId="0" xfId="3" applyNumberFormat="1" applyFont="1" applyBorder="1" applyAlignment="1">
      <alignment horizontal="right"/>
    </xf>
    <xf numFmtId="171" fontId="0" fillId="0" borderId="0" xfId="3" applyNumberFormat="1" applyFont="1" applyBorder="1"/>
    <xf numFmtId="0" fontId="2" fillId="0" borderId="6" xfId="0" applyFont="1" applyFill="1" applyBorder="1"/>
    <xf numFmtId="0" fontId="2" fillId="0" borderId="22" xfId="0" applyFont="1" applyFill="1" applyBorder="1"/>
    <xf numFmtId="0" fontId="2" fillId="0" borderId="8" xfId="0" applyFont="1" applyFill="1" applyBorder="1"/>
    <xf numFmtId="10" fontId="5" fillId="0" borderId="11" xfId="0" applyNumberFormat="1" applyFont="1" applyBorder="1"/>
    <xf numFmtId="0" fontId="5" fillId="0" borderId="11" xfId="0" applyFont="1" applyBorder="1"/>
    <xf numFmtId="9" fontId="5" fillId="0" borderId="11" xfId="0" applyNumberFormat="1" applyFont="1" applyBorder="1"/>
    <xf numFmtId="10" fontId="5" fillId="0" borderId="7" xfId="0" applyNumberFormat="1" applyFont="1" applyBorder="1"/>
    <xf numFmtId="0" fontId="2" fillId="0" borderId="11" xfId="0" applyFont="1" applyFill="1" applyBorder="1"/>
    <xf numFmtId="9" fontId="5" fillId="0" borderId="7" xfId="0" applyNumberFormat="1" applyFont="1" applyBorder="1"/>
    <xf numFmtId="0" fontId="2" fillId="7" borderId="5" xfId="0" applyFont="1" applyFill="1" applyBorder="1"/>
    <xf numFmtId="0" fontId="0" fillId="7" borderId="5" xfId="0" applyFill="1" applyBorder="1"/>
    <xf numFmtId="171" fontId="0" fillId="0" borderId="20" xfId="0" applyNumberFormat="1" applyFont="1" applyFill="1" applyBorder="1" applyAlignment="1">
      <alignment horizontal="right" vertical="center"/>
    </xf>
    <xf numFmtId="171" fontId="0" fillId="0" borderId="6" xfId="0" applyNumberFormat="1" applyFont="1" applyFill="1" applyBorder="1" applyAlignment="1">
      <alignment horizontal="right" vertical="center"/>
    </xf>
    <xf numFmtId="171" fontId="0" fillId="0" borderId="22" xfId="0" applyNumberFormat="1" applyFont="1" applyFill="1" applyBorder="1" applyAlignment="1">
      <alignment horizontal="right" vertical="center"/>
    </xf>
    <xf numFmtId="171" fontId="0" fillId="0" borderId="8" xfId="0" applyNumberFormat="1" applyFont="1" applyFill="1" applyBorder="1" applyAlignment="1">
      <alignment horizontal="right" vertical="center"/>
    </xf>
    <xf numFmtId="9" fontId="10" fillId="8" borderId="0" xfId="0" applyNumberFormat="1" applyFont="1" applyFill="1" applyAlignment="1">
      <alignment horizontal="right"/>
    </xf>
    <xf numFmtId="169" fontId="7" fillId="0" borderId="0" xfId="0" applyNumberFormat="1" applyFont="1" applyFill="1" applyBorder="1" applyAlignment="1">
      <alignment horizontal="right"/>
    </xf>
    <xf numFmtId="171" fontId="7" fillId="0" borderId="0" xfId="0" applyNumberFormat="1" applyFont="1" applyFill="1" applyBorder="1" applyAlignment="1">
      <alignment horizontal="right"/>
    </xf>
    <xf numFmtId="0" fontId="2" fillId="9" borderId="37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/>
    </xf>
    <xf numFmtId="0" fontId="2" fillId="5" borderId="32" xfId="0" applyFont="1" applyFill="1" applyBorder="1" applyAlignment="1">
      <alignment horizontal="center"/>
    </xf>
    <xf numFmtId="0" fontId="9" fillId="0" borderId="10" xfId="4" applyBorder="1" applyAlignment="1">
      <alignment horizontal="left"/>
    </xf>
    <xf numFmtId="164" fontId="9" fillId="0" borderId="0" xfId="4" applyNumberFormat="1" applyBorder="1" applyAlignment="1">
      <alignment horizontal="right"/>
    </xf>
    <xf numFmtId="164" fontId="9" fillId="0" borderId="11" xfId="4" applyNumberFormat="1" applyBorder="1" applyAlignment="1">
      <alignment horizontal="right"/>
    </xf>
    <xf numFmtId="0" fontId="9" fillId="12" borderId="10" xfId="4" applyFill="1" applyBorder="1" applyAlignment="1">
      <alignment horizontal="left"/>
    </xf>
    <xf numFmtId="3" fontId="2" fillId="0" borderId="5" xfId="4" applyNumberFormat="1" applyFont="1" applyBorder="1"/>
    <xf numFmtId="0" fontId="15" fillId="12" borderId="9" xfId="4" applyFont="1" applyFill="1" applyBorder="1"/>
    <xf numFmtId="10" fontId="24" fillId="0" borderId="1" xfId="2" applyNumberFormat="1" applyFont="1" applyBorder="1" applyAlignment="1">
      <alignment horizontal="right"/>
    </xf>
    <xf numFmtId="10" fontId="24" fillId="0" borderId="7" xfId="2" applyNumberFormat="1" applyFont="1" applyBorder="1" applyAlignment="1">
      <alignment horizontal="right"/>
    </xf>
    <xf numFmtId="9" fontId="10" fillId="0" borderId="0" xfId="0" applyNumberFormat="1" applyFont="1" applyBorder="1"/>
    <xf numFmtId="0" fontId="7" fillId="0" borderId="0" xfId="0" applyFont="1" applyBorder="1" applyAlignment="1">
      <alignment horizontal="right"/>
    </xf>
    <xf numFmtId="164" fontId="0" fillId="11" borderId="0" xfId="1" applyNumberFormat="1" applyFont="1" applyFill="1" applyBorder="1" applyAlignment="1">
      <alignment horizontal="right"/>
    </xf>
    <xf numFmtId="0" fontId="12" fillId="0" borderId="0" xfId="0" applyFont="1" applyBorder="1" applyAlignment="1">
      <alignment horizontal="right"/>
    </xf>
    <xf numFmtId="9" fontId="0" fillId="11" borderId="0" xfId="0" applyNumberFormat="1" applyFill="1" applyBorder="1" applyAlignment="1">
      <alignment horizontal="right"/>
    </xf>
    <xf numFmtId="9" fontId="10" fillId="0" borderId="1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10" fontId="5" fillId="7" borderId="20" xfId="0" applyNumberFormat="1" applyFont="1" applyFill="1" applyBorder="1"/>
    <xf numFmtId="10" fontId="5" fillId="7" borderId="23" xfId="0" applyNumberFormat="1" applyFont="1" applyFill="1" applyBorder="1"/>
    <xf numFmtId="10" fontId="5" fillId="7" borderId="20" xfId="2" applyNumberFormat="1" applyFont="1" applyFill="1" applyBorder="1"/>
    <xf numFmtId="10" fontId="5" fillId="7" borderId="23" xfId="2" applyNumberFormat="1" applyFont="1" applyFill="1" applyBorder="1"/>
    <xf numFmtId="10" fontId="5" fillId="7" borderId="12" xfId="0" applyNumberFormat="1" applyFont="1" applyFill="1" applyBorder="1"/>
    <xf numFmtId="10" fontId="5" fillId="7" borderId="12" xfId="2" applyNumberFormat="1" applyFont="1" applyFill="1" applyBorder="1"/>
    <xf numFmtId="9" fontId="5" fillId="7" borderId="12" xfId="0" applyNumberFormat="1" applyFont="1" applyFill="1" applyBorder="1"/>
    <xf numFmtId="0" fontId="0" fillId="7" borderId="3" xfId="0" applyFill="1" applyBorder="1"/>
    <xf numFmtId="0" fontId="2" fillId="0" borderId="27" xfId="0" applyFont="1" applyBorder="1"/>
    <xf numFmtId="0" fontId="2" fillId="0" borderId="22" xfId="0" applyFont="1" applyBorder="1"/>
    <xf numFmtId="171" fontId="0" fillId="0" borderId="20" xfId="0" applyNumberFormat="1" applyFont="1" applyBorder="1"/>
    <xf numFmtId="171" fontId="0" fillId="0" borderId="6" xfId="0" applyNumberFormat="1" applyFont="1" applyBorder="1"/>
    <xf numFmtId="171" fontId="0" fillId="0" borderId="22" xfId="0" applyNumberFormat="1" applyFont="1" applyBorder="1"/>
    <xf numFmtId="171" fontId="0" fillId="0" borderId="8" xfId="0" applyNumberFormat="1" applyFont="1" applyBorder="1"/>
    <xf numFmtId="171" fontId="0" fillId="0" borderId="38" xfId="0" applyNumberFormat="1" applyFont="1" applyBorder="1"/>
    <xf numFmtId="0" fontId="2" fillId="0" borderId="3" xfId="0" applyFont="1" applyBorder="1"/>
    <xf numFmtId="171" fontId="7" fillId="0" borderId="4" xfId="0" applyNumberFormat="1" applyFont="1" applyBorder="1"/>
    <xf numFmtId="171" fontId="7" fillId="0" borderId="5" xfId="0" applyNumberFormat="1" applyFont="1" applyBorder="1"/>
    <xf numFmtId="171" fontId="7" fillId="0" borderId="12" xfId="0" applyNumberFormat="1" applyFont="1" applyBorder="1"/>
    <xf numFmtId="171" fontId="7" fillId="0" borderId="3" xfId="0" applyNumberFormat="1" applyFont="1" applyBorder="1"/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2" fillId="8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10" borderId="6" xfId="0" applyFont="1" applyFill="1" applyBorder="1" applyAlignment="1">
      <alignment horizontal="center"/>
    </xf>
    <xf numFmtId="0" fontId="0" fillId="10" borderId="22" xfId="0" applyFont="1" applyFill="1" applyBorder="1" applyAlignment="1">
      <alignment horizontal="center"/>
    </xf>
    <xf numFmtId="0" fontId="0" fillId="10" borderId="8" xfId="0" applyFont="1" applyFill="1" applyBorder="1" applyAlignment="1">
      <alignment horizontal="center"/>
    </xf>
    <xf numFmtId="0" fontId="0" fillId="10" borderId="10" xfId="0" applyFont="1" applyFill="1" applyBorder="1" applyAlignment="1">
      <alignment horizontal="center"/>
    </xf>
    <xf numFmtId="0" fontId="0" fillId="10" borderId="0" xfId="0" applyFont="1" applyFill="1" applyBorder="1" applyAlignment="1">
      <alignment horizontal="center"/>
    </xf>
    <xf numFmtId="0" fontId="0" fillId="10" borderId="11" xfId="0" applyFont="1" applyFill="1" applyBorder="1" applyAlignment="1">
      <alignment horizontal="center"/>
    </xf>
    <xf numFmtId="0" fontId="0" fillId="10" borderId="9" xfId="0" applyFont="1" applyFill="1" applyBorder="1" applyAlignment="1">
      <alignment horizontal="center"/>
    </xf>
    <xf numFmtId="0" fontId="0" fillId="10" borderId="1" xfId="0" applyFont="1" applyFill="1" applyBorder="1" applyAlignment="1">
      <alignment horizontal="center"/>
    </xf>
    <xf numFmtId="0" fontId="0" fillId="10" borderId="7" xfId="0" applyFont="1" applyFill="1" applyBorder="1" applyAlignment="1">
      <alignment horizontal="center"/>
    </xf>
  </cellXfs>
  <cellStyles count="8">
    <cellStyle name="Comma" xfId="1" builtinId="3"/>
    <cellStyle name="Comma 2" xfId="5" xr:uid="{1D5784C8-8E4F-4198-8570-42EC998543C0}"/>
    <cellStyle name="Currency" xfId="3" builtinId="4"/>
    <cellStyle name="Heading 3 2" xfId="6" xr:uid="{7E4D8B17-1265-425C-89A1-52F3C7A9492C}"/>
    <cellStyle name="Hyperlink" xfId="7" builtinId="8"/>
    <cellStyle name="Normal" xfId="0" builtinId="0"/>
    <cellStyle name="Normal 2" xfId="4" xr:uid="{00000000-0005-0000-0000-000003000000}"/>
    <cellStyle name="Percent" xfId="2" builtinId="5"/>
  </cellStyles>
  <dxfs count="359"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shu\Downloads\183177_Proform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shu\Downloads\dev%20schedu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 Board"/>
      <sheetName val="Summary Board"/>
      <sheetName val="Financing"/>
      <sheetName val="Budget"/>
      <sheetName val="01_Infrastructure"/>
      <sheetName val="02_Market Rental"/>
      <sheetName val="03_Market Condo"/>
      <sheetName val="04_Affordable Rental"/>
      <sheetName val="05_Affordable Condo"/>
      <sheetName val="06_Office"/>
      <sheetName val="07_Retail"/>
      <sheetName val="08_Hotel"/>
      <sheetName val="09_Parking"/>
      <sheetName val="10_The_Hub"/>
      <sheetName val="Program"/>
      <sheetName val="Development_Schedule"/>
      <sheetName val="Construction Costs"/>
      <sheetName val="Land_Acquistion"/>
      <sheetName val="Market_Analysis"/>
    </sheetNames>
    <sheetDataSet>
      <sheetData sheetId="0"/>
      <sheetData sheetId="1">
        <row r="156">
          <cell r="C156">
            <v>0.09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 Board"/>
      <sheetName val="Summary Board"/>
      <sheetName val="Financing"/>
      <sheetName val="Budget"/>
      <sheetName val="01_Infrastructure"/>
      <sheetName val="02_Market Rental"/>
      <sheetName val="03_Market Condo"/>
      <sheetName val="04_Affordable Rental"/>
      <sheetName val="05_Affordable Condo"/>
      <sheetName val="06_Office"/>
      <sheetName val="07_Retail"/>
      <sheetName val="08_Hotel"/>
      <sheetName val="09_Parking"/>
      <sheetName val="10_The_Hub"/>
      <sheetName val="Program"/>
      <sheetName val="Development_Schedule"/>
      <sheetName val="Development_Schedule_EK"/>
      <sheetName val="Construction Costs"/>
      <sheetName val="Land_Acquistion"/>
      <sheetName val="Market_Analys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6">
          <cell r="I6">
            <v>2022</v>
          </cell>
          <cell r="J6">
            <v>2023</v>
          </cell>
          <cell r="K6">
            <v>2024</v>
          </cell>
          <cell r="L6">
            <v>2025</v>
          </cell>
          <cell r="M6">
            <v>2026</v>
          </cell>
          <cell r="N6">
            <v>2027</v>
          </cell>
          <cell r="O6">
            <v>2028</v>
          </cell>
          <cell r="P6">
            <v>2029</v>
          </cell>
          <cell r="Q6">
            <v>2030</v>
          </cell>
          <cell r="R6">
            <v>2031</v>
          </cell>
        </row>
        <row r="8">
          <cell r="B8" t="str">
            <v>Program!$D$34:$BH$34</v>
          </cell>
        </row>
        <row r="12">
          <cell r="B12" t="str">
            <v>Infrastructure</v>
          </cell>
        </row>
        <row r="13">
          <cell r="B13" t="str">
            <v>Infrastructure</v>
          </cell>
        </row>
        <row r="14">
          <cell r="B14" t="str">
            <v>Infrastructure</v>
          </cell>
        </row>
        <row r="22">
          <cell r="B22" t="str">
            <v>Infrastructure</v>
          </cell>
          <cell r="E22" t="str">
            <v>Soil Remediation</v>
          </cell>
        </row>
        <row r="23">
          <cell r="B23"/>
          <cell r="E23"/>
        </row>
        <row r="24">
          <cell r="B24">
            <v>1</v>
          </cell>
          <cell r="E24" t="str">
            <v>AR-1</v>
          </cell>
        </row>
        <row r="25">
          <cell r="B25" t="str">
            <v>AR-1</v>
          </cell>
          <cell r="E25" t="str">
            <v>Rental</v>
          </cell>
        </row>
        <row r="26">
          <cell r="B26" t="str">
            <v>AR-1</v>
          </cell>
          <cell r="E26" t="str">
            <v>Condo</v>
          </cell>
        </row>
        <row r="27">
          <cell r="B27" t="str">
            <v>AR-1</v>
          </cell>
        </row>
        <row r="28">
          <cell r="B28" t="str">
            <v>AR-1</v>
          </cell>
          <cell r="E28" t="str">
            <v>Affordable Condo</v>
          </cell>
        </row>
        <row r="29">
          <cell r="B29" t="str">
            <v>AR-1</v>
          </cell>
          <cell r="E29" t="str">
            <v>Commercial</v>
          </cell>
        </row>
        <row r="30">
          <cell r="B30" t="str">
            <v>AR-1</v>
          </cell>
          <cell r="E30" t="str">
            <v>Museum</v>
          </cell>
        </row>
        <row r="31">
          <cell r="B31" t="str">
            <v>AR-1</v>
          </cell>
          <cell r="E31" t="str">
            <v>Performance Center</v>
          </cell>
        </row>
        <row r="32">
          <cell r="B32" t="str">
            <v>AR-1</v>
          </cell>
          <cell r="E32" t="str">
            <v>Maker Space</v>
          </cell>
        </row>
        <row r="33">
          <cell r="B33" t="str">
            <v>AR-1</v>
          </cell>
        </row>
        <row r="37">
          <cell r="B37"/>
          <cell r="E37"/>
        </row>
        <row r="38">
          <cell r="B38"/>
          <cell r="E38" t="str">
            <v xml:space="preserve"> </v>
          </cell>
        </row>
        <row r="39">
          <cell r="B39">
            <v>2</v>
          </cell>
          <cell r="E39" t="str">
            <v>PA-1</v>
          </cell>
        </row>
        <row r="40">
          <cell r="B40" t="str">
            <v>PA-1</v>
          </cell>
          <cell r="E40" t="str">
            <v>Rental</v>
          </cell>
        </row>
        <row r="41">
          <cell r="B41" t="str">
            <v>PA-1</v>
          </cell>
          <cell r="E41" t="str">
            <v>Condo</v>
          </cell>
        </row>
        <row r="42">
          <cell r="B42" t="str">
            <v>PA-1</v>
          </cell>
          <cell r="E42" t="str">
            <v xml:space="preserve">Affordable Rental </v>
          </cell>
        </row>
        <row r="43">
          <cell r="B43" t="str">
            <v>PA-1</v>
          </cell>
          <cell r="E43" t="str">
            <v>Affordable Condo</v>
          </cell>
        </row>
        <row r="44">
          <cell r="B44" t="str">
            <v>PA-1</v>
          </cell>
          <cell r="E44" t="str">
            <v>Commercial</v>
          </cell>
        </row>
        <row r="45">
          <cell r="B45" t="str">
            <v>PA-1</v>
          </cell>
          <cell r="E45" t="str">
            <v>Museum</v>
          </cell>
        </row>
        <row r="46">
          <cell r="B46" t="str">
            <v>PA-1</v>
          </cell>
          <cell r="E46" t="str">
            <v>Performance Center</v>
          </cell>
        </row>
        <row r="47">
          <cell r="B47" t="str">
            <v>PA-1</v>
          </cell>
          <cell r="E47" t="str">
            <v>Maker Space</v>
          </cell>
        </row>
        <row r="48">
          <cell r="B48" t="str">
            <v>PA-1</v>
          </cell>
        </row>
        <row r="52">
          <cell r="B52"/>
          <cell r="E52"/>
        </row>
        <row r="53">
          <cell r="B53"/>
          <cell r="E53"/>
        </row>
        <row r="54">
          <cell r="B54">
            <v>3</v>
          </cell>
          <cell r="E54" t="str">
            <v>HO-1</v>
          </cell>
        </row>
        <row r="55">
          <cell r="B55" t="str">
            <v>HO-1</v>
          </cell>
          <cell r="E55" t="str">
            <v>Rental</v>
          </cell>
        </row>
        <row r="56">
          <cell r="B56" t="str">
            <v>HO-1</v>
          </cell>
          <cell r="E56" t="str">
            <v>Condo</v>
          </cell>
        </row>
        <row r="57">
          <cell r="B57" t="str">
            <v>HO-1</v>
          </cell>
          <cell r="E57" t="str">
            <v xml:space="preserve">Affordable Rental </v>
          </cell>
        </row>
        <row r="58">
          <cell r="B58" t="str">
            <v>HO-1</v>
          </cell>
          <cell r="E58" t="str">
            <v>Affordable Condo</v>
          </cell>
        </row>
        <row r="59">
          <cell r="B59" t="str">
            <v>HO-1</v>
          </cell>
          <cell r="E59" t="str">
            <v>Commercial</v>
          </cell>
        </row>
        <row r="60">
          <cell r="B60" t="str">
            <v>HO-1</v>
          </cell>
          <cell r="E60" t="str">
            <v>Museum</v>
          </cell>
        </row>
        <row r="61">
          <cell r="B61" t="str">
            <v>HO-1</v>
          </cell>
          <cell r="E61" t="str">
            <v>Performance Center</v>
          </cell>
        </row>
        <row r="62">
          <cell r="B62" t="str">
            <v>HO-1</v>
          </cell>
        </row>
        <row r="63">
          <cell r="B63" t="str">
            <v>HO-1</v>
          </cell>
        </row>
        <row r="67">
          <cell r="B67"/>
        </row>
        <row r="68">
          <cell r="B68"/>
          <cell r="E68"/>
        </row>
        <row r="69">
          <cell r="B69">
            <v>4</v>
          </cell>
        </row>
        <row r="70">
          <cell r="B70" t="str">
            <v>MU-1</v>
          </cell>
          <cell r="E70" t="str">
            <v>Rental</v>
          </cell>
        </row>
        <row r="71">
          <cell r="B71" t="str">
            <v>MU-1</v>
          </cell>
        </row>
        <row r="72">
          <cell r="B72" t="str">
            <v>MU-1</v>
          </cell>
          <cell r="E72" t="str">
            <v xml:space="preserve">Affordable Rental </v>
          </cell>
        </row>
        <row r="73">
          <cell r="B73" t="str">
            <v>MU-1</v>
          </cell>
          <cell r="E73" t="str">
            <v>Affordable Condo</v>
          </cell>
        </row>
        <row r="74">
          <cell r="B74" t="str">
            <v>MU-1</v>
          </cell>
          <cell r="E74" t="str">
            <v>Commercial</v>
          </cell>
        </row>
        <row r="75">
          <cell r="B75" t="str">
            <v>MU-1</v>
          </cell>
          <cell r="E75" t="str">
            <v>Museum</v>
          </cell>
        </row>
        <row r="76">
          <cell r="B76" t="str">
            <v>MU-1</v>
          </cell>
          <cell r="E76" t="str">
            <v>Performance Center</v>
          </cell>
        </row>
        <row r="77">
          <cell r="B77" t="str">
            <v>MU-1</v>
          </cell>
          <cell r="E77" t="str">
            <v>Maker Space</v>
          </cell>
        </row>
        <row r="78">
          <cell r="B78" t="str">
            <v>MU-1</v>
          </cell>
          <cell r="E78" t="str">
            <v>Creative Space</v>
          </cell>
        </row>
        <row r="82">
          <cell r="B82"/>
          <cell r="E82"/>
        </row>
        <row r="83">
          <cell r="B83"/>
          <cell r="E83"/>
        </row>
        <row r="84">
          <cell r="B84">
            <v>5</v>
          </cell>
          <cell r="E84" t="str">
            <v>RE-1</v>
          </cell>
        </row>
        <row r="85">
          <cell r="B85" t="str">
            <v>RE-1</v>
          </cell>
          <cell r="E85" t="str">
            <v>Rental</v>
          </cell>
        </row>
        <row r="86">
          <cell r="B86" t="str">
            <v>RE-1</v>
          </cell>
        </row>
        <row r="87">
          <cell r="B87" t="str">
            <v>RE-1</v>
          </cell>
          <cell r="E87" t="str">
            <v xml:space="preserve">Affordable Rental </v>
          </cell>
        </row>
        <row r="88">
          <cell r="B88" t="str">
            <v>RE-1</v>
          </cell>
          <cell r="E88" t="str">
            <v>Affordable Condo</v>
          </cell>
        </row>
        <row r="89">
          <cell r="B89" t="str">
            <v>RE-1</v>
          </cell>
          <cell r="E89" t="str">
            <v>Commercial</v>
          </cell>
        </row>
        <row r="90">
          <cell r="B90" t="str">
            <v>RE-1</v>
          </cell>
          <cell r="E90" t="str">
            <v>Museum</v>
          </cell>
        </row>
        <row r="91">
          <cell r="B91" t="str">
            <v>RE-1</v>
          </cell>
          <cell r="E91" t="str">
            <v>Performance Center</v>
          </cell>
        </row>
        <row r="92">
          <cell r="B92" t="str">
            <v>RE-1</v>
          </cell>
          <cell r="E92" t="str">
            <v>Maker Space</v>
          </cell>
        </row>
        <row r="93">
          <cell r="B93" t="str">
            <v>RE-1</v>
          </cell>
        </row>
        <row r="97">
          <cell r="B97"/>
          <cell r="E97"/>
        </row>
        <row r="98">
          <cell r="B98"/>
          <cell r="E98"/>
        </row>
        <row r="99">
          <cell r="B99">
            <v>6</v>
          </cell>
          <cell r="E99" t="str">
            <v>AR-2</v>
          </cell>
        </row>
        <row r="100">
          <cell r="B100" t="str">
            <v>AR-2</v>
          </cell>
          <cell r="E100" t="str">
            <v>Rental</v>
          </cell>
        </row>
        <row r="101">
          <cell r="B101" t="str">
            <v>AR-2</v>
          </cell>
          <cell r="E101" t="str">
            <v>Condo</v>
          </cell>
        </row>
        <row r="102">
          <cell r="B102" t="str">
            <v>AR-2</v>
          </cell>
        </row>
        <row r="103">
          <cell r="B103" t="str">
            <v>AR-2</v>
          </cell>
          <cell r="E103" t="str">
            <v>Affordable Condo</v>
          </cell>
        </row>
        <row r="104">
          <cell r="B104" t="str">
            <v>AR-2</v>
          </cell>
          <cell r="E104" t="str">
            <v>Commercial</v>
          </cell>
        </row>
        <row r="105">
          <cell r="B105" t="str">
            <v>AR-2</v>
          </cell>
          <cell r="E105" t="str">
            <v>Museum</v>
          </cell>
        </row>
        <row r="106">
          <cell r="B106" t="str">
            <v>AR-2</v>
          </cell>
          <cell r="E106" t="str">
            <v>Performance Center</v>
          </cell>
        </row>
        <row r="107">
          <cell r="B107" t="str">
            <v>AR-2</v>
          </cell>
          <cell r="E107" t="str">
            <v>Maker Space</v>
          </cell>
        </row>
        <row r="108">
          <cell r="B108" t="str">
            <v>AR-2</v>
          </cell>
          <cell r="E108" t="str">
            <v>Creative Space</v>
          </cell>
        </row>
        <row r="112">
          <cell r="B112"/>
          <cell r="E112"/>
        </row>
        <row r="113">
          <cell r="B113"/>
        </row>
        <row r="114">
          <cell r="B114">
            <v>7</v>
          </cell>
          <cell r="E114" t="str">
            <v>CO-1</v>
          </cell>
        </row>
        <row r="115">
          <cell r="B115" t="str">
            <v>CO-1</v>
          </cell>
        </row>
        <row r="116">
          <cell r="B116" t="str">
            <v>CO-1</v>
          </cell>
        </row>
        <row r="117">
          <cell r="B117" t="str">
            <v>CO-1</v>
          </cell>
          <cell r="E117" t="str">
            <v xml:space="preserve">Affordable Rental </v>
          </cell>
        </row>
        <row r="118">
          <cell r="B118" t="str">
            <v>CO-1</v>
          </cell>
          <cell r="E118" t="str">
            <v>Affordable Condo</v>
          </cell>
        </row>
        <row r="119">
          <cell r="B119" t="str">
            <v>CO-1</v>
          </cell>
          <cell r="E119" t="str">
            <v>Commercial</v>
          </cell>
        </row>
        <row r="120">
          <cell r="B120" t="str">
            <v>CO-1</v>
          </cell>
          <cell r="E120" t="str">
            <v>Museum</v>
          </cell>
        </row>
        <row r="121">
          <cell r="B121" t="str">
            <v>CO-1</v>
          </cell>
          <cell r="E121" t="str">
            <v>Performance Center</v>
          </cell>
        </row>
        <row r="122">
          <cell r="B122" t="str">
            <v>CO-1</v>
          </cell>
          <cell r="E122" t="str">
            <v>Maker Space</v>
          </cell>
        </row>
        <row r="123">
          <cell r="B123" t="str">
            <v>CO-1</v>
          </cell>
          <cell r="E123" t="str">
            <v>Creative Space</v>
          </cell>
        </row>
        <row r="127">
          <cell r="B127"/>
          <cell r="E127"/>
        </row>
        <row r="128">
          <cell r="B128"/>
        </row>
        <row r="129">
          <cell r="B129">
            <v>8</v>
          </cell>
          <cell r="E129" t="str">
            <v>CO-2</v>
          </cell>
        </row>
        <row r="130">
          <cell r="B130" t="str">
            <v>CO-2</v>
          </cell>
        </row>
        <row r="131">
          <cell r="B131" t="str">
            <v>CO-2</v>
          </cell>
        </row>
        <row r="132">
          <cell r="B132" t="str">
            <v>CO-2</v>
          </cell>
          <cell r="E132" t="str">
            <v xml:space="preserve">Affordable Rental </v>
          </cell>
        </row>
        <row r="133">
          <cell r="B133" t="str">
            <v>CO-2</v>
          </cell>
          <cell r="E133" t="str">
            <v>Affordable Condo</v>
          </cell>
        </row>
        <row r="134">
          <cell r="B134" t="str">
            <v>CO-2</v>
          </cell>
          <cell r="E134" t="str">
            <v>Commercial</v>
          </cell>
        </row>
        <row r="135">
          <cell r="B135" t="str">
            <v>CO-2</v>
          </cell>
          <cell r="E135" t="str">
            <v>Museum</v>
          </cell>
        </row>
        <row r="136">
          <cell r="B136" t="str">
            <v>CO-2</v>
          </cell>
          <cell r="E136" t="str">
            <v>Performance Center</v>
          </cell>
        </row>
        <row r="137">
          <cell r="B137" t="str">
            <v>CO-2</v>
          </cell>
          <cell r="E137" t="str">
            <v>Maker Space</v>
          </cell>
        </row>
        <row r="138">
          <cell r="B138" t="str">
            <v>CO-2</v>
          </cell>
          <cell r="E138" t="str">
            <v>Creative Space</v>
          </cell>
        </row>
        <row r="142">
          <cell r="B142"/>
        </row>
        <row r="143">
          <cell r="B143"/>
          <cell r="E143"/>
        </row>
        <row r="144">
          <cell r="B144">
            <v>9</v>
          </cell>
        </row>
        <row r="145">
          <cell r="B145" t="str">
            <v>MU-2 &amp; MU-3</v>
          </cell>
          <cell r="E145" t="str">
            <v>Rental</v>
          </cell>
        </row>
        <row r="146">
          <cell r="B146" t="str">
            <v>MU-2 &amp; MU-3</v>
          </cell>
        </row>
        <row r="147">
          <cell r="B147" t="str">
            <v>MU-2 &amp; MU-3</v>
          </cell>
          <cell r="E147" t="str">
            <v xml:space="preserve">Affordable Rental </v>
          </cell>
        </row>
        <row r="148">
          <cell r="B148" t="str">
            <v>MU-2 &amp; MU-3</v>
          </cell>
          <cell r="E148" t="str">
            <v>Affordable Condo</v>
          </cell>
        </row>
        <row r="149">
          <cell r="B149" t="str">
            <v>MU-2 &amp; MU-3</v>
          </cell>
          <cell r="E149" t="str">
            <v>Commercial</v>
          </cell>
        </row>
        <row r="150">
          <cell r="B150" t="str">
            <v>MU-2 &amp; MU-3</v>
          </cell>
          <cell r="E150" t="str">
            <v>Museum</v>
          </cell>
        </row>
        <row r="151">
          <cell r="B151" t="str">
            <v>MU-2 &amp; MU-3</v>
          </cell>
          <cell r="E151" t="str">
            <v>Performance Center</v>
          </cell>
        </row>
        <row r="152">
          <cell r="B152" t="str">
            <v>MU-2 &amp; MU-3</v>
          </cell>
          <cell r="E152" t="str">
            <v>Maker Space</v>
          </cell>
        </row>
        <row r="153">
          <cell r="B153" t="str">
            <v>MU-2 &amp; MU-3</v>
          </cell>
        </row>
        <row r="157">
          <cell r="B157"/>
        </row>
        <row r="158">
          <cell r="B158"/>
          <cell r="E158"/>
        </row>
        <row r="159">
          <cell r="B159">
            <v>10</v>
          </cell>
        </row>
        <row r="160">
          <cell r="B160" t="str">
            <v>MU-4</v>
          </cell>
          <cell r="E160" t="str">
            <v>Rental</v>
          </cell>
        </row>
        <row r="161">
          <cell r="B161" t="str">
            <v>MU-4</v>
          </cell>
        </row>
        <row r="162">
          <cell r="B162" t="str">
            <v>MU-4</v>
          </cell>
          <cell r="E162" t="str">
            <v xml:space="preserve">Affordable Rental </v>
          </cell>
        </row>
        <row r="163">
          <cell r="B163" t="str">
            <v>MU-4</v>
          </cell>
          <cell r="E163" t="str">
            <v>Affordable Condo</v>
          </cell>
        </row>
        <row r="164">
          <cell r="B164" t="str">
            <v>MU-4</v>
          </cell>
          <cell r="E164" t="str">
            <v>Commercial</v>
          </cell>
        </row>
        <row r="165">
          <cell r="B165" t="str">
            <v>MU-4</v>
          </cell>
          <cell r="E165" t="str">
            <v>Museum</v>
          </cell>
        </row>
        <row r="166">
          <cell r="B166" t="str">
            <v>MU-4</v>
          </cell>
          <cell r="E166" t="str">
            <v>Performance Center</v>
          </cell>
        </row>
        <row r="167">
          <cell r="B167" t="str">
            <v>MU-4</v>
          </cell>
          <cell r="E167" t="str">
            <v>Maker Space</v>
          </cell>
        </row>
        <row r="168">
          <cell r="B168" t="str">
            <v>MU-4</v>
          </cell>
          <cell r="E168" t="str">
            <v>Creative Space</v>
          </cell>
        </row>
        <row r="172">
          <cell r="B172"/>
        </row>
        <row r="173">
          <cell r="B173"/>
          <cell r="E173"/>
        </row>
        <row r="174">
          <cell r="B174">
            <v>11</v>
          </cell>
        </row>
        <row r="175">
          <cell r="B175" t="str">
            <v>MU-5</v>
          </cell>
          <cell r="E175" t="str">
            <v>Rental</v>
          </cell>
        </row>
        <row r="176">
          <cell r="B176" t="str">
            <v>MU-5</v>
          </cell>
        </row>
        <row r="177">
          <cell r="B177" t="str">
            <v>MU-5</v>
          </cell>
          <cell r="E177" t="str">
            <v xml:space="preserve">Affordable Rental </v>
          </cell>
        </row>
        <row r="178">
          <cell r="B178" t="str">
            <v>MU-5</v>
          </cell>
          <cell r="E178" t="str">
            <v>Affordable Condo</v>
          </cell>
        </row>
        <row r="179">
          <cell r="B179" t="str">
            <v>MU-5</v>
          </cell>
          <cell r="E179" t="str">
            <v>Commercial</v>
          </cell>
        </row>
        <row r="180">
          <cell r="B180" t="str">
            <v>MU-5</v>
          </cell>
          <cell r="E180" t="str">
            <v>Museum</v>
          </cell>
        </row>
        <row r="181">
          <cell r="B181" t="str">
            <v>MU-5</v>
          </cell>
          <cell r="E181" t="str">
            <v>Performance Center</v>
          </cell>
        </row>
        <row r="182">
          <cell r="B182" t="str">
            <v>MU-5</v>
          </cell>
          <cell r="E182" t="str">
            <v>Maker Space</v>
          </cell>
        </row>
        <row r="183">
          <cell r="B183" t="str">
            <v>MU-5</v>
          </cell>
          <cell r="E183" t="str">
            <v>Creative Space</v>
          </cell>
        </row>
        <row r="187">
          <cell r="B187"/>
          <cell r="E187"/>
        </row>
        <row r="188">
          <cell r="B188"/>
          <cell r="E188"/>
        </row>
        <row r="189">
          <cell r="B189">
            <v>12</v>
          </cell>
          <cell r="E189" t="str">
            <v>AR-3</v>
          </cell>
        </row>
        <row r="190">
          <cell r="B190" t="str">
            <v>AR-3</v>
          </cell>
          <cell r="E190" t="str">
            <v>Rental</v>
          </cell>
        </row>
        <row r="191">
          <cell r="B191" t="str">
            <v>AR-3</v>
          </cell>
          <cell r="E191" t="str">
            <v>Condo</v>
          </cell>
        </row>
        <row r="192">
          <cell r="B192" t="str">
            <v>AR-3</v>
          </cell>
          <cell r="E192" t="str">
            <v xml:space="preserve">Affordable Rental </v>
          </cell>
        </row>
        <row r="193">
          <cell r="B193" t="str">
            <v>AR-3</v>
          </cell>
        </row>
        <row r="194">
          <cell r="B194" t="str">
            <v>AR-3</v>
          </cell>
          <cell r="E194" t="str">
            <v>Commercial</v>
          </cell>
        </row>
        <row r="195">
          <cell r="B195" t="str">
            <v>AR-3</v>
          </cell>
          <cell r="E195" t="str">
            <v>Museum</v>
          </cell>
        </row>
        <row r="196">
          <cell r="B196" t="str">
            <v>AR-3</v>
          </cell>
          <cell r="E196" t="str">
            <v>Performance Center</v>
          </cell>
        </row>
        <row r="197">
          <cell r="B197" t="str">
            <v>AR-3</v>
          </cell>
          <cell r="E197" t="str">
            <v>Maker Space</v>
          </cell>
        </row>
        <row r="198">
          <cell r="B198" t="str">
            <v>AR-3</v>
          </cell>
        </row>
        <row r="202">
          <cell r="B202"/>
          <cell r="E202"/>
        </row>
        <row r="203">
          <cell r="B203"/>
        </row>
        <row r="204">
          <cell r="B204">
            <v>13</v>
          </cell>
          <cell r="E204" t="str">
            <v>CO-3</v>
          </cell>
        </row>
        <row r="205">
          <cell r="B205" t="str">
            <v>CO-3</v>
          </cell>
        </row>
        <row r="206">
          <cell r="B206" t="str">
            <v>CO-3</v>
          </cell>
        </row>
        <row r="207">
          <cell r="B207" t="str">
            <v>CO-3</v>
          </cell>
          <cell r="E207" t="str">
            <v xml:space="preserve">Affordable Rental </v>
          </cell>
        </row>
        <row r="208">
          <cell r="B208" t="str">
            <v>CO-3</v>
          </cell>
          <cell r="E208" t="str">
            <v>Affordable Condo</v>
          </cell>
        </row>
        <row r="209">
          <cell r="B209" t="str">
            <v>CO-3</v>
          </cell>
          <cell r="E209" t="str">
            <v>Commercial</v>
          </cell>
        </row>
        <row r="210">
          <cell r="B210" t="str">
            <v>CO-3</v>
          </cell>
          <cell r="E210" t="str">
            <v>Museum</v>
          </cell>
        </row>
        <row r="211">
          <cell r="B211" t="str">
            <v>CO-3</v>
          </cell>
          <cell r="E211" t="str">
            <v>Performance Center</v>
          </cell>
        </row>
        <row r="212">
          <cell r="B212" t="str">
            <v>CO-3</v>
          </cell>
          <cell r="E212" t="str">
            <v>Maker Space</v>
          </cell>
        </row>
        <row r="213">
          <cell r="B213" t="str">
            <v>CO-3</v>
          </cell>
        </row>
        <row r="217">
          <cell r="B217"/>
          <cell r="E217"/>
        </row>
        <row r="218">
          <cell r="B218"/>
          <cell r="E218"/>
        </row>
        <row r="219">
          <cell r="B219">
            <v>14</v>
          </cell>
          <cell r="E219" t="str">
            <v>OF-1</v>
          </cell>
        </row>
        <row r="220">
          <cell r="B220" t="str">
            <v>OF-1</v>
          </cell>
          <cell r="E220" t="str">
            <v>Rental</v>
          </cell>
        </row>
        <row r="221">
          <cell r="B221" t="str">
            <v>OF-1</v>
          </cell>
          <cell r="E221" t="str">
            <v>Condo</v>
          </cell>
        </row>
        <row r="222">
          <cell r="B222" t="str">
            <v>OF-1</v>
          </cell>
          <cell r="E222" t="str">
            <v xml:space="preserve">Affordable Rental </v>
          </cell>
        </row>
        <row r="223">
          <cell r="B223" t="str">
            <v>OF-1</v>
          </cell>
          <cell r="E223" t="str">
            <v>Affordable Condo</v>
          </cell>
        </row>
        <row r="224">
          <cell r="B224" t="str">
            <v>OF-1</v>
          </cell>
        </row>
        <row r="225">
          <cell r="B225" t="str">
            <v>OF-1</v>
          </cell>
          <cell r="E225" t="str">
            <v>Museum</v>
          </cell>
        </row>
        <row r="226">
          <cell r="B226" t="str">
            <v>OF-1</v>
          </cell>
          <cell r="E226" t="str">
            <v>Performance Center</v>
          </cell>
        </row>
        <row r="227">
          <cell r="B227" t="str">
            <v>OF-1</v>
          </cell>
          <cell r="E227" t="str">
            <v>Maker Space</v>
          </cell>
        </row>
        <row r="228">
          <cell r="B228" t="str">
            <v>OF-1</v>
          </cell>
          <cell r="E228" t="str">
            <v>Creative Space</v>
          </cell>
        </row>
        <row r="232">
          <cell r="B232"/>
          <cell r="E232"/>
        </row>
        <row r="233">
          <cell r="B233"/>
          <cell r="E233"/>
        </row>
        <row r="234">
          <cell r="B234">
            <v>15</v>
          </cell>
          <cell r="E234" t="str">
            <v>OF-2</v>
          </cell>
        </row>
        <row r="235">
          <cell r="B235" t="str">
            <v>OF-2</v>
          </cell>
          <cell r="E235" t="str">
            <v>Rental</v>
          </cell>
        </row>
        <row r="236">
          <cell r="B236" t="str">
            <v>OF-2</v>
          </cell>
          <cell r="E236" t="str">
            <v>Condo</v>
          </cell>
        </row>
        <row r="237">
          <cell r="B237" t="str">
            <v>OF-2</v>
          </cell>
          <cell r="E237" t="str">
            <v xml:space="preserve">Affordable Rental </v>
          </cell>
        </row>
        <row r="238">
          <cell r="B238" t="str">
            <v>OF-2</v>
          </cell>
          <cell r="E238" t="str">
            <v>Affordable Condo</v>
          </cell>
        </row>
        <row r="239">
          <cell r="B239" t="str">
            <v>OF-2</v>
          </cell>
          <cell r="E239" t="str">
            <v>Commercial</v>
          </cell>
        </row>
        <row r="240">
          <cell r="B240" t="str">
            <v>OF-2</v>
          </cell>
        </row>
        <row r="241">
          <cell r="B241" t="str">
            <v>OF-2</v>
          </cell>
          <cell r="E241" t="str">
            <v>Performance Center</v>
          </cell>
        </row>
        <row r="242">
          <cell r="B242" t="str">
            <v>OF-2</v>
          </cell>
          <cell r="E242" t="str">
            <v>Maker Space</v>
          </cell>
        </row>
        <row r="243">
          <cell r="B243" t="str">
            <v>OF-2</v>
          </cell>
          <cell r="E243" t="str">
            <v>Creative Space</v>
          </cell>
        </row>
        <row r="247">
          <cell r="B247"/>
        </row>
        <row r="248">
          <cell r="B248"/>
          <cell r="E248"/>
        </row>
        <row r="249">
          <cell r="B249">
            <v>16</v>
          </cell>
        </row>
        <row r="250">
          <cell r="B250" t="str">
            <v>MU-6</v>
          </cell>
          <cell r="E250" t="str">
            <v>Rental</v>
          </cell>
        </row>
        <row r="251">
          <cell r="B251" t="str">
            <v>MU-6</v>
          </cell>
        </row>
        <row r="252">
          <cell r="B252" t="str">
            <v>MU-6</v>
          </cell>
          <cell r="E252" t="str">
            <v xml:space="preserve">Affordable Rental </v>
          </cell>
        </row>
        <row r="253">
          <cell r="B253" t="str">
            <v>MU-6</v>
          </cell>
          <cell r="E253" t="str">
            <v>Affordable Condo</v>
          </cell>
        </row>
        <row r="254">
          <cell r="B254" t="str">
            <v>MU-6</v>
          </cell>
          <cell r="E254" t="str">
            <v>Commercial</v>
          </cell>
        </row>
        <row r="255">
          <cell r="B255" t="str">
            <v>MU-6</v>
          </cell>
          <cell r="E255" t="str">
            <v>Museum</v>
          </cell>
        </row>
        <row r="256">
          <cell r="B256" t="str">
            <v>MU-6</v>
          </cell>
          <cell r="E256" t="str">
            <v>Performance Center</v>
          </cell>
        </row>
        <row r="257">
          <cell r="B257" t="str">
            <v>MU-6</v>
          </cell>
          <cell r="E257" t="str">
            <v>Maker Space</v>
          </cell>
        </row>
        <row r="258">
          <cell r="B258" t="str">
            <v>MU-6</v>
          </cell>
          <cell r="E258" t="str">
            <v>Creative Space</v>
          </cell>
        </row>
        <row r="262">
          <cell r="B262"/>
          <cell r="E262"/>
        </row>
        <row r="263">
          <cell r="B263"/>
          <cell r="E263"/>
        </row>
        <row r="264">
          <cell r="B264">
            <v>17</v>
          </cell>
          <cell r="E264" t="str">
            <v>RE-2</v>
          </cell>
        </row>
        <row r="265">
          <cell r="B265" t="str">
            <v>RE-2</v>
          </cell>
          <cell r="E265" t="str">
            <v>Rental</v>
          </cell>
        </row>
        <row r="266">
          <cell r="B266" t="str">
            <v>RE-2</v>
          </cell>
        </row>
        <row r="267">
          <cell r="B267" t="str">
            <v>RE-2</v>
          </cell>
          <cell r="E267" t="str">
            <v xml:space="preserve">Affordable Rental </v>
          </cell>
        </row>
        <row r="268">
          <cell r="B268" t="str">
            <v>RE-2</v>
          </cell>
          <cell r="E268" t="str">
            <v>Affordable Condo</v>
          </cell>
        </row>
        <row r="269">
          <cell r="B269" t="str">
            <v>RE-2</v>
          </cell>
          <cell r="E269" t="str">
            <v>Commercial</v>
          </cell>
        </row>
        <row r="270">
          <cell r="B270" t="str">
            <v>RE-2</v>
          </cell>
          <cell r="E270" t="str">
            <v>Museum</v>
          </cell>
        </row>
        <row r="271">
          <cell r="B271" t="str">
            <v>RE-2</v>
          </cell>
          <cell r="E271" t="str">
            <v>Performance Center</v>
          </cell>
        </row>
        <row r="272">
          <cell r="B272" t="str">
            <v>RE-2</v>
          </cell>
          <cell r="E272" t="str">
            <v>Maker Space</v>
          </cell>
        </row>
        <row r="273">
          <cell r="B273" t="str">
            <v>RE-2</v>
          </cell>
        </row>
        <row r="277">
          <cell r="B277"/>
          <cell r="E277"/>
        </row>
        <row r="278">
          <cell r="B278"/>
          <cell r="E278"/>
        </row>
        <row r="279">
          <cell r="B279">
            <v>18</v>
          </cell>
        </row>
        <row r="280">
          <cell r="B280" t="str">
            <v>MU-7</v>
          </cell>
        </row>
        <row r="281">
          <cell r="B281" t="str">
            <v>MU-7</v>
          </cell>
        </row>
        <row r="282">
          <cell r="B282" t="str">
            <v>MU-7</v>
          </cell>
          <cell r="E282" t="str">
            <v xml:space="preserve">Affordable Rental </v>
          </cell>
        </row>
        <row r="283">
          <cell r="B283" t="str">
            <v>MU-7</v>
          </cell>
          <cell r="E283" t="str">
            <v>Affordable Condo</v>
          </cell>
        </row>
        <row r="284">
          <cell r="B284" t="str">
            <v>MU-7</v>
          </cell>
          <cell r="E284" t="str">
            <v>Commercial</v>
          </cell>
        </row>
        <row r="285">
          <cell r="B285" t="str">
            <v>MU-7</v>
          </cell>
          <cell r="E285" t="str">
            <v>Museum</v>
          </cell>
        </row>
        <row r="286">
          <cell r="B286" t="str">
            <v>MU-7</v>
          </cell>
          <cell r="E286" t="str">
            <v>Performance Center</v>
          </cell>
        </row>
        <row r="287">
          <cell r="B287" t="str">
            <v>MU-7</v>
          </cell>
          <cell r="E287" t="str">
            <v>Maker Space</v>
          </cell>
        </row>
        <row r="288">
          <cell r="B288" t="str">
            <v>MU-7</v>
          </cell>
        </row>
        <row r="292">
          <cell r="B292"/>
          <cell r="E292"/>
        </row>
        <row r="293">
          <cell r="B293"/>
        </row>
        <row r="294">
          <cell r="B294">
            <v>19</v>
          </cell>
          <cell r="E294" t="str">
            <v>MU-8</v>
          </cell>
        </row>
        <row r="296">
          <cell r="B296" t="str">
            <v>MU-8</v>
          </cell>
        </row>
        <row r="297">
          <cell r="B297" t="str">
            <v>MU-8</v>
          </cell>
          <cell r="E297" t="str">
            <v xml:space="preserve">Affordable Rental </v>
          </cell>
        </row>
        <row r="298">
          <cell r="B298" t="str">
            <v>MU-8</v>
          </cell>
          <cell r="E298" t="str">
            <v>Affordable Condo</v>
          </cell>
        </row>
        <row r="299">
          <cell r="B299" t="str">
            <v>MU-8</v>
          </cell>
          <cell r="E299" t="str">
            <v>Commercial</v>
          </cell>
        </row>
        <row r="300">
          <cell r="B300" t="str">
            <v>MU-8</v>
          </cell>
          <cell r="E300" t="str">
            <v>Museum</v>
          </cell>
        </row>
        <row r="301">
          <cell r="B301" t="str">
            <v>MU-8</v>
          </cell>
          <cell r="E301" t="str">
            <v>Performance Center</v>
          </cell>
        </row>
        <row r="302">
          <cell r="B302" t="str">
            <v>MU-8</v>
          </cell>
          <cell r="E302" t="str">
            <v>Maker Space</v>
          </cell>
        </row>
        <row r="303">
          <cell r="B303" t="str">
            <v>MU-8</v>
          </cell>
          <cell r="E303" t="str">
            <v>Creative Space</v>
          </cell>
        </row>
        <row r="307">
          <cell r="B307"/>
          <cell r="E307"/>
        </row>
        <row r="308">
          <cell r="B308"/>
          <cell r="E308"/>
        </row>
        <row r="309">
          <cell r="B309">
            <v>20</v>
          </cell>
          <cell r="E309" t="str">
            <v>ED-1</v>
          </cell>
        </row>
        <row r="310">
          <cell r="B310" t="str">
            <v>ED-1</v>
          </cell>
          <cell r="E310" t="str">
            <v>Rental</v>
          </cell>
        </row>
        <row r="311">
          <cell r="B311" t="str">
            <v>ED-1</v>
          </cell>
          <cell r="E311" t="str">
            <v>Condo</v>
          </cell>
        </row>
        <row r="312">
          <cell r="B312" t="str">
            <v>ED-1</v>
          </cell>
          <cell r="E312" t="str">
            <v xml:space="preserve">Affordable Rental </v>
          </cell>
        </row>
        <row r="313">
          <cell r="B313" t="str">
            <v>ED-1</v>
          </cell>
          <cell r="E313" t="str">
            <v>Affordable Condo</v>
          </cell>
        </row>
        <row r="314">
          <cell r="B314" t="str">
            <v>ED-1</v>
          </cell>
          <cell r="E314" t="str">
            <v>Commercial</v>
          </cell>
        </row>
        <row r="315">
          <cell r="B315" t="str">
            <v>ED-1</v>
          </cell>
          <cell r="E315" t="str">
            <v>Museum</v>
          </cell>
        </row>
        <row r="316">
          <cell r="B316" t="str">
            <v>ED-1</v>
          </cell>
        </row>
        <row r="317">
          <cell r="B317" t="str">
            <v>ED-1</v>
          </cell>
          <cell r="E317" t="str">
            <v>Maker Space</v>
          </cell>
        </row>
        <row r="318">
          <cell r="B318" t="str">
            <v>ED-1</v>
          </cell>
          <cell r="E318" t="str">
            <v>Creative Space</v>
          </cell>
        </row>
      </sheetData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miamiherald.com/news/business/real-estate-news/article182660061.html" TargetMode="External"/><Relationship Id="rId1" Type="http://schemas.openxmlformats.org/officeDocument/2006/relationships/hyperlink" Target="https://www.miamihabitat.org/need.html?gclid=Cj0KCQiAsbrxBRDpARIsAAnnz_PnOcJvLCA3VO1TuSQu3eGryjxoUHIAbpYdHzbBSamzyueG3fOghU4aAioSEALw_wcB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ortation.gov/BUILDgrants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Q144"/>
  <sheetViews>
    <sheetView showGridLines="0" topLeftCell="I75" zoomScaleNormal="100" workbookViewId="0">
      <selection activeCell="J102" sqref="J102"/>
    </sheetView>
  </sheetViews>
  <sheetFormatPr defaultRowHeight="15" x14ac:dyDescent="0.25"/>
  <cols>
    <col min="2" max="2" width="38.28515625" customWidth="1"/>
    <col min="3" max="3" width="10.7109375" customWidth="1"/>
    <col min="4" max="14" width="17.5703125" customWidth="1"/>
    <col min="17" max="17" width="12.5703125" bestFit="1" customWidth="1"/>
  </cols>
  <sheetData>
    <row r="1" spans="1:15" x14ac:dyDescent="0.2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8.75" x14ac:dyDescent="0.3">
      <c r="A2" s="33"/>
      <c r="B2" s="8" t="s">
        <v>256</v>
      </c>
      <c r="C2" s="8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x14ac:dyDescent="0.25">
      <c r="A3" s="33"/>
      <c r="B3" t="s">
        <v>611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x14ac:dyDescent="0.2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15" x14ac:dyDescent="0.25">
      <c r="A5" s="33"/>
      <c r="B5" s="511" t="s">
        <v>607</v>
      </c>
      <c r="C5" s="511"/>
      <c r="D5" s="511"/>
      <c r="E5" s="511"/>
      <c r="F5" s="511"/>
      <c r="G5" s="511"/>
      <c r="H5" s="511"/>
      <c r="I5" s="511"/>
      <c r="J5" s="511"/>
      <c r="K5" s="511"/>
      <c r="L5" s="511"/>
      <c r="M5" s="511"/>
      <c r="N5" s="511"/>
      <c r="O5" s="33"/>
    </row>
    <row r="6" spans="1:15" s="532" customFormat="1" x14ac:dyDescent="0.25">
      <c r="B6" s="761"/>
      <c r="C6" s="761"/>
      <c r="D6" s="761"/>
      <c r="E6" s="761"/>
      <c r="F6" s="761"/>
      <c r="G6" s="761"/>
      <c r="H6" s="761"/>
      <c r="I6" s="761"/>
      <c r="J6" s="761"/>
      <c r="K6" s="761"/>
      <c r="L6" s="761"/>
      <c r="M6" s="761"/>
      <c r="N6" s="761"/>
    </row>
    <row r="7" spans="1:15" ht="15.75" thickBot="1" x14ac:dyDescent="0.3">
      <c r="A7" s="33"/>
      <c r="B7" s="33"/>
      <c r="C7" s="33"/>
      <c r="D7" s="853" t="s">
        <v>49</v>
      </c>
      <c r="E7" s="853"/>
      <c r="F7" s="853"/>
      <c r="G7" s="853"/>
      <c r="H7" s="853"/>
      <c r="I7" s="853"/>
      <c r="J7" s="853"/>
      <c r="K7" s="853"/>
      <c r="L7" s="853"/>
      <c r="M7" s="853"/>
      <c r="N7" s="853"/>
      <c r="O7" s="33"/>
    </row>
    <row r="8" spans="1:15" x14ac:dyDescent="0.25">
      <c r="A8" s="33"/>
      <c r="B8" s="744"/>
      <c r="C8" s="745"/>
      <c r="D8" s="815" t="s">
        <v>105</v>
      </c>
      <c r="E8" s="816" t="s">
        <v>28</v>
      </c>
      <c r="F8" s="496" t="s">
        <v>28</v>
      </c>
      <c r="G8" s="497" t="s">
        <v>28</v>
      </c>
      <c r="H8" s="817" t="s">
        <v>47</v>
      </c>
      <c r="I8" s="498" t="s">
        <v>47</v>
      </c>
      <c r="J8" s="498" t="s">
        <v>47</v>
      </c>
      <c r="K8" s="499" t="s">
        <v>47</v>
      </c>
      <c r="L8" s="500" t="s">
        <v>48</v>
      </c>
      <c r="M8" s="500" t="s">
        <v>48</v>
      </c>
      <c r="N8" s="501" t="s">
        <v>48</v>
      </c>
      <c r="O8" s="33"/>
    </row>
    <row r="9" spans="1:15" x14ac:dyDescent="0.25">
      <c r="A9" s="33"/>
      <c r="B9" s="746"/>
      <c r="C9" s="622"/>
      <c r="D9" s="652">
        <v>0</v>
      </c>
      <c r="E9" s="517">
        <f>D9+1</f>
        <v>1</v>
      </c>
      <c r="F9" s="223">
        <f t="shared" ref="F9:N10" si="0">E9+1</f>
        <v>2</v>
      </c>
      <c r="G9" s="276">
        <f t="shared" si="0"/>
        <v>3</v>
      </c>
      <c r="H9" s="517">
        <f t="shared" si="0"/>
        <v>4</v>
      </c>
      <c r="I9" s="223">
        <f t="shared" si="0"/>
        <v>5</v>
      </c>
      <c r="J9" s="223">
        <f t="shared" si="0"/>
        <v>6</v>
      </c>
      <c r="K9" s="276">
        <f t="shared" si="0"/>
        <v>7</v>
      </c>
      <c r="L9" s="223">
        <f t="shared" si="0"/>
        <v>8</v>
      </c>
      <c r="M9" s="223">
        <f t="shared" si="0"/>
        <v>9</v>
      </c>
      <c r="N9" s="224">
        <f t="shared" si="0"/>
        <v>10</v>
      </c>
      <c r="O9" s="33"/>
    </row>
    <row r="10" spans="1:15" x14ac:dyDescent="0.25">
      <c r="A10" s="33"/>
      <c r="B10" s="746"/>
      <c r="C10" s="622"/>
      <c r="D10" s="653" t="s">
        <v>177</v>
      </c>
      <c r="E10" s="641">
        <v>2022</v>
      </c>
      <c r="F10" s="556">
        <f t="shared" si="0"/>
        <v>2023</v>
      </c>
      <c r="G10" s="557">
        <f t="shared" si="0"/>
        <v>2024</v>
      </c>
      <c r="H10" s="641">
        <f t="shared" si="0"/>
        <v>2025</v>
      </c>
      <c r="I10" s="556">
        <f t="shared" si="0"/>
        <v>2026</v>
      </c>
      <c r="J10" s="556">
        <f t="shared" si="0"/>
        <v>2027</v>
      </c>
      <c r="K10" s="557">
        <f t="shared" si="0"/>
        <v>2028</v>
      </c>
      <c r="L10" s="556">
        <f t="shared" si="0"/>
        <v>2029</v>
      </c>
      <c r="M10" s="556">
        <f t="shared" si="0"/>
        <v>2030</v>
      </c>
      <c r="N10" s="747">
        <f t="shared" si="0"/>
        <v>2031</v>
      </c>
      <c r="O10" s="33"/>
    </row>
    <row r="11" spans="1:15" x14ac:dyDescent="0.25">
      <c r="A11" s="33"/>
      <c r="B11" s="748" t="s">
        <v>258</v>
      </c>
      <c r="C11" s="13"/>
      <c r="D11" s="654"/>
      <c r="E11" s="642"/>
      <c r="F11" s="558"/>
      <c r="G11" s="559"/>
      <c r="H11" s="642"/>
      <c r="I11" s="558"/>
      <c r="J11" s="558"/>
      <c r="K11" s="559"/>
      <c r="L11" s="558"/>
      <c r="M11" s="558"/>
      <c r="N11" s="749"/>
      <c r="O11" s="33"/>
    </row>
    <row r="12" spans="1:15" x14ac:dyDescent="0.25">
      <c r="A12" s="33"/>
      <c r="B12" s="505" t="s">
        <v>259</v>
      </c>
      <c r="C12" s="504"/>
      <c r="D12" s="655">
        <f>'Multifamily DCF'!F$120</f>
        <v>0</v>
      </c>
      <c r="E12" s="643">
        <f ca="1">'Multifamily DCF'!G$120</f>
        <v>0</v>
      </c>
      <c r="F12" s="560">
        <f ca="1">'Multifamily DCF'!H$120</f>
        <v>1870891.1230119893</v>
      </c>
      <c r="G12" s="561">
        <f ca="1">'Multifamily DCF'!I$120</f>
        <v>4528574.7038735356</v>
      </c>
      <c r="H12" s="643">
        <f ca="1">'Multifamily DCF'!J$120</f>
        <v>6367788.9764186023</v>
      </c>
      <c r="I12" s="560">
        <f ca="1">'Multifamily DCF'!K$120</f>
        <v>8371491.8289282117</v>
      </c>
      <c r="J12" s="560">
        <f ca="1">'Multifamily DCF'!L$120</f>
        <v>10518220.234289242</v>
      </c>
      <c r="K12" s="561">
        <f ca="1">'Multifamily DCF'!M$120</f>
        <v>11979745.113732431</v>
      </c>
      <c r="L12" s="560">
        <f ca="1">'Multifamily DCF'!N$120</f>
        <v>12880704.876935618</v>
      </c>
      <c r="M12" s="560">
        <f ca="1">'Multifamily DCF'!O$120</f>
        <v>13155168.62116746</v>
      </c>
      <c r="N12" s="506">
        <f ca="1">'Multifamily DCF'!P$120</f>
        <v>13418687.744017566</v>
      </c>
      <c r="O12" s="33"/>
    </row>
    <row r="13" spans="1:15" x14ac:dyDescent="0.25">
      <c r="A13" s="33"/>
      <c r="B13" s="505" t="s">
        <v>261</v>
      </c>
      <c r="C13" s="504"/>
      <c r="D13" s="655">
        <f>'Office DCF'!F$66</f>
        <v>0</v>
      </c>
      <c r="E13" s="643">
        <f ca="1">'Office DCF'!G$66</f>
        <v>0</v>
      </c>
      <c r="F13" s="560">
        <f ca="1">'Office DCF'!H$66</f>
        <v>0</v>
      </c>
      <c r="G13" s="561">
        <f ca="1">'Office DCF'!I$66</f>
        <v>0</v>
      </c>
      <c r="H13" s="643">
        <f ca="1">'Office DCF'!J$66</f>
        <v>0</v>
      </c>
      <c r="I13" s="560">
        <f ca="1">'Office DCF'!K$66</f>
        <v>2567252.6977818608</v>
      </c>
      <c r="J13" s="560">
        <f ca="1">'Office DCF'!L$66</f>
        <v>4073487.775294777</v>
      </c>
      <c r="K13" s="561">
        <f ca="1">'Office DCF'!M$66</f>
        <v>5180815.7741623884</v>
      </c>
      <c r="L13" s="560">
        <f ca="1">'Office DCF'!N$66</f>
        <v>5333392.3656777646</v>
      </c>
      <c r="M13" s="560">
        <f ca="1">'Office DCF'!O$66</f>
        <v>6860843.3194009895</v>
      </c>
      <c r="N13" s="506">
        <f ca="1">'Office DCF'!P$66</f>
        <v>7301456.0961432792</v>
      </c>
      <c r="O13" s="33"/>
    </row>
    <row r="14" spans="1:15" x14ac:dyDescent="0.25">
      <c r="A14" s="33"/>
      <c r="B14" s="505" t="s">
        <v>262</v>
      </c>
      <c r="C14" s="504"/>
      <c r="D14" s="655">
        <f>'Retail DCF'!F$98</f>
        <v>0</v>
      </c>
      <c r="E14" s="643">
        <f ca="1">'Retail DCF'!G$98</f>
        <v>0</v>
      </c>
      <c r="F14" s="560">
        <f ca="1">'Retail DCF'!H$98</f>
        <v>0</v>
      </c>
      <c r="G14" s="561">
        <f ca="1">'Retail DCF'!I$98</f>
        <v>10418005.021571405</v>
      </c>
      <c r="H14" s="643">
        <f ca="1">'Retail DCF'!J$98</f>
        <v>21222964.515372604</v>
      </c>
      <c r="I14" s="560">
        <f ca="1">'Retail DCF'!K$98</f>
        <v>33309104.465986803</v>
      </c>
      <c r="J14" s="560">
        <f ca="1">'Retail DCF'!L$98</f>
        <v>46217489.644501388</v>
      </c>
      <c r="K14" s="561">
        <f ca="1">'Retail DCF'!M$98</f>
        <v>59747923.742363721</v>
      </c>
      <c r="L14" s="560">
        <f ca="1">'Retail DCF'!N$98</f>
        <v>73927047.505025491</v>
      </c>
      <c r="M14" s="560">
        <f ca="1">'Retail DCF'!O$98</f>
        <v>89387658.704283237</v>
      </c>
      <c r="N14" s="506">
        <f ca="1">'Retail DCF'!P$98</f>
        <v>105569122.07583511</v>
      </c>
      <c r="O14" s="33"/>
    </row>
    <row r="15" spans="1:15" x14ac:dyDescent="0.25">
      <c r="A15" s="33"/>
      <c r="B15" s="505" t="s">
        <v>263</v>
      </c>
      <c r="C15" s="504"/>
      <c r="D15" s="655">
        <f>'Hotel DCF'!F$59</f>
        <v>0</v>
      </c>
      <c r="E15" s="643">
        <f ca="1">'Hotel DCF'!G$59</f>
        <v>0</v>
      </c>
      <c r="F15" s="560">
        <f ca="1">'Hotel DCF'!H$59</f>
        <v>0</v>
      </c>
      <c r="G15" s="561">
        <f ca="1">'Hotel DCF'!I$59</f>
        <v>0</v>
      </c>
      <c r="H15" s="643">
        <f ca="1">'Hotel DCF'!J$59</f>
        <v>0</v>
      </c>
      <c r="I15" s="560">
        <f ca="1">'Hotel DCF'!K$59</f>
        <v>0</v>
      </c>
      <c r="J15" s="560">
        <f ca="1">'Hotel DCF'!L$59</f>
        <v>85279.950559882025</v>
      </c>
      <c r="K15" s="561">
        <f ca="1">'Hotel DCF'!M$59</f>
        <v>111148.2022297129</v>
      </c>
      <c r="L15" s="560">
        <f ca="1">'Hotel DCF'!N$59</f>
        <v>128838.10664085118</v>
      </c>
      <c r="M15" s="560">
        <f ca="1">'Hotel DCF'!O$59</f>
        <v>131851.27470733327</v>
      </c>
      <c r="N15" s="506">
        <f ca="1">'Hotel DCF'!P$59</f>
        <v>134499.59823146334</v>
      </c>
      <c r="O15" s="33"/>
    </row>
    <row r="16" spans="1:15" x14ac:dyDescent="0.25">
      <c r="A16" s="33"/>
      <c r="B16" s="750" t="s">
        <v>264</v>
      </c>
      <c r="C16" s="588"/>
      <c r="D16" s="656">
        <f>'Parking DCF'!F$84</f>
        <v>0</v>
      </c>
      <c r="E16" s="644">
        <f ca="1">'Parking DCF'!G$84</f>
        <v>6986.2977318787853</v>
      </c>
      <c r="F16" s="563">
        <f ca="1">'Parking DCF'!H$84</f>
        <v>41629.222570453334</v>
      </c>
      <c r="G16" s="564">
        <f ca="1">'Parking DCF'!I$84</f>
        <v>107892.13731697794</v>
      </c>
      <c r="H16" s="644">
        <f ca="1">'Parking DCF'!J$84</f>
        <v>130571.92558861441</v>
      </c>
      <c r="I16" s="563">
        <f ca="1">'Parking DCF'!K$84</f>
        <v>235825.21394952794</v>
      </c>
      <c r="J16" s="563">
        <f ca="1">'Parking DCF'!L$84</f>
        <v>294749.52249486308</v>
      </c>
      <c r="K16" s="564">
        <f ca="1">'Parking DCF'!M$84</f>
        <v>323387.82112757489</v>
      </c>
      <c r="L16" s="563">
        <f ca="1">'Parking DCF'!N$84</f>
        <v>378887.25079332059</v>
      </c>
      <c r="M16" s="563">
        <f ca="1">'Parking DCF'!O$84</f>
        <v>538658.97699054121</v>
      </c>
      <c r="N16" s="751">
        <f ca="1">'Parking DCF'!P$84</f>
        <v>569370.37970541802</v>
      </c>
      <c r="O16" s="33"/>
    </row>
    <row r="17" spans="1:15" x14ac:dyDescent="0.25">
      <c r="A17" s="33"/>
      <c r="B17" s="752" t="s">
        <v>257</v>
      </c>
      <c r="C17" s="113"/>
      <c r="D17" s="655">
        <f t="shared" ref="D17:N17" si="1">SUM(D12:D16)</f>
        <v>0</v>
      </c>
      <c r="E17" s="643">
        <f t="shared" ca="1" si="1"/>
        <v>6986.2977318787853</v>
      </c>
      <c r="F17" s="560">
        <f t="shared" ca="1" si="1"/>
        <v>1912520.3455824426</v>
      </c>
      <c r="G17" s="561">
        <f t="shared" ca="1" si="1"/>
        <v>15054471.862761918</v>
      </c>
      <c r="H17" s="643">
        <f t="shared" ca="1" si="1"/>
        <v>27721325.417379823</v>
      </c>
      <c r="I17" s="560">
        <f t="shared" ca="1" si="1"/>
        <v>44483674.206646405</v>
      </c>
      <c r="J17" s="560">
        <f t="shared" ca="1" si="1"/>
        <v>61189227.127140149</v>
      </c>
      <c r="K17" s="561">
        <f t="shared" ca="1" si="1"/>
        <v>77343020.653615832</v>
      </c>
      <c r="L17" s="560">
        <f t="shared" ca="1" si="1"/>
        <v>92648870.10507305</v>
      </c>
      <c r="M17" s="560">
        <f t="shared" ca="1" si="1"/>
        <v>110074180.89654955</v>
      </c>
      <c r="N17" s="506">
        <f t="shared" ca="1" si="1"/>
        <v>126993135.89393283</v>
      </c>
      <c r="O17" s="33"/>
    </row>
    <row r="18" spans="1:15" x14ac:dyDescent="0.25">
      <c r="A18" s="33"/>
      <c r="B18" s="505"/>
      <c r="C18" s="504"/>
      <c r="D18" s="657"/>
      <c r="E18" s="416"/>
      <c r="F18" s="504"/>
      <c r="G18" s="565"/>
      <c r="H18" s="416"/>
      <c r="I18" s="504"/>
      <c r="J18" s="504"/>
      <c r="K18" s="565"/>
      <c r="L18" s="504"/>
      <c r="M18" s="504"/>
      <c r="N18" s="753"/>
      <c r="O18" s="33"/>
    </row>
    <row r="19" spans="1:15" x14ac:dyDescent="0.25">
      <c r="A19" s="33"/>
      <c r="B19" s="752" t="s">
        <v>268</v>
      </c>
      <c r="C19" s="113"/>
      <c r="D19" s="657"/>
      <c r="E19" s="416"/>
      <c r="F19" s="504"/>
      <c r="G19" s="565"/>
      <c r="H19" s="416"/>
      <c r="I19" s="504"/>
      <c r="J19" s="504"/>
      <c r="K19" s="565"/>
      <c r="L19" s="504"/>
      <c r="M19" s="504"/>
      <c r="N19" s="753"/>
      <c r="O19" s="33"/>
    </row>
    <row r="20" spans="1:15" x14ac:dyDescent="0.25">
      <c r="A20" s="33"/>
      <c r="B20" s="505" t="s">
        <v>259</v>
      </c>
      <c r="C20" s="633">
        <f>'Multifamily DCF'!G17</f>
        <v>5.5E-2</v>
      </c>
      <c r="D20" s="655">
        <f>SUM('Multifamily DCF'!F122:F123)</f>
        <v>0</v>
      </c>
      <c r="E20" s="643">
        <f>SUM('Multifamily DCF'!G122:G123)</f>
        <v>0</v>
      </c>
      <c r="F20" s="560">
        <f>SUM('Multifamily DCF'!H122:H123)</f>
        <v>0</v>
      </c>
      <c r="G20" s="561">
        <f>SUM('Multifamily DCF'!I122:I123)</f>
        <v>0</v>
      </c>
      <c r="H20" s="643">
        <f>SUM('Multifamily DCF'!J122:J123)</f>
        <v>0</v>
      </c>
      <c r="I20" s="560">
        <f>SUM('Multifamily DCF'!K122:K123)</f>
        <v>0</v>
      </c>
      <c r="J20" s="560">
        <f>SUM('Multifamily DCF'!L122:L123)</f>
        <v>0</v>
      </c>
      <c r="K20" s="561">
        <f>SUM('Multifamily DCF'!M122:M123)</f>
        <v>0</v>
      </c>
      <c r="L20" s="560">
        <f>SUM('Multifamily DCF'!N122:N123)</f>
        <v>0</v>
      </c>
      <c r="M20" s="560">
        <f>SUM('Multifamily DCF'!O122:O123)</f>
        <v>0</v>
      </c>
      <c r="N20" s="506">
        <f ca="1">SUM('Multifamily DCF'!P122:P123)</f>
        <v>234401186.34080201</v>
      </c>
      <c r="O20" s="33"/>
    </row>
    <row r="21" spans="1:15" x14ac:dyDescent="0.25">
      <c r="A21" s="33"/>
      <c r="B21" s="505" t="s">
        <v>260</v>
      </c>
      <c r="C21" s="504"/>
      <c r="D21" s="655">
        <f>SUM('Condominium DCF'!F110:F111)</f>
        <v>0</v>
      </c>
      <c r="E21" s="643">
        <f ca="1">SUM('Condominium DCF'!G110:G111)</f>
        <v>0</v>
      </c>
      <c r="F21" s="560">
        <f ca="1">SUM('Condominium DCF'!H110:H111)</f>
        <v>30469531.738098241</v>
      </c>
      <c r="G21" s="561">
        <f ca="1">SUM('Condominium DCF'!I110:I111)</f>
        <v>0</v>
      </c>
      <c r="H21" s="643">
        <f ca="1">SUM('Condominium DCF'!J110:J111)</f>
        <v>0</v>
      </c>
      <c r="I21" s="560">
        <f ca="1">SUM('Condominium DCF'!K110:K111)</f>
        <v>49805771.087031022</v>
      </c>
      <c r="J21" s="560">
        <f ca="1">SUM('Condominium DCF'!L110:L111)</f>
        <v>0</v>
      </c>
      <c r="K21" s="561">
        <f ca="1">SUM('Condominium DCF'!M110:M111)</f>
        <v>0</v>
      </c>
      <c r="L21" s="560">
        <f ca="1">SUM('Condominium DCF'!N110:N111)</f>
        <v>0</v>
      </c>
      <c r="M21" s="560">
        <f ca="1">SUM('Condominium DCF'!O110:O111)</f>
        <v>76832814.561317682</v>
      </c>
      <c r="N21" s="506">
        <f ca="1">SUM('Condominium DCF'!P110:P111)</f>
        <v>0</v>
      </c>
      <c r="O21" s="33"/>
    </row>
    <row r="22" spans="1:15" x14ac:dyDescent="0.25">
      <c r="A22" s="33"/>
      <c r="B22" s="505" t="s">
        <v>261</v>
      </c>
      <c r="C22" s="633">
        <f>'Office DCF'!G22</f>
        <v>7.0000000000000007E-2</v>
      </c>
      <c r="D22" s="655">
        <f>'Office DCF'!F$68+'Office DCF'!F$69</f>
        <v>0</v>
      </c>
      <c r="E22" s="643">
        <f>'Office DCF'!G$68+'Office DCF'!G$69</f>
        <v>0</v>
      </c>
      <c r="F22" s="560">
        <f>'Office DCF'!H$68+'Office DCF'!H$69</f>
        <v>0</v>
      </c>
      <c r="G22" s="561">
        <f>'Office DCF'!I$68+'Office DCF'!I$69</f>
        <v>0</v>
      </c>
      <c r="H22" s="643">
        <f>'Office DCF'!J$68+'Office DCF'!J$69</f>
        <v>0</v>
      </c>
      <c r="I22" s="560">
        <f>'Office DCF'!K$68+'Office DCF'!K$69</f>
        <v>0</v>
      </c>
      <c r="J22" s="560">
        <f>'Office DCF'!L$68+'Office DCF'!L$69</f>
        <v>0</v>
      </c>
      <c r="K22" s="561">
        <f>'Office DCF'!M$68+'Office DCF'!M$69</f>
        <v>0</v>
      </c>
      <c r="L22" s="560">
        <f>'Office DCF'!N$68+'Office DCF'!N$69</f>
        <v>0</v>
      </c>
      <c r="M22" s="560">
        <f>'Office DCF'!O$68+'Office DCF'!O$69</f>
        <v>0</v>
      </c>
      <c r="N22" s="506">
        <f ca="1">'Office DCF'!P$68+'Office DCF'!P$69</f>
        <v>96051806.471613839</v>
      </c>
      <c r="O22" s="33"/>
    </row>
    <row r="23" spans="1:15" x14ac:dyDescent="0.25">
      <c r="A23" s="33"/>
      <c r="B23" s="505" t="s">
        <v>262</v>
      </c>
      <c r="C23" s="633">
        <f>'Retail DCF'!G19</f>
        <v>6.5000000000000002E-2</v>
      </c>
      <c r="D23" s="655">
        <f>'Retail DCF'!F$100+'Retail DCF'!F$101</f>
        <v>0</v>
      </c>
      <c r="E23" s="643">
        <f>'Retail DCF'!G$100+'Retail DCF'!G$101</f>
        <v>0</v>
      </c>
      <c r="F23" s="560">
        <f>'Retail DCF'!H$100+'Retail DCF'!H$101</f>
        <v>0</v>
      </c>
      <c r="G23" s="561">
        <f>'Retail DCF'!I$100+'Retail DCF'!I$101</f>
        <v>0</v>
      </c>
      <c r="H23" s="643">
        <f>'Retail DCF'!J$100+'Retail DCF'!J$101</f>
        <v>0</v>
      </c>
      <c r="I23" s="560">
        <f>'Retail DCF'!K$100+'Retail DCF'!K$101</f>
        <v>0</v>
      </c>
      <c r="J23" s="560">
        <f>'Retail DCF'!L$100+'Retail DCF'!L$101</f>
        <v>0</v>
      </c>
      <c r="K23" s="561">
        <f>'Retail DCF'!M$100+'Retail DCF'!M$101</f>
        <v>0</v>
      </c>
      <c r="L23" s="560">
        <f>'Retail DCF'!N$100+'Retail DCF'!N$101</f>
        <v>0</v>
      </c>
      <c r="M23" s="560">
        <f>'Retail DCF'!O$100+'Retail DCF'!O$101</f>
        <v>0</v>
      </c>
      <c r="N23" s="506">
        <f ca="1">'Retail DCF'!P$100+'Retail DCF'!P$101</f>
        <v>1347690854.3107319</v>
      </c>
      <c r="O23" s="33"/>
    </row>
    <row r="24" spans="1:15" x14ac:dyDescent="0.25">
      <c r="A24" s="33"/>
      <c r="B24" s="505" t="s">
        <v>263</v>
      </c>
      <c r="C24" s="633">
        <f>'Hotel DCF'!J13</f>
        <v>7.4999999999999997E-2</v>
      </c>
      <c r="D24" s="655">
        <f>'Hotel DCF'!F$61+'Hotel DCF'!F$62</f>
        <v>0</v>
      </c>
      <c r="E24" s="643">
        <f>'Hotel DCF'!G$61+'Hotel DCF'!G$62</f>
        <v>0</v>
      </c>
      <c r="F24" s="560">
        <f>'Hotel DCF'!H$61+'Hotel DCF'!H$62</f>
        <v>0</v>
      </c>
      <c r="G24" s="561">
        <f>'Hotel DCF'!I$61+'Hotel DCF'!I$62</f>
        <v>0</v>
      </c>
      <c r="H24" s="643">
        <f>'Hotel DCF'!J$61+'Hotel DCF'!J$62</f>
        <v>0</v>
      </c>
      <c r="I24" s="560">
        <f>'Hotel DCF'!K$61+'Hotel DCF'!K$62</f>
        <v>0</v>
      </c>
      <c r="J24" s="560">
        <f>'Hotel DCF'!L$61+'Hotel DCF'!L$62</f>
        <v>0</v>
      </c>
      <c r="K24" s="561">
        <f>'Hotel DCF'!M$61+'Hotel DCF'!M$62</f>
        <v>0</v>
      </c>
      <c r="L24" s="560">
        <f>'Hotel DCF'!N$61+'Hotel DCF'!N$62</f>
        <v>0</v>
      </c>
      <c r="M24" s="560">
        <f>'Hotel DCF'!O$61+'Hotel DCF'!O$62</f>
        <v>0</v>
      </c>
      <c r="N24" s="506">
        <f ca="1">'Hotel DCF'!P$61+'Hotel DCF'!P$62</f>
        <v>1722856.6561758216</v>
      </c>
      <c r="O24" s="33"/>
    </row>
    <row r="25" spans="1:15" x14ac:dyDescent="0.25">
      <c r="A25" s="33"/>
      <c r="B25" s="505" t="s">
        <v>615</v>
      </c>
      <c r="C25" s="617">
        <f>'University DCF'!G11</f>
        <v>7.0000000000000007E-2</v>
      </c>
      <c r="D25" s="655">
        <f>'University DCF'!F36+'University DCF'!F37+'University DCF'!F38</f>
        <v>0</v>
      </c>
      <c r="E25" s="643">
        <f>'University DCF'!G36+'University DCF'!G37+'University DCF'!G38</f>
        <v>0</v>
      </c>
      <c r="F25" s="560">
        <f>'University DCF'!H36+'University DCF'!H37+'University DCF'!H38</f>
        <v>0</v>
      </c>
      <c r="G25" s="561">
        <f ca="1">'University DCF'!I36+'University DCF'!I37+'University DCF'!I38</f>
        <v>12437687.005088041</v>
      </c>
      <c r="H25" s="643">
        <f>'University DCF'!J36+'University DCF'!J37+'University DCF'!J38</f>
        <v>0</v>
      </c>
      <c r="I25" s="560">
        <f>'University DCF'!K36+'University DCF'!K37+'University DCF'!K38</f>
        <v>0</v>
      </c>
      <c r="J25" s="560">
        <f>'University DCF'!L36+'University DCF'!L37+'University DCF'!L38</f>
        <v>0</v>
      </c>
      <c r="K25" s="561">
        <f>'University DCF'!M36+'University DCF'!M37+'University DCF'!M38</f>
        <v>0</v>
      </c>
      <c r="L25" s="560">
        <f>'University DCF'!N36+'University DCF'!N37+'University DCF'!N38</f>
        <v>0</v>
      </c>
      <c r="M25" s="560">
        <f>'University DCF'!O36+'University DCF'!O37+'University DCF'!O38</f>
        <v>0</v>
      </c>
      <c r="N25" s="506">
        <f>'University DCF'!P36+'University DCF'!P37+'University DCF'!P38</f>
        <v>0</v>
      </c>
      <c r="O25" s="33"/>
    </row>
    <row r="26" spans="1:15" x14ac:dyDescent="0.25">
      <c r="A26" s="33"/>
      <c r="B26" s="505" t="s">
        <v>616</v>
      </c>
      <c r="C26" s="633">
        <f>'Arts DCF'!G16</f>
        <v>7.0000000000000007E-2</v>
      </c>
      <c r="D26" s="655">
        <f>'Arts DCF'!F62</f>
        <v>0</v>
      </c>
      <c r="E26" s="643">
        <f>'Arts DCF'!G62</f>
        <v>0</v>
      </c>
      <c r="F26" s="560">
        <f>'Arts DCF'!H62</f>
        <v>0</v>
      </c>
      <c r="G26" s="561">
        <f>'Arts DCF'!I62</f>
        <v>0</v>
      </c>
      <c r="H26" s="643">
        <f>'Arts DCF'!J62</f>
        <v>0</v>
      </c>
      <c r="I26" s="560">
        <f>'Arts DCF'!K62</f>
        <v>0</v>
      </c>
      <c r="J26" s="560">
        <f>'Arts DCF'!L62</f>
        <v>0</v>
      </c>
      <c r="K26" s="561">
        <f>'Arts DCF'!M62</f>
        <v>0</v>
      </c>
      <c r="L26" s="560">
        <f>'Arts DCF'!N62</f>
        <v>0</v>
      </c>
      <c r="M26" s="560">
        <f ca="1">'Arts DCF'!O62</f>
        <v>15374440.584635423</v>
      </c>
      <c r="N26" s="506">
        <f ca="1">'Arts DCF'!P62</f>
        <v>30429340.241159268</v>
      </c>
      <c r="O26" s="33"/>
    </row>
    <row r="27" spans="1:15" x14ac:dyDescent="0.25">
      <c r="A27" s="33"/>
      <c r="B27" s="750" t="s">
        <v>264</v>
      </c>
      <c r="C27" s="634">
        <f>'Parking DCF'!G19</f>
        <v>0.08</v>
      </c>
      <c r="D27" s="656">
        <f>'Parking DCF'!F$86+'Parking DCF'!F$87</f>
        <v>0</v>
      </c>
      <c r="E27" s="644">
        <f>'Parking DCF'!G$86+'Parking DCF'!G$87</f>
        <v>0</v>
      </c>
      <c r="F27" s="563">
        <f>'Parking DCF'!H$86+'Parking DCF'!H$87</f>
        <v>0</v>
      </c>
      <c r="G27" s="564">
        <f>'Parking DCF'!I$86+'Parking DCF'!I$87</f>
        <v>0</v>
      </c>
      <c r="H27" s="644">
        <f>'Parking DCF'!J$86+'Parking DCF'!J$87</f>
        <v>0</v>
      </c>
      <c r="I27" s="563">
        <f>'Parking DCF'!K$86+'Parking DCF'!K$87</f>
        <v>0</v>
      </c>
      <c r="J27" s="563">
        <f>'Parking DCF'!L$86+'Parking DCF'!L$87</f>
        <v>0</v>
      </c>
      <c r="K27" s="564">
        <f>'Parking DCF'!M$86+'Parking DCF'!M$87</f>
        <v>0</v>
      </c>
      <c r="L27" s="563">
        <f>'Parking DCF'!N$86+'Parking DCF'!N$87</f>
        <v>0</v>
      </c>
      <c r="M27" s="563">
        <f>'Parking DCF'!O$86+'Parking DCF'!O$87</f>
        <v>0</v>
      </c>
      <c r="N27" s="751">
        <f ca="1">'Parking DCF'!P$86+'Parking DCF'!P$87</f>
        <v>6598572.4681341304</v>
      </c>
      <c r="O27" s="33"/>
    </row>
    <row r="28" spans="1:15" x14ac:dyDescent="0.25">
      <c r="A28" s="33"/>
      <c r="B28" s="752" t="s">
        <v>265</v>
      </c>
      <c r="C28" s="113"/>
      <c r="D28" s="655">
        <f t="shared" ref="D28:N28" si="2">SUM(D20:D27)</f>
        <v>0</v>
      </c>
      <c r="E28" s="643">
        <f t="shared" ca="1" si="2"/>
        <v>0</v>
      </c>
      <c r="F28" s="560">
        <f t="shared" ca="1" si="2"/>
        <v>30469531.738098241</v>
      </c>
      <c r="G28" s="561">
        <f t="shared" ca="1" si="2"/>
        <v>12437687.005088041</v>
      </c>
      <c r="H28" s="643">
        <f t="shared" ca="1" si="2"/>
        <v>0</v>
      </c>
      <c r="I28" s="560">
        <f t="shared" ca="1" si="2"/>
        <v>49805771.087031022</v>
      </c>
      <c r="J28" s="560">
        <f t="shared" ca="1" si="2"/>
        <v>0</v>
      </c>
      <c r="K28" s="561">
        <f t="shared" ca="1" si="2"/>
        <v>0</v>
      </c>
      <c r="L28" s="560">
        <f t="shared" ca="1" si="2"/>
        <v>0</v>
      </c>
      <c r="M28" s="560">
        <f t="shared" ca="1" si="2"/>
        <v>92207255.145953104</v>
      </c>
      <c r="N28" s="506">
        <f t="shared" ca="1" si="2"/>
        <v>1716894616.4886169</v>
      </c>
      <c r="O28" s="33"/>
    </row>
    <row r="29" spans="1:15" x14ac:dyDescent="0.25">
      <c r="A29" s="33"/>
      <c r="B29" s="505"/>
      <c r="C29" s="504"/>
      <c r="D29" s="655"/>
      <c r="E29" s="643"/>
      <c r="F29" s="560"/>
      <c r="G29" s="561"/>
      <c r="H29" s="643"/>
      <c r="I29" s="560"/>
      <c r="J29" s="560"/>
      <c r="K29" s="561"/>
      <c r="L29" s="560"/>
      <c r="M29" s="560"/>
      <c r="N29" s="506"/>
      <c r="O29" s="33"/>
    </row>
    <row r="30" spans="1:15" x14ac:dyDescent="0.25">
      <c r="A30" s="33"/>
      <c r="B30" s="754"/>
      <c r="C30" s="567"/>
      <c r="D30" s="658"/>
      <c r="E30" s="566"/>
      <c r="F30" s="567"/>
      <c r="G30" s="568"/>
      <c r="H30" s="566"/>
      <c r="I30" s="567"/>
      <c r="J30" s="567"/>
      <c r="K30" s="568"/>
      <c r="L30" s="567"/>
      <c r="M30" s="567"/>
      <c r="N30" s="755"/>
      <c r="O30" s="33"/>
    </row>
    <row r="31" spans="1:15" x14ac:dyDescent="0.25">
      <c r="A31" s="33"/>
      <c r="B31" s="748" t="s">
        <v>457</v>
      </c>
      <c r="C31" s="13"/>
      <c r="D31" s="659"/>
      <c r="E31" s="385"/>
      <c r="F31" s="11"/>
      <c r="G31" s="569"/>
      <c r="H31" s="385"/>
      <c r="I31" s="11"/>
      <c r="J31" s="11"/>
      <c r="K31" s="569"/>
      <c r="L31" s="11"/>
      <c r="M31" s="11"/>
      <c r="N31" s="756"/>
      <c r="O31" s="33"/>
    </row>
    <row r="32" spans="1:15" x14ac:dyDescent="0.25">
      <c r="A32" s="33"/>
      <c r="B32" s="503" t="s">
        <v>458</v>
      </c>
      <c r="C32" s="11"/>
      <c r="D32" s="660">
        <f>-Costs!G22</f>
        <v>-90223269</v>
      </c>
      <c r="E32" s="385"/>
      <c r="F32" s="11"/>
      <c r="G32" s="569"/>
      <c r="H32" s="385"/>
      <c r="I32" s="11"/>
      <c r="J32" s="11"/>
      <c r="K32" s="569"/>
      <c r="L32" s="11"/>
      <c r="M32" s="11"/>
      <c r="N32" s="756"/>
      <c r="O32" s="33"/>
    </row>
    <row r="33" spans="1:15" x14ac:dyDescent="0.25">
      <c r="A33" s="33"/>
      <c r="B33" s="503" t="s">
        <v>459</v>
      </c>
      <c r="C33" s="11"/>
      <c r="D33" s="660">
        <f>-Costs!G23</f>
        <v>-5532663</v>
      </c>
      <c r="E33" s="385"/>
      <c r="F33" s="11"/>
      <c r="G33" s="569"/>
      <c r="H33" s="385"/>
      <c r="I33" s="11"/>
      <c r="J33" s="11"/>
      <c r="K33" s="569"/>
      <c r="L33" s="11"/>
      <c r="M33" s="11"/>
      <c r="N33" s="756"/>
      <c r="O33" s="33"/>
    </row>
    <row r="34" spans="1:15" x14ac:dyDescent="0.25">
      <c r="A34" s="33"/>
      <c r="B34" s="757" t="s">
        <v>464</v>
      </c>
      <c r="C34" s="10"/>
      <c r="D34" s="661">
        <f>-Costs!G25</f>
        <v>-3830237.2800000003</v>
      </c>
      <c r="E34" s="570"/>
      <c r="F34" s="10"/>
      <c r="G34" s="571"/>
      <c r="H34" s="570"/>
      <c r="I34" s="10"/>
      <c r="J34" s="10"/>
      <c r="K34" s="571"/>
      <c r="L34" s="10"/>
      <c r="M34" s="10"/>
      <c r="N34" s="758"/>
      <c r="O34" s="33"/>
    </row>
    <row r="35" spans="1:15" x14ac:dyDescent="0.25">
      <c r="A35" s="33"/>
      <c r="B35" s="748" t="s">
        <v>465</v>
      </c>
      <c r="C35" s="13"/>
      <c r="D35" s="660">
        <f>SUM(D32:D34)</f>
        <v>-99586169.280000001</v>
      </c>
      <c r="E35" s="385"/>
      <c r="F35" s="11"/>
      <c r="G35" s="569"/>
      <c r="H35" s="385"/>
      <c r="I35" s="11"/>
      <c r="J35" s="11"/>
      <c r="K35" s="569"/>
      <c r="L35" s="11"/>
      <c r="M35" s="11"/>
      <c r="N35" s="756"/>
      <c r="O35" s="33"/>
    </row>
    <row r="36" spans="1:15" x14ac:dyDescent="0.25">
      <c r="A36" s="33"/>
      <c r="B36" s="503"/>
      <c r="C36" s="11"/>
      <c r="D36" s="659"/>
      <c r="E36" s="385"/>
      <c r="F36" s="11"/>
      <c r="G36" s="569"/>
      <c r="H36" s="385"/>
      <c r="I36" s="11"/>
      <c r="J36" s="11"/>
      <c r="K36" s="569"/>
      <c r="L36" s="11"/>
      <c r="M36" s="11"/>
      <c r="N36" s="756"/>
      <c r="O36" s="33"/>
    </row>
    <row r="37" spans="1:15" x14ac:dyDescent="0.25">
      <c r="A37" s="33"/>
      <c r="B37" s="754"/>
      <c r="C37" s="567"/>
      <c r="D37" s="658"/>
      <c r="E37" s="566"/>
      <c r="F37" s="567"/>
      <c r="G37" s="568"/>
      <c r="H37" s="566"/>
      <c r="I37" s="567"/>
      <c r="J37" s="567"/>
      <c r="K37" s="568"/>
      <c r="L37" s="567"/>
      <c r="M37" s="567"/>
      <c r="N37" s="755"/>
      <c r="O37" s="33"/>
    </row>
    <row r="38" spans="1:15" x14ac:dyDescent="0.25">
      <c r="A38" s="33"/>
      <c r="B38" s="748" t="s">
        <v>103</v>
      </c>
      <c r="C38" s="13"/>
      <c r="D38" s="657"/>
      <c r="E38" s="416"/>
      <c r="F38" s="504"/>
      <c r="G38" s="565"/>
      <c r="H38" s="416"/>
      <c r="I38" s="504"/>
      <c r="J38" s="504"/>
      <c r="K38" s="565"/>
      <c r="L38" s="504"/>
      <c r="M38" s="504"/>
      <c r="N38" s="753"/>
      <c r="O38" s="33"/>
    </row>
    <row r="39" spans="1:15" x14ac:dyDescent="0.25">
      <c r="A39" s="33"/>
      <c r="B39" s="505" t="s">
        <v>460</v>
      </c>
      <c r="C39" s="504"/>
      <c r="D39" s="655">
        <f>-(Costs!G33+Costs!G50)</f>
        <v>-5120656.2</v>
      </c>
      <c r="E39" s="416"/>
      <c r="F39" s="504"/>
      <c r="G39" s="565"/>
      <c r="H39" s="416"/>
      <c r="I39" s="504"/>
      <c r="J39" s="504"/>
      <c r="K39" s="565"/>
      <c r="L39" s="504"/>
      <c r="M39" s="504"/>
      <c r="N39" s="753"/>
      <c r="O39" s="33"/>
    </row>
    <row r="40" spans="1:15" x14ac:dyDescent="0.25">
      <c r="A40" s="33"/>
      <c r="B40" s="505" t="s">
        <v>259</v>
      </c>
      <c r="C40" s="504"/>
      <c r="D40" s="655">
        <f>-'Multifamily DCF'!F129</f>
        <v>0</v>
      </c>
      <c r="E40" s="643">
        <f ca="1">-'Multifamily DCF'!G129</f>
        <v>-15198124.92</v>
      </c>
      <c r="F40" s="560">
        <f ca="1">-'Multifamily DCF'!H129</f>
        <v>-28087132.920000002</v>
      </c>
      <c r="G40" s="561">
        <f ca="1">-'Multifamily DCF'!I129</f>
        <v>-12889008</v>
      </c>
      <c r="H40" s="643">
        <f ca="1">-'Multifamily DCF'!J129</f>
        <v>-8350980</v>
      </c>
      <c r="I40" s="560">
        <f ca="1">-'Multifamily DCF'!K129</f>
        <v>-18670740</v>
      </c>
      <c r="J40" s="560">
        <f ca="1">-'Multifamily DCF'!L129</f>
        <v>-10319760</v>
      </c>
      <c r="K40" s="561">
        <f ca="1">-'Multifamily DCF'!M129</f>
        <v>0</v>
      </c>
      <c r="L40" s="560">
        <f ca="1">-'Multifamily DCF'!N129</f>
        <v>0</v>
      </c>
      <c r="M40" s="560">
        <f ca="1">-'Multifamily DCF'!O129</f>
        <v>0</v>
      </c>
      <c r="N40" s="506">
        <f ca="1">-'Multifamily DCF'!P129</f>
        <v>0</v>
      </c>
      <c r="O40" s="33"/>
    </row>
    <row r="41" spans="1:15" x14ac:dyDescent="0.25">
      <c r="A41" s="33"/>
      <c r="B41" s="505" t="s">
        <v>260</v>
      </c>
      <c r="C41" s="504"/>
      <c r="D41" s="655">
        <f>-'Condominium DCF'!F118</f>
        <v>0</v>
      </c>
      <c r="E41" s="643">
        <f ca="1">-'Condominium DCF'!G118</f>
        <v>-9807270</v>
      </c>
      <c r="F41" s="560">
        <f ca="1">-'Condominium DCF'!H118</f>
        <v>-9807270</v>
      </c>
      <c r="G41" s="561">
        <f ca="1">-'Condominium DCF'!I118</f>
        <v>0</v>
      </c>
      <c r="H41" s="643">
        <f ca="1">-'Condominium DCF'!J118</f>
        <v>-5159880.0000000009</v>
      </c>
      <c r="I41" s="560">
        <f ca="1">-'Condominium DCF'!K118</f>
        <v>-5159880.0000000009</v>
      </c>
      <c r="J41" s="560">
        <f ca="1">-'Condominium DCF'!L118</f>
        <v>0</v>
      </c>
      <c r="K41" s="561">
        <f ca="1">-'Condominium DCF'!M118</f>
        <v>0</v>
      </c>
      <c r="L41" s="560">
        <f ca="1">-'Condominium DCF'!N118</f>
        <v>-21529200</v>
      </c>
      <c r="M41" s="560">
        <f ca="1">-'Condominium DCF'!O118</f>
        <v>-21529200</v>
      </c>
      <c r="N41" s="506">
        <f ca="1">-'Condominium DCF'!P118</f>
        <v>0</v>
      </c>
      <c r="O41" s="33"/>
    </row>
    <row r="42" spans="1:15" x14ac:dyDescent="0.25">
      <c r="A42" s="33"/>
      <c r="B42" s="505" t="s">
        <v>261</v>
      </c>
      <c r="C42" s="504"/>
      <c r="D42" s="655">
        <f>-'Office DCF'!F74</f>
        <v>0</v>
      </c>
      <c r="E42" s="643">
        <f ca="1">-'Office DCF'!G74</f>
        <v>0</v>
      </c>
      <c r="F42" s="560">
        <f ca="1">-'Office DCF'!H74</f>
        <v>0</v>
      </c>
      <c r="G42" s="561">
        <f ca="1">-'Office DCF'!I74</f>
        <v>0</v>
      </c>
      <c r="H42" s="643">
        <f ca="1">-'Office DCF'!J74</f>
        <v>-34676433</v>
      </c>
      <c r="I42" s="560">
        <f ca="1">-'Office DCF'!K74</f>
        <v>-34676433</v>
      </c>
      <c r="J42" s="560">
        <f ca="1">-'Office DCF'!L74</f>
        <v>0</v>
      </c>
      <c r="K42" s="561">
        <f ca="1">-'Office DCF'!M74</f>
        <v>0</v>
      </c>
      <c r="L42" s="560">
        <f ca="1">-'Office DCF'!N74</f>
        <v>-19914642</v>
      </c>
      <c r="M42" s="560">
        <f ca="1">-'Office DCF'!O74</f>
        <v>-19914642</v>
      </c>
      <c r="N42" s="506">
        <f ca="1">-'Office DCF'!P74</f>
        <v>0</v>
      </c>
      <c r="O42" s="33"/>
    </row>
    <row r="43" spans="1:15" x14ac:dyDescent="0.25">
      <c r="A43" s="33"/>
      <c r="B43" s="505" t="s">
        <v>262</v>
      </c>
      <c r="C43" s="504"/>
      <c r="D43" s="655">
        <f>-'Retail DCF'!F$106</f>
        <v>0</v>
      </c>
      <c r="E43" s="643">
        <f ca="1">-'Retail DCF'!G$106</f>
        <v>-19040109</v>
      </c>
      <c r="F43" s="560">
        <f ca="1">-'Retail DCF'!H$106</f>
        <v>-37483564.800000004</v>
      </c>
      <c r="G43" s="561">
        <f ca="1">-'Retail DCF'!I$106</f>
        <v>-18999981</v>
      </c>
      <c r="H43" s="643">
        <f ca="1">-'Retail DCF'!J$106</f>
        <v>-6248180.4000000004</v>
      </c>
      <c r="I43" s="560">
        <f ca="1">-'Retail DCF'!K$106</f>
        <v>-1960754.4000000001</v>
      </c>
      <c r="J43" s="560">
        <f ca="1">-'Retail DCF'!L$106</f>
        <v>0</v>
      </c>
      <c r="K43" s="561">
        <f ca="1">-'Retail DCF'!M$106</f>
        <v>0</v>
      </c>
      <c r="L43" s="560">
        <f ca="1">-'Retail DCF'!N$106</f>
        <v>-2337456</v>
      </c>
      <c r="M43" s="560">
        <f ca="1">-'Retail DCF'!O$106</f>
        <v>-2337456</v>
      </c>
      <c r="N43" s="506">
        <f ca="1">-'Retail DCF'!P$106</f>
        <v>0</v>
      </c>
      <c r="O43" s="33"/>
    </row>
    <row r="44" spans="1:15" x14ac:dyDescent="0.25">
      <c r="A44" s="33"/>
      <c r="B44" s="505" t="s">
        <v>263</v>
      </c>
      <c r="C44" s="504"/>
      <c r="D44" s="655">
        <f>-'Hotel DCF'!F$67</f>
        <v>0</v>
      </c>
      <c r="E44" s="643">
        <f ca="1">-'Hotel DCF'!G$67</f>
        <v>0</v>
      </c>
      <c r="F44" s="560">
        <f ca="1">-'Hotel DCF'!H$67</f>
        <v>0</v>
      </c>
      <c r="G44" s="561">
        <f ca="1">-'Hotel DCF'!I$67</f>
        <v>0</v>
      </c>
      <c r="H44" s="643">
        <f ca="1">-'Hotel DCF'!J$67</f>
        <v>0</v>
      </c>
      <c r="I44" s="560">
        <f>-'Hotel DCF'!K$67</f>
        <v>-9622800</v>
      </c>
      <c r="J44" s="560">
        <f>-'Hotel DCF'!L$67</f>
        <v>-9622800</v>
      </c>
      <c r="K44" s="561">
        <f ca="1">-'Hotel DCF'!M$67</f>
        <v>0</v>
      </c>
      <c r="L44" s="560">
        <f ca="1">-'Hotel DCF'!N$67</f>
        <v>0</v>
      </c>
      <c r="M44" s="560">
        <f ca="1">-'Hotel DCF'!O$67</f>
        <v>0</v>
      </c>
      <c r="N44" s="506">
        <f ca="1">-'Hotel DCF'!P$67</f>
        <v>0</v>
      </c>
      <c r="O44" s="33"/>
    </row>
    <row r="45" spans="1:15" x14ac:dyDescent="0.25">
      <c r="A45" s="33"/>
      <c r="B45" s="505" t="s">
        <v>615</v>
      </c>
      <c r="C45" s="504"/>
      <c r="D45" s="655">
        <f>-'University DCF'!F$44</f>
        <v>0</v>
      </c>
      <c r="E45" s="643">
        <f ca="1">-'University DCF'!G$44</f>
        <v>0</v>
      </c>
      <c r="F45" s="560">
        <f>-'University DCF'!H$44</f>
        <v>-7674575.040000001</v>
      </c>
      <c r="G45" s="561">
        <f>-'University DCF'!I$44</f>
        <v>-11628144</v>
      </c>
      <c r="H45" s="643">
        <f ca="1">-'University DCF'!J$44</f>
        <v>0</v>
      </c>
      <c r="I45" s="560">
        <f ca="1">-'University DCF'!K$44</f>
        <v>0</v>
      </c>
      <c r="J45" s="560">
        <f ca="1">-'University DCF'!L$44</f>
        <v>0</v>
      </c>
      <c r="K45" s="561">
        <f ca="1">-'University DCF'!M$44</f>
        <v>0</v>
      </c>
      <c r="L45" s="560">
        <f ca="1">-'University DCF'!N$44</f>
        <v>0</v>
      </c>
      <c r="M45" s="560">
        <f ca="1">-'University DCF'!O$44</f>
        <v>0</v>
      </c>
      <c r="N45" s="506">
        <f ca="1">-'University DCF'!P$44</f>
        <v>0</v>
      </c>
      <c r="O45" s="33"/>
    </row>
    <row r="46" spans="1:15" x14ac:dyDescent="0.25">
      <c r="A46" s="33"/>
      <c r="B46" s="505" t="s">
        <v>616</v>
      </c>
      <c r="C46" s="504"/>
      <c r="D46" s="655">
        <f>-'Arts DCF'!F$67</f>
        <v>0</v>
      </c>
      <c r="E46" s="643">
        <f ca="1">-'Arts DCF'!G$67</f>
        <v>0</v>
      </c>
      <c r="F46" s="560">
        <f ca="1">-'Arts DCF'!H$67</f>
        <v>-16137792</v>
      </c>
      <c r="G46" s="561">
        <f ca="1">-'Arts DCF'!I$67</f>
        <v>-16137792</v>
      </c>
      <c r="H46" s="643">
        <f ca="1">-'Arts DCF'!J$67</f>
        <v>-19014600</v>
      </c>
      <c r="I46" s="560">
        <f ca="1">-'Arts DCF'!K$67</f>
        <v>-19014600</v>
      </c>
      <c r="J46" s="560">
        <f ca="1">-'Arts DCF'!L$67</f>
        <v>0</v>
      </c>
      <c r="K46" s="561">
        <f ca="1">-'Arts DCF'!M$67</f>
        <v>0</v>
      </c>
      <c r="L46" s="560">
        <f ca="1">-'Arts DCF'!N$67</f>
        <v>-40324207.439999998</v>
      </c>
      <c r="M46" s="560">
        <f ca="1">-'Arts DCF'!O$67</f>
        <v>-40324207.439999998</v>
      </c>
      <c r="N46" s="506">
        <f ca="1">-'Arts DCF'!P$67</f>
        <v>0</v>
      </c>
      <c r="O46" s="33"/>
    </row>
    <row r="47" spans="1:15" x14ac:dyDescent="0.25">
      <c r="A47" s="33"/>
      <c r="B47" s="505" t="s">
        <v>266</v>
      </c>
      <c r="C47" s="504"/>
      <c r="D47" s="655">
        <f>'Infrastructure DCF'!F95</f>
        <v>0</v>
      </c>
      <c r="E47" s="643">
        <f ca="1">'Infrastructure DCF'!G95</f>
        <v>7671928.0000000009</v>
      </c>
      <c r="F47" s="560">
        <f ca="1">'Infrastructure DCF'!H95</f>
        <v>9603451</v>
      </c>
      <c r="G47" s="561">
        <f ca="1">'Infrastructure DCF'!I95</f>
        <v>9603451</v>
      </c>
      <c r="H47" s="643">
        <f ca="1">'Infrastructure DCF'!J95</f>
        <v>2818447.5</v>
      </c>
      <c r="I47" s="560">
        <f ca="1">'Infrastructure DCF'!K95</f>
        <v>9889929.5</v>
      </c>
      <c r="J47" s="560">
        <f ca="1">'Infrastructure DCF'!L95</f>
        <v>9889929.5</v>
      </c>
      <c r="K47" s="561">
        <f ca="1">'Infrastructure DCF'!M95</f>
        <v>9889929.5</v>
      </c>
      <c r="L47" s="560">
        <f ca="1">'Infrastructure DCF'!N95</f>
        <v>2851464</v>
      </c>
      <c r="M47" s="560">
        <f ca="1">'Infrastructure DCF'!O95</f>
        <v>2851464</v>
      </c>
      <c r="N47" s="506">
        <f ca="1">'Infrastructure DCF'!P95</f>
        <v>2851464</v>
      </c>
      <c r="O47" s="33"/>
    </row>
    <row r="48" spans="1:15" x14ac:dyDescent="0.25">
      <c r="A48" s="33"/>
      <c r="B48" s="750" t="s">
        <v>264</v>
      </c>
      <c r="C48" s="588"/>
      <c r="D48" s="656">
        <f>-'Parking DCF'!F$95</f>
        <v>0</v>
      </c>
      <c r="E48" s="644">
        <f ca="1">-'Parking DCF'!G$95</f>
        <v>-1299936</v>
      </c>
      <c r="F48" s="563">
        <f ca="1">-'Parking DCF'!H$95</f>
        <v>-5581052.4000000004</v>
      </c>
      <c r="G48" s="564">
        <f ca="1">-'Parking DCF'!I$95</f>
        <v>-1999998</v>
      </c>
      <c r="H48" s="644">
        <f ca="1">-'Parking DCF'!J$95</f>
        <v>-3753867.4800000004</v>
      </c>
      <c r="I48" s="563">
        <f ca="1">-'Parking DCF'!K$95</f>
        <v>-3290072.2800000003</v>
      </c>
      <c r="J48" s="563">
        <f ca="1">-'Parking DCF'!L$95</f>
        <v>0</v>
      </c>
      <c r="K48" s="564">
        <f ca="1">-'Parking DCF'!M$95</f>
        <v>0</v>
      </c>
      <c r="L48" s="563">
        <f ca="1">-'Parking DCF'!N$95</f>
        <v>-5508676.7999999998</v>
      </c>
      <c r="M48" s="563">
        <f ca="1">-'Parking DCF'!O$95</f>
        <v>-5508676.7999999998</v>
      </c>
      <c r="N48" s="751">
        <f ca="1">-'Parking DCF'!P$95</f>
        <v>0</v>
      </c>
      <c r="O48" s="33"/>
    </row>
    <row r="49" spans="1:17" x14ac:dyDescent="0.25">
      <c r="A49" s="33"/>
      <c r="B49" s="752" t="s">
        <v>104</v>
      </c>
      <c r="C49" s="113"/>
      <c r="D49" s="655">
        <f>SUM(D39:D48)</f>
        <v>-5120656.2</v>
      </c>
      <c r="E49" s="643">
        <f t="shared" ref="E49:N49" ca="1" si="3">SUM(E39:E48)</f>
        <v>-37673511.920000002</v>
      </c>
      <c r="F49" s="560">
        <f t="shared" ca="1" si="3"/>
        <v>-95167936.160000011</v>
      </c>
      <c r="G49" s="561">
        <f t="shared" ca="1" si="3"/>
        <v>-52051472</v>
      </c>
      <c r="H49" s="643">
        <f t="shared" ca="1" si="3"/>
        <v>-74385493.38000001</v>
      </c>
      <c r="I49" s="560">
        <f t="shared" ca="1" si="3"/>
        <v>-82505350.180000007</v>
      </c>
      <c r="J49" s="560">
        <f t="shared" ca="1" si="3"/>
        <v>-10052630.5</v>
      </c>
      <c r="K49" s="561">
        <f t="shared" ca="1" si="3"/>
        <v>9889929.5</v>
      </c>
      <c r="L49" s="560">
        <f t="shared" ca="1" si="3"/>
        <v>-86762718.239999995</v>
      </c>
      <c r="M49" s="560">
        <f t="shared" ca="1" si="3"/>
        <v>-86762718.239999995</v>
      </c>
      <c r="N49" s="506">
        <f t="shared" ca="1" si="3"/>
        <v>2851464</v>
      </c>
      <c r="O49" s="33"/>
    </row>
    <row r="50" spans="1:17" x14ac:dyDescent="0.25">
      <c r="A50" s="33"/>
      <c r="B50" s="505"/>
      <c r="C50" s="504"/>
      <c r="D50" s="657"/>
      <c r="E50" s="416"/>
      <c r="F50" s="504"/>
      <c r="G50" s="565"/>
      <c r="H50" s="416"/>
      <c r="I50" s="504"/>
      <c r="J50" s="504"/>
      <c r="K50" s="565"/>
      <c r="L50" s="504"/>
      <c r="M50" s="504"/>
      <c r="N50" s="753"/>
      <c r="O50" s="33"/>
    </row>
    <row r="51" spans="1:17" x14ac:dyDescent="0.25">
      <c r="A51" s="33"/>
      <c r="B51" s="754"/>
      <c r="C51" s="567"/>
      <c r="D51" s="658"/>
      <c r="E51" s="566"/>
      <c r="F51" s="567"/>
      <c r="G51" s="568"/>
      <c r="H51" s="566"/>
      <c r="I51" s="567"/>
      <c r="J51" s="567"/>
      <c r="K51" s="568"/>
      <c r="L51" s="567"/>
      <c r="M51" s="567"/>
      <c r="N51" s="755"/>
      <c r="O51" s="33"/>
    </row>
    <row r="52" spans="1:17" x14ac:dyDescent="0.25">
      <c r="A52" s="33"/>
      <c r="B52" s="748" t="s">
        <v>267</v>
      </c>
      <c r="C52" s="13"/>
      <c r="D52" s="657"/>
      <c r="E52" s="416"/>
      <c r="F52" s="504"/>
      <c r="G52" s="565"/>
      <c r="H52" s="416"/>
      <c r="I52" s="504"/>
      <c r="J52" s="504"/>
      <c r="K52" s="565"/>
      <c r="L52" s="504"/>
      <c r="M52" s="504"/>
      <c r="N52" s="753"/>
      <c r="O52" s="33"/>
    </row>
    <row r="53" spans="1:17" x14ac:dyDescent="0.25">
      <c r="A53" s="33"/>
      <c r="B53" s="505" t="s">
        <v>270</v>
      </c>
      <c r="C53" s="504"/>
      <c r="D53" s="655">
        <f t="shared" ref="D53:N53" si="4">D17</f>
        <v>0</v>
      </c>
      <c r="E53" s="643">
        <f t="shared" ca="1" si="4"/>
        <v>6986.2977318787853</v>
      </c>
      <c r="F53" s="560">
        <f t="shared" ca="1" si="4"/>
        <v>1912520.3455824426</v>
      </c>
      <c r="G53" s="561">
        <f t="shared" ca="1" si="4"/>
        <v>15054471.862761918</v>
      </c>
      <c r="H53" s="643">
        <f t="shared" ca="1" si="4"/>
        <v>27721325.417379823</v>
      </c>
      <c r="I53" s="560">
        <f t="shared" ca="1" si="4"/>
        <v>44483674.206646405</v>
      </c>
      <c r="J53" s="560">
        <f t="shared" ca="1" si="4"/>
        <v>61189227.127140149</v>
      </c>
      <c r="K53" s="561">
        <f t="shared" ca="1" si="4"/>
        <v>77343020.653615832</v>
      </c>
      <c r="L53" s="560">
        <f t="shared" ca="1" si="4"/>
        <v>92648870.10507305</v>
      </c>
      <c r="M53" s="560">
        <f t="shared" ca="1" si="4"/>
        <v>110074180.89654955</v>
      </c>
      <c r="N53" s="506">
        <f t="shared" ca="1" si="4"/>
        <v>126993135.89393283</v>
      </c>
      <c r="O53" s="33"/>
    </row>
    <row r="54" spans="1:17" x14ac:dyDescent="0.25">
      <c r="A54" s="33"/>
      <c r="B54" s="505" t="s">
        <v>269</v>
      </c>
      <c r="C54" s="504"/>
      <c r="D54" s="655">
        <f t="shared" ref="D54:N54" si="5">D28</f>
        <v>0</v>
      </c>
      <c r="E54" s="643">
        <f t="shared" ca="1" si="5"/>
        <v>0</v>
      </c>
      <c r="F54" s="560">
        <f t="shared" ca="1" si="5"/>
        <v>30469531.738098241</v>
      </c>
      <c r="G54" s="561">
        <f t="shared" ca="1" si="5"/>
        <v>12437687.005088041</v>
      </c>
      <c r="H54" s="643">
        <f t="shared" ca="1" si="5"/>
        <v>0</v>
      </c>
      <c r="I54" s="560">
        <f t="shared" ca="1" si="5"/>
        <v>49805771.087031022</v>
      </c>
      <c r="J54" s="560">
        <f t="shared" ca="1" si="5"/>
        <v>0</v>
      </c>
      <c r="K54" s="561">
        <f t="shared" ca="1" si="5"/>
        <v>0</v>
      </c>
      <c r="L54" s="560">
        <f t="shared" ca="1" si="5"/>
        <v>0</v>
      </c>
      <c r="M54" s="560">
        <f t="shared" ca="1" si="5"/>
        <v>92207255.145953104</v>
      </c>
      <c r="N54" s="506">
        <f t="shared" ca="1" si="5"/>
        <v>1716894616.4886169</v>
      </c>
      <c r="O54" s="33"/>
    </row>
    <row r="55" spans="1:17" x14ac:dyDescent="0.25">
      <c r="A55" s="33"/>
      <c r="B55" s="505" t="s">
        <v>466</v>
      </c>
      <c r="C55" s="504"/>
      <c r="D55" s="655">
        <f>D35</f>
        <v>-99586169.280000001</v>
      </c>
      <c r="E55" s="643">
        <f t="shared" ref="E55:N55" si="6">E35</f>
        <v>0</v>
      </c>
      <c r="F55" s="560">
        <f t="shared" si="6"/>
        <v>0</v>
      </c>
      <c r="G55" s="561">
        <f t="shared" si="6"/>
        <v>0</v>
      </c>
      <c r="H55" s="643">
        <f t="shared" si="6"/>
        <v>0</v>
      </c>
      <c r="I55" s="560">
        <f t="shared" si="6"/>
        <v>0</v>
      </c>
      <c r="J55" s="560">
        <f t="shared" si="6"/>
        <v>0</v>
      </c>
      <c r="K55" s="561">
        <f t="shared" si="6"/>
        <v>0</v>
      </c>
      <c r="L55" s="560">
        <f t="shared" si="6"/>
        <v>0</v>
      </c>
      <c r="M55" s="560">
        <f t="shared" si="6"/>
        <v>0</v>
      </c>
      <c r="N55" s="506">
        <f t="shared" si="6"/>
        <v>0</v>
      </c>
      <c r="O55" s="33"/>
    </row>
    <row r="56" spans="1:17" x14ac:dyDescent="0.25">
      <c r="A56" s="33"/>
      <c r="B56" s="505" t="s">
        <v>271</v>
      </c>
      <c r="C56" s="504"/>
      <c r="D56" s="655">
        <f t="shared" ref="D56:N56" si="7">D49</f>
        <v>-5120656.2</v>
      </c>
      <c r="E56" s="643">
        <f t="shared" ca="1" si="7"/>
        <v>-37673511.920000002</v>
      </c>
      <c r="F56" s="560">
        <f t="shared" ca="1" si="7"/>
        <v>-95167936.160000011</v>
      </c>
      <c r="G56" s="561">
        <f t="shared" ca="1" si="7"/>
        <v>-52051472</v>
      </c>
      <c r="H56" s="643">
        <f t="shared" ca="1" si="7"/>
        <v>-74385493.38000001</v>
      </c>
      <c r="I56" s="560">
        <f t="shared" ca="1" si="7"/>
        <v>-82505350.180000007</v>
      </c>
      <c r="J56" s="560">
        <f t="shared" ca="1" si="7"/>
        <v>-10052630.5</v>
      </c>
      <c r="K56" s="561">
        <f t="shared" ca="1" si="7"/>
        <v>9889929.5</v>
      </c>
      <c r="L56" s="560">
        <f t="shared" ca="1" si="7"/>
        <v>-86762718.239999995</v>
      </c>
      <c r="M56" s="560">
        <f t="shared" ca="1" si="7"/>
        <v>-86762718.239999995</v>
      </c>
      <c r="N56" s="506">
        <f t="shared" ca="1" si="7"/>
        <v>2851464</v>
      </c>
      <c r="O56" s="33"/>
    </row>
    <row r="57" spans="1:17" x14ac:dyDescent="0.25">
      <c r="A57" s="33"/>
      <c r="B57" s="505"/>
      <c r="C57" s="504"/>
      <c r="D57" s="655"/>
      <c r="E57" s="643"/>
      <c r="F57" s="560"/>
      <c r="G57" s="561"/>
      <c r="H57" s="643"/>
      <c r="I57" s="560"/>
      <c r="J57" s="560"/>
      <c r="K57" s="561"/>
      <c r="L57" s="560"/>
      <c r="M57" s="560"/>
      <c r="N57" s="506"/>
      <c r="O57" s="33"/>
      <c r="Q57" s="124"/>
    </row>
    <row r="58" spans="1:17" x14ac:dyDescent="0.25">
      <c r="A58" s="33"/>
      <c r="B58" s="505"/>
      <c r="C58" s="504"/>
      <c r="D58" s="657"/>
      <c r="E58" s="416"/>
      <c r="F58" s="504"/>
      <c r="G58" s="565"/>
      <c r="H58" s="416"/>
      <c r="I58" s="504"/>
      <c r="J58" s="504"/>
      <c r="K58" s="565"/>
      <c r="L58" s="504"/>
      <c r="M58" s="504"/>
      <c r="N58" s="753"/>
      <c r="O58" s="33"/>
    </row>
    <row r="59" spans="1:17" x14ac:dyDescent="0.25">
      <c r="A59" s="33"/>
      <c r="B59" s="759" t="s">
        <v>272</v>
      </c>
      <c r="C59" s="623"/>
      <c r="D59" s="662">
        <f t="shared" ref="D59:N59" si="8">SUM(D53:D56)</f>
        <v>-104706825.48</v>
      </c>
      <c r="E59" s="645">
        <f t="shared" ca="1" si="8"/>
        <v>-37666525.622268125</v>
      </c>
      <c r="F59" s="572">
        <f t="shared" ca="1" si="8"/>
        <v>-62785884.076319322</v>
      </c>
      <c r="G59" s="573">
        <f t="shared" ca="1" si="8"/>
        <v>-24559313.132150039</v>
      </c>
      <c r="H59" s="645">
        <f t="shared" ca="1" si="8"/>
        <v>-46664167.962620184</v>
      </c>
      <c r="I59" s="572">
        <f t="shared" ca="1" si="8"/>
        <v>11784095.113677412</v>
      </c>
      <c r="J59" s="572">
        <f t="shared" ca="1" si="8"/>
        <v>51136596.627140149</v>
      </c>
      <c r="K59" s="573">
        <f t="shared" ca="1" si="8"/>
        <v>87232950.153615832</v>
      </c>
      <c r="L59" s="572">
        <f t="shared" ca="1" si="8"/>
        <v>5886151.865073055</v>
      </c>
      <c r="M59" s="572">
        <f t="shared" ca="1" si="8"/>
        <v>115518717.80250265</v>
      </c>
      <c r="N59" s="760">
        <f t="shared" ca="1" si="8"/>
        <v>1846739216.3825498</v>
      </c>
      <c r="O59" s="33"/>
    </row>
    <row r="60" spans="1:17" x14ac:dyDescent="0.25">
      <c r="A60" s="33"/>
      <c r="B60" s="752"/>
      <c r="C60" s="113"/>
      <c r="D60" s="655"/>
      <c r="E60" s="643"/>
      <c r="F60" s="560"/>
      <c r="G60" s="561"/>
      <c r="H60" s="643"/>
      <c r="I60" s="560"/>
      <c r="J60" s="560"/>
      <c r="K60" s="561"/>
      <c r="L60" s="560"/>
      <c r="M60" s="560"/>
      <c r="N60" s="506"/>
      <c r="O60" s="33"/>
    </row>
    <row r="61" spans="1:17" x14ac:dyDescent="0.25">
      <c r="A61" s="33"/>
      <c r="B61" s="841" t="s">
        <v>273</v>
      </c>
      <c r="C61" s="842"/>
      <c r="D61" s="843">
        <f ca="1">'Combined DCF'!E87</f>
        <v>-94072178.372116536</v>
      </c>
      <c r="E61" s="844">
        <f ca="1">'Combined DCF'!F87</f>
        <v>-17458491.613638725</v>
      </c>
      <c r="F61" s="845">
        <f ca="1">'Combined DCF'!G87</f>
        <v>-6555371.8234172845</v>
      </c>
      <c r="G61" s="846">
        <f ca="1">'Combined DCF'!H87</f>
        <v>-9178533.3272599336</v>
      </c>
      <c r="H61" s="844">
        <f ca="1">'Combined DCF'!I87</f>
        <v>-12313785.700930791</v>
      </c>
      <c r="I61" s="845">
        <f ca="1">'Combined DCF'!J87</f>
        <v>179858510.47695532</v>
      </c>
      <c r="J61" s="845">
        <f ca="1">'Combined DCF'!K87</f>
        <v>-2425019.5719440393</v>
      </c>
      <c r="K61" s="846">
        <f ca="1">'Combined DCF'!L87</f>
        <v>33348083.470684677</v>
      </c>
      <c r="L61" s="845">
        <f ca="1">'Combined DCF'!M87</f>
        <v>-9257964.321058929</v>
      </c>
      <c r="M61" s="845">
        <f ca="1">'Combined DCF'!N87</f>
        <v>73440792.14950949</v>
      </c>
      <c r="N61" s="847">
        <f ca="1">'Combined DCF'!O87</f>
        <v>1398546404.6690745</v>
      </c>
      <c r="O61" s="33"/>
    </row>
    <row r="62" spans="1:17" x14ac:dyDescent="0.25">
      <c r="A62" s="33"/>
      <c r="B62" s="848" t="s">
        <v>618</v>
      </c>
      <c r="C62" s="623"/>
      <c r="D62" s="851">
        <f>'Combined DCF'!E88</f>
        <v>0</v>
      </c>
      <c r="E62" s="852">
        <f>'Combined DCF'!F88</f>
        <v>0</v>
      </c>
      <c r="F62" s="849">
        <f>'Combined DCF'!G88</f>
        <v>0</v>
      </c>
      <c r="G62" s="850">
        <f>'Combined DCF'!H88</f>
        <v>0</v>
      </c>
      <c r="H62" s="852">
        <f>'Combined DCF'!I88</f>
        <v>0</v>
      </c>
      <c r="I62" s="849">
        <f ca="1">'Combined DCF'!J88</f>
        <v>-7770444.3232442066</v>
      </c>
      <c r="J62" s="849">
        <f ca="1">'Combined DCF'!K88</f>
        <v>-8081262.0961739756</v>
      </c>
      <c r="K62" s="850">
        <f ca="1">'Combined DCF'!L88</f>
        <v>-8404512.5800209343</v>
      </c>
      <c r="L62" s="849">
        <f ca="1">'Combined DCF'!M88</f>
        <v>-8740693.0832217708</v>
      </c>
      <c r="M62" s="849">
        <f ca="1">'Combined DCF'!N88</f>
        <v>-9090320.8065506425</v>
      </c>
      <c r="N62" s="850">
        <f ca="1">'Combined DCF'!O88</f>
        <v>-416789388.61056471</v>
      </c>
      <c r="O62" s="33"/>
    </row>
    <row r="63" spans="1:17" ht="15.75" thickBot="1" x14ac:dyDescent="0.3">
      <c r="A63" s="33"/>
      <c r="B63" s="504"/>
      <c r="C63" s="504"/>
      <c r="D63" s="504"/>
      <c r="E63" s="504"/>
      <c r="F63" s="504"/>
      <c r="G63" s="504"/>
      <c r="H63" s="504"/>
      <c r="I63" s="504"/>
      <c r="J63" s="504"/>
      <c r="K63" s="504"/>
      <c r="L63" s="504"/>
      <c r="M63" s="504"/>
      <c r="N63" s="504"/>
      <c r="O63" s="33"/>
    </row>
    <row r="64" spans="1:17" x14ac:dyDescent="0.25">
      <c r="A64" s="33"/>
      <c r="B64" s="502" t="s">
        <v>482</v>
      </c>
      <c r="C64" s="624"/>
      <c r="D64" s="574"/>
      <c r="E64" s="504"/>
      <c r="F64" s="502" t="s">
        <v>487</v>
      </c>
      <c r="G64" s="575"/>
      <c r="H64" s="574"/>
      <c r="I64" s="504"/>
      <c r="J64" s="504"/>
      <c r="K64" s="504"/>
      <c r="L64" s="504"/>
      <c r="M64" s="504"/>
      <c r="N64" s="504"/>
      <c r="O64" s="33"/>
    </row>
    <row r="65" spans="1:15" x14ac:dyDescent="0.25">
      <c r="A65" s="33"/>
      <c r="B65" s="503" t="s">
        <v>130</v>
      </c>
      <c r="C65" s="11"/>
      <c r="D65" s="506">
        <f ca="1">SUM(B61:N61)</f>
        <v>1533932446.0358577</v>
      </c>
      <c r="E65" s="504"/>
      <c r="F65" s="505" t="s">
        <v>488</v>
      </c>
      <c r="G65" s="504"/>
      <c r="H65" s="576">
        <f ca="1">SUM('S&amp;U'!D7,'S&amp;U'!D8)/H67</f>
        <v>0.38652825481341352</v>
      </c>
      <c r="I65" s="504"/>
      <c r="J65" s="504"/>
      <c r="K65" s="504"/>
      <c r="L65" s="504"/>
      <c r="M65" s="504"/>
      <c r="N65" s="504"/>
      <c r="O65" s="33"/>
    </row>
    <row r="66" spans="1:15" x14ac:dyDescent="0.25">
      <c r="A66" s="33"/>
      <c r="B66" s="503" t="s">
        <v>484</v>
      </c>
      <c r="C66" s="11"/>
      <c r="D66" s="506">
        <f ca="1">M97</f>
        <v>115341472.58788347</v>
      </c>
      <c r="E66" s="504"/>
      <c r="F66" s="505" t="s">
        <v>489</v>
      </c>
      <c r="G66" s="504"/>
      <c r="H66" s="506">
        <f>-D55</f>
        <v>99586169.280000001</v>
      </c>
      <c r="I66" s="504"/>
      <c r="J66" s="504"/>
      <c r="K66" s="504"/>
      <c r="L66" s="504"/>
      <c r="M66" s="504"/>
      <c r="N66" s="504"/>
      <c r="O66" s="33"/>
    </row>
    <row r="67" spans="1:15" x14ac:dyDescent="0.25">
      <c r="A67" s="33"/>
      <c r="B67" s="503" t="s">
        <v>483</v>
      </c>
      <c r="C67" s="11"/>
      <c r="D67" s="523">
        <f ca="1">IRR(D59:N59)</f>
        <v>0.27905934996802229</v>
      </c>
      <c r="E67" s="504"/>
      <c r="F67" s="503" t="s">
        <v>490</v>
      </c>
      <c r="G67" s="504"/>
      <c r="H67" s="506">
        <f ca="1">N54</f>
        <v>1716894616.4886169</v>
      </c>
      <c r="I67" s="504"/>
      <c r="J67" s="504"/>
      <c r="K67" s="504"/>
      <c r="L67" s="504"/>
      <c r="M67" s="504"/>
      <c r="N67" s="504"/>
      <c r="O67" s="33"/>
    </row>
    <row r="68" spans="1:15" x14ac:dyDescent="0.25">
      <c r="A68" s="33"/>
      <c r="B68" s="503" t="s">
        <v>485</v>
      </c>
      <c r="C68" s="11"/>
      <c r="D68" s="523">
        <f ca="1">IRR(D61:N61)</f>
        <v>0.34911711298787163</v>
      </c>
      <c r="E68" s="504"/>
      <c r="F68" s="503" t="s">
        <v>617</v>
      </c>
      <c r="G68" s="504"/>
      <c r="H68" s="506">
        <f ca="1">NPV(10%,D61:N61)</f>
        <v>511619686.40854019</v>
      </c>
      <c r="I68" s="504"/>
      <c r="J68" s="504"/>
      <c r="K68" s="504"/>
      <c r="L68" s="504"/>
      <c r="M68" s="504"/>
      <c r="N68" s="504"/>
      <c r="O68" s="33"/>
    </row>
    <row r="69" spans="1:15" ht="15.75" thickBot="1" x14ac:dyDescent="0.3">
      <c r="A69" s="33"/>
      <c r="B69" s="507" t="s">
        <v>486</v>
      </c>
      <c r="C69" s="625"/>
      <c r="D69" s="522">
        <f ca="1">D65/D66</f>
        <v>13.29905377154857</v>
      </c>
      <c r="E69" s="504"/>
      <c r="F69" s="510"/>
      <c r="G69" s="508"/>
      <c r="H69" s="509"/>
      <c r="I69" s="504"/>
      <c r="J69" s="504"/>
      <c r="K69" s="504"/>
      <c r="L69" s="504"/>
      <c r="M69" s="504"/>
      <c r="N69" s="504"/>
      <c r="O69" s="33"/>
    </row>
    <row r="70" spans="1:15" x14ac:dyDescent="0.25">
      <c r="A70" s="33"/>
      <c r="B70" s="504"/>
      <c r="C70" s="504"/>
      <c r="D70" s="504"/>
      <c r="E70" s="504"/>
      <c r="F70" s="504"/>
      <c r="G70" s="504"/>
      <c r="H70" s="504"/>
      <c r="I70" s="504"/>
      <c r="J70" s="504"/>
      <c r="K70" s="504"/>
      <c r="L70" s="504"/>
      <c r="M70" s="504"/>
      <c r="N70" s="504"/>
      <c r="O70" s="33"/>
    </row>
    <row r="71" spans="1:15" x14ac:dyDescent="0.25">
      <c r="A71" s="33"/>
      <c r="B71" s="504"/>
      <c r="C71" s="504"/>
      <c r="D71" s="504"/>
      <c r="E71" s="504"/>
      <c r="F71" s="504"/>
      <c r="G71" s="504"/>
      <c r="H71" s="504"/>
      <c r="I71" s="504"/>
      <c r="J71" s="504"/>
      <c r="K71" s="504"/>
      <c r="L71" s="504"/>
      <c r="M71" s="504"/>
      <c r="N71" s="504"/>
      <c r="O71" s="33"/>
    </row>
    <row r="72" spans="1:15" x14ac:dyDescent="0.25">
      <c r="A72" s="33"/>
      <c r="B72" s="511" t="s">
        <v>491</v>
      </c>
      <c r="C72" s="511"/>
      <c r="D72" s="511"/>
      <c r="E72" s="511"/>
      <c r="F72" s="511"/>
      <c r="G72" s="511"/>
      <c r="H72" s="511"/>
      <c r="I72" s="511"/>
      <c r="J72" s="511"/>
      <c r="K72" s="511"/>
      <c r="L72" s="511"/>
      <c r="M72" s="511"/>
      <c r="N72" s="511"/>
      <c r="O72" s="33"/>
    </row>
    <row r="73" spans="1:15" x14ac:dyDescent="0.25">
      <c r="A73" s="33"/>
      <c r="B73" s="504"/>
      <c r="C73" s="504"/>
      <c r="D73" s="11"/>
      <c r="E73" s="504"/>
      <c r="F73" s="504"/>
      <c r="G73" s="504"/>
      <c r="H73" s="504"/>
      <c r="I73" s="504"/>
      <c r="J73" s="504"/>
      <c r="K73" s="504"/>
      <c r="L73" s="504"/>
      <c r="M73" s="504"/>
      <c r="N73" s="504"/>
      <c r="O73" s="33"/>
    </row>
    <row r="74" spans="1:15" x14ac:dyDescent="0.25">
      <c r="A74" s="33"/>
      <c r="B74" s="555"/>
      <c r="C74" s="577"/>
      <c r="D74" s="602"/>
      <c r="E74" s="207" t="s">
        <v>28</v>
      </c>
      <c r="F74" s="27" t="s">
        <v>28</v>
      </c>
      <c r="G74" s="275" t="s">
        <v>28</v>
      </c>
      <c r="H74" s="218" t="s">
        <v>47</v>
      </c>
      <c r="I74" s="28" t="s">
        <v>47</v>
      </c>
      <c r="J74" s="28" t="s">
        <v>47</v>
      </c>
      <c r="K74" s="277" t="s">
        <v>47</v>
      </c>
      <c r="L74" s="29" t="s">
        <v>48</v>
      </c>
      <c r="M74" s="29" t="s">
        <v>48</v>
      </c>
      <c r="N74" s="39" t="s">
        <v>48</v>
      </c>
      <c r="O74" s="33"/>
    </row>
    <row r="75" spans="1:15" x14ac:dyDescent="0.25">
      <c r="A75" s="33"/>
      <c r="B75" s="416"/>
      <c r="C75" s="504"/>
      <c r="D75" s="565"/>
      <c r="E75" s="517">
        <f>D75+1</f>
        <v>1</v>
      </c>
      <c r="F75" s="223">
        <f t="shared" ref="F75:N76" si="9">E75+1</f>
        <v>2</v>
      </c>
      <c r="G75" s="276">
        <f t="shared" si="9"/>
        <v>3</v>
      </c>
      <c r="H75" s="517">
        <f t="shared" si="9"/>
        <v>4</v>
      </c>
      <c r="I75" s="223">
        <f t="shared" si="9"/>
        <v>5</v>
      </c>
      <c r="J75" s="223">
        <f t="shared" si="9"/>
        <v>6</v>
      </c>
      <c r="K75" s="276">
        <f t="shared" si="9"/>
        <v>7</v>
      </c>
      <c r="L75" s="223">
        <f t="shared" si="9"/>
        <v>8</v>
      </c>
      <c r="M75" s="223">
        <f t="shared" si="9"/>
        <v>9</v>
      </c>
      <c r="N75" s="276">
        <f t="shared" si="9"/>
        <v>10</v>
      </c>
      <c r="O75" s="33"/>
    </row>
    <row r="76" spans="1:15" x14ac:dyDescent="0.25">
      <c r="A76" s="33"/>
      <c r="B76" s="519" t="s">
        <v>494</v>
      </c>
      <c r="C76" s="626"/>
      <c r="D76" s="603" t="s">
        <v>492</v>
      </c>
      <c r="E76" s="578">
        <v>2022</v>
      </c>
      <c r="F76" s="579">
        <f t="shared" si="9"/>
        <v>2023</v>
      </c>
      <c r="G76" s="580">
        <f t="shared" si="9"/>
        <v>2024</v>
      </c>
      <c r="H76" s="578">
        <f t="shared" si="9"/>
        <v>2025</v>
      </c>
      <c r="I76" s="579">
        <f t="shared" si="9"/>
        <v>2026</v>
      </c>
      <c r="J76" s="579">
        <f t="shared" si="9"/>
        <v>2027</v>
      </c>
      <c r="K76" s="580">
        <f t="shared" si="9"/>
        <v>2028</v>
      </c>
      <c r="L76" s="579">
        <f t="shared" si="9"/>
        <v>2029</v>
      </c>
      <c r="M76" s="579">
        <f t="shared" si="9"/>
        <v>2030</v>
      </c>
      <c r="N76" s="580">
        <f t="shared" si="9"/>
        <v>2031</v>
      </c>
      <c r="O76" s="33"/>
    </row>
    <row r="77" spans="1:15" x14ac:dyDescent="0.25">
      <c r="A77" s="33"/>
      <c r="B77" s="592" t="s">
        <v>381</v>
      </c>
      <c r="C77" s="627"/>
      <c r="D77" s="565" t="s">
        <v>87</v>
      </c>
      <c r="E77" s="581">
        <f ca="1">SUM('Multifamily DCF'!G38,'Multifamily DCF'!G50,'Multifamily DCF'!G62,'Multifamily DCF'!G74,'Multifamily DCF'!G86)</f>
        <v>63.876908591720778</v>
      </c>
      <c r="F77" s="582">
        <f ca="1">SUM('Multifamily DCF'!H38,'Multifamily DCF'!H50,'Multifamily DCF'!H62,'Multifamily DCF'!H74,'Multifamily DCF'!H86)</f>
        <v>118.04872190340909</v>
      </c>
      <c r="G77" s="583">
        <f ca="1">SUM('Multifamily DCF'!I38,'Multifamily DCF'!I50,'Multifamily DCF'!I62,'Multifamily DCF'!I74,'Multifamily DCF'!I86)</f>
        <v>54.171813311688311</v>
      </c>
      <c r="H77" s="581">
        <f ca="1">SUM('Multifamily DCF'!J38,'Multifamily DCF'!J50,'Multifamily DCF'!J62,'Multifamily DCF'!J74,'Multifamily DCF'!J86)</f>
        <v>35.098723620129867</v>
      </c>
      <c r="I77" s="582">
        <f ca="1">SUM('Multifamily DCF'!K38,'Multifamily DCF'!K50,'Multifamily DCF'!K62,'Multifamily DCF'!K74,'Multifamily DCF'!K86)</f>
        <v>78.472124594155844</v>
      </c>
      <c r="J77" s="582">
        <f ca="1">SUM('Multifamily DCF'!L38,'Multifamily DCF'!L50,'Multifamily DCF'!L62,'Multifamily DCF'!L74,'Multifamily DCF'!L86)</f>
        <v>43.373400974025969</v>
      </c>
      <c r="K77" s="583">
        <f ca="1">SUM('Multifamily DCF'!M38,'Multifamily DCF'!M50,'Multifamily DCF'!M62,'Multifamily DCF'!M74,'Multifamily DCF'!M86)</f>
        <v>0</v>
      </c>
      <c r="L77" s="584">
        <f ca="1">SUM('Multifamily DCF'!N38,'Multifamily DCF'!N50,'Multifamily DCF'!N62,'Multifamily DCF'!N74,'Multifamily DCF'!N86)</f>
        <v>0</v>
      </c>
      <c r="M77" s="584">
        <f ca="1">SUM('Multifamily DCF'!O38,'Multifamily DCF'!O50,'Multifamily DCF'!O62,'Multifamily DCF'!O74,'Multifamily DCF'!O86)</f>
        <v>0</v>
      </c>
      <c r="N77" s="585">
        <f ca="1">SUM('Multifamily DCF'!P38,'Multifamily DCF'!P50,'Multifamily DCF'!P62,'Multifamily DCF'!P74,'Multifamily DCF'!P86)</f>
        <v>0</v>
      </c>
      <c r="O77" s="33"/>
    </row>
    <row r="78" spans="1:15" x14ac:dyDescent="0.25">
      <c r="A78" s="33"/>
      <c r="B78" s="592" t="s">
        <v>383</v>
      </c>
      <c r="C78" s="627"/>
      <c r="D78" s="569" t="s">
        <v>87</v>
      </c>
      <c r="E78" s="586">
        <f ca="1">SUM('Multifamily DCF'!G39,'Multifamily DCF'!G51,'Multifamily DCF'!G63,'Multifamily DCF'!G75,'Multifamily DCF'!G87)</f>
        <v>11.993469791666666</v>
      </c>
      <c r="F78" s="584">
        <f ca="1">SUM('Multifamily DCF'!H39,'Multifamily DCF'!H51,'Multifamily DCF'!H63,'Multifamily DCF'!H75,'Multifamily DCF'!H87)</f>
        <v>22.164719791666666</v>
      </c>
      <c r="G78" s="585">
        <f ca="1">SUM('Multifamily DCF'!I39,'Multifamily DCF'!I51,'Multifamily DCF'!I63,'Multifamily DCF'!I75,'Multifamily DCF'!I87)</f>
        <v>10.171250000000001</v>
      </c>
      <c r="H78" s="586">
        <f ca="1">SUM('Multifamily DCF'!J39,'Multifamily DCF'!J51,'Multifamily DCF'!J63,'Multifamily DCF'!J75,'Multifamily DCF'!J87)</f>
        <v>6.5901041666666664</v>
      </c>
      <c r="I78" s="584">
        <f ca="1">SUM('Multifamily DCF'!K39,'Multifamily DCF'!K51,'Multifamily DCF'!K63,'Multifamily DCF'!K75,'Multifamily DCF'!K87)</f>
        <v>14.733854166666667</v>
      </c>
      <c r="J78" s="584">
        <f ca="1">SUM('Multifamily DCF'!L39,'Multifamily DCF'!L51,'Multifamily DCF'!L63,'Multifamily DCF'!L75,'Multifamily DCF'!L87)</f>
        <v>8.1437500000000007</v>
      </c>
      <c r="K78" s="585">
        <f ca="1">SUM('Multifamily DCF'!M39,'Multifamily DCF'!M51,'Multifamily DCF'!M63,'Multifamily DCF'!M75,'Multifamily DCF'!M87)</f>
        <v>0</v>
      </c>
      <c r="L78" s="584">
        <f ca="1">SUM('Multifamily DCF'!N39,'Multifamily DCF'!N51,'Multifamily DCF'!N63,'Multifamily DCF'!N75,'Multifamily DCF'!N87)</f>
        <v>0</v>
      </c>
      <c r="M78" s="584">
        <f ca="1">SUM('Multifamily DCF'!O39,'Multifamily DCF'!O51,'Multifamily DCF'!O63,'Multifamily DCF'!O75,'Multifamily DCF'!O87)</f>
        <v>0</v>
      </c>
      <c r="N78" s="585">
        <f ca="1">SUM('Multifamily DCF'!P39,'Multifamily DCF'!P51,'Multifamily DCF'!P63,'Multifamily DCF'!P75,'Multifamily DCF'!P87)</f>
        <v>0</v>
      </c>
      <c r="O78" s="33"/>
    </row>
    <row r="79" spans="1:15" x14ac:dyDescent="0.25">
      <c r="A79" s="33"/>
      <c r="B79" s="592" t="s">
        <v>382</v>
      </c>
      <c r="C79" s="627"/>
      <c r="D79" s="565" t="s">
        <v>87</v>
      </c>
      <c r="E79" s="586">
        <f ca="1">SUM('Condominium DCF'!G40,'Condominium DCF'!G52,'Condominium DCF'!G64,'Condominium DCF'!G76,'Condominium DCF'!G88)</f>
        <v>23.853813649981731</v>
      </c>
      <c r="F79" s="584">
        <f ca="1">SUM('Condominium DCF'!H40,'Condominium DCF'!H52,'Condominium DCF'!H64,'Condominium DCF'!H76,'Condominium DCF'!H88)</f>
        <v>23.853813649981731</v>
      </c>
      <c r="G79" s="585">
        <f ca="1">SUM('Condominium DCF'!I40,'Condominium DCF'!I52,'Condominium DCF'!I64,'Condominium DCF'!I76,'Condominium DCF'!I88)</f>
        <v>0</v>
      </c>
      <c r="H79" s="586">
        <f ca="1">SUM('Condominium DCF'!J40,'Condominium DCF'!J52,'Condominium DCF'!J64,'Condominium DCF'!J76,'Condominium DCF'!J88)</f>
        <v>36.742710851662409</v>
      </c>
      <c r="I79" s="584">
        <f ca="1">SUM('Condominium DCF'!K40,'Condominium DCF'!K52,'Condominium DCF'!K64,'Condominium DCF'!K76,'Condominium DCF'!K88)</f>
        <v>36.742710851662409</v>
      </c>
      <c r="J79" s="584">
        <f ca="1">SUM('Condominium DCF'!L40,'Condominium DCF'!L52,'Condominium DCF'!L64,'Condominium DCF'!L76,'Condominium DCF'!L88)</f>
        <v>0</v>
      </c>
      <c r="K79" s="585">
        <f ca="1">SUM('Condominium DCF'!M40,'Condominium DCF'!M52,'Condominium DCF'!M64,'Condominium DCF'!M76,'Condominium DCF'!M88)</f>
        <v>0</v>
      </c>
      <c r="L79" s="584">
        <f ca="1">SUM('Condominium DCF'!N40,'Condominium DCF'!N52,'Condominium DCF'!N64,'Condominium DCF'!N76,'Condominium DCF'!N88)</f>
        <v>52.364574936061388</v>
      </c>
      <c r="M79" s="584">
        <f ca="1">SUM('Condominium DCF'!O40,'Condominium DCF'!O52,'Condominium DCF'!O64,'Condominium DCF'!O76,'Condominium DCF'!O88)</f>
        <v>52.364574936061388</v>
      </c>
      <c r="N79" s="585">
        <f ca="1">SUM('Condominium DCF'!P40,'Condominium DCF'!P52,'Condominium DCF'!P64,'Condominium DCF'!P76,'Condominium DCF'!P88)</f>
        <v>0</v>
      </c>
      <c r="O79" s="33"/>
    </row>
    <row r="80" spans="1:15" x14ac:dyDescent="0.25">
      <c r="A80" s="33"/>
      <c r="B80" s="592" t="s">
        <v>384</v>
      </c>
      <c r="C80" s="627"/>
      <c r="D80" s="569" t="s">
        <v>87</v>
      </c>
      <c r="E80" s="586">
        <f ca="1">SUM('Condominium DCF'!G41,'Condominium DCF'!G53,'Condominium DCF'!G65,'Condominium DCF'!G77,'Condominium DCF'!G89)</f>
        <v>4.6990983529411769</v>
      </c>
      <c r="F80" s="584">
        <f ca="1">SUM('Condominium DCF'!H41,'Condominium DCF'!H53,'Condominium DCF'!H65,'Condominium DCF'!H77,'Condominium DCF'!H89)</f>
        <v>4.6990983529411769</v>
      </c>
      <c r="G80" s="585">
        <f ca="1">SUM('Condominium DCF'!I41,'Condominium DCF'!I53,'Condominium DCF'!I65,'Condominium DCF'!I77,'Condominium DCF'!I89)</f>
        <v>0</v>
      </c>
      <c r="H80" s="586">
        <f ca="1">SUM('Condominium DCF'!J41,'Condominium DCF'!J53,'Condominium DCF'!J65,'Condominium DCF'!J77,'Condominium DCF'!J89)</f>
        <v>7.2381554823529441</v>
      </c>
      <c r="I80" s="584">
        <f ca="1">SUM('Condominium DCF'!K41,'Condominium DCF'!K53,'Condominium DCF'!K65,'Condominium DCF'!K77,'Condominium DCF'!K89)</f>
        <v>7.2381554823529441</v>
      </c>
      <c r="J80" s="584">
        <f ca="1">SUM('Condominium DCF'!L41,'Condominium DCF'!L53,'Condominium DCF'!L65,'Condominium DCF'!L77,'Condominium DCF'!L89)</f>
        <v>0</v>
      </c>
      <c r="K80" s="585">
        <f ca="1">SUM('Condominium DCF'!M41,'Condominium DCF'!M53,'Condominium DCF'!M65,'Condominium DCF'!M77,'Condominium DCF'!M89)</f>
        <v>0</v>
      </c>
      <c r="L80" s="584">
        <f ca="1">SUM('Condominium DCF'!N41,'Condominium DCF'!N53,'Condominium DCF'!N65,'Condominium DCF'!N77,'Condominium DCF'!N89)</f>
        <v>10.315595294117649</v>
      </c>
      <c r="M80" s="584">
        <f ca="1">SUM('Condominium DCF'!O41,'Condominium DCF'!O53,'Condominium DCF'!O65,'Condominium DCF'!O77,'Condominium DCF'!O89)</f>
        <v>10.315595294117649</v>
      </c>
      <c r="N80" s="585">
        <f ca="1">SUM('Condominium DCF'!P41,'Condominium DCF'!P53,'Condominium DCF'!P65,'Condominium DCF'!P77,'Condominium DCF'!P89)</f>
        <v>0</v>
      </c>
      <c r="O80" s="33"/>
    </row>
    <row r="81" spans="1:15" x14ac:dyDescent="0.25">
      <c r="A81" s="33"/>
      <c r="B81" s="593" t="s">
        <v>33</v>
      </c>
      <c r="C81" s="628"/>
      <c r="D81" s="569" t="s">
        <v>96</v>
      </c>
      <c r="E81" s="586">
        <f ca="1">'Hotel DCF'!G34</f>
        <v>0</v>
      </c>
      <c r="F81" s="584">
        <f ca="1">'Hotel DCF'!H34</f>
        <v>0</v>
      </c>
      <c r="G81" s="585">
        <f ca="1">'Hotel DCF'!I34</f>
        <v>0</v>
      </c>
      <c r="H81" s="586">
        <f ca="1">'Hotel DCF'!J34</f>
        <v>0</v>
      </c>
      <c r="I81" s="584">
        <f ca="1">'Hotel DCF'!K34</f>
        <v>53.112857142857145</v>
      </c>
      <c r="J81" s="584">
        <f ca="1">'Hotel DCF'!L34</f>
        <v>53.112857142857145</v>
      </c>
      <c r="K81" s="585">
        <f ca="1">'Hotel DCF'!M34</f>
        <v>0</v>
      </c>
      <c r="L81" s="584">
        <f ca="1">'Hotel DCF'!N34</f>
        <v>0</v>
      </c>
      <c r="M81" s="584">
        <f ca="1">'Hotel DCF'!O34</f>
        <v>0</v>
      </c>
      <c r="N81" s="585">
        <f ca="1">'Hotel DCF'!P34</f>
        <v>0</v>
      </c>
      <c r="O81" s="33"/>
    </row>
    <row r="82" spans="1:15" x14ac:dyDescent="0.25">
      <c r="A82" s="33"/>
      <c r="B82" s="593" t="s">
        <v>42</v>
      </c>
      <c r="C82" s="628"/>
      <c r="D82" s="569" t="s">
        <v>87</v>
      </c>
      <c r="E82" s="586">
        <f ca="1">SUM('Parking DCF'!G32,'Parking DCF'!G37,'Parking DCF'!G42,'Parking DCF'!G47,'Parking DCF'!G52,'Parking DCF'!G57,'Parking DCF'!G62,'Parking DCF'!G67)</f>
        <v>29.842424242424244</v>
      </c>
      <c r="F82" s="584">
        <f ca="1">SUM('Parking DCF'!H32,'Parking DCF'!H37,'Parking DCF'!H42,'Parking DCF'!H47,'Parking DCF'!H52,'Parking DCF'!H57,'Parking DCF'!H62,'Parking DCF'!H67)</f>
        <v>119.39545454545456</v>
      </c>
      <c r="G82" s="585">
        <f ca="1">SUM('Parking DCF'!I32,'Parking DCF'!I37,'Parking DCF'!I42,'Parking DCF'!I47,'Parking DCF'!I52,'Parking DCF'!I57,'Parking DCF'!I62,'Parking DCF'!I67)</f>
        <v>45.913636363636364</v>
      </c>
      <c r="H82" s="586">
        <f ca="1">SUM('Parking DCF'!J32,'Parking DCF'!J37,'Parking DCF'!J42,'Parking DCF'!J47,'Parking DCF'!J52,'Parking DCF'!J57,'Parking DCF'!J62,'Parking DCF'!J67)</f>
        <v>80.720575757575759</v>
      </c>
      <c r="I82" s="584">
        <f ca="1">SUM('Parking DCF'!K32,'Parking DCF'!K37,'Parking DCF'!K42,'Parking DCF'!K47,'Parking DCF'!K52,'Parking DCF'!K57,'Parking DCF'!K62,'Parking DCF'!K67)</f>
        <v>71.847848484848484</v>
      </c>
      <c r="J82" s="584">
        <f ca="1">SUM('Parking DCF'!L32,'Parking DCF'!L37,'Parking DCF'!L42,'Parking DCF'!L47,'Parking DCF'!L52,'Parking DCF'!L57,'Parking DCF'!L62,'Parking DCF'!L67)</f>
        <v>0</v>
      </c>
      <c r="K82" s="585">
        <f ca="1">SUM('Parking DCF'!M32,'Parking DCF'!M37,'Parking DCF'!M42,'Parking DCF'!M47,'Parking DCF'!M52,'Parking DCF'!M57,'Parking DCF'!M62,'Parking DCF'!M67)</f>
        <v>0</v>
      </c>
      <c r="L82" s="584">
        <f ca="1">SUM('Parking DCF'!N32,'Parking DCF'!N37,'Parking DCF'!N42,'Parking DCF'!N47,'Parking DCF'!N52,'Parking DCF'!N57,'Parking DCF'!N62,'Parking DCF'!N67)</f>
        <v>105.38484848484848</v>
      </c>
      <c r="M82" s="584">
        <f ca="1">SUM('Parking DCF'!O32,'Parking DCF'!O37,'Parking DCF'!O42,'Parking DCF'!O47,'Parking DCF'!O52,'Parking DCF'!O57,'Parking DCF'!O62,'Parking DCF'!O67)</f>
        <v>105.38484848484848</v>
      </c>
      <c r="N82" s="585">
        <f ca="1">SUM('Parking DCF'!P32,'Parking DCF'!P37,'Parking DCF'!P42,'Parking DCF'!P47,'Parking DCF'!P52,'Parking DCF'!P57,'Parking DCF'!P62,'Parking DCF'!P67)</f>
        <v>0</v>
      </c>
      <c r="O82" s="33"/>
    </row>
    <row r="83" spans="1:15" x14ac:dyDescent="0.25">
      <c r="A83" s="33"/>
      <c r="B83" s="592"/>
      <c r="C83" s="627"/>
      <c r="D83" s="569"/>
      <c r="E83" s="416"/>
      <c r="F83" s="504"/>
      <c r="G83" s="565"/>
      <c r="H83" s="416"/>
      <c r="I83" s="504"/>
      <c r="J83" s="504"/>
      <c r="K83" s="565"/>
      <c r="L83" s="504"/>
      <c r="M83" s="504"/>
      <c r="N83" s="565"/>
      <c r="O83" s="33"/>
    </row>
    <row r="84" spans="1:15" x14ac:dyDescent="0.25">
      <c r="A84" s="33"/>
      <c r="B84" s="593" t="s">
        <v>509</v>
      </c>
      <c r="C84" s="628"/>
      <c r="D84" s="569" t="s">
        <v>493</v>
      </c>
      <c r="E84" s="518">
        <f ca="1">'Office DCF'!G34</f>
        <v>0</v>
      </c>
      <c r="F84" s="514">
        <f ca="1">'Office DCF'!H34</f>
        <v>0</v>
      </c>
      <c r="G84" s="516">
        <f ca="1">'Office DCF'!I34</f>
        <v>0</v>
      </c>
      <c r="H84" s="518">
        <f ca="1">'Office DCF'!J34</f>
        <v>0</v>
      </c>
      <c r="I84" s="514">
        <f ca="1">'Office DCF'!K34</f>
        <v>0</v>
      </c>
      <c r="J84" s="514">
        <f ca="1">'Office DCF'!L34</f>
        <v>0</v>
      </c>
      <c r="K84" s="516">
        <f ca="1">'Office DCF'!M34</f>
        <v>0</v>
      </c>
      <c r="L84" s="514">
        <f ca="1">'Office DCF'!N34</f>
        <v>65595</v>
      </c>
      <c r="M84" s="514">
        <f ca="1">'Office DCF'!O34</f>
        <v>65595</v>
      </c>
      <c r="N84" s="516">
        <f ca="1">'Office DCF'!P34</f>
        <v>0</v>
      </c>
      <c r="O84" s="33"/>
    </row>
    <row r="85" spans="1:15" x14ac:dyDescent="0.25">
      <c r="A85" s="33"/>
      <c r="B85" s="593" t="s">
        <v>510</v>
      </c>
      <c r="C85" s="628"/>
      <c r="D85" s="569" t="s">
        <v>493</v>
      </c>
      <c r="E85" s="518">
        <f ca="1">'Office DCF'!G40</f>
        <v>0</v>
      </c>
      <c r="F85" s="514">
        <f ca="1">'Office DCF'!H40</f>
        <v>0</v>
      </c>
      <c r="G85" s="516">
        <f ca="1">'Office DCF'!I40</f>
        <v>0</v>
      </c>
      <c r="H85" s="518">
        <f ca="1">'Office DCF'!J40</f>
        <v>114217.5</v>
      </c>
      <c r="I85" s="514">
        <f ca="1">'Office DCF'!K40</f>
        <v>114217.5</v>
      </c>
      <c r="J85" s="514">
        <f ca="1">'Office DCF'!L40</f>
        <v>0</v>
      </c>
      <c r="K85" s="516">
        <f ca="1">'Office DCF'!M40</f>
        <v>0</v>
      </c>
      <c r="L85" s="514">
        <f ca="1">'Office DCF'!N40</f>
        <v>0</v>
      </c>
      <c r="M85" s="514">
        <f ca="1">'Office DCF'!O40</f>
        <v>0</v>
      </c>
      <c r="N85" s="516">
        <f ca="1">'Office DCF'!P40</f>
        <v>0</v>
      </c>
      <c r="O85" s="33"/>
    </row>
    <row r="86" spans="1:15" x14ac:dyDescent="0.25">
      <c r="A86" s="33"/>
      <c r="B86" s="592" t="s">
        <v>35</v>
      </c>
      <c r="C86" s="627"/>
      <c r="D86" s="569" t="s">
        <v>493</v>
      </c>
      <c r="E86" s="518">
        <f ca="1">SUM('Retail DCF'!G31,'Retail DCF'!G35,'Retail DCF'!G39,'Retail DCF'!G43,'Retail DCF'!G47,'Retail DCF'!G51,'Retail DCF'!G55,'Retail DCF'!G59,'Retail DCF'!G63,'Retail DCF'!G67,'Retail DCF'!G67,'Retail DCF'!G71,'Retail DCF'!G76)</f>
        <v>75917.5</v>
      </c>
      <c r="F86" s="514">
        <f ca="1">SUM('Retail DCF'!H31,'Retail DCF'!H35,'Retail DCF'!H39,'Retail DCF'!H43,'Retail DCF'!H47,'Retail DCF'!H51,'Retail DCF'!H55,'Retail DCF'!H59,'Retail DCF'!H63,'Retail DCF'!H67,'Retail DCF'!H67,'Retail DCF'!H71,'Retail DCF'!H76)</f>
        <v>149456</v>
      </c>
      <c r="G86" s="516">
        <f ca="1">SUM('Retail DCF'!I31,'Retail DCF'!I35,'Retail DCF'!I39,'Retail DCF'!I43,'Retail DCF'!I47,'Retail DCF'!I51,'Retail DCF'!I55,'Retail DCF'!I59,'Retail DCF'!I63,'Retail DCF'!I67,'Retail DCF'!I67,'Retail DCF'!I71,'Retail DCF'!I76)</f>
        <v>75757.5</v>
      </c>
      <c r="H86" s="518">
        <f ca="1">SUM('Retail DCF'!J31,'Retail DCF'!J35,'Retail DCF'!J39,'Retail DCF'!J43,'Retail DCF'!J47,'Retail DCF'!J51,'Retail DCF'!J55,'Retail DCF'!J59,'Retail DCF'!J63,'Retail DCF'!J67,'Retail DCF'!J67,'Retail DCF'!J71,'Retail DCF'!J76)</f>
        <v>32731</v>
      </c>
      <c r="I86" s="514">
        <f ca="1">SUM('Retail DCF'!K31,'Retail DCF'!K35,'Retail DCF'!K39,'Retail DCF'!K43,'Retail DCF'!K47,'Retail DCF'!K51,'Retail DCF'!K55,'Retail DCF'!K59,'Retail DCF'!K63,'Retail DCF'!K67,'Retail DCF'!K67,'Retail DCF'!K71,'Retail DCF'!K76)</f>
        <v>7818</v>
      </c>
      <c r="J86" s="514">
        <f ca="1">SUM('Retail DCF'!L31,'Retail DCF'!L35,'Retail DCF'!L39,'Retail DCF'!L43,'Retail DCF'!L47,'Retail DCF'!L51,'Retail DCF'!L55,'Retail DCF'!L59,'Retail DCF'!L63,'Retail DCF'!L67,'Retail DCF'!L67,'Retail DCF'!L71,'Retail DCF'!L76)</f>
        <v>0</v>
      </c>
      <c r="K86" s="516">
        <f ca="1">SUM('Retail DCF'!M31,'Retail DCF'!M35,'Retail DCF'!M39,'Retail DCF'!M43,'Retail DCF'!M47,'Retail DCF'!M51,'Retail DCF'!M55,'Retail DCF'!M59,'Retail DCF'!M63,'Retail DCF'!M67,'Retail DCF'!M67,'Retail DCF'!M71,'Retail DCF'!M76)</f>
        <v>0</v>
      </c>
      <c r="L86" s="514">
        <f ca="1">SUM('Retail DCF'!N31,'Retail DCF'!N35,'Retail DCF'!N39,'Retail DCF'!N43,'Retail DCF'!N47,'Retail DCF'!N51,'Retail DCF'!N55,'Retail DCF'!N59,'Retail DCF'!N63,'Retail DCF'!N67,'Retail DCF'!N67,'Retail DCF'!N71,'Retail DCF'!N76)</f>
        <v>9320</v>
      </c>
      <c r="M86" s="514">
        <f ca="1">SUM('Retail DCF'!O31,'Retail DCF'!O35,'Retail DCF'!O39,'Retail DCF'!O43,'Retail DCF'!O47,'Retail DCF'!O51,'Retail DCF'!O55,'Retail DCF'!O59,'Retail DCF'!O63,'Retail DCF'!O67,'Retail DCF'!O67,'Retail DCF'!O71,'Retail DCF'!O76)</f>
        <v>9320</v>
      </c>
      <c r="N86" s="516">
        <f ca="1">SUM('Retail DCF'!P31,'Retail DCF'!P35,'Retail DCF'!P39,'Retail DCF'!P43,'Retail DCF'!P47,'Retail DCF'!P51,'Retail DCF'!P55,'Retail DCF'!P59,'Retail DCF'!P63,'Retail DCF'!P67,'Retail DCF'!P67,'Retail DCF'!P71,'Retail DCF'!P76)</f>
        <v>0</v>
      </c>
      <c r="O86" s="33"/>
    </row>
    <row r="87" spans="1:15" x14ac:dyDescent="0.25">
      <c r="A87" s="33"/>
      <c r="B87" s="593" t="s">
        <v>385</v>
      </c>
      <c r="C87" s="628"/>
      <c r="D87" s="569" t="s">
        <v>493</v>
      </c>
      <c r="E87" s="586">
        <f ca="1">'Hotel DCF'!G29</f>
        <v>0</v>
      </c>
      <c r="F87" s="584">
        <f ca="1">'Hotel DCF'!H29</f>
        <v>0</v>
      </c>
      <c r="G87" s="585">
        <f ca="1">'Hotel DCF'!I29</f>
        <v>0</v>
      </c>
      <c r="H87" s="586">
        <f ca="1">'Hotel DCF'!J29</f>
        <v>0</v>
      </c>
      <c r="I87" s="584">
        <f>'Hotel DCF'!K29</f>
        <v>24300</v>
      </c>
      <c r="J87" s="584">
        <f>'Hotel DCF'!L29</f>
        <v>24300</v>
      </c>
      <c r="K87" s="585">
        <f ca="1">'Hotel DCF'!M29</f>
        <v>0</v>
      </c>
      <c r="L87" s="584">
        <f ca="1">'Hotel DCF'!N29</f>
        <v>0</v>
      </c>
      <c r="M87" s="584">
        <f ca="1">'Hotel DCF'!O29</f>
        <v>0</v>
      </c>
      <c r="N87" s="585">
        <f ca="1">'Hotel DCF'!P29</f>
        <v>0</v>
      </c>
      <c r="O87" s="33"/>
    </row>
    <row r="88" spans="1:15" x14ac:dyDescent="0.25">
      <c r="A88" s="33"/>
      <c r="B88" s="592" t="s">
        <v>386</v>
      </c>
      <c r="C88" s="627"/>
      <c r="D88" s="569" t="s">
        <v>493</v>
      </c>
      <c r="E88" s="586">
        <f ca="1">'Arts DCF'!G33</f>
        <v>0</v>
      </c>
      <c r="F88" s="584">
        <f ca="1">'Arts DCF'!H33</f>
        <v>0</v>
      </c>
      <c r="G88" s="585">
        <f ca="1">'Arts DCF'!I33</f>
        <v>0</v>
      </c>
      <c r="H88" s="586">
        <f>'Arts DCF'!J33</f>
        <v>36012.5</v>
      </c>
      <c r="I88" s="584">
        <f>'Arts DCF'!K33</f>
        <v>36012.5</v>
      </c>
      <c r="J88" s="584">
        <f ca="1">'Arts DCF'!L33</f>
        <v>0</v>
      </c>
      <c r="K88" s="585">
        <f>'Arts DCF'!M33</f>
        <v>0</v>
      </c>
      <c r="L88" s="584">
        <f ca="1">'Arts DCF'!N33</f>
        <v>0</v>
      </c>
      <c r="M88" s="584">
        <f ca="1">'Arts DCF'!O33</f>
        <v>0</v>
      </c>
      <c r="N88" s="585">
        <f ca="1">'Arts DCF'!P33</f>
        <v>0</v>
      </c>
      <c r="O88" s="33"/>
    </row>
    <row r="89" spans="1:15" x14ac:dyDescent="0.25">
      <c r="A89" s="33"/>
      <c r="B89" s="592" t="s">
        <v>387</v>
      </c>
      <c r="C89" s="627"/>
      <c r="D89" s="569" t="s">
        <v>493</v>
      </c>
      <c r="E89" s="586">
        <f ca="1">'Arts DCF'!G37</f>
        <v>0</v>
      </c>
      <c r="F89" s="584">
        <f>'Arts DCF'!H37</f>
        <v>30564</v>
      </c>
      <c r="G89" s="585">
        <f>'Arts DCF'!I37</f>
        <v>30564</v>
      </c>
      <c r="H89" s="586">
        <f ca="1">'Arts DCF'!J37</f>
        <v>0</v>
      </c>
      <c r="I89" s="584">
        <f ca="1">'Arts DCF'!K37</f>
        <v>0</v>
      </c>
      <c r="J89" s="584">
        <f ca="1">'Arts DCF'!L37</f>
        <v>0</v>
      </c>
      <c r="K89" s="585">
        <f ca="1">'Arts DCF'!M37</f>
        <v>0</v>
      </c>
      <c r="L89" s="584">
        <f ca="1">'Arts DCF'!N37</f>
        <v>0</v>
      </c>
      <c r="M89" s="584">
        <f ca="1">'Arts DCF'!O37</f>
        <v>0</v>
      </c>
      <c r="N89" s="585">
        <f ca="1">'Arts DCF'!P37</f>
        <v>0</v>
      </c>
      <c r="O89" s="33"/>
    </row>
    <row r="90" spans="1:15" x14ac:dyDescent="0.25">
      <c r="A90" s="33"/>
      <c r="B90" s="593" t="s">
        <v>511</v>
      </c>
      <c r="C90" s="628"/>
      <c r="D90" s="569" t="s">
        <v>493</v>
      </c>
      <c r="E90" s="586">
        <f ca="1">'Arts DCF'!G41</f>
        <v>0</v>
      </c>
      <c r="F90" s="584">
        <f ca="1">'Arts DCF'!H41</f>
        <v>0</v>
      </c>
      <c r="G90" s="585">
        <f ca="1">'Arts DCF'!I41</f>
        <v>0</v>
      </c>
      <c r="H90" s="586">
        <f ca="1">'Arts DCF'!J41</f>
        <v>0</v>
      </c>
      <c r="I90" s="584">
        <f ca="1">'Arts DCF'!K41</f>
        <v>0</v>
      </c>
      <c r="J90" s="584">
        <f ca="1">'Arts DCF'!L41</f>
        <v>0</v>
      </c>
      <c r="K90" s="585">
        <f ca="1">'Arts DCF'!M41</f>
        <v>0</v>
      </c>
      <c r="L90" s="584">
        <f>'Arts DCF'!N41</f>
        <v>76371.604999999996</v>
      </c>
      <c r="M90" s="584">
        <f>'Arts DCF'!O41</f>
        <v>76371.604999999996</v>
      </c>
      <c r="N90" s="585">
        <f ca="1">'Arts DCF'!P41</f>
        <v>0</v>
      </c>
      <c r="O90" s="33"/>
    </row>
    <row r="91" spans="1:15" x14ac:dyDescent="0.25">
      <c r="A91" s="33"/>
      <c r="B91" s="593" t="s">
        <v>213</v>
      </c>
      <c r="C91" s="628"/>
      <c r="D91" s="569" t="s">
        <v>493</v>
      </c>
      <c r="E91" s="586">
        <f ca="1">SUM('Infrastructure DCF'!G25,'Infrastructure DCF'!G29,'Infrastructure DCF'!G33,'Infrastructure DCF'!G37,'Infrastructure DCF'!G41,'Infrastructure DCF'!G45,'Infrastructure DCF'!G49,'Infrastructure DCF'!G53,'Infrastructure DCF'!G57,'Infrastructure DCF'!G61)</f>
        <v>58118</v>
      </c>
      <c r="F91" s="584">
        <f ca="1">SUM('Infrastructure DCF'!H25,'Infrastructure DCF'!H29,'Infrastructure DCF'!H33,'Infrastructure DCF'!H37,'Infrastructure DCF'!H41,'Infrastructure DCF'!H45,'Infrastructure DCF'!H49,'Infrastructure DCF'!H53,'Infrastructure DCF'!H57,'Infrastructure DCF'!H61)</f>
        <v>60778.5</v>
      </c>
      <c r="G91" s="585">
        <f ca="1">SUM('Infrastructure DCF'!I25,'Infrastructure DCF'!I29,'Infrastructure DCF'!I33,'Infrastructure DCF'!I37,'Infrastructure DCF'!I41,'Infrastructure DCF'!I45,'Infrastructure DCF'!I49,'Infrastructure DCF'!I53,'Infrastructure DCF'!I57,'Infrastructure DCF'!I61)</f>
        <v>60778.5</v>
      </c>
      <c r="H91" s="586">
        <f ca="1">SUM('Infrastructure DCF'!J25,'Infrastructure DCF'!J29,'Infrastructure DCF'!J33,'Infrastructure DCF'!J37,'Infrastructure DCF'!J41,'Infrastructure DCF'!J45,'Infrastructure DCF'!J49,'Infrastructure DCF'!J53,'Infrastructure DCF'!J57,'Infrastructure DCF'!J61)</f>
        <v>42703.75</v>
      </c>
      <c r="I91" s="584">
        <f ca="1">SUM('Infrastructure DCF'!K25,'Infrastructure DCF'!K29,'Infrastructure DCF'!K33,'Infrastructure DCF'!K37,'Infrastructure DCF'!K41,'Infrastructure DCF'!K45,'Infrastructure DCF'!K49,'Infrastructure DCF'!K53,'Infrastructure DCF'!K57,'Infrastructure DCF'!K61)</f>
        <v>52444.083333333336</v>
      </c>
      <c r="J91" s="584">
        <f ca="1">SUM('Infrastructure DCF'!L25,'Infrastructure DCF'!L29,'Infrastructure DCF'!L33,'Infrastructure DCF'!L37,'Infrastructure DCF'!L41,'Infrastructure DCF'!L45,'Infrastructure DCF'!L49,'Infrastructure DCF'!L53,'Infrastructure DCF'!L57,'Infrastructure DCF'!L61)</f>
        <v>52444.083333333336</v>
      </c>
      <c r="K91" s="585">
        <f ca="1">SUM('Infrastructure DCF'!M25,'Infrastructure DCF'!M29,'Infrastructure DCF'!M33,'Infrastructure DCF'!M37,'Infrastructure DCF'!M41,'Infrastructure DCF'!M45,'Infrastructure DCF'!M49,'Infrastructure DCF'!M53,'Infrastructure DCF'!M57,'Infrastructure DCF'!M61)</f>
        <v>52444.083333333336</v>
      </c>
      <c r="L91" s="584">
        <f ca="1">SUM('Infrastructure DCF'!N25,'Infrastructure DCF'!N29,'Infrastructure DCF'!N33,'Infrastructure DCF'!N37,'Infrastructure DCF'!N41,'Infrastructure DCF'!N45,'Infrastructure DCF'!N49,'Infrastructure DCF'!N53,'Infrastructure DCF'!N57,'Infrastructure DCF'!N61)</f>
        <v>43204</v>
      </c>
      <c r="M91" s="584">
        <f ca="1">SUM('Infrastructure DCF'!O25,'Infrastructure DCF'!O29,'Infrastructure DCF'!O33,'Infrastructure DCF'!O37,'Infrastructure DCF'!O41,'Infrastructure DCF'!O45,'Infrastructure DCF'!O49,'Infrastructure DCF'!O53,'Infrastructure DCF'!O57,'Infrastructure DCF'!O61)</f>
        <v>43204</v>
      </c>
      <c r="N91" s="585">
        <f ca="1">SUM('Infrastructure DCF'!P25,'Infrastructure DCF'!P29,'Infrastructure DCF'!P33,'Infrastructure DCF'!P37,'Infrastructure DCF'!P41,'Infrastructure DCF'!P45,'Infrastructure DCF'!P49,'Infrastructure DCF'!P53,'Infrastructure DCF'!P57,'Infrastructure DCF'!P61)</f>
        <v>43204</v>
      </c>
      <c r="O91" s="33"/>
    </row>
    <row r="92" spans="1:15" x14ac:dyDescent="0.25">
      <c r="A92" s="33"/>
      <c r="B92" s="51"/>
      <c r="C92" s="3"/>
      <c r="D92" s="374"/>
      <c r="E92" s="51"/>
      <c r="F92" s="3"/>
      <c r="G92" s="374"/>
      <c r="H92" s="51"/>
      <c r="I92" s="3"/>
      <c r="J92" s="3"/>
      <c r="K92" s="374"/>
      <c r="L92" s="3"/>
      <c r="M92" s="3"/>
      <c r="N92" s="374"/>
      <c r="O92" s="33"/>
    </row>
    <row r="93" spans="1:15" x14ac:dyDescent="0.25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</row>
    <row r="94" spans="1:15" x14ac:dyDescent="0.25">
      <c r="A94" s="33"/>
      <c r="B94" s="594" t="s">
        <v>501</v>
      </c>
      <c r="C94" s="594"/>
      <c r="D94" s="587"/>
      <c r="E94" s="587"/>
      <c r="F94" s="587"/>
      <c r="G94" s="587"/>
      <c r="H94" s="504"/>
      <c r="I94" s="511" t="s">
        <v>507</v>
      </c>
      <c r="J94" s="511"/>
      <c r="K94" s="511"/>
      <c r="L94" s="511"/>
      <c r="M94" s="511"/>
      <c r="N94" s="511"/>
      <c r="O94" s="33"/>
    </row>
    <row r="95" spans="1:15" s="12" customFormat="1" x14ac:dyDescent="0.25">
      <c r="A95" s="9"/>
      <c r="B95" s="595"/>
      <c r="C95" s="595"/>
      <c r="D95" s="11"/>
      <c r="E95" s="11"/>
      <c r="F95" s="11"/>
      <c r="G95" s="11"/>
      <c r="H95" s="11"/>
      <c r="I95" s="13"/>
      <c r="J95" s="13"/>
      <c r="K95" s="13"/>
      <c r="L95" s="13"/>
      <c r="M95" s="13"/>
      <c r="N95" s="13"/>
      <c r="O95" s="9"/>
    </row>
    <row r="96" spans="1:15" x14ac:dyDescent="0.25">
      <c r="A96" s="33"/>
      <c r="B96" s="596" t="s">
        <v>103</v>
      </c>
      <c r="C96" s="629"/>
      <c r="D96" s="736" t="s">
        <v>30</v>
      </c>
      <c r="E96" s="605" t="s">
        <v>36</v>
      </c>
      <c r="F96" s="605" t="s">
        <v>502</v>
      </c>
      <c r="G96" s="611" t="s">
        <v>38</v>
      </c>
      <c r="H96" s="504"/>
      <c r="I96" s="552" t="s">
        <v>508</v>
      </c>
      <c r="J96" s="577"/>
      <c r="K96" s="577"/>
      <c r="L96" s="577"/>
      <c r="M96" s="553" t="s">
        <v>513</v>
      </c>
      <c r="N96" s="554" t="s">
        <v>85</v>
      </c>
      <c r="O96" s="33"/>
    </row>
    <row r="97" spans="1:15" x14ac:dyDescent="0.25">
      <c r="A97" s="33"/>
      <c r="B97" s="597" t="s">
        <v>381</v>
      </c>
      <c r="C97" s="590"/>
      <c r="D97" s="504"/>
      <c r="E97" s="504"/>
      <c r="F97" s="609">
        <f>Costs!F67</f>
        <v>264</v>
      </c>
      <c r="G97" s="613">
        <f ca="1">Costs!G67</f>
        <v>93515745.839999989</v>
      </c>
      <c r="H97" s="504"/>
      <c r="I97" s="416" t="s">
        <v>529</v>
      </c>
      <c r="J97" s="504"/>
      <c r="K97" s="504"/>
      <c r="L97" s="504"/>
      <c r="M97" s="560">
        <f ca="1">'Combined DCF'!E64</f>
        <v>115341472.58788347</v>
      </c>
      <c r="N97" s="699">
        <f ca="1">M97/$M$108</f>
        <v>0.14064572455150956</v>
      </c>
      <c r="O97" s="33"/>
    </row>
    <row r="98" spans="1:15" x14ac:dyDescent="0.25">
      <c r="A98" s="33"/>
      <c r="B98" s="597" t="s">
        <v>383</v>
      </c>
      <c r="C98" s="590"/>
      <c r="D98" s="504"/>
      <c r="E98" s="504"/>
      <c r="F98" s="609"/>
      <c r="G98" s="613"/>
      <c r="H98" s="504"/>
      <c r="I98" s="416"/>
      <c r="J98" s="504"/>
      <c r="K98" s="504"/>
      <c r="L98" s="504"/>
      <c r="M98" s="560"/>
      <c r="N98" s="699"/>
      <c r="O98" s="33"/>
    </row>
    <row r="99" spans="1:15" x14ac:dyDescent="0.25">
      <c r="A99" s="33"/>
      <c r="B99" s="597" t="s">
        <v>382</v>
      </c>
      <c r="C99" s="590"/>
      <c r="D99" s="504"/>
      <c r="E99" s="504"/>
      <c r="F99" s="609">
        <f>Costs!F68</f>
        <v>330</v>
      </c>
      <c r="G99" s="613">
        <f ca="1">Costs!G68</f>
        <v>92885776.500000015</v>
      </c>
      <c r="H99" s="504"/>
      <c r="I99" s="551" t="s">
        <v>573</v>
      </c>
      <c r="J99" s="504"/>
      <c r="K99" s="504"/>
      <c r="L99" s="504"/>
      <c r="M99" s="560"/>
      <c r="N99" s="699"/>
      <c r="O99" s="33"/>
    </row>
    <row r="100" spans="1:15" x14ac:dyDescent="0.25">
      <c r="A100" s="33"/>
      <c r="B100" s="597" t="s">
        <v>384</v>
      </c>
      <c r="C100" s="590"/>
      <c r="D100" s="504"/>
      <c r="E100" s="504"/>
      <c r="F100" s="609"/>
      <c r="G100" s="613"/>
      <c r="H100" s="504"/>
      <c r="I100" s="416" t="s">
        <v>619</v>
      </c>
      <c r="J100" s="504"/>
      <c r="K100" s="504"/>
      <c r="L100" s="504"/>
      <c r="M100" s="560">
        <f ca="1">'Combined DCF'!R67</f>
        <v>214205591.94892645</v>
      </c>
      <c r="N100" s="699">
        <f ca="1">M100/$M$108</f>
        <v>0.26119920273851777</v>
      </c>
      <c r="O100" s="33"/>
    </row>
    <row r="101" spans="1:15" x14ac:dyDescent="0.25">
      <c r="A101" s="33"/>
      <c r="B101" s="598" t="s">
        <v>33</v>
      </c>
      <c r="C101" s="591"/>
      <c r="D101" s="504"/>
      <c r="E101" s="504"/>
      <c r="F101" s="609">
        <f>Costs!F71</f>
        <v>396</v>
      </c>
      <c r="G101" s="613">
        <f ca="1">Costs!G71</f>
        <v>19245600</v>
      </c>
      <c r="H101" s="504"/>
      <c r="I101" s="416" t="s">
        <v>577</v>
      </c>
      <c r="J101" s="504"/>
      <c r="K101" s="504"/>
      <c r="L101" s="504"/>
      <c r="M101" s="560">
        <f ca="1">'Combined DCF'!J79</f>
        <v>449422687.86096358</v>
      </c>
      <c r="N101" s="699">
        <f ca="1">M101/$M$108</f>
        <v>0.54801952971365342</v>
      </c>
      <c r="O101" s="33"/>
    </row>
    <row r="102" spans="1:15" x14ac:dyDescent="0.25">
      <c r="A102" s="33"/>
      <c r="B102" s="598" t="s">
        <v>541</v>
      </c>
      <c r="C102" s="591"/>
      <c r="D102" s="504"/>
      <c r="E102" s="504"/>
      <c r="F102" s="609">
        <f>Costs!F77</f>
        <v>132</v>
      </c>
      <c r="G102" s="613">
        <f ca="1">Costs!G77</f>
        <v>11255452.560000001</v>
      </c>
      <c r="H102" s="504"/>
      <c r="I102" s="416"/>
      <c r="J102" s="504"/>
      <c r="K102" s="504"/>
      <c r="L102" s="504"/>
      <c r="M102" s="560"/>
      <c r="N102" s="699"/>
      <c r="O102" s="33"/>
    </row>
    <row r="103" spans="1:15" x14ac:dyDescent="0.25">
      <c r="A103" s="33"/>
      <c r="B103" s="598" t="s">
        <v>540</v>
      </c>
      <c r="C103" s="591"/>
      <c r="F103" s="609">
        <f>Costs!F78</f>
        <v>158.4</v>
      </c>
      <c r="G103" s="613">
        <f ca="1">Costs!G78</f>
        <v>15686827.200000001</v>
      </c>
      <c r="H103" s="504"/>
      <c r="I103" s="551" t="s">
        <v>512</v>
      </c>
      <c r="J103" s="504"/>
      <c r="K103" s="504"/>
      <c r="L103" s="504"/>
      <c r="M103" s="560"/>
      <c r="N103" s="699"/>
      <c r="O103" s="33"/>
    </row>
    <row r="104" spans="1:15" x14ac:dyDescent="0.25">
      <c r="A104" s="33"/>
      <c r="B104" s="598" t="s">
        <v>509</v>
      </c>
      <c r="C104" s="591"/>
      <c r="D104" s="504"/>
      <c r="E104" s="504"/>
      <c r="F104" s="609">
        <f>Costs!F69</f>
        <v>303.60000000000002</v>
      </c>
      <c r="G104" s="613">
        <f ca="1">Costs!G69</f>
        <v>109182150.00000001</v>
      </c>
      <c r="H104" s="504"/>
      <c r="I104" s="416" t="str">
        <f>'S&amp;U'!B9</f>
        <v>Tri-Rail Station Refund (1)</v>
      </c>
      <c r="J104" s="504"/>
      <c r="K104" s="504"/>
      <c r="L104" s="504"/>
      <c r="M104" s="560">
        <f>'S&amp;U'!I6</f>
        <v>15646847.832</v>
      </c>
      <c r="N104" s="699">
        <f ca="1">M104/$M$108</f>
        <v>1.907954008998871E-2</v>
      </c>
      <c r="O104" s="33"/>
    </row>
    <row r="105" spans="1:15" x14ac:dyDescent="0.25">
      <c r="A105" s="33"/>
      <c r="B105" s="598" t="s">
        <v>510</v>
      </c>
      <c r="C105" s="591"/>
      <c r="D105" s="504"/>
      <c r="E105" s="504"/>
      <c r="F105" s="609"/>
      <c r="G105" s="613"/>
      <c r="H105" s="504"/>
      <c r="I105" s="416" t="str">
        <f>'S&amp;U'!B10</f>
        <v>BUILD Transportation Grants Program (2)</v>
      </c>
      <c r="J105" s="504"/>
      <c r="K105" s="504"/>
      <c r="L105" s="504"/>
      <c r="M105" s="560">
        <f>'S&amp;U'!D10</f>
        <v>25000000</v>
      </c>
      <c r="N105" s="699">
        <f ca="1">M105/$M$108</f>
        <v>3.048463865509124E-2</v>
      </c>
      <c r="O105" s="33"/>
    </row>
    <row r="106" spans="1:15" x14ac:dyDescent="0.25">
      <c r="A106" s="33"/>
      <c r="B106" s="597" t="s">
        <v>35</v>
      </c>
      <c r="C106" s="590"/>
      <c r="D106" s="504"/>
      <c r="E106" s="504"/>
      <c r="F106" s="609">
        <f>Costs!F70</f>
        <v>250.8</v>
      </c>
      <c r="G106" s="613">
        <f ca="1">Costs!G70</f>
        <v>88407501.600000009</v>
      </c>
      <c r="H106" s="504"/>
      <c r="I106" s="416" t="str">
        <f>'S&amp;U'!B11</f>
        <v>Florida Low-Income Housing Credit Program (3)</v>
      </c>
      <c r="J106" s="504"/>
      <c r="K106" s="504"/>
      <c r="L106" s="504"/>
      <c r="M106" s="560">
        <f ca="1">'S&amp;U'!D11</f>
        <v>468567.34772537847</v>
      </c>
      <c r="N106" s="699">
        <f ca="1">M106/$M$108</f>
        <v>5.7136425123930604E-4</v>
      </c>
      <c r="O106" s="33"/>
    </row>
    <row r="107" spans="1:15" x14ac:dyDescent="0.25">
      <c r="A107" s="33"/>
      <c r="B107" s="598" t="s">
        <v>385</v>
      </c>
      <c r="C107" s="591"/>
      <c r="D107" s="504"/>
      <c r="E107" s="504"/>
      <c r="F107" s="609">
        <f>Costs!F72</f>
        <v>475.20000000000005</v>
      </c>
      <c r="G107" s="613">
        <f ca="1">Costs!G72</f>
        <v>23256288.000000004</v>
      </c>
      <c r="H107" s="504"/>
      <c r="I107" s="416"/>
      <c r="J107" s="504"/>
      <c r="K107" s="504"/>
      <c r="L107" s="504"/>
      <c r="M107" s="560"/>
      <c r="N107" s="699"/>
      <c r="O107" s="33"/>
    </row>
    <row r="108" spans="1:15" x14ac:dyDescent="0.25">
      <c r="A108" s="33"/>
      <c r="B108" s="597" t="s">
        <v>386</v>
      </c>
      <c r="C108" s="590"/>
      <c r="D108" s="504"/>
      <c r="E108" s="504"/>
      <c r="F108" s="609">
        <f>Costs!F73</f>
        <v>528</v>
      </c>
      <c r="G108" s="613">
        <f ca="1">Costs!G73</f>
        <v>150953198.88</v>
      </c>
      <c r="H108" s="504"/>
      <c r="I108" s="343" t="s">
        <v>530</v>
      </c>
      <c r="J108" s="504"/>
      <c r="K108" s="504"/>
      <c r="L108" s="504"/>
      <c r="M108" s="560">
        <f ca="1">SUM(M96:M106)</f>
        <v>820085167.57749891</v>
      </c>
      <c r="N108" s="699">
        <f ca="1">SUM(N97:N106)</f>
        <v>0.99999999999999989</v>
      </c>
      <c r="O108" s="33"/>
    </row>
    <row r="109" spans="1:15" x14ac:dyDescent="0.25">
      <c r="A109" s="33"/>
      <c r="B109" s="597" t="s">
        <v>387</v>
      </c>
      <c r="C109" s="590"/>
      <c r="D109" s="504"/>
      <c r="E109" s="504"/>
      <c r="F109" s="609"/>
      <c r="G109" s="613"/>
      <c r="H109" s="504"/>
      <c r="I109" s="700" t="s">
        <v>533</v>
      </c>
      <c r="J109" s="701"/>
      <c r="K109" s="701"/>
      <c r="L109" s="701"/>
      <c r="M109" s="702"/>
      <c r="N109" s="569"/>
      <c r="O109" s="33"/>
    </row>
    <row r="110" spans="1:15" x14ac:dyDescent="0.25">
      <c r="A110" s="33"/>
      <c r="B110" s="598" t="s">
        <v>511</v>
      </c>
      <c r="C110" s="591"/>
      <c r="D110" s="504"/>
      <c r="E110" s="504"/>
      <c r="F110" s="609"/>
      <c r="G110" s="613"/>
      <c r="H110" s="504"/>
      <c r="I110" s="700" t="s">
        <v>532</v>
      </c>
      <c r="J110" s="701"/>
      <c r="K110" s="701"/>
      <c r="L110" s="701"/>
      <c r="M110" s="702"/>
      <c r="N110" s="569"/>
      <c r="O110" s="33"/>
    </row>
    <row r="111" spans="1:15" x14ac:dyDescent="0.25">
      <c r="A111" s="33"/>
      <c r="B111" s="598" t="s">
        <v>505</v>
      </c>
      <c r="C111" s="591"/>
      <c r="D111" s="504"/>
      <c r="E111" s="504"/>
      <c r="F111" s="609"/>
      <c r="G111" s="614">
        <f>Costs!G26</f>
        <v>99586169.280000001</v>
      </c>
      <c r="H111" s="504"/>
      <c r="I111" s="703" t="s">
        <v>531</v>
      </c>
      <c r="J111" s="704"/>
      <c r="K111" s="704"/>
      <c r="L111" s="704"/>
      <c r="M111" s="705"/>
      <c r="N111" s="571"/>
      <c r="O111" s="33"/>
    </row>
    <row r="112" spans="1:15" x14ac:dyDescent="0.25">
      <c r="A112" s="33"/>
      <c r="B112" s="599" t="s">
        <v>60</v>
      </c>
      <c r="C112" s="630"/>
      <c r="D112" s="588"/>
      <c r="E112" s="588"/>
      <c r="F112" s="610">
        <f>Costs!F50+Costs!F33</f>
        <v>19.8</v>
      </c>
      <c r="G112" s="615">
        <f>Costs!G50+Costs!G33</f>
        <v>5120656.2</v>
      </c>
      <c r="H112" s="504"/>
      <c r="O112" s="33"/>
    </row>
    <row r="113" spans="1:15" x14ac:dyDescent="0.25">
      <c r="A113" s="33"/>
      <c r="B113" s="600" t="s">
        <v>574</v>
      </c>
      <c r="C113" s="631"/>
      <c r="D113" s="504"/>
      <c r="E113" s="504"/>
      <c r="F113" s="504"/>
      <c r="G113" s="612">
        <f ca="1">SUM(G97:G112)</f>
        <v>709095366.06000006</v>
      </c>
      <c r="H113" s="504"/>
      <c r="I113" s="511" t="s">
        <v>537</v>
      </c>
      <c r="J113" s="511"/>
      <c r="K113" s="511"/>
      <c r="L113" s="511"/>
      <c r="M113" s="511"/>
      <c r="N113" s="511"/>
      <c r="O113" s="33"/>
    </row>
    <row r="114" spans="1:15" x14ac:dyDescent="0.25">
      <c r="A114" s="33"/>
      <c r="B114" s="600"/>
      <c r="C114" s="631"/>
      <c r="D114" s="504"/>
      <c r="E114" s="504"/>
      <c r="F114" s="504"/>
      <c r="G114" s="604"/>
      <c r="H114" s="504"/>
      <c r="I114" s="504"/>
      <c r="J114" s="504"/>
      <c r="K114" s="504"/>
      <c r="L114" s="504"/>
      <c r="M114" s="504"/>
      <c r="N114" s="504"/>
      <c r="O114" s="33"/>
    </row>
    <row r="115" spans="1:15" x14ac:dyDescent="0.25">
      <c r="A115" s="33"/>
      <c r="B115" s="601" t="s">
        <v>213</v>
      </c>
      <c r="C115" s="632"/>
      <c r="D115" s="733" t="s">
        <v>30</v>
      </c>
      <c r="E115" s="353" t="s">
        <v>36</v>
      </c>
      <c r="F115" s="353" t="s">
        <v>502</v>
      </c>
      <c r="G115" s="616" t="s">
        <v>38</v>
      </c>
      <c r="H115" s="504"/>
      <c r="I115" s="741" t="s">
        <v>579</v>
      </c>
      <c r="J115" s="577"/>
      <c r="K115" s="515"/>
      <c r="L115" s="736" t="s">
        <v>538</v>
      </c>
      <c r="M115" s="742" t="s">
        <v>207</v>
      </c>
      <c r="N115" s="602"/>
      <c r="O115" s="33"/>
    </row>
    <row r="116" spans="1:15" x14ac:dyDescent="0.25">
      <c r="A116" s="33"/>
      <c r="B116" s="598" t="s">
        <v>503</v>
      </c>
      <c r="C116" s="591"/>
      <c r="D116" s="504"/>
      <c r="E116" s="504"/>
      <c r="F116" s="147">
        <f>Costs!F43+Costs!F60</f>
        <v>396</v>
      </c>
      <c r="G116" s="204">
        <f ca="1">'Infrastructure DCF'!C106</f>
        <v>13810104</v>
      </c>
      <c r="H116" s="504"/>
      <c r="I116" s="597" t="s">
        <v>588</v>
      </c>
      <c r="J116" s="504"/>
      <c r="K116" s="34"/>
      <c r="L116" s="737">
        <f>AVERAGE('Multifamily DCF'!K6:K10)</f>
        <v>3.2833333333333337</v>
      </c>
      <c r="M116" s="504" t="s">
        <v>599</v>
      </c>
      <c r="N116" s="565"/>
      <c r="O116" s="33"/>
    </row>
    <row r="117" spans="1:15" x14ac:dyDescent="0.25">
      <c r="A117" s="33"/>
      <c r="B117" s="598" t="s">
        <v>504</v>
      </c>
      <c r="C117" s="591"/>
      <c r="D117" s="504"/>
      <c r="E117" s="504"/>
      <c r="F117" s="147">
        <f>SUM(Costs!F41,Costs!F58)</f>
        <v>726</v>
      </c>
      <c r="G117" s="604">
        <f ca="1">'Infrastructure DCF'!C104</f>
        <v>25077492.000000007</v>
      </c>
      <c r="H117" s="504"/>
      <c r="I117" s="597" t="s">
        <v>587</v>
      </c>
      <c r="J117" s="504"/>
      <c r="K117" s="34"/>
      <c r="L117" s="737">
        <f>AVERAGE('Multifamily DCF'!K13:K14)</f>
        <v>1.1000000000000001</v>
      </c>
      <c r="M117" s="734" t="s">
        <v>601</v>
      </c>
      <c r="N117" s="565"/>
      <c r="O117" s="33"/>
    </row>
    <row r="118" spans="1:15" x14ac:dyDescent="0.25">
      <c r="A118" s="33"/>
      <c r="B118" s="599" t="s">
        <v>539</v>
      </c>
      <c r="C118" s="630"/>
      <c r="D118" s="588"/>
      <c r="E118" s="588"/>
      <c r="F118" s="525">
        <f>SUM(Costs!F59,Costs!F42)</f>
        <v>66</v>
      </c>
      <c r="G118" s="608">
        <f ca="1">'Infrastructure DCF'!C105</f>
        <v>29033862</v>
      </c>
      <c r="H118" s="504"/>
      <c r="I118" s="597" t="s">
        <v>583</v>
      </c>
      <c r="J118" s="504"/>
      <c r="K118" s="34"/>
      <c r="L118" s="739">
        <v>0.85</v>
      </c>
      <c r="M118" s="504" t="s">
        <v>603</v>
      </c>
      <c r="N118" s="565"/>
      <c r="O118" s="33"/>
    </row>
    <row r="119" spans="1:15" x14ac:dyDescent="0.25">
      <c r="A119" s="33"/>
      <c r="B119" s="600" t="s">
        <v>506</v>
      </c>
      <c r="C119" s="631"/>
      <c r="D119" s="504"/>
      <c r="E119" s="504"/>
      <c r="F119" s="504"/>
      <c r="G119" s="604">
        <f ca="1">SUM(G116:G118)</f>
        <v>67921458</v>
      </c>
      <c r="H119" s="504"/>
      <c r="I119" s="597" t="s">
        <v>585</v>
      </c>
      <c r="J119" s="504"/>
      <c r="K119" s="34"/>
      <c r="L119" s="737">
        <f>AVERAGE('Condominium DCF'!K7:K11)</f>
        <v>710</v>
      </c>
      <c r="M119" s="11" t="s">
        <v>606</v>
      </c>
      <c r="N119" s="565"/>
      <c r="O119" s="33"/>
    </row>
    <row r="120" spans="1:15" x14ac:dyDescent="0.25">
      <c r="A120" s="33"/>
      <c r="B120" s="600"/>
      <c r="C120" s="631"/>
      <c r="D120" s="504"/>
      <c r="E120" s="504"/>
      <c r="F120" s="504"/>
      <c r="G120" s="604"/>
      <c r="H120" s="504"/>
      <c r="I120" s="597" t="s">
        <v>586</v>
      </c>
      <c r="J120" s="504"/>
      <c r="K120" s="504"/>
      <c r="L120" s="737">
        <f>AVERAGE('Condominium DCF'!K14:K15)</f>
        <v>300</v>
      </c>
      <c r="M120" s="504"/>
      <c r="N120" s="565"/>
      <c r="O120" s="33"/>
    </row>
    <row r="121" spans="1:15" x14ac:dyDescent="0.25">
      <c r="A121" s="33"/>
      <c r="B121" s="416" t="s">
        <v>39</v>
      </c>
      <c r="C121" s="504"/>
      <c r="D121" s="504"/>
      <c r="E121" s="504"/>
      <c r="F121" s="246">
        <v>0.1</v>
      </c>
      <c r="G121" s="604">
        <f ca="1">F121*SUM(G119,G113)</f>
        <v>77701682.406000003</v>
      </c>
      <c r="H121" s="504"/>
      <c r="I121" s="598" t="s">
        <v>580</v>
      </c>
      <c r="J121" s="504"/>
      <c r="K121" s="504"/>
      <c r="L121" s="738">
        <f>'Hotel DCF'!C37</f>
        <v>220</v>
      </c>
      <c r="M121" s="504" t="s">
        <v>600</v>
      </c>
      <c r="N121" s="565"/>
      <c r="O121" s="33"/>
    </row>
    <row r="122" spans="1:15" x14ac:dyDescent="0.25">
      <c r="A122" s="33"/>
      <c r="B122" s="562" t="s">
        <v>40</v>
      </c>
      <c r="C122" s="588"/>
      <c r="D122" s="588"/>
      <c r="E122" s="588"/>
      <c r="F122" s="102">
        <v>0.03</v>
      </c>
      <c r="G122" s="608">
        <f ca="1">F122*SUM(G121,G119,G113)</f>
        <v>25641555.193980001</v>
      </c>
      <c r="H122" s="504"/>
      <c r="I122" s="743" t="s">
        <v>582</v>
      </c>
      <c r="J122" s="504"/>
      <c r="K122" s="504"/>
      <c r="L122" s="738">
        <f>'Hotel DCF'!C38</f>
        <v>165</v>
      </c>
      <c r="M122" s="504" t="s">
        <v>600</v>
      </c>
      <c r="N122" s="565"/>
      <c r="O122" s="33"/>
    </row>
    <row r="123" spans="1:15" x14ac:dyDescent="0.25">
      <c r="A123" s="33"/>
      <c r="B123" s="570" t="s">
        <v>104</v>
      </c>
      <c r="C123" s="10"/>
      <c r="D123" s="588"/>
      <c r="E123" s="588"/>
      <c r="F123" s="588"/>
      <c r="G123" s="608">
        <f ca="1">G113+G122+G119+G121</f>
        <v>880360061.65998006</v>
      </c>
      <c r="H123" s="504"/>
      <c r="I123" s="743" t="s">
        <v>581</v>
      </c>
      <c r="J123" s="504"/>
      <c r="K123" s="504"/>
      <c r="L123" s="739">
        <f>'Hotel DCF'!J11</f>
        <v>0.85</v>
      </c>
      <c r="M123" s="504" t="s">
        <v>600</v>
      </c>
      <c r="N123" s="565"/>
      <c r="O123" s="33"/>
    </row>
    <row r="124" spans="1:15" x14ac:dyDescent="0.25">
      <c r="A124" s="33"/>
      <c r="B124" s="490" t="s">
        <v>478</v>
      </c>
      <c r="C124" s="504"/>
      <c r="D124" s="504"/>
      <c r="E124" s="504"/>
      <c r="F124" s="504"/>
      <c r="G124" s="504"/>
      <c r="H124" s="504"/>
      <c r="I124" s="598" t="s">
        <v>584</v>
      </c>
      <c r="J124" s="504"/>
      <c r="K124" s="504"/>
      <c r="L124" s="606">
        <f>'Parking DCF'!J6</f>
        <v>120</v>
      </c>
      <c r="M124" s="735" t="s">
        <v>604</v>
      </c>
      <c r="N124" s="565"/>
      <c r="O124" s="33"/>
    </row>
    <row r="125" spans="1:15" x14ac:dyDescent="0.25">
      <c r="A125" s="33"/>
      <c r="B125" s="504"/>
      <c r="C125" s="504"/>
      <c r="D125" s="504"/>
      <c r="E125" s="504"/>
      <c r="F125" s="504"/>
      <c r="G125" s="504"/>
      <c r="H125" s="504"/>
      <c r="I125" s="598" t="s">
        <v>595</v>
      </c>
      <c r="J125" s="504"/>
      <c r="K125" s="504"/>
      <c r="L125" s="737">
        <f>'Office DCF'!K7</f>
        <v>1.5</v>
      </c>
      <c r="M125" s="504" t="s">
        <v>598</v>
      </c>
      <c r="N125" s="565"/>
      <c r="O125" s="33"/>
    </row>
    <row r="126" spans="1:15" x14ac:dyDescent="0.25">
      <c r="A126" s="33"/>
      <c r="B126" s="185"/>
      <c r="C126" s="185"/>
      <c r="D126" s="185"/>
      <c r="E126" s="185"/>
      <c r="F126" s="185"/>
      <c r="G126" s="185"/>
      <c r="H126" s="504"/>
      <c r="I126" s="598" t="s">
        <v>594</v>
      </c>
      <c r="J126" s="504"/>
      <c r="K126" s="504"/>
      <c r="L126" s="737">
        <f>'Office DCF'!K10</f>
        <v>2.5</v>
      </c>
      <c r="M126" s="504" t="s">
        <v>598</v>
      </c>
      <c r="N126" s="565"/>
      <c r="O126" s="33"/>
    </row>
    <row r="127" spans="1:15" x14ac:dyDescent="0.25">
      <c r="A127" s="33"/>
      <c r="B127" s="185"/>
      <c r="C127" s="185"/>
      <c r="D127" s="185"/>
      <c r="E127" s="185"/>
      <c r="F127" s="185"/>
      <c r="G127" s="185"/>
      <c r="H127" s="504"/>
      <c r="I127" s="597" t="s">
        <v>596</v>
      </c>
      <c r="J127" s="504"/>
      <c r="K127" s="504"/>
      <c r="L127" s="737">
        <f>'Retail DCF'!J6</f>
        <v>50</v>
      </c>
      <c r="M127" s="504" t="s">
        <v>603</v>
      </c>
      <c r="N127" s="565"/>
      <c r="O127" s="33"/>
    </row>
    <row r="128" spans="1:15" x14ac:dyDescent="0.25">
      <c r="A128" s="33"/>
      <c r="B128" s="185"/>
      <c r="C128" s="185"/>
      <c r="D128" s="185"/>
      <c r="E128" s="185"/>
      <c r="F128" s="185"/>
      <c r="G128" s="185"/>
      <c r="H128" s="504"/>
      <c r="I128" s="597" t="s">
        <v>602</v>
      </c>
      <c r="J128" s="504"/>
      <c r="K128" s="504"/>
      <c r="L128" s="740">
        <f>'Retail DCF'!G16</f>
        <v>0.85</v>
      </c>
      <c r="M128" s="504" t="s">
        <v>599</v>
      </c>
      <c r="N128" s="565"/>
      <c r="O128" s="33"/>
    </row>
    <row r="129" spans="1:15" x14ac:dyDescent="0.25">
      <c r="A129" s="33"/>
      <c r="B129" s="185"/>
      <c r="C129" s="185"/>
      <c r="D129" s="185"/>
      <c r="E129" s="185"/>
      <c r="F129" s="185"/>
      <c r="G129" s="185"/>
      <c r="H129" s="504"/>
      <c r="I129" s="598"/>
      <c r="J129" s="504"/>
      <c r="K129" s="504"/>
      <c r="L129" s="504"/>
      <c r="M129" s="504"/>
      <c r="N129" s="565"/>
      <c r="O129" s="33"/>
    </row>
    <row r="130" spans="1:15" x14ac:dyDescent="0.25">
      <c r="A130" s="33"/>
      <c r="B130" s="185"/>
      <c r="C130" s="185"/>
      <c r="D130" s="185"/>
      <c r="E130" s="185"/>
      <c r="F130" s="185"/>
      <c r="G130" s="185"/>
      <c r="H130" s="504"/>
      <c r="I130" s="343" t="s">
        <v>597</v>
      </c>
      <c r="J130" s="504"/>
      <c r="K130" s="504"/>
      <c r="L130" s="504"/>
      <c r="M130" s="504"/>
      <c r="N130" s="565"/>
      <c r="O130" s="33"/>
    </row>
    <row r="131" spans="1:15" x14ac:dyDescent="0.25">
      <c r="A131" s="33"/>
      <c r="B131" s="185"/>
      <c r="C131" s="185"/>
      <c r="D131" s="185"/>
      <c r="E131" s="185"/>
      <c r="F131" s="185"/>
      <c r="G131" s="185"/>
      <c r="H131" s="504"/>
      <c r="I131" s="597" t="s">
        <v>31</v>
      </c>
      <c r="J131" s="504"/>
      <c r="K131" s="504"/>
      <c r="L131" s="417">
        <f>'Multifamily DCF'!G17</f>
        <v>5.5E-2</v>
      </c>
      <c r="M131" s="11" t="s">
        <v>605</v>
      </c>
      <c r="N131" s="565"/>
      <c r="O131" s="33"/>
    </row>
    <row r="132" spans="1:15" x14ac:dyDescent="0.25">
      <c r="A132" s="33"/>
      <c r="B132" s="185"/>
      <c r="C132" s="191"/>
      <c r="D132" s="191"/>
      <c r="E132" s="191"/>
      <c r="F132" s="191"/>
      <c r="G132" s="504"/>
      <c r="H132" s="33"/>
      <c r="I132" s="598" t="s">
        <v>33</v>
      </c>
      <c r="J132" s="34"/>
      <c r="K132" s="34"/>
      <c r="L132" s="417">
        <f>'Hotel DCF'!J13</f>
        <v>7.4999999999999997E-2</v>
      </c>
      <c r="M132" s="11" t="s">
        <v>605</v>
      </c>
      <c r="N132" s="372"/>
      <c r="O132" s="33"/>
    </row>
    <row r="133" spans="1:15" x14ac:dyDescent="0.25">
      <c r="A133" s="33"/>
      <c r="B133" s="185"/>
      <c r="C133" s="191"/>
      <c r="D133" s="191"/>
      <c r="E133" s="191"/>
      <c r="F133" s="191"/>
      <c r="G133" s="33"/>
      <c r="H133" s="33"/>
      <c r="I133" s="598" t="s">
        <v>34</v>
      </c>
      <c r="J133" s="504"/>
      <c r="K133" s="504"/>
      <c r="L133" s="417">
        <f>'Office DCF'!G22</f>
        <v>7.0000000000000007E-2</v>
      </c>
      <c r="M133" s="11" t="s">
        <v>605</v>
      </c>
      <c r="N133" s="565"/>
      <c r="O133" s="33"/>
    </row>
    <row r="134" spans="1:15" x14ac:dyDescent="0.25">
      <c r="A134" s="33"/>
      <c r="B134" s="185"/>
      <c r="C134" s="191"/>
      <c r="D134" s="191"/>
      <c r="E134" s="191"/>
      <c r="F134" s="191"/>
      <c r="G134" s="33"/>
      <c r="H134" s="33"/>
      <c r="I134" s="598" t="s">
        <v>35</v>
      </c>
      <c r="J134" s="504"/>
      <c r="K134" s="504"/>
      <c r="L134" s="417">
        <f>'Retail DCF'!G19</f>
        <v>6.5000000000000002E-2</v>
      </c>
      <c r="M134" s="11" t="s">
        <v>605</v>
      </c>
      <c r="N134" s="565"/>
      <c r="O134" s="33"/>
    </row>
    <row r="135" spans="1:15" x14ac:dyDescent="0.25">
      <c r="A135" s="33"/>
      <c r="B135" s="185"/>
      <c r="C135" s="191"/>
      <c r="D135" s="191"/>
      <c r="E135" s="191"/>
      <c r="F135" s="191"/>
      <c r="G135" s="33"/>
      <c r="H135" s="33"/>
      <c r="I135" s="599" t="s">
        <v>42</v>
      </c>
      <c r="J135" s="588"/>
      <c r="K135" s="588"/>
      <c r="L135" s="163">
        <f>'Parking DCF'!G19</f>
        <v>0.08</v>
      </c>
      <c r="M135" s="588"/>
      <c r="N135" s="589"/>
      <c r="O135" s="33"/>
    </row>
    <row r="136" spans="1:15" x14ac:dyDescent="0.25">
      <c r="A136" s="33"/>
      <c r="B136" s="187"/>
      <c r="C136" s="191"/>
      <c r="D136" s="191"/>
      <c r="E136" s="191"/>
      <c r="F136" s="191"/>
      <c r="G136" s="33"/>
      <c r="H136" s="33"/>
      <c r="I136" s="33"/>
      <c r="J136" s="33"/>
      <c r="K136" s="33"/>
      <c r="L136" s="33"/>
      <c r="M136" s="33"/>
      <c r="N136" s="33"/>
      <c r="O136" s="33"/>
    </row>
    <row r="137" spans="1:15" x14ac:dyDescent="0.25">
      <c r="A137" s="33"/>
      <c r="B137" s="187"/>
      <c r="C137" s="191"/>
      <c r="D137" s="191"/>
      <c r="E137" s="191"/>
      <c r="F137" s="191"/>
      <c r="G137" s="33"/>
      <c r="H137" s="33"/>
      <c r="I137" s="33"/>
      <c r="J137" s="33"/>
      <c r="K137" s="33"/>
      <c r="L137" s="33"/>
      <c r="M137" s="33"/>
      <c r="N137" s="33"/>
      <c r="O137" s="33"/>
    </row>
    <row r="138" spans="1:15" x14ac:dyDescent="0.25">
      <c r="A138" s="33"/>
      <c r="B138" s="187"/>
      <c r="C138" s="187"/>
      <c r="D138" s="187"/>
      <c r="E138" s="187"/>
      <c r="F138" s="187"/>
      <c r="G138" s="33"/>
      <c r="H138" s="33"/>
      <c r="I138" s="33"/>
      <c r="J138" s="33"/>
      <c r="K138" s="33"/>
      <c r="L138" s="33"/>
      <c r="M138" s="33"/>
      <c r="N138" s="33"/>
      <c r="O138" s="33"/>
    </row>
    <row r="139" spans="1:15" x14ac:dyDescent="0.25">
      <c r="A139" s="33"/>
      <c r="B139" s="187"/>
      <c r="C139" s="187"/>
      <c r="D139" s="187"/>
      <c r="E139" s="187"/>
      <c r="F139" s="187"/>
      <c r="G139" s="33"/>
      <c r="H139" s="33"/>
      <c r="I139" s="33"/>
      <c r="J139" s="33"/>
      <c r="K139" s="33"/>
      <c r="L139" s="33"/>
      <c r="M139" s="33"/>
      <c r="N139" s="33"/>
      <c r="O139" s="33"/>
    </row>
    <row r="140" spans="1:15" x14ac:dyDescent="0.25">
      <c r="A140" s="33"/>
      <c r="B140" s="187"/>
      <c r="C140" s="187"/>
      <c r="D140" s="187"/>
      <c r="E140" s="187"/>
      <c r="F140" s="187"/>
      <c r="G140" s="33"/>
      <c r="H140" s="33"/>
      <c r="I140" s="33"/>
      <c r="J140" s="33"/>
      <c r="K140" s="33"/>
      <c r="L140" s="33"/>
      <c r="M140" s="33"/>
      <c r="N140" s="33"/>
      <c r="O140" s="33"/>
    </row>
    <row r="141" spans="1:15" x14ac:dyDescent="0.25">
      <c r="A141" s="33"/>
      <c r="B141" s="187"/>
      <c r="C141" s="187"/>
      <c r="D141" s="187"/>
      <c r="E141" s="187"/>
      <c r="F141" s="187"/>
      <c r="G141" s="33"/>
      <c r="H141" s="33"/>
      <c r="I141" s="33"/>
      <c r="J141" s="33"/>
      <c r="K141" s="33"/>
      <c r="L141" s="33"/>
      <c r="M141" s="33"/>
      <c r="N141" s="33"/>
      <c r="O141" s="33"/>
    </row>
    <row r="142" spans="1:15" x14ac:dyDescent="0.25">
      <c r="A142" s="33"/>
      <c r="B142" s="187"/>
      <c r="C142" s="187"/>
      <c r="D142" s="187"/>
      <c r="E142" s="187"/>
      <c r="F142" s="187"/>
      <c r="G142" s="33"/>
      <c r="H142" s="33"/>
      <c r="I142" s="33"/>
      <c r="J142" s="33"/>
      <c r="K142" s="33"/>
      <c r="L142" s="33"/>
      <c r="M142" s="33"/>
      <c r="N142" s="33"/>
      <c r="O142" s="33"/>
    </row>
    <row r="143" spans="1:15" x14ac:dyDescent="0.25">
      <c r="A143" s="33"/>
      <c r="B143" s="187"/>
      <c r="C143" s="187"/>
      <c r="D143" s="187"/>
      <c r="E143" s="187"/>
      <c r="F143" s="187"/>
      <c r="G143" s="33"/>
      <c r="H143" s="33"/>
      <c r="I143" s="33"/>
      <c r="J143" s="33"/>
      <c r="K143" s="33"/>
      <c r="L143" s="33"/>
      <c r="M143" s="33"/>
      <c r="N143" s="33"/>
      <c r="O143" s="33"/>
    </row>
    <row r="144" spans="1:15" x14ac:dyDescent="0.25">
      <c r="A144" s="33"/>
      <c r="B144" s="187"/>
      <c r="C144" s="187"/>
      <c r="D144" s="187"/>
      <c r="E144" s="187"/>
      <c r="F144" s="187"/>
      <c r="G144" s="33"/>
      <c r="H144" s="33"/>
      <c r="I144" s="33"/>
      <c r="J144" s="33"/>
      <c r="K144" s="33"/>
      <c r="L144" s="33"/>
      <c r="M144" s="33"/>
      <c r="N144" s="33"/>
      <c r="O144" s="33"/>
    </row>
  </sheetData>
  <mergeCells count="1">
    <mergeCell ref="D7:N7"/>
  </mergeCells>
  <conditionalFormatting sqref="A74:C76 E77:E78 A77:A93 F77:N79 D8:P11 A94:N96 D78:E79 J99:N100 J103:N106 D80:N91 D99:F102 B116:E118 G117:G118 D104:F110 H99:H100 D97:N98 D111:G114 A145:N201 H116:H131 B119:G119 I107:N108 H102:H114 H101:N101 G132:H132 I113:N114 J116:J119 G133:L134 L119:L120 L115:N117 J120:N131 B115:J115 N133:N134 M118:N119 B121:G127 G128 A97:A144 G135:N144 A7:N73">
    <cfRule type="cellIs" dxfId="358" priority="38" operator="lessThan">
      <formula>0</formula>
    </cfRule>
  </conditionalFormatting>
  <conditionalFormatting sqref="D7:N7">
    <cfRule type="cellIs" dxfId="357" priority="37" operator="lessThan">
      <formula>0</formula>
    </cfRule>
  </conditionalFormatting>
  <conditionalFormatting sqref="D74:D78">
    <cfRule type="cellIs" dxfId="356" priority="34" operator="lessThan">
      <formula>0</formula>
    </cfRule>
  </conditionalFormatting>
  <conditionalFormatting sqref="E74:N76">
    <cfRule type="cellIs" dxfId="355" priority="35" operator="lessThan">
      <formula>0</formula>
    </cfRule>
  </conditionalFormatting>
  <conditionalFormatting sqref="I99:I100">
    <cfRule type="cellIs" dxfId="354" priority="32" operator="lessThan">
      <formula>0</formula>
    </cfRule>
  </conditionalFormatting>
  <conditionalFormatting sqref="I103:I104">
    <cfRule type="cellIs" dxfId="353" priority="31" operator="lessThan">
      <formula>0</formula>
    </cfRule>
  </conditionalFormatting>
  <conditionalFormatting sqref="I105:I106">
    <cfRule type="cellIs" dxfId="352" priority="30" operator="lessThan">
      <formula>0</formula>
    </cfRule>
  </conditionalFormatting>
  <conditionalFormatting sqref="G107">
    <cfRule type="cellIs" dxfId="351" priority="10" operator="lessThan">
      <formula>0</formula>
    </cfRule>
  </conditionalFormatting>
  <conditionalFormatting sqref="F103">
    <cfRule type="cellIs" dxfId="350" priority="27" operator="lessThan">
      <formula>0</formula>
    </cfRule>
  </conditionalFormatting>
  <conditionalFormatting sqref="G100 G105 G109:G110">
    <cfRule type="cellIs" dxfId="349" priority="26" operator="lessThan">
      <formula>0</formula>
    </cfRule>
  </conditionalFormatting>
  <conditionalFormatting sqref="G106">
    <cfRule type="cellIs" dxfId="348" priority="11" operator="lessThan">
      <formula>0</formula>
    </cfRule>
  </conditionalFormatting>
  <conditionalFormatting sqref="G108">
    <cfRule type="cellIs" dxfId="347" priority="9" operator="lessThan">
      <formula>0</formula>
    </cfRule>
  </conditionalFormatting>
  <conditionalFormatting sqref="G103">
    <cfRule type="cellIs" dxfId="346" priority="15" operator="lessThan">
      <formula>0</formula>
    </cfRule>
  </conditionalFormatting>
  <conditionalFormatting sqref="G101">
    <cfRule type="cellIs" dxfId="345" priority="13" operator="lessThan">
      <formula>0</formula>
    </cfRule>
  </conditionalFormatting>
  <conditionalFormatting sqref="G104">
    <cfRule type="cellIs" dxfId="344" priority="16" operator="lessThan">
      <formula>0</formula>
    </cfRule>
  </conditionalFormatting>
  <conditionalFormatting sqref="G102">
    <cfRule type="cellIs" dxfId="343" priority="14" operator="lessThan">
      <formula>0</formula>
    </cfRule>
  </conditionalFormatting>
  <conditionalFormatting sqref="G99">
    <cfRule type="cellIs" dxfId="342" priority="12" operator="lessThan">
      <formula>0</formula>
    </cfRule>
  </conditionalFormatting>
  <conditionalFormatting sqref="D120:G120">
    <cfRule type="cellIs" dxfId="341" priority="8" operator="lessThan">
      <formula>0</formula>
    </cfRule>
  </conditionalFormatting>
  <conditionalFormatting sqref="I102:N102">
    <cfRule type="cellIs" dxfId="340" priority="7" operator="lessThan">
      <formula>0</formula>
    </cfRule>
  </conditionalFormatting>
  <conditionalFormatting sqref="L115:L116">
    <cfRule type="cellIs" dxfId="339" priority="6" operator="lessThan">
      <formula>0</formula>
    </cfRule>
  </conditionalFormatting>
  <conditionalFormatting sqref="I130">
    <cfRule type="cellIs" dxfId="338" priority="5" operator="lessThan">
      <formula>0</formula>
    </cfRule>
  </conditionalFormatting>
  <conditionalFormatting sqref="M132:M134">
    <cfRule type="cellIs" dxfId="337" priority="4" operator="lessThan">
      <formula>0</formula>
    </cfRule>
  </conditionalFormatting>
  <conditionalFormatting sqref="C128:E128">
    <cfRule type="cellIs" dxfId="336" priority="3" operator="lessThan">
      <formula>0</formula>
    </cfRule>
  </conditionalFormatting>
  <conditionalFormatting sqref="B5:N6">
    <cfRule type="cellIs" dxfId="335" priority="2" operator="lessThan">
      <formula>0</formula>
    </cfRule>
  </conditionalFormatting>
  <conditionalFormatting sqref="B3">
    <cfRule type="cellIs" dxfId="334" priority="1" operator="lessThan">
      <formula>0</formula>
    </cfRule>
  </conditionalFormatting>
  <hyperlinks>
    <hyperlink ref="M117" r:id="rId1" xr:uid="{D5E0F6B0-C68F-460D-9FB2-FAC06FA691EC}"/>
    <hyperlink ref="M124" r:id="rId2" xr:uid="{AFA4A0C1-E582-4047-9631-0E1BF9C6C6A5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F0"/>
  </sheetPr>
  <dimension ref="A2:R96"/>
  <sheetViews>
    <sheetView showGridLines="0" zoomScale="85" zoomScaleNormal="85" workbookViewId="0">
      <pane xSplit="5" topLeftCell="F1" activePane="topRight" state="frozen"/>
      <selection pane="topRight" activeCell="J12" sqref="J12:J13"/>
    </sheetView>
  </sheetViews>
  <sheetFormatPr defaultRowHeight="15" x14ac:dyDescent="0.25"/>
  <cols>
    <col min="2" max="2" width="38.28515625" customWidth="1"/>
    <col min="3" max="3" width="14.42578125" style="121" customWidth="1"/>
    <col min="4" max="4" width="10.28515625" bestFit="1" customWidth="1"/>
    <col min="6" max="16" width="17.140625" customWidth="1"/>
  </cols>
  <sheetData>
    <row r="2" spans="2:16" ht="18.75" x14ac:dyDescent="0.3">
      <c r="B2" s="8" t="s">
        <v>102</v>
      </c>
    </row>
    <row r="3" spans="2:16" x14ac:dyDescent="0.25">
      <c r="B3" t="s">
        <v>611</v>
      </c>
    </row>
    <row r="5" spans="2:16" x14ac:dyDescent="0.25">
      <c r="B5" s="855" t="s">
        <v>112</v>
      </c>
      <c r="C5" s="855"/>
      <c r="D5" s="855"/>
      <c r="E5" s="855"/>
      <c r="F5" s="45" t="s">
        <v>107</v>
      </c>
      <c r="G5" s="44"/>
      <c r="H5" s="44"/>
      <c r="I5" s="45" t="s">
        <v>111</v>
      </c>
      <c r="J5" s="44"/>
      <c r="K5" s="44"/>
      <c r="L5" s="45" t="s">
        <v>110</v>
      </c>
      <c r="M5" s="46"/>
      <c r="N5" s="44"/>
      <c r="O5" s="44"/>
      <c r="P5" s="44"/>
    </row>
    <row r="6" spans="2:16" x14ac:dyDescent="0.25">
      <c r="B6" s="855"/>
      <c r="C6" s="855"/>
      <c r="D6" s="855"/>
      <c r="E6" s="855"/>
      <c r="F6" s="44" t="s">
        <v>108</v>
      </c>
      <c r="G6" s="57">
        <f ca="1">Costs!G11</f>
        <v>48600</v>
      </c>
      <c r="H6" s="44"/>
      <c r="I6" s="44" t="s">
        <v>113</v>
      </c>
      <c r="J6" s="167">
        <v>6.5000000000000002E-2</v>
      </c>
      <c r="K6" s="44"/>
      <c r="L6" s="44" t="s">
        <v>194</v>
      </c>
      <c r="M6" s="52">
        <v>350</v>
      </c>
      <c r="N6" s="44"/>
      <c r="O6" s="44"/>
      <c r="P6" s="44"/>
    </row>
    <row r="7" spans="2:16" x14ac:dyDescent="0.25">
      <c r="B7" s="855"/>
      <c r="C7" s="855"/>
      <c r="D7" s="855"/>
      <c r="E7" s="855"/>
      <c r="F7" s="44" t="s">
        <v>126</v>
      </c>
      <c r="G7" s="57">
        <f ca="1">G6*G8</f>
        <v>43740</v>
      </c>
      <c r="H7" s="44"/>
      <c r="I7" s="44" t="s">
        <v>46</v>
      </c>
      <c r="J7" s="167">
        <v>0.03</v>
      </c>
      <c r="K7" s="44"/>
      <c r="L7" s="44" t="s">
        <v>96</v>
      </c>
      <c r="M7" s="115">
        <f ca="1">SUM(P30)</f>
        <v>106.22571428571429</v>
      </c>
      <c r="N7" s="44"/>
      <c r="O7" s="44"/>
      <c r="P7" s="44"/>
    </row>
    <row r="8" spans="2:16" x14ac:dyDescent="0.25">
      <c r="B8" s="855"/>
      <c r="C8" s="855"/>
      <c r="D8" s="855"/>
      <c r="E8" s="855"/>
      <c r="F8" s="44" t="s">
        <v>109</v>
      </c>
      <c r="G8" s="47">
        <v>0.9</v>
      </c>
      <c r="H8" s="44"/>
      <c r="I8" s="44" t="s">
        <v>170</v>
      </c>
      <c r="J8" s="80">
        <v>0.02</v>
      </c>
      <c r="K8" s="44"/>
      <c r="L8" s="44" t="s">
        <v>94</v>
      </c>
      <c r="M8" s="83">
        <v>220</v>
      </c>
      <c r="N8" s="44"/>
      <c r="O8" s="44"/>
      <c r="P8" s="44"/>
    </row>
    <row r="9" spans="2:16" x14ac:dyDescent="0.25">
      <c r="B9" s="855"/>
      <c r="C9" s="855"/>
      <c r="D9" s="855"/>
      <c r="E9" s="855"/>
      <c r="F9" s="44" t="s">
        <v>231</v>
      </c>
      <c r="G9" s="254">
        <v>0.85</v>
      </c>
      <c r="H9" s="44"/>
      <c r="I9" s="44" t="s">
        <v>114</v>
      </c>
      <c r="J9" s="80">
        <v>0.6</v>
      </c>
      <c r="K9" s="44"/>
      <c r="L9" s="44" t="s">
        <v>95</v>
      </c>
      <c r="M9" s="83">
        <v>165</v>
      </c>
      <c r="N9" s="44"/>
      <c r="O9" s="44"/>
      <c r="P9" s="44"/>
    </row>
    <row r="10" spans="2:16" x14ac:dyDescent="0.25">
      <c r="B10" s="855"/>
      <c r="C10" s="855"/>
      <c r="D10" s="855"/>
      <c r="E10" s="855"/>
      <c r="F10" s="44" t="s">
        <v>232</v>
      </c>
      <c r="G10" s="254">
        <v>0.05</v>
      </c>
      <c r="H10" s="44"/>
      <c r="I10" s="44" t="s">
        <v>115</v>
      </c>
      <c r="J10" s="80">
        <v>0.75</v>
      </c>
      <c r="K10" s="44"/>
      <c r="L10" s="44" t="s">
        <v>97</v>
      </c>
      <c r="M10" s="114">
        <v>500</v>
      </c>
      <c r="N10" s="44"/>
      <c r="O10" s="44"/>
      <c r="P10" s="44"/>
    </row>
    <row r="11" spans="2:16" x14ac:dyDescent="0.25">
      <c r="B11" s="855"/>
      <c r="C11" s="855"/>
      <c r="D11" s="855"/>
      <c r="E11" s="855"/>
      <c r="F11" s="44" t="s">
        <v>233</v>
      </c>
      <c r="G11" s="254">
        <v>0.1</v>
      </c>
      <c r="H11" s="44"/>
      <c r="I11" s="44" t="s">
        <v>116</v>
      </c>
      <c r="J11" s="80">
        <v>0.85</v>
      </c>
      <c r="K11" s="44"/>
      <c r="L11" s="44" t="s">
        <v>200</v>
      </c>
      <c r="M11" s="114">
        <v>70</v>
      </c>
      <c r="N11" s="44"/>
      <c r="O11" s="44"/>
      <c r="P11" s="44"/>
    </row>
    <row r="12" spans="2:16" x14ac:dyDescent="0.25">
      <c r="B12" s="855"/>
      <c r="C12" s="855"/>
      <c r="D12" s="855"/>
      <c r="E12" s="855"/>
      <c r="F12" s="44"/>
      <c r="G12" s="44"/>
      <c r="H12" s="44"/>
      <c r="I12" s="44" t="s">
        <v>117</v>
      </c>
      <c r="J12" s="835">
        <v>0.08</v>
      </c>
      <c r="K12" s="44"/>
      <c r="L12" s="44" t="s">
        <v>211</v>
      </c>
      <c r="M12" s="114">
        <v>25</v>
      </c>
      <c r="N12" s="44"/>
      <c r="O12" s="44"/>
      <c r="P12" s="44"/>
    </row>
    <row r="13" spans="2:16" x14ac:dyDescent="0.25">
      <c r="B13" s="855"/>
      <c r="C13" s="855"/>
      <c r="D13" s="855"/>
      <c r="E13" s="855"/>
      <c r="F13" s="111"/>
      <c r="G13" s="111"/>
      <c r="H13" s="111"/>
      <c r="I13" s="44" t="s">
        <v>118</v>
      </c>
      <c r="J13" s="836">
        <v>7.4999999999999997E-2</v>
      </c>
      <c r="K13" s="44"/>
      <c r="L13" s="44"/>
      <c r="M13" s="44"/>
      <c r="N13" s="44"/>
      <c r="O13" s="44"/>
      <c r="P13" s="44"/>
    </row>
    <row r="14" spans="2:16" x14ac:dyDescent="0.25">
      <c r="B14" s="855"/>
      <c r="C14" s="855"/>
      <c r="D14" s="855"/>
      <c r="E14" s="855"/>
      <c r="F14" s="111"/>
      <c r="G14" s="111"/>
      <c r="H14" s="111"/>
      <c r="I14" s="44" t="s">
        <v>43</v>
      </c>
      <c r="J14" s="151">
        <v>10</v>
      </c>
      <c r="K14" s="44" t="s">
        <v>44</v>
      </c>
      <c r="L14" s="45" t="s">
        <v>124</v>
      </c>
      <c r="M14" s="52"/>
      <c r="N14" s="44"/>
      <c r="O14" s="44"/>
      <c r="P14" s="44"/>
    </row>
    <row r="15" spans="2:16" x14ac:dyDescent="0.25">
      <c r="B15" s="855"/>
      <c r="C15" s="855"/>
      <c r="D15" s="855"/>
      <c r="E15" s="855"/>
      <c r="F15" s="111"/>
      <c r="G15" s="111"/>
      <c r="H15" s="111"/>
      <c r="I15" s="44" t="s">
        <v>119</v>
      </c>
      <c r="J15" s="80">
        <v>0.02</v>
      </c>
      <c r="K15" s="44"/>
      <c r="L15" s="44" t="s">
        <v>55</v>
      </c>
      <c r="M15" s="47">
        <v>0.4</v>
      </c>
      <c r="N15" s="44"/>
      <c r="O15" s="44"/>
      <c r="P15" s="44"/>
    </row>
    <row r="16" spans="2:16" x14ac:dyDescent="0.25">
      <c r="B16" s="855"/>
      <c r="C16" s="855"/>
      <c r="D16" s="855"/>
      <c r="E16" s="855"/>
      <c r="F16" s="111"/>
      <c r="G16" s="111"/>
      <c r="H16" s="111"/>
      <c r="I16" s="111"/>
      <c r="J16" s="111"/>
      <c r="K16" s="44"/>
      <c r="L16" s="44" t="s">
        <v>56</v>
      </c>
      <c r="M16" s="47">
        <v>0.03</v>
      </c>
      <c r="N16" s="44"/>
      <c r="O16" s="44"/>
      <c r="P16" s="44"/>
    </row>
    <row r="17" spans="1:18" x14ac:dyDescent="0.25">
      <c r="B17" s="855"/>
      <c r="C17" s="855"/>
      <c r="D17" s="855"/>
      <c r="E17" s="855"/>
      <c r="F17" s="111"/>
      <c r="G17" s="111"/>
      <c r="H17" s="111"/>
      <c r="I17" s="111"/>
      <c r="J17" s="111"/>
      <c r="K17" s="44"/>
      <c r="L17" s="44" t="s">
        <v>125</v>
      </c>
      <c r="M17" s="47">
        <v>0.02</v>
      </c>
      <c r="N17" s="44"/>
      <c r="O17" s="44"/>
      <c r="P17" s="44"/>
    </row>
    <row r="18" spans="1:18" x14ac:dyDescent="0.25">
      <c r="B18" s="855"/>
      <c r="C18" s="855"/>
      <c r="D18" s="855"/>
      <c r="E18" s="855"/>
      <c r="F18" s="111"/>
      <c r="G18" s="111"/>
      <c r="H18" s="111"/>
      <c r="I18" s="111"/>
      <c r="J18" s="111"/>
      <c r="K18" s="44"/>
      <c r="L18" s="44" t="s">
        <v>156</v>
      </c>
      <c r="M18" s="47">
        <v>0.1</v>
      </c>
      <c r="N18" s="44"/>
      <c r="O18" s="44"/>
      <c r="P18" s="44"/>
    </row>
    <row r="19" spans="1:18" x14ac:dyDescent="0.25">
      <c r="B19" s="855"/>
      <c r="C19" s="855"/>
      <c r="D19" s="855"/>
      <c r="E19" s="855"/>
      <c r="F19" s="111"/>
      <c r="G19" s="111"/>
      <c r="H19" s="111"/>
      <c r="I19" s="111"/>
      <c r="J19" s="111"/>
      <c r="K19" s="111"/>
      <c r="L19" s="44"/>
      <c r="M19" s="44"/>
      <c r="N19" s="44"/>
      <c r="O19" s="44"/>
      <c r="P19" s="44"/>
    </row>
    <row r="20" spans="1:18" x14ac:dyDescent="0.25">
      <c r="A20" s="34"/>
      <c r="B20" s="35"/>
      <c r="C20" s="123"/>
      <c r="D20" s="35"/>
      <c r="E20" s="35"/>
      <c r="F20" s="35"/>
      <c r="G20" s="393"/>
      <c r="H20" s="35"/>
      <c r="I20" s="35"/>
      <c r="J20" s="394"/>
      <c r="K20" s="35"/>
      <c r="L20" s="35"/>
      <c r="M20" s="35"/>
      <c r="N20" s="35"/>
      <c r="O20" s="35"/>
      <c r="P20" s="35"/>
      <c r="Q20" s="34"/>
      <c r="R20" s="34"/>
    </row>
    <row r="21" spans="1:18" x14ac:dyDescent="0.25">
      <c r="A21" s="34"/>
      <c r="B21" s="34"/>
      <c r="C21" s="220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</row>
    <row r="22" spans="1:18" x14ac:dyDescent="0.25">
      <c r="A22" s="34"/>
      <c r="B22" s="34"/>
      <c r="C22" s="220"/>
      <c r="D22" s="34"/>
      <c r="E22" s="34"/>
      <c r="F22" s="853" t="s">
        <v>49</v>
      </c>
      <c r="G22" s="853"/>
      <c r="H22" s="853"/>
      <c r="I22" s="853"/>
      <c r="J22" s="853"/>
      <c r="K22" s="853"/>
      <c r="L22" s="853"/>
      <c r="M22" s="853"/>
      <c r="N22" s="853"/>
      <c r="O22" s="853"/>
      <c r="P22" s="853"/>
      <c r="Q22" s="34"/>
      <c r="R22" s="34"/>
    </row>
    <row r="23" spans="1:18" x14ac:dyDescent="0.25">
      <c r="A23" s="34"/>
      <c r="B23" s="3"/>
      <c r="C23" s="56"/>
      <c r="D23" s="3"/>
      <c r="E23" s="3"/>
      <c r="F23" s="273" t="s">
        <v>105</v>
      </c>
      <c r="G23" s="27" t="s">
        <v>28</v>
      </c>
      <c r="H23" s="27" t="s">
        <v>28</v>
      </c>
      <c r="I23" s="275" t="s">
        <v>28</v>
      </c>
      <c r="J23" s="28" t="s">
        <v>47</v>
      </c>
      <c r="K23" s="28" t="s">
        <v>47</v>
      </c>
      <c r="L23" s="28" t="s">
        <v>47</v>
      </c>
      <c r="M23" s="277" t="s">
        <v>47</v>
      </c>
      <c r="N23" s="29" t="s">
        <v>48</v>
      </c>
      <c r="O23" s="29" t="s">
        <v>48</v>
      </c>
      <c r="P23" s="39" t="s">
        <v>48</v>
      </c>
      <c r="Q23" s="34"/>
      <c r="R23" s="34"/>
    </row>
    <row r="24" spans="1:18" x14ac:dyDescent="0.25">
      <c r="B24" s="321"/>
      <c r="C24" s="221"/>
      <c r="D24" s="222"/>
      <c r="E24" s="222"/>
      <c r="F24" s="276">
        <v>0</v>
      </c>
      <c r="G24" s="223">
        <f>F24+1</f>
        <v>1</v>
      </c>
      <c r="H24" s="223">
        <f t="shared" ref="H24:P25" si="0">G24+1</f>
        <v>2</v>
      </c>
      <c r="I24" s="276">
        <f t="shared" si="0"/>
        <v>3</v>
      </c>
      <c r="J24" s="223">
        <f t="shared" si="0"/>
        <v>4</v>
      </c>
      <c r="K24" s="223">
        <f t="shared" si="0"/>
        <v>5</v>
      </c>
      <c r="L24" s="223">
        <f t="shared" si="0"/>
        <v>6</v>
      </c>
      <c r="M24" s="276">
        <f t="shared" si="0"/>
        <v>7</v>
      </c>
      <c r="N24" s="223">
        <f t="shared" si="0"/>
        <v>8</v>
      </c>
      <c r="O24" s="223">
        <f t="shared" si="0"/>
        <v>9</v>
      </c>
      <c r="P24" s="276">
        <f t="shared" si="0"/>
        <v>10</v>
      </c>
    </row>
    <row r="25" spans="1:18" x14ac:dyDescent="0.25">
      <c r="B25" s="321"/>
      <c r="C25" s="221"/>
      <c r="D25" s="222"/>
      <c r="E25" s="222"/>
      <c r="F25" s="278" t="s">
        <v>177</v>
      </c>
      <c r="G25" s="225">
        <v>2022</v>
      </c>
      <c r="H25" s="225">
        <f t="shared" si="0"/>
        <v>2023</v>
      </c>
      <c r="I25" s="278">
        <f t="shared" si="0"/>
        <v>2024</v>
      </c>
      <c r="J25" s="225">
        <f t="shared" si="0"/>
        <v>2025</v>
      </c>
      <c r="K25" s="225">
        <f t="shared" si="0"/>
        <v>2026</v>
      </c>
      <c r="L25" s="225">
        <f t="shared" si="0"/>
        <v>2027</v>
      </c>
      <c r="M25" s="278">
        <f t="shared" si="0"/>
        <v>2028</v>
      </c>
      <c r="N25" s="225">
        <f t="shared" si="0"/>
        <v>2029</v>
      </c>
      <c r="O25" s="225">
        <f t="shared" si="0"/>
        <v>2030</v>
      </c>
      <c r="P25" s="278">
        <f t="shared" si="0"/>
        <v>2031</v>
      </c>
    </row>
    <row r="26" spans="1:18" x14ac:dyDescent="0.25">
      <c r="B26" s="322"/>
      <c r="C26" s="123"/>
      <c r="D26" s="35"/>
      <c r="E26" s="35"/>
      <c r="F26" s="286"/>
      <c r="G26" s="226"/>
      <c r="H26" s="226"/>
      <c r="I26" s="286"/>
      <c r="J26" s="226"/>
      <c r="K26" s="226"/>
      <c r="L26" s="226"/>
      <c r="M26" s="286"/>
      <c r="N26" s="226"/>
      <c r="O26" s="226"/>
      <c r="P26" s="286"/>
    </row>
    <row r="27" spans="1:18" x14ac:dyDescent="0.25">
      <c r="B27" s="323" t="s">
        <v>135</v>
      </c>
      <c r="C27" s="76"/>
      <c r="D27" s="34"/>
      <c r="E27" s="49"/>
      <c r="F27" s="286"/>
      <c r="G27" s="226"/>
      <c r="H27" s="226"/>
      <c r="I27" s="286"/>
      <c r="J27" s="226"/>
      <c r="K27" s="226"/>
      <c r="L27" s="226"/>
      <c r="M27" s="286"/>
      <c r="N27" s="226"/>
      <c r="O27" s="226"/>
      <c r="P27" s="286"/>
    </row>
    <row r="28" spans="1:18" x14ac:dyDescent="0.25">
      <c r="B28" s="323"/>
      <c r="C28" s="125" t="s">
        <v>109</v>
      </c>
      <c r="D28" s="125" t="s">
        <v>283</v>
      </c>
      <c r="E28" s="76"/>
      <c r="F28" s="286"/>
      <c r="G28" s="226"/>
      <c r="H28" s="226"/>
      <c r="I28" s="286"/>
      <c r="J28" s="226"/>
      <c r="K28" s="226"/>
      <c r="L28" s="226"/>
      <c r="M28" s="286"/>
      <c r="N28" s="226"/>
      <c r="O28" s="226"/>
      <c r="P28" s="286"/>
    </row>
    <row r="29" spans="1:18" x14ac:dyDescent="0.25">
      <c r="B29" s="324" t="s">
        <v>300</v>
      </c>
      <c r="C29" s="249">
        <f>$G$8</f>
        <v>0.9</v>
      </c>
      <c r="D29" s="228">
        <f ca="1">SUM(F29:P29)*C29</f>
        <v>43740</v>
      </c>
      <c r="E29" s="228"/>
      <c r="F29" s="287">
        <f>SUM('Development Schedule'!E65)</f>
        <v>0</v>
      </c>
      <c r="G29" s="229">
        <f ca="1">SUM('Development Schedule'!F65)</f>
        <v>0</v>
      </c>
      <c r="H29" s="229">
        <f ca="1">SUM('Development Schedule'!G65)</f>
        <v>0</v>
      </c>
      <c r="I29" s="287">
        <f ca="1">SUM('Development Schedule'!H65)</f>
        <v>0</v>
      </c>
      <c r="J29" s="229">
        <f ca="1">SUM('Development Schedule'!I65)</f>
        <v>0</v>
      </c>
      <c r="K29" s="229">
        <f>SUM('Development Schedule'!J65)</f>
        <v>24300</v>
      </c>
      <c r="L29" s="229">
        <f>SUM('Development Schedule'!K65)</f>
        <v>24300</v>
      </c>
      <c r="M29" s="287">
        <f ca="1">SUM('Development Schedule'!L65)</f>
        <v>0</v>
      </c>
      <c r="N29" s="229">
        <f ca="1">SUM('Development Schedule'!M65)</f>
        <v>0</v>
      </c>
      <c r="O29" s="229">
        <f ca="1">SUM('Development Schedule'!N65)</f>
        <v>0</v>
      </c>
      <c r="P29" s="287">
        <f ca="1">SUM('Development Schedule'!O65)</f>
        <v>0</v>
      </c>
    </row>
    <row r="30" spans="1:18" x14ac:dyDescent="0.25">
      <c r="B30" s="322" t="s">
        <v>325</v>
      </c>
      <c r="C30" s="246">
        <f>G9</f>
        <v>0.85</v>
      </c>
      <c r="D30" s="231"/>
      <c r="E30" s="232"/>
      <c r="F30" s="348">
        <f t="shared" ref="F30:P30" si="1">(F29*$C$30/$M$6*$C$29)+E30</f>
        <v>0</v>
      </c>
      <c r="G30" s="233">
        <f t="shared" ca="1" si="1"/>
        <v>0</v>
      </c>
      <c r="H30" s="233">
        <f t="shared" ca="1" si="1"/>
        <v>0</v>
      </c>
      <c r="I30" s="348">
        <f t="shared" ca="1" si="1"/>
        <v>0</v>
      </c>
      <c r="J30" s="233">
        <f t="shared" ca="1" si="1"/>
        <v>0</v>
      </c>
      <c r="K30" s="233">
        <f t="shared" ca="1" si="1"/>
        <v>53.112857142857145</v>
      </c>
      <c r="L30" s="233">
        <f t="shared" ca="1" si="1"/>
        <v>106.22571428571429</v>
      </c>
      <c r="M30" s="348">
        <f t="shared" ca="1" si="1"/>
        <v>106.22571428571429</v>
      </c>
      <c r="N30" s="233">
        <f t="shared" ca="1" si="1"/>
        <v>106.22571428571429</v>
      </c>
      <c r="O30" s="233">
        <f t="shared" ca="1" si="1"/>
        <v>106.22571428571429</v>
      </c>
      <c r="P30" s="348">
        <f t="shared" ca="1" si="1"/>
        <v>106.22571428571429</v>
      </c>
    </row>
    <row r="31" spans="1:18" x14ac:dyDescent="0.25">
      <c r="B31" s="322" t="s">
        <v>326</v>
      </c>
      <c r="C31" s="246">
        <f>G10</f>
        <v>0.05</v>
      </c>
      <c r="D31" s="231"/>
      <c r="E31" s="232"/>
      <c r="F31" s="348">
        <f>F29*$C31*$C$29+E31</f>
        <v>0</v>
      </c>
      <c r="G31" s="233">
        <f t="shared" ref="G31:P31" ca="1" si="2">G29*$C31*$C$29+F31</f>
        <v>0</v>
      </c>
      <c r="H31" s="233">
        <f t="shared" ca="1" si="2"/>
        <v>0</v>
      </c>
      <c r="I31" s="348">
        <f t="shared" ca="1" si="2"/>
        <v>0</v>
      </c>
      <c r="J31" s="233">
        <f t="shared" ca="1" si="2"/>
        <v>0</v>
      </c>
      <c r="K31" s="233">
        <f t="shared" ca="1" si="2"/>
        <v>1093.5</v>
      </c>
      <c r="L31" s="233">
        <f t="shared" ca="1" si="2"/>
        <v>2187</v>
      </c>
      <c r="M31" s="348">
        <f t="shared" ca="1" si="2"/>
        <v>2187</v>
      </c>
      <c r="N31" s="233">
        <f t="shared" ca="1" si="2"/>
        <v>2187</v>
      </c>
      <c r="O31" s="233">
        <f t="shared" ca="1" si="2"/>
        <v>2187</v>
      </c>
      <c r="P31" s="348">
        <f t="shared" ca="1" si="2"/>
        <v>2187</v>
      </c>
    </row>
    <row r="32" spans="1:18" x14ac:dyDescent="0.25">
      <c r="B32" s="322" t="s">
        <v>327</v>
      </c>
      <c r="C32" s="246">
        <f>G11</f>
        <v>0.1</v>
      </c>
      <c r="D32" s="231"/>
      <c r="E32" s="232"/>
      <c r="F32" s="348">
        <f>F$29*$C32*$C$29+E32</f>
        <v>0</v>
      </c>
      <c r="G32" s="233">
        <f t="shared" ref="G32:P32" ca="1" si="3">G$29*$C32*$C$29+F32</f>
        <v>0</v>
      </c>
      <c r="H32" s="233">
        <f t="shared" ca="1" si="3"/>
        <v>0</v>
      </c>
      <c r="I32" s="348">
        <f t="shared" ca="1" si="3"/>
        <v>0</v>
      </c>
      <c r="J32" s="233">
        <f t="shared" ca="1" si="3"/>
        <v>0</v>
      </c>
      <c r="K32" s="233">
        <f t="shared" ca="1" si="3"/>
        <v>2187</v>
      </c>
      <c r="L32" s="233">
        <f t="shared" ca="1" si="3"/>
        <v>4374</v>
      </c>
      <c r="M32" s="348">
        <f t="shared" ca="1" si="3"/>
        <v>4374</v>
      </c>
      <c r="N32" s="233">
        <f t="shared" ca="1" si="3"/>
        <v>4374</v>
      </c>
      <c r="O32" s="233">
        <f t="shared" ca="1" si="3"/>
        <v>4374</v>
      </c>
      <c r="P32" s="348">
        <f t="shared" ca="1" si="3"/>
        <v>4374</v>
      </c>
    </row>
    <row r="33" spans="2:16" x14ac:dyDescent="0.25">
      <c r="B33" s="330" t="s">
        <v>192</v>
      </c>
      <c r="C33" s="230"/>
      <c r="D33" s="76"/>
      <c r="E33" s="123"/>
      <c r="F33" s="286">
        <v>0</v>
      </c>
      <c r="G33" s="226">
        <v>0</v>
      </c>
      <c r="H33" s="226">
        <v>0</v>
      </c>
      <c r="I33" s="384">
        <v>0</v>
      </c>
      <c r="J33" s="234">
        <v>0</v>
      </c>
      <c r="K33" s="234">
        <v>0</v>
      </c>
      <c r="L33" s="234">
        <v>0.6</v>
      </c>
      <c r="M33" s="384">
        <v>0.75</v>
      </c>
      <c r="N33" s="234">
        <v>0.85</v>
      </c>
      <c r="O33" s="234">
        <f>N33</f>
        <v>0.85</v>
      </c>
      <c r="P33" s="384">
        <f>O33</f>
        <v>0.85</v>
      </c>
    </row>
    <row r="34" spans="2:16" x14ac:dyDescent="0.25">
      <c r="B34" s="330" t="s">
        <v>325</v>
      </c>
      <c r="C34" s="230"/>
      <c r="D34" s="76"/>
      <c r="E34" s="123"/>
      <c r="F34" s="286"/>
      <c r="G34" s="512">
        <f ca="1">G30-F30</f>
        <v>0</v>
      </c>
      <c r="H34" s="512">
        <f t="shared" ref="H34:P34" ca="1" si="4">H30-G30</f>
        <v>0</v>
      </c>
      <c r="I34" s="513">
        <f t="shared" ca="1" si="4"/>
        <v>0</v>
      </c>
      <c r="J34" s="512">
        <f t="shared" ca="1" si="4"/>
        <v>0</v>
      </c>
      <c r="K34" s="512">
        <f t="shared" ca="1" si="4"/>
        <v>53.112857142857145</v>
      </c>
      <c r="L34" s="512">
        <f t="shared" ca="1" si="4"/>
        <v>53.112857142857145</v>
      </c>
      <c r="M34" s="513">
        <f t="shared" ca="1" si="4"/>
        <v>0</v>
      </c>
      <c r="N34" s="512">
        <f t="shared" ca="1" si="4"/>
        <v>0</v>
      </c>
      <c r="O34" s="512">
        <f t="shared" ca="1" si="4"/>
        <v>0</v>
      </c>
      <c r="P34" s="513">
        <f t="shared" ca="1" si="4"/>
        <v>0</v>
      </c>
    </row>
    <row r="35" spans="2:16" x14ac:dyDescent="0.25">
      <c r="B35" s="322"/>
      <c r="C35" s="230"/>
      <c r="D35" s="76"/>
      <c r="E35" s="123"/>
      <c r="F35" s="286"/>
      <c r="G35" s="512"/>
      <c r="H35" s="512"/>
      <c r="I35" s="513"/>
      <c r="J35" s="512"/>
      <c r="K35" s="512"/>
      <c r="L35" s="512"/>
      <c r="M35" s="513"/>
      <c r="N35" s="512"/>
      <c r="O35" s="512"/>
      <c r="P35" s="513"/>
    </row>
    <row r="36" spans="2:16" x14ac:dyDescent="0.25">
      <c r="B36" s="323" t="s">
        <v>173</v>
      </c>
      <c r="C36" s="76" t="s">
        <v>169</v>
      </c>
      <c r="D36" s="49"/>
      <c r="E36" s="49"/>
      <c r="F36" s="356"/>
      <c r="G36" s="235"/>
      <c r="H36" s="235"/>
      <c r="I36" s="356"/>
      <c r="J36" s="235"/>
      <c r="K36" s="235"/>
      <c r="L36" s="235"/>
      <c r="M36" s="356"/>
      <c r="N36" s="235"/>
      <c r="O36" s="235"/>
      <c r="P36" s="356"/>
    </row>
    <row r="37" spans="2:16" x14ac:dyDescent="0.25">
      <c r="B37" s="385" t="s">
        <v>94</v>
      </c>
      <c r="C37" s="248">
        <f>M8</f>
        <v>220</v>
      </c>
      <c r="D37" s="49"/>
      <c r="E37" s="49"/>
      <c r="F37" s="386">
        <f>C37</f>
        <v>220</v>
      </c>
      <c r="G37" s="236">
        <f>F37*(1+G42)</f>
        <v>224.4</v>
      </c>
      <c r="H37" s="236">
        <f t="shared" ref="H37:P37" si="5">G37*(1+H42)</f>
        <v>228.88800000000001</v>
      </c>
      <c r="I37" s="386">
        <f t="shared" si="5"/>
        <v>233.46576000000002</v>
      </c>
      <c r="J37" s="236">
        <f t="shared" si="5"/>
        <v>238.13507520000002</v>
      </c>
      <c r="K37" s="236">
        <f t="shared" si="5"/>
        <v>242.89777670400002</v>
      </c>
      <c r="L37" s="236">
        <f t="shared" si="5"/>
        <v>247.75573223808001</v>
      </c>
      <c r="M37" s="386">
        <f t="shared" si="5"/>
        <v>252.71084688284162</v>
      </c>
      <c r="N37" s="236">
        <f t="shared" si="5"/>
        <v>257.76506382049848</v>
      </c>
      <c r="O37" s="236">
        <f t="shared" si="5"/>
        <v>262.92036509690848</v>
      </c>
      <c r="P37" s="386">
        <f t="shared" si="5"/>
        <v>268.17877239884666</v>
      </c>
    </row>
    <row r="38" spans="2:16" x14ac:dyDescent="0.25">
      <c r="B38" s="385" t="s">
        <v>95</v>
      </c>
      <c r="C38" s="248">
        <f>M9</f>
        <v>165</v>
      </c>
      <c r="D38" s="49"/>
      <c r="E38" s="49"/>
      <c r="F38" s="395">
        <f>C38</f>
        <v>165</v>
      </c>
      <c r="G38" s="236">
        <f>F38*(1+G$42)</f>
        <v>168.3</v>
      </c>
      <c r="H38" s="236">
        <f t="shared" ref="H38:P38" si="6">G38*(1+H42)</f>
        <v>171.66600000000003</v>
      </c>
      <c r="I38" s="386">
        <f t="shared" si="6"/>
        <v>175.09932000000003</v>
      </c>
      <c r="J38" s="236">
        <f t="shared" si="6"/>
        <v>178.60130640000003</v>
      </c>
      <c r="K38" s="236">
        <f t="shared" si="6"/>
        <v>182.17333252800003</v>
      </c>
      <c r="L38" s="236">
        <f t="shared" si="6"/>
        <v>185.81679917856005</v>
      </c>
      <c r="M38" s="386">
        <f t="shared" si="6"/>
        <v>189.53313516213126</v>
      </c>
      <c r="N38" s="236">
        <f t="shared" si="6"/>
        <v>193.32379786537388</v>
      </c>
      <c r="O38" s="236">
        <f t="shared" si="6"/>
        <v>197.19027382268135</v>
      </c>
      <c r="P38" s="386">
        <f t="shared" si="6"/>
        <v>201.13407929913498</v>
      </c>
    </row>
    <row r="39" spans="2:16" x14ac:dyDescent="0.25">
      <c r="B39" s="385" t="s">
        <v>97</v>
      </c>
      <c r="C39" s="248">
        <f>M10</f>
        <v>500</v>
      </c>
      <c r="D39" s="49"/>
      <c r="E39" s="49"/>
      <c r="F39" s="395">
        <f>C39</f>
        <v>500</v>
      </c>
      <c r="G39" s="236">
        <f t="shared" ref="G39:P41" si="7">F39*(1+G$42)</f>
        <v>510</v>
      </c>
      <c r="H39" s="236">
        <f t="shared" si="7"/>
        <v>520.20000000000005</v>
      </c>
      <c r="I39" s="386">
        <f t="shared" si="7"/>
        <v>530.60400000000004</v>
      </c>
      <c r="J39" s="236">
        <f t="shared" si="7"/>
        <v>541.21608000000003</v>
      </c>
      <c r="K39" s="236">
        <f t="shared" si="7"/>
        <v>552.0404016</v>
      </c>
      <c r="L39" s="236">
        <f t="shared" si="7"/>
        <v>563.08120963199997</v>
      </c>
      <c r="M39" s="386">
        <f t="shared" si="7"/>
        <v>574.34283382464002</v>
      </c>
      <c r="N39" s="236">
        <f t="shared" si="7"/>
        <v>585.82969050113286</v>
      </c>
      <c r="O39" s="236">
        <f t="shared" si="7"/>
        <v>597.54628431115555</v>
      </c>
      <c r="P39" s="386">
        <f t="shared" si="7"/>
        <v>609.49720999737872</v>
      </c>
    </row>
    <row r="40" spans="2:16" x14ac:dyDescent="0.25">
      <c r="B40" s="385" t="s">
        <v>200</v>
      </c>
      <c r="C40" s="248">
        <f>M11</f>
        <v>70</v>
      </c>
      <c r="D40" s="49"/>
      <c r="E40" s="49"/>
      <c r="F40" s="395">
        <f t="shared" ref="F40:F41" si="8">C40</f>
        <v>70</v>
      </c>
      <c r="G40" s="236">
        <f t="shared" si="7"/>
        <v>71.400000000000006</v>
      </c>
      <c r="H40" s="236">
        <f t="shared" si="7"/>
        <v>72.828000000000003</v>
      </c>
      <c r="I40" s="386">
        <f t="shared" si="7"/>
        <v>74.284559999999999</v>
      </c>
      <c r="J40" s="236">
        <f t="shared" si="7"/>
        <v>75.770251200000004</v>
      </c>
      <c r="K40" s="236">
        <f t="shared" si="7"/>
        <v>77.285656224000007</v>
      </c>
      <c r="L40" s="236">
        <f t="shared" si="7"/>
        <v>78.83136934848001</v>
      </c>
      <c r="M40" s="386">
        <f t="shared" si="7"/>
        <v>80.407996735449615</v>
      </c>
      <c r="N40" s="236">
        <f t="shared" si="7"/>
        <v>82.016156670158608</v>
      </c>
      <c r="O40" s="236">
        <f t="shared" si="7"/>
        <v>83.65647980356178</v>
      </c>
      <c r="P40" s="386">
        <f t="shared" si="7"/>
        <v>85.329609399633014</v>
      </c>
    </row>
    <row r="41" spans="2:16" x14ac:dyDescent="0.25">
      <c r="B41" s="385" t="s">
        <v>230</v>
      </c>
      <c r="C41" s="248">
        <f>M12</f>
        <v>25</v>
      </c>
      <c r="D41" s="49"/>
      <c r="E41" s="49"/>
      <c r="F41" s="395">
        <f t="shared" si="8"/>
        <v>25</v>
      </c>
      <c r="G41" s="236">
        <f t="shared" si="7"/>
        <v>25.5</v>
      </c>
      <c r="H41" s="236">
        <f t="shared" si="7"/>
        <v>26.01</v>
      </c>
      <c r="I41" s="386">
        <f t="shared" si="7"/>
        <v>26.530200000000001</v>
      </c>
      <c r="J41" s="236">
        <f t="shared" si="7"/>
        <v>27.060804000000001</v>
      </c>
      <c r="K41" s="236">
        <f t="shared" si="7"/>
        <v>27.602020080000003</v>
      </c>
      <c r="L41" s="236">
        <f t="shared" si="7"/>
        <v>28.154060481600002</v>
      </c>
      <c r="M41" s="386">
        <f t="shared" si="7"/>
        <v>28.717141691232001</v>
      </c>
      <c r="N41" s="236">
        <f t="shared" si="7"/>
        <v>29.291484525056642</v>
      </c>
      <c r="O41" s="236">
        <f t="shared" si="7"/>
        <v>29.877314215557774</v>
      </c>
      <c r="P41" s="386">
        <f t="shared" si="7"/>
        <v>30.474860499868932</v>
      </c>
    </row>
    <row r="42" spans="2:16" x14ac:dyDescent="0.25">
      <c r="B42" s="385" t="s">
        <v>214</v>
      </c>
      <c r="C42" s="246">
        <v>0.02</v>
      </c>
      <c r="D42" s="34"/>
      <c r="E42" s="34"/>
      <c r="F42" s="136">
        <f>$C$42</f>
        <v>0.02</v>
      </c>
      <c r="G42" s="237">
        <f t="shared" ref="G42:P42" si="9">$C$42</f>
        <v>0.02</v>
      </c>
      <c r="H42" s="237">
        <f t="shared" si="9"/>
        <v>0.02</v>
      </c>
      <c r="I42" s="136">
        <f t="shared" si="9"/>
        <v>0.02</v>
      </c>
      <c r="J42" s="237">
        <f t="shared" si="9"/>
        <v>0.02</v>
      </c>
      <c r="K42" s="237">
        <f t="shared" si="9"/>
        <v>0.02</v>
      </c>
      <c r="L42" s="237">
        <f t="shared" si="9"/>
        <v>0.02</v>
      </c>
      <c r="M42" s="136">
        <f t="shared" si="9"/>
        <v>0.02</v>
      </c>
      <c r="N42" s="237">
        <f t="shared" si="9"/>
        <v>0.02</v>
      </c>
      <c r="O42" s="237">
        <f t="shared" si="9"/>
        <v>0.02</v>
      </c>
      <c r="P42" s="136">
        <f t="shared" si="9"/>
        <v>0.02</v>
      </c>
    </row>
    <row r="43" spans="2:16" x14ac:dyDescent="0.25">
      <c r="B43" s="323"/>
      <c r="C43" s="76"/>
      <c r="D43" s="49"/>
      <c r="E43" s="49"/>
      <c r="F43" s="295"/>
      <c r="G43" s="144"/>
      <c r="H43" s="144"/>
      <c r="I43" s="295"/>
      <c r="J43" s="144"/>
      <c r="K43" s="144"/>
      <c r="L43" s="144"/>
      <c r="M43" s="295"/>
      <c r="N43" s="144"/>
      <c r="O43" s="144"/>
      <c r="P43" s="295"/>
    </row>
    <row r="44" spans="2:16" x14ac:dyDescent="0.25">
      <c r="B44" s="323" t="s">
        <v>127</v>
      </c>
      <c r="C44" s="123"/>
      <c r="D44" s="35"/>
      <c r="E44" s="35"/>
      <c r="F44" s="295"/>
      <c r="G44" s="144"/>
      <c r="H44" s="144"/>
      <c r="I44" s="295"/>
      <c r="J44" s="144"/>
      <c r="K44" s="144"/>
      <c r="L44" s="144"/>
      <c r="M44" s="295"/>
      <c r="N44" s="144"/>
      <c r="O44" s="144"/>
      <c r="P44" s="295"/>
    </row>
    <row r="45" spans="2:16" x14ac:dyDescent="0.25">
      <c r="B45" s="322" t="s">
        <v>96</v>
      </c>
      <c r="C45" s="123"/>
      <c r="D45" s="35"/>
      <c r="E45" s="35"/>
      <c r="F45" s="296">
        <f>(F38*F33*F30)+(E45*(F$49))</f>
        <v>0</v>
      </c>
      <c r="G45" s="145">
        <f t="shared" ref="G45:P45" ca="1" si="10">(G38*G33*G30)+(F45*(G$49))</f>
        <v>0</v>
      </c>
      <c r="H45" s="145">
        <f t="shared" ca="1" si="10"/>
        <v>0</v>
      </c>
      <c r="I45" s="296">
        <f t="shared" ca="1" si="10"/>
        <v>0</v>
      </c>
      <c r="J45" s="145">
        <f t="shared" ca="1" si="10"/>
        <v>0</v>
      </c>
      <c r="K45" s="145">
        <f t="shared" ca="1" si="10"/>
        <v>0</v>
      </c>
      <c r="L45" s="145">
        <f t="shared" ca="1" si="10"/>
        <v>11843.113331416602</v>
      </c>
      <c r="M45" s="296">
        <f t="shared" ca="1" si="10"/>
        <v>15869.771864098248</v>
      </c>
      <c r="N45" s="145">
        <f t="shared" ca="1" si="10"/>
        <v>18487.099910341316</v>
      </c>
      <c r="O45" s="145">
        <f t="shared" ca="1" si="10"/>
        <v>19006.337528130611</v>
      </c>
      <c r="P45" s="296">
        <f t="shared" ca="1" si="10"/>
        <v>19396.181493966087</v>
      </c>
    </row>
    <row r="46" spans="2:16" x14ac:dyDescent="0.25">
      <c r="B46" s="385" t="s">
        <v>97</v>
      </c>
      <c r="C46" s="238"/>
      <c r="D46" s="35"/>
      <c r="E46" s="35"/>
      <c r="F46" s="296">
        <f>(F39*F33)+(E46*(F$49))</f>
        <v>0</v>
      </c>
      <c r="G46" s="145">
        <f t="shared" ref="G46:P46" si="11">(G39*G33)+(F46*(G$49))</f>
        <v>0</v>
      </c>
      <c r="H46" s="145">
        <f t="shared" si="11"/>
        <v>0</v>
      </c>
      <c r="I46" s="296">
        <f t="shared" si="11"/>
        <v>0</v>
      </c>
      <c r="J46" s="145">
        <f t="shared" si="11"/>
        <v>0</v>
      </c>
      <c r="K46" s="145">
        <f t="shared" si="11"/>
        <v>0</v>
      </c>
      <c r="L46" s="145">
        <f t="shared" si="11"/>
        <v>337.84872577919998</v>
      </c>
      <c r="M46" s="296">
        <f t="shared" si="11"/>
        <v>452.71729254412804</v>
      </c>
      <c r="N46" s="145">
        <f t="shared" si="11"/>
        <v>527.3818609413313</v>
      </c>
      <c r="O46" s="145">
        <f t="shared" si="11"/>
        <v>542.1941626256687</v>
      </c>
      <c r="P46" s="296">
        <f t="shared" si="11"/>
        <v>553.31524906844038</v>
      </c>
    </row>
    <row r="47" spans="2:16" x14ac:dyDescent="0.25">
      <c r="B47" s="385" t="s">
        <v>98</v>
      </c>
      <c r="C47" s="123"/>
      <c r="D47" s="35"/>
      <c r="E47" s="35"/>
      <c r="F47" s="296">
        <f>(F40*F33*F31)+(E47*(F$49))</f>
        <v>0</v>
      </c>
      <c r="G47" s="145">
        <f t="shared" ref="G47:P47" ca="1" si="12">(G40*G33*G31)+(F47*(G$49))</f>
        <v>0</v>
      </c>
      <c r="H47" s="145">
        <f t="shared" ca="1" si="12"/>
        <v>0</v>
      </c>
      <c r="I47" s="296">
        <f t="shared" ca="1" si="12"/>
        <v>0</v>
      </c>
      <c r="J47" s="145">
        <f t="shared" ca="1" si="12"/>
        <v>0</v>
      </c>
      <c r="K47" s="145">
        <f t="shared" ca="1" si="12"/>
        <v>0</v>
      </c>
      <c r="L47" s="145">
        <f t="shared" ca="1" si="12"/>
        <v>103442.52285907546</v>
      </c>
      <c r="M47" s="296">
        <f t="shared" ca="1" si="12"/>
        <v>138612.98063116113</v>
      </c>
      <c r="N47" s="145">
        <f t="shared" ca="1" si="12"/>
        <v>161473.77818301684</v>
      </c>
      <c r="O47" s="145">
        <f t="shared" ca="1" si="12"/>
        <v>166009.00871272726</v>
      </c>
      <c r="P47" s="296">
        <f t="shared" ca="1" si="12"/>
        <v>169414.06295977507</v>
      </c>
    </row>
    <row r="48" spans="2:16" x14ac:dyDescent="0.25">
      <c r="B48" s="385" t="s">
        <v>229</v>
      </c>
      <c r="C48" s="123"/>
      <c r="D48" s="35"/>
      <c r="E48" s="35"/>
      <c r="F48" s="296">
        <f>(F41*F33*F32)+(E48*(F$49))</f>
        <v>0</v>
      </c>
      <c r="G48" s="145">
        <f t="shared" ref="G48:P48" ca="1" si="13">(G41*G33*G32)+(F48*(G$49))</f>
        <v>0</v>
      </c>
      <c r="H48" s="145">
        <f t="shared" ca="1" si="13"/>
        <v>0</v>
      </c>
      <c r="I48" s="296">
        <f t="shared" ca="1" si="13"/>
        <v>0</v>
      </c>
      <c r="J48" s="145">
        <f t="shared" ca="1" si="13"/>
        <v>0</v>
      </c>
      <c r="K48" s="145">
        <f t="shared" ca="1" si="13"/>
        <v>0</v>
      </c>
      <c r="L48" s="145">
        <f t="shared" ca="1" si="13"/>
        <v>73887.516327911042</v>
      </c>
      <c r="M48" s="296">
        <f t="shared" ca="1" si="13"/>
        <v>99009.271879400796</v>
      </c>
      <c r="N48" s="145">
        <f t="shared" ca="1" si="13"/>
        <v>115338.41298786915</v>
      </c>
      <c r="O48" s="145">
        <f t="shared" ca="1" si="13"/>
        <v>118577.86336623374</v>
      </c>
      <c r="P48" s="296">
        <f t="shared" ca="1" si="13"/>
        <v>121010.0449712679</v>
      </c>
    </row>
    <row r="49" spans="2:16" x14ac:dyDescent="0.25">
      <c r="B49" s="344" t="s">
        <v>132</v>
      </c>
      <c r="C49" s="243">
        <f>J6</f>
        <v>6.5000000000000002E-2</v>
      </c>
      <c r="D49" s="35"/>
      <c r="E49" s="35"/>
      <c r="F49" s="392">
        <f>C49</f>
        <v>6.5000000000000002E-2</v>
      </c>
      <c r="G49" s="391">
        <f>F49</f>
        <v>6.5000000000000002E-2</v>
      </c>
      <c r="H49" s="391">
        <f t="shared" ref="H49:P49" si="14">G49</f>
        <v>6.5000000000000002E-2</v>
      </c>
      <c r="I49" s="392">
        <f t="shared" si="14"/>
        <v>6.5000000000000002E-2</v>
      </c>
      <c r="J49" s="391">
        <f t="shared" si="14"/>
        <v>6.5000000000000002E-2</v>
      </c>
      <c r="K49" s="391">
        <f t="shared" si="14"/>
        <v>6.5000000000000002E-2</v>
      </c>
      <c r="L49" s="391">
        <f t="shared" si="14"/>
        <v>6.5000000000000002E-2</v>
      </c>
      <c r="M49" s="392">
        <f t="shared" si="14"/>
        <v>6.5000000000000002E-2</v>
      </c>
      <c r="N49" s="391">
        <f t="shared" si="14"/>
        <v>6.5000000000000002E-2</v>
      </c>
      <c r="O49" s="391">
        <f t="shared" si="14"/>
        <v>6.5000000000000002E-2</v>
      </c>
      <c r="P49" s="392">
        <f t="shared" si="14"/>
        <v>6.5000000000000002E-2</v>
      </c>
    </row>
    <row r="50" spans="2:16" x14ac:dyDescent="0.25">
      <c r="B50" s="343" t="s">
        <v>106</v>
      </c>
      <c r="C50" s="220"/>
      <c r="D50" s="34"/>
      <c r="E50" s="34"/>
      <c r="F50" s="138">
        <f>SUM(F45:F48)</f>
        <v>0</v>
      </c>
      <c r="G50" s="239">
        <f t="shared" ref="G50:P50" ca="1" si="15">SUM(G45:G48)</f>
        <v>0</v>
      </c>
      <c r="H50" s="239">
        <f t="shared" ca="1" si="15"/>
        <v>0</v>
      </c>
      <c r="I50" s="138">
        <f t="shared" ca="1" si="15"/>
        <v>0</v>
      </c>
      <c r="J50" s="239">
        <f t="shared" ca="1" si="15"/>
        <v>0</v>
      </c>
      <c r="K50" s="239">
        <f t="shared" ca="1" si="15"/>
        <v>0</v>
      </c>
      <c r="L50" s="239">
        <f t="shared" ca="1" si="15"/>
        <v>189511.00124418229</v>
      </c>
      <c r="M50" s="138">
        <f t="shared" ca="1" si="15"/>
        <v>253944.7416672043</v>
      </c>
      <c r="N50" s="239">
        <f t="shared" ca="1" si="15"/>
        <v>295826.67294216866</v>
      </c>
      <c r="O50" s="239">
        <f t="shared" ca="1" si="15"/>
        <v>304135.40376971732</v>
      </c>
      <c r="P50" s="138">
        <f t="shared" ca="1" si="15"/>
        <v>310373.60467407748</v>
      </c>
    </row>
    <row r="51" spans="2:16" x14ac:dyDescent="0.25">
      <c r="B51" s="104"/>
      <c r="C51" s="220"/>
      <c r="D51" s="34"/>
      <c r="E51" s="34"/>
      <c r="F51" s="291"/>
      <c r="G51" s="240"/>
      <c r="H51" s="240"/>
      <c r="I51" s="291"/>
      <c r="J51" s="240"/>
      <c r="K51" s="240"/>
      <c r="L51" s="240"/>
      <c r="M51" s="291"/>
      <c r="N51" s="240"/>
      <c r="O51" s="240"/>
      <c r="P51" s="291"/>
    </row>
    <row r="52" spans="2:16" x14ac:dyDescent="0.25">
      <c r="B52" s="343" t="s">
        <v>124</v>
      </c>
      <c r="C52" s="241" t="s">
        <v>169</v>
      </c>
      <c r="D52" s="34"/>
      <c r="E52" s="34"/>
      <c r="F52" s="291"/>
      <c r="G52" s="240"/>
      <c r="H52" s="240"/>
      <c r="I52" s="291"/>
      <c r="J52" s="240"/>
      <c r="K52" s="240"/>
      <c r="L52" s="240"/>
      <c r="M52" s="291"/>
      <c r="N52" s="240"/>
      <c r="O52" s="240"/>
      <c r="P52" s="291"/>
    </row>
    <row r="53" spans="2:16" x14ac:dyDescent="0.25">
      <c r="B53" s="104" t="s">
        <v>128</v>
      </c>
      <c r="C53" s="242">
        <f>M15</f>
        <v>0.4</v>
      </c>
      <c r="D53" s="34"/>
      <c r="E53" s="34"/>
      <c r="F53" s="387">
        <f>(E53*(F$57))-(F$50*$C$53)</f>
        <v>0</v>
      </c>
      <c r="G53" s="139">
        <f t="shared" ref="G53:P53" ca="1" si="16">(F53*(G$57))-(G$50*$C$53)</f>
        <v>0</v>
      </c>
      <c r="H53" s="139">
        <f t="shared" ca="1" si="16"/>
        <v>0</v>
      </c>
      <c r="I53" s="387">
        <f t="shared" ca="1" si="16"/>
        <v>0</v>
      </c>
      <c r="J53" s="139">
        <f t="shared" ca="1" si="16"/>
        <v>0</v>
      </c>
      <c r="K53" s="139">
        <f t="shared" ca="1" si="16"/>
        <v>0</v>
      </c>
      <c r="L53" s="139">
        <f t="shared" ca="1" si="16"/>
        <v>-75804.400497672919</v>
      </c>
      <c r="M53" s="387">
        <f t="shared" ca="1" si="16"/>
        <v>-103852.02868181192</v>
      </c>
      <c r="N53" s="139">
        <f t="shared" ca="1" si="16"/>
        <v>-121446.23003732182</v>
      </c>
      <c r="O53" s="139">
        <f t="shared" ca="1" si="16"/>
        <v>-125297.54840900659</v>
      </c>
      <c r="P53" s="387">
        <f t="shared" ca="1" si="16"/>
        <v>-127908.3683219012</v>
      </c>
    </row>
    <row r="54" spans="2:16" x14ac:dyDescent="0.25">
      <c r="B54" s="104" t="s">
        <v>89</v>
      </c>
      <c r="C54" s="242">
        <f>M16</f>
        <v>0.03</v>
      </c>
      <c r="D54" s="34"/>
      <c r="E54" s="34"/>
      <c r="F54" s="387">
        <f>(E54*(F$57))-(F$50*$C$54)</f>
        <v>0</v>
      </c>
      <c r="G54" s="139">
        <f t="shared" ref="G54:P54" ca="1" si="17">(F54*(G$57))-(G$50*$C$54)</f>
        <v>0</v>
      </c>
      <c r="H54" s="139">
        <f t="shared" ca="1" si="17"/>
        <v>0</v>
      </c>
      <c r="I54" s="387">
        <f t="shared" ca="1" si="17"/>
        <v>0</v>
      </c>
      <c r="J54" s="139">
        <f t="shared" ca="1" si="17"/>
        <v>0</v>
      </c>
      <c r="K54" s="139">
        <f t="shared" ca="1" si="17"/>
        <v>0</v>
      </c>
      <c r="L54" s="139">
        <f t="shared" ca="1" si="17"/>
        <v>-5685.3300373254688</v>
      </c>
      <c r="M54" s="387">
        <f t="shared" ca="1" si="17"/>
        <v>-7788.9021511358924</v>
      </c>
      <c r="N54" s="139">
        <f t="shared" ca="1" si="17"/>
        <v>-9108.4672527991352</v>
      </c>
      <c r="O54" s="139">
        <f t="shared" ca="1" si="17"/>
        <v>-9397.3161306754919</v>
      </c>
      <c r="P54" s="387">
        <f t="shared" ca="1" si="17"/>
        <v>-9593.1276241425894</v>
      </c>
    </row>
    <row r="55" spans="2:16" x14ac:dyDescent="0.25">
      <c r="B55" s="104" t="s">
        <v>134</v>
      </c>
      <c r="C55" s="242">
        <f>M17</f>
        <v>0.02</v>
      </c>
      <c r="D55" s="34"/>
      <c r="E55" s="34"/>
      <c r="F55" s="387">
        <f>(E55*(F$57))-(F$50*$C$55)</f>
        <v>0</v>
      </c>
      <c r="G55" s="139">
        <f t="shared" ref="G55:P55" ca="1" si="18">(F55*(G$57))-(G$50*$C$55)</f>
        <v>0</v>
      </c>
      <c r="H55" s="139">
        <f t="shared" ca="1" si="18"/>
        <v>0</v>
      </c>
      <c r="I55" s="387">
        <f t="shared" ca="1" si="18"/>
        <v>0</v>
      </c>
      <c r="J55" s="139">
        <f t="shared" ca="1" si="18"/>
        <v>0</v>
      </c>
      <c r="K55" s="139">
        <f t="shared" ca="1" si="18"/>
        <v>0</v>
      </c>
      <c r="L55" s="139">
        <f t="shared" ca="1" si="18"/>
        <v>-3790.2200248836457</v>
      </c>
      <c r="M55" s="387">
        <f t="shared" ca="1" si="18"/>
        <v>-5192.6014340905949</v>
      </c>
      <c r="N55" s="139">
        <f t="shared" ca="1" si="18"/>
        <v>-6072.311501866091</v>
      </c>
      <c r="O55" s="139">
        <f t="shared" ca="1" si="18"/>
        <v>-6264.8774204503288</v>
      </c>
      <c r="P55" s="387">
        <f t="shared" ca="1" si="18"/>
        <v>-6395.418416095059</v>
      </c>
    </row>
    <row r="56" spans="2:16" x14ac:dyDescent="0.25">
      <c r="B56" s="104" t="s">
        <v>156</v>
      </c>
      <c r="C56" s="242">
        <f>M18</f>
        <v>0.1</v>
      </c>
      <c r="D56" s="34"/>
      <c r="E56" s="34"/>
      <c r="F56" s="387">
        <f>(E56*(F$57))-(F$50*$C$56)</f>
        <v>0</v>
      </c>
      <c r="G56" s="139">
        <f t="shared" ref="G56:P56" ca="1" si="19">(F56*(G$57))-(G$50*$C$56)</f>
        <v>0</v>
      </c>
      <c r="H56" s="139">
        <f t="shared" ca="1" si="19"/>
        <v>0</v>
      </c>
      <c r="I56" s="387">
        <f t="shared" ca="1" si="19"/>
        <v>0</v>
      </c>
      <c r="J56" s="139">
        <f t="shared" ca="1" si="19"/>
        <v>0</v>
      </c>
      <c r="K56" s="139">
        <f t="shared" ca="1" si="19"/>
        <v>0</v>
      </c>
      <c r="L56" s="139">
        <f t="shared" ca="1" si="19"/>
        <v>-18951.10012441823</v>
      </c>
      <c r="M56" s="387">
        <f t="shared" ca="1" si="19"/>
        <v>-25963.00717045298</v>
      </c>
      <c r="N56" s="139">
        <f t="shared" ca="1" si="19"/>
        <v>-30361.557509330454</v>
      </c>
      <c r="O56" s="139">
        <f t="shared" ca="1" si="19"/>
        <v>-31324.387102251647</v>
      </c>
      <c r="P56" s="387">
        <f t="shared" ca="1" si="19"/>
        <v>-31977.0920804753</v>
      </c>
    </row>
    <row r="57" spans="2:16" x14ac:dyDescent="0.25">
      <c r="B57" s="344" t="s">
        <v>133</v>
      </c>
      <c r="C57" s="243">
        <f>J7</f>
        <v>0.03</v>
      </c>
      <c r="D57" s="34"/>
      <c r="E57" s="34"/>
      <c r="F57" s="388">
        <f>C57</f>
        <v>0.03</v>
      </c>
      <c r="G57" s="244">
        <f>F57</f>
        <v>0.03</v>
      </c>
      <c r="H57" s="244">
        <f t="shared" ref="H57:P57" si="20">G57</f>
        <v>0.03</v>
      </c>
      <c r="I57" s="388">
        <f t="shared" si="20"/>
        <v>0.03</v>
      </c>
      <c r="J57" s="244">
        <f t="shared" si="20"/>
        <v>0.03</v>
      </c>
      <c r="K57" s="244">
        <f t="shared" si="20"/>
        <v>0.03</v>
      </c>
      <c r="L57" s="244">
        <f t="shared" si="20"/>
        <v>0.03</v>
      </c>
      <c r="M57" s="388">
        <f t="shared" si="20"/>
        <v>0.03</v>
      </c>
      <c r="N57" s="244">
        <f t="shared" si="20"/>
        <v>0.03</v>
      </c>
      <c r="O57" s="244">
        <f t="shared" si="20"/>
        <v>0.03</v>
      </c>
      <c r="P57" s="388">
        <f t="shared" si="20"/>
        <v>0.03</v>
      </c>
    </row>
    <row r="58" spans="2:16" x14ac:dyDescent="0.25">
      <c r="B58" s="104"/>
      <c r="C58" s="245"/>
      <c r="D58" s="34"/>
      <c r="E58" s="34"/>
      <c r="F58" s="291"/>
      <c r="G58" s="240"/>
      <c r="H58" s="240"/>
      <c r="I58" s="291"/>
      <c r="J58" s="240"/>
      <c r="K58" s="240"/>
      <c r="L58" s="240"/>
      <c r="M58" s="291"/>
      <c r="N58" s="240"/>
      <c r="O58" s="240"/>
      <c r="P58" s="291"/>
    </row>
    <row r="59" spans="2:16" x14ac:dyDescent="0.25">
      <c r="B59" s="323" t="s">
        <v>99</v>
      </c>
      <c r="C59" s="245"/>
      <c r="D59" s="34"/>
      <c r="E59" s="34"/>
      <c r="F59" s="138">
        <f>SUM(F50:F56)</f>
        <v>0</v>
      </c>
      <c r="G59" s="239">
        <f t="shared" ref="G59:P59" ca="1" si="21">SUM(G50:G56)</f>
        <v>0</v>
      </c>
      <c r="H59" s="239">
        <f t="shared" ca="1" si="21"/>
        <v>0</v>
      </c>
      <c r="I59" s="138">
        <f t="shared" ca="1" si="21"/>
        <v>0</v>
      </c>
      <c r="J59" s="239">
        <f t="shared" ca="1" si="21"/>
        <v>0</v>
      </c>
      <c r="K59" s="239">
        <f t="shared" ca="1" si="21"/>
        <v>0</v>
      </c>
      <c r="L59" s="239">
        <f t="shared" ca="1" si="21"/>
        <v>85279.950559882025</v>
      </c>
      <c r="M59" s="138">
        <f t="shared" ca="1" si="21"/>
        <v>111148.2022297129</v>
      </c>
      <c r="N59" s="239">
        <f t="shared" ca="1" si="21"/>
        <v>128838.10664085118</v>
      </c>
      <c r="O59" s="239">
        <f t="shared" ca="1" si="21"/>
        <v>131851.27470733327</v>
      </c>
      <c r="P59" s="138">
        <f t="shared" ca="1" si="21"/>
        <v>134499.59823146334</v>
      </c>
    </row>
    <row r="60" spans="2:16" x14ac:dyDescent="0.25">
      <c r="B60" s="322"/>
      <c r="C60" s="245"/>
      <c r="D60" s="34"/>
      <c r="E60" s="34"/>
      <c r="F60" s="291"/>
      <c r="G60" s="240"/>
      <c r="H60" s="240"/>
      <c r="I60" s="291"/>
      <c r="J60" s="240"/>
      <c r="K60" s="240"/>
      <c r="L60" s="240"/>
      <c r="M60" s="291"/>
      <c r="N60" s="240"/>
      <c r="O60" s="240"/>
      <c r="P60" s="291"/>
    </row>
    <row r="61" spans="2:16" x14ac:dyDescent="0.25">
      <c r="B61" s="322" t="s">
        <v>129</v>
      </c>
      <c r="C61" s="245"/>
      <c r="D61" s="34"/>
      <c r="E61" s="34"/>
      <c r="F61" s="138">
        <f t="shared" ref="F61:P61" si="22">IF(F24=$J$14,E59/$J$13,0)</f>
        <v>0</v>
      </c>
      <c r="G61" s="239">
        <f t="shared" si="22"/>
        <v>0</v>
      </c>
      <c r="H61" s="239">
        <f t="shared" si="22"/>
        <v>0</v>
      </c>
      <c r="I61" s="138">
        <f t="shared" si="22"/>
        <v>0</v>
      </c>
      <c r="J61" s="239">
        <f t="shared" si="22"/>
        <v>0</v>
      </c>
      <c r="K61" s="239">
        <f t="shared" si="22"/>
        <v>0</v>
      </c>
      <c r="L61" s="239">
        <f t="shared" si="22"/>
        <v>0</v>
      </c>
      <c r="M61" s="138">
        <f t="shared" si="22"/>
        <v>0</v>
      </c>
      <c r="N61" s="239">
        <f t="shared" si="22"/>
        <v>0</v>
      </c>
      <c r="O61" s="239">
        <f t="shared" si="22"/>
        <v>0</v>
      </c>
      <c r="P61" s="138">
        <f t="shared" ca="1" si="22"/>
        <v>1758016.996097777</v>
      </c>
    </row>
    <row r="62" spans="2:16" x14ac:dyDescent="0.25">
      <c r="B62" s="322" t="s">
        <v>41</v>
      </c>
      <c r="C62" s="246">
        <f>J15</f>
        <v>0.02</v>
      </c>
      <c r="D62" s="34"/>
      <c r="E62" s="34"/>
      <c r="F62" s="138">
        <f>$C$62*-F61</f>
        <v>0</v>
      </c>
      <c r="G62" s="239">
        <f t="shared" ref="G62:P62" si="23">$C$62*-G61</f>
        <v>0</v>
      </c>
      <c r="H62" s="239">
        <f t="shared" si="23"/>
        <v>0</v>
      </c>
      <c r="I62" s="138">
        <f t="shared" si="23"/>
        <v>0</v>
      </c>
      <c r="J62" s="239">
        <f t="shared" si="23"/>
        <v>0</v>
      </c>
      <c r="K62" s="239">
        <f t="shared" si="23"/>
        <v>0</v>
      </c>
      <c r="L62" s="239">
        <f t="shared" si="23"/>
        <v>0</v>
      </c>
      <c r="M62" s="138">
        <f t="shared" si="23"/>
        <v>0</v>
      </c>
      <c r="N62" s="239">
        <f t="shared" si="23"/>
        <v>0</v>
      </c>
      <c r="O62" s="239">
        <f t="shared" si="23"/>
        <v>0</v>
      </c>
      <c r="P62" s="138">
        <f t="shared" ca="1" si="23"/>
        <v>-35160.339921955543</v>
      </c>
    </row>
    <row r="63" spans="2:16" x14ac:dyDescent="0.25">
      <c r="B63" s="104"/>
      <c r="C63" s="220"/>
      <c r="D63" s="34"/>
      <c r="E63" s="34"/>
      <c r="F63" s="291"/>
      <c r="G63" s="240"/>
      <c r="H63" s="240"/>
      <c r="I63" s="291"/>
      <c r="J63" s="240"/>
      <c r="K63" s="240"/>
      <c r="L63" s="240"/>
      <c r="M63" s="291"/>
      <c r="N63" s="240"/>
      <c r="O63" s="240"/>
      <c r="P63" s="291"/>
    </row>
    <row r="64" spans="2:16" x14ac:dyDescent="0.25">
      <c r="B64" s="323" t="s">
        <v>103</v>
      </c>
      <c r="C64" s="241" t="s">
        <v>37</v>
      </c>
      <c r="D64" s="34" t="s">
        <v>45</v>
      </c>
      <c r="E64" s="34"/>
      <c r="F64" s="291"/>
      <c r="G64" s="240"/>
      <c r="H64" s="240"/>
      <c r="I64" s="291"/>
      <c r="J64" s="240"/>
      <c r="K64" s="240"/>
      <c r="L64" s="240"/>
      <c r="M64" s="291"/>
      <c r="N64" s="240"/>
      <c r="O64" s="240"/>
      <c r="P64" s="291"/>
    </row>
    <row r="65" spans="1:16" x14ac:dyDescent="0.25">
      <c r="B65" s="322" t="s">
        <v>30</v>
      </c>
      <c r="C65" s="247">
        <f>Costs!F38</f>
        <v>330</v>
      </c>
      <c r="D65" s="34"/>
      <c r="E65" s="34"/>
      <c r="F65" s="138">
        <f t="shared" ref="F65:P65" si="24">$C$65*F29</f>
        <v>0</v>
      </c>
      <c r="G65" s="239">
        <f t="shared" ca="1" si="24"/>
        <v>0</v>
      </c>
      <c r="H65" s="239">
        <f t="shared" ca="1" si="24"/>
        <v>0</v>
      </c>
      <c r="I65" s="138">
        <f t="shared" ca="1" si="24"/>
        <v>0</v>
      </c>
      <c r="J65" s="239">
        <f t="shared" ca="1" si="24"/>
        <v>0</v>
      </c>
      <c r="K65" s="239">
        <f t="shared" si="24"/>
        <v>8019000</v>
      </c>
      <c r="L65" s="239">
        <f t="shared" si="24"/>
        <v>8019000</v>
      </c>
      <c r="M65" s="138">
        <f t="shared" ca="1" si="24"/>
        <v>0</v>
      </c>
      <c r="N65" s="239">
        <f t="shared" ca="1" si="24"/>
        <v>0</v>
      </c>
      <c r="O65" s="239">
        <f t="shared" ca="1" si="24"/>
        <v>0</v>
      </c>
      <c r="P65" s="138">
        <f t="shared" ca="1" si="24"/>
        <v>0</v>
      </c>
    </row>
    <row r="66" spans="1:16" x14ac:dyDescent="0.25">
      <c r="B66" s="347" t="s">
        <v>36</v>
      </c>
      <c r="C66" s="524">
        <f>Costs!F55</f>
        <v>66.000000000000014</v>
      </c>
      <c r="D66" s="3"/>
      <c r="E66" s="3"/>
      <c r="F66" s="299">
        <f t="shared" ref="F66:P66" si="25">$C$66*F29</f>
        <v>0</v>
      </c>
      <c r="G66" s="143">
        <f t="shared" ca="1" si="25"/>
        <v>0</v>
      </c>
      <c r="H66" s="143">
        <f t="shared" ca="1" si="25"/>
        <v>0</v>
      </c>
      <c r="I66" s="299">
        <f t="shared" ca="1" si="25"/>
        <v>0</v>
      </c>
      <c r="J66" s="143">
        <f t="shared" ca="1" si="25"/>
        <v>0</v>
      </c>
      <c r="K66" s="143">
        <f t="shared" si="25"/>
        <v>1603800.0000000002</v>
      </c>
      <c r="L66" s="143">
        <f t="shared" si="25"/>
        <v>1603800.0000000002</v>
      </c>
      <c r="M66" s="299">
        <f t="shared" ca="1" si="25"/>
        <v>0</v>
      </c>
      <c r="N66" s="143">
        <f t="shared" ca="1" si="25"/>
        <v>0</v>
      </c>
      <c r="O66" s="143">
        <f t="shared" ca="1" si="25"/>
        <v>0</v>
      </c>
      <c r="P66" s="299">
        <f t="shared" ca="1" si="25"/>
        <v>0</v>
      </c>
    </row>
    <row r="67" spans="1:16" x14ac:dyDescent="0.25">
      <c r="B67" s="323" t="s">
        <v>104</v>
      </c>
      <c r="C67" s="220"/>
      <c r="D67" s="34"/>
      <c r="E67" s="34"/>
      <c r="F67" s="138">
        <f t="shared" ref="F67:P67" si="26">SUM(F65:F66)</f>
        <v>0</v>
      </c>
      <c r="G67" s="239">
        <f t="shared" ca="1" si="26"/>
        <v>0</v>
      </c>
      <c r="H67" s="239">
        <f t="shared" ca="1" si="26"/>
        <v>0</v>
      </c>
      <c r="I67" s="138">
        <f t="shared" ca="1" si="26"/>
        <v>0</v>
      </c>
      <c r="J67" s="239">
        <f t="shared" ca="1" si="26"/>
        <v>0</v>
      </c>
      <c r="K67" s="239">
        <f t="shared" si="26"/>
        <v>9622800</v>
      </c>
      <c r="L67" s="239">
        <f t="shared" si="26"/>
        <v>9622800</v>
      </c>
      <c r="M67" s="138">
        <f t="shared" ca="1" si="26"/>
        <v>0</v>
      </c>
      <c r="N67" s="239">
        <f t="shared" ca="1" si="26"/>
        <v>0</v>
      </c>
      <c r="O67" s="239">
        <f t="shared" ca="1" si="26"/>
        <v>0</v>
      </c>
      <c r="P67" s="138">
        <f t="shared" ca="1" si="26"/>
        <v>0</v>
      </c>
    </row>
    <row r="68" spans="1:16" x14ac:dyDescent="0.25">
      <c r="B68" s="104"/>
      <c r="C68" s="220"/>
      <c r="D68" s="220"/>
      <c r="E68" s="220"/>
      <c r="F68" s="291"/>
      <c r="G68" s="240"/>
      <c r="H68" s="240"/>
      <c r="I68" s="291"/>
      <c r="J68" s="240"/>
      <c r="K68" s="240"/>
      <c r="L68" s="240"/>
      <c r="M68" s="291"/>
      <c r="N68" s="240"/>
      <c r="O68" s="240"/>
      <c r="P68" s="291"/>
    </row>
    <row r="69" spans="1:16" x14ac:dyDescent="0.25">
      <c r="B69" s="48" t="s">
        <v>202</v>
      </c>
      <c r="C69" s="79"/>
      <c r="D69" s="79"/>
      <c r="E69" s="79"/>
      <c r="F69" s="156">
        <f t="shared" ref="F69:P69" si="27">F59+F61+F62-F67</f>
        <v>0</v>
      </c>
      <c r="G69" s="142">
        <f t="shared" ca="1" si="27"/>
        <v>0</v>
      </c>
      <c r="H69" s="142">
        <f t="shared" ca="1" si="27"/>
        <v>0</v>
      </c>
      <c r="I69" s="156">
        <f t="shared" ca="1" si="27"/>
        <v>0</v>
      </c>
      <c r="J69" s="142">
        <f t="shared" ca="1" si="27"/>
        <v>0</v>
      </c>
      <c r="K69" s="142">
        <f t="shared" ca="1" si="27"/>
        <v>-9622800</v>
      </c>
      <c r="L69" s="142">
        <f t="shared" ca="1" si="27"/>
        <v>-9537520.0494401176</v>
      </c>
      <c r="M69" s="156">
        <f t="shared" ca="1" si="27"/>
        <v>111148.2022297129</v>
      </c>
      <c r="N69" s="142">
        <f t="shared" ca="1" si="27"/>
        <v>128838.10664085118</v>
      </c>
      <c r="O69" s="142">
        <f t="shared" ca="1" si="27"/>
        <v>131851.27470733327</v>
      </c>
      <c r="P69" s="156">
        <f t="shared" ca="1" si="27"/>
        <v>1857356.2544072848</v>
      </c>
    </row>
    <row r="70" spans="1:16" x14ac:dyDescent="0.25">
      <c r="A70" s="34"/>
      <c r="B70" s="34"/>
      <c r="C70" s="220"/>
      <c r="D70" s="34"/>
    </row>
    <row r="71" spans="1:16" x14ac:dyDescent="0.25">
      <c r="A71" s="34"/>
      <c r="B71" s="50" t="s">
        <v>130</v>
      </c>
      <c r="C71" s="203">
        <f ca="1">SUM(F69:P69)</f>
        <v>-16931126.211454935</v>
      </c>
      <c r="D71" s="34"/>
    </row>
    <row r="72" spans="1:16" x14ac:dyDescent="0.25">
      <c r="A72" s="34"/>
      <c r="B72" s="104" t="s">
        <v>228</v>
      </c>
      <c r="C72" s="204">
        <f ca="1">SUM(F67:P67)</f>
        <v>19245600</v>
      </c>
      <c r="D72" s="34"/>
    </row>
    <row r="73" spans="1:16" x14ac:dyDescent="0.25">
      <c r="A73" s="34"/>
      <c r="B73" s="104" t="s">
        <v>202</v>
      </c>
      <c r="C73" s="205" t="s">
        <v>276</v>
      </c>
      <c r="D73" s="34"/>
    </row>
    <row r="74" spans="1:16" x14ac:dyDescent="0.25">
      <c r="A74" s="34"/>
      <c r="B74" s="51" t="s">
        <v>201</v>
      </c>
      <c r="C74" s="206">
        <f ca="1">C71/C72</f>
        <v>-0.87974010742481068</v>
      </c>
      <c r="D74" s="34"/>
    </row>
    <row r="75" spans="1:16" x14ac:dyDescent="0.25">
      <c r="A75" s="220"/>
      <c r="B75" s="220"/>
      <c r="C75" s="220"/>
      <c r="D75" s="34"/>
    </row>
    <row r="76" spans="1:16" x14ac:dyDescent="0.25">
      <c r="D76" s="5"/>
      <c r="E76" s="5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</row>
    <row r="77" spans="1:16" x14ac:dyDescent="0.25"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</row>
    <row r="78" spans="1:16" x14ac:dyDescent="0.25"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</row>
    <row r="79" spans="1:16" x14ac:dyDescent="0.25"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</row>
    <row r="80" spans="1:16" x14ac:dyDescent="0.25"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</row>
    <row r="81" spans="6:16" x14ac:dyDescent="0.25"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</row>
    <row r="82" spans="6:16" x14ac:dyDescent="0.25"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</row>
    <row r="83" spans="6:16" x14ac:dyDescent="0.25"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</row>
    <row r="84" spans="6:16" x14ac:dyDescent="0.25"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</row>
    <row r="85" spans="6:16" x14ac:dyDescent="0.25"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</row>
    <row r="86" spans="6:16" x14ac:dyDescent="0.25"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</row>
    <row r="87" spans="6:16" x14ac:dyDescent="0.25"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</row>
    <row r="88" spans="6:16" x14ac:dyDescent="0.25"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</row>
    <row r="89" spans="6:16" x14ac:dyDescent="0.25"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</row>
    <row r="90" spans="6:16" x14ac:dyDescent="0.25"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</row>
    <row r="91" spans="6:16" x14ac:dyDescent="0.25"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</row>
    <row r="92" spans="6:16" x14ac:dyDescent="0.25"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</row>
    <row r="93" spans="6:16" x14ac:dyDescent="0.25"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</row>
    <row r="94" spans="6:16" x14ac:dyDescent="0.25"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</row>
    <row r="95" spans="6:16" x14ac:dyDescent="0.25"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</row>
    <row r="96" spans="6:16" x14ac:dyDescent="0.25"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</row>
  </sheetData>
  <mergeCells count="2">
    <mergeCell ref="F22:P22"/>
    <mergeCell ref="B5:E19"/>
  </mergeCells>
  <conditionalFormatting sqref="A21:Q27 A28:A35 Q28:Q35 A36:Q72 A74:Q92 A73 C73:Q73">
    <cfRule type="cellIs" dxfId="150" priority="38" operator="lessThan">
      <formula>0</formula>
    </cfRule>
  </conditionalFormatting>
  <conditionalFormatting sqref="F53">
    <cfRule type="cellIs" dxfId="149" priority="37" operator="lessThan">
      <formula>0</formula>
    </cfRule>
  </conditionalFormatting>
  <conditionalFormatting sqref="G53:P53">
    <cfRule type="cellIs" dxfId="148" priority="36" operator="lessThan">
      <formula>0</formula>
    </cfRule>
  </conditionalFormatting>
  <conditionalFormatting sqref="G53:P53">
    <cfRule type="cellIs" dxfId="147" priority="35" operator="lessThan">
      <formula>0</formula>
    </cfRule>
  </conditionalFormatting>
  <conditionalFormatting sqref="F54:F56">
    <cfRule type="cellIs" dxfId="146" priority="34" operator="lessThan">
      <formula>0</formula>
    </cfRule>
  </conditionalFormatting>
  <conditionalFormatting sqref="F54:F56">
    <cfRule type="cellIs" dxfId="145" priority="33" operator="lessThan">
      <formula>0</formula>
    </cfRule>
  </conditionalFormatting>
  <conditionalFormatting sqref="G54:P56">
    <cfRule type="cellIs" dxfId="144" priority="32" operator="lessThan">
      <formula>0</formula>
    </cfRule>
  </conditionalFormatting>
  <conditionalFormatting sqref="G54:P56">
    <cfRule type="cellIs" dxfId="143" priority="31" operator="lessThan">
      <formula>0</formula>
    </cfRule>
  </conditionalFormatting>
  <conditionalFormatting sqref="B71:C72 B74:C74 C73">
    <cfRule type="cellIs" dxfId="142" priority="27" operator="lessThan">
      <formula>0</formula>
    </cfRule>
  </conditionalFormatting>
  <conditionalFormatting sqref="B28:B35">
    <cfRule type="cellIs" dxfId="141" priority="20" operator="lessThan">
      <formula>0</formula>
    </cfRule>
  </conditionalFormatting>
  <conditionalFormatting sqref="E28:P29 D30:P33 D34:F35">
    <cfRule type="cellIs" dxfId="140" priority="19" operator="lessThan">
      <formula>0</formula>
    </cfRule>
  </conditionalFormatting>
  <conditionalFormatting sqref="D28">
    <cfRule type="cellIs" dxfId="139" priority="5" operator="lessThan">
      <formula>0</formula>
    </cfRule>
  </conditionalFormatting>
  <conditionalFormatting sqref="C28:C29">
    <cfRule type="cellIs" dxfId="138" priority="6" operator="lessThan">
      <formula>0</formula>
    </cfRule>
  </conditionalFormatting>
  <conditionalFormatting sqref="D29">
    <cfRule type="cellIs" dxfId="137" priority="4" operator="lessThan">
      <formula>0</formula>
    </cfRule>
  </conditionalFormatting>
  <conditionalFormatting sqref="G34:P35">
    <cfRule type="cellIs" dxfId="136" priority="3" operator="lessThan">
      <formula>0</formula>
    </cfRule>
  </conditionalFormatting>
  <conditionalFormatting sqref="B73">
    <cfRule type="cellIs" dxfId="135" priority="2" operator="lessThan">
      <formula>0</formula>
    </cfRule>
  </conditionalFormatting>
  <conditionalFormatting sqref="B3">
    <cfRule type="cellIs" dxfId="134" priority="1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B2:Q59"/>
  <sheetViews>
    <sheetView showGridLines="0" zoomScale="85" zoomScaleNormal="85" workbookViewId="0">
      <pane xSplit="5" topLeftCell="F1" activePane="topRight" state="frozen"/>
      <selection activeCell="A4" sqref="A4"/>
      <selection pane="topRight" activeCell="H8" sqref="H8"/>
    </sheetView>
  </sheetViews>
  <sheetFormatPr defaultRowHeight="15" x14ac:dyDescent="0.25"/>
  <cols>
    <col min="2" max="2" width="43.42578125" customWidth="1"/>
    <col min="3" max="3" width="12.42578125" bestFit="1" customWidth="1"/>
    <col min="6" max="16" width="24.85546875" customWidth="1"/>
  </cols>
  <sheetData>
    <row r="2" spans="2:16" ht="18.75" x14ac:dyDescent="0.3">
      <c r="B2" s="8" t="s">
        <v>614</v>
      </c>
    </row>
    <row r="3" spans="2:16" x14ac:dyDescent="0.25">
      <c r="B3" t="s">
        <v>611</v>
      </c>
    </row>
    <row r="5" spans="2:16" x14ac:dyDescent="0.25">
      <c r="B5" s="855" t="s">
        <v>112</v>
      </c>
      <c r="C5" s="855"/>
      <c r="D5" s="855"/>
      <c r="E5" s="855"/>
      <c r="F5" s="45" t="s">
        <v>107</v>
      </c>
      <c r="G5" s="44"/>
      <c r="H5" s="44"/>
      <c r="I5" s="45" t="s">
        <v>277</v>
      </c>
      <c r="J5" s="162"/>
      <c r="K5" s="46"/>
      <c r="L5" s="45"/>
      <c r="M5" s="44"/>
      <c r="N5" s="44"/>
      <c r="O5" s="44"/>
      <c r="P5" s="44"/>
    </row>
    <row r="6" spans="2:16" ht="13.9" customHeight="1" x14ac:dyDescent="0.25">
      <c r="B6" s="855"/>
      <c r="C6" s="855"/>
      <c r="D6" s="855"/>
      <c r="E6" s="855"/>
      <c r="F6" s="44" t="s">
        <v>108</v>
      </c>
      <c r="G6" s="57">
        <f ca="1">Costs!G12</f>
        <v>48940</v>
      </c>
      <c r="H6" s="44"/>
      <c r="I6" s="116" t="s">
        <v>347</v>
      </c>
      <c r="J6" s="73">
        <f ca="1">J19</f>
        <v>447.21428571428567</v>
      </c>
      <c r="K6" s="44"/>
      <c r="L6" s="44"/>
      <c r="M6" s="47"/>
      <c r="N6" s="44"/>
      <c r="O6" s="44"/>
      <c r="P6" s="44"/>
    </row>
    <row r="7" spans="2:16" ht="13.9" customHeight="1" x14ac:dyDescent="0.25">
      <c r="B7" s="855"/>
      <c r="C7" s="855"/>
      <c r="D7" s="855"/>
      <c r="E7" s="855"/>
      <c r="F7" s="44"/>
      <c r="G7" s="47"/>
      <c r="H7" s="44"/>
      <c r="I7" s="44" t="s">
        <v>338</v>
      </c>
      <c r="J7" s="172">
        <v>0.5</v>
      </c>
      <c r="K7" s="44"/>
      <c r="L7" s="44"/>
      <c r="M7" s="85"/>
      <c r="N7" s="44"/>
      <c r="O7" s="44"/>
      <c r="P7" s="44"/>
    </row>
    <row r="8" spans="2:16" x14ac:dyDescent="0.25">
      <c r="B8" s="855"/>
      <c r="C8" s="855"/>
      <c r="D8" s="855"/>
      <c r="E8" s="855"/>
      <c r="F8" s="45" t="s">
        <v>111</v>
      </c>
      <c r="G8" s="44"/>
      <c r="H8" s="44"/>
      <c r="I8" s="44" t="s">
        <v>328</v>
      </c>
      <c r="J8" s="173">
        <f ca="1">J6*(1-J7)</f>
        <v>223.60714285714283</v>
      </c>
      <c r="K8" s="44"/>
      <c r="L8" s="44"/>
      <c r="M8" s="47"/>
      <c r="N8" s="44"/>
      <c r="O8" s="44"/>
      <c r="P8" s="44"/>
    </row>
    <row r="9" spans="2:16" x14ac:dyDescent="0.25">
      <c r="B9" s="855"/>
      <c r="C9" s="855"/>
      <c r="D9" s="855"/>
      <c r="E9" s="855"/>
      <c r="F9" s="44" t="s">
        <v>113</v>
      </c>
      <c r="G9" s="47">
        <v>0.03</v>
      </c>
      <c r="H9" s="44"/>
      <c r="I9" s="44" t="s">
        <v>339</v>
      </c>
      <c r="J9" s="47">
        <v>7.0000000000000007E-2</v>
      </c>
      <c r="K9" s="44"/>
      <c r="L9" s="44"/>
      <c r="M9" s="52"/>
      <c r="N9" s="44"/>
      <c r="O9" s="44"/>
      <c r="P9" s="44"/>
    </row>
    <row r="10" spans="2:16" x14ac:dyDescent="0.25">
      <c r="B10" s="855"/>
      <c r="C10" s="855"/>
      <c r="D10" s="855"/>
      <c r="E10" s="855"/>
      <c r="F10" s="44" t="s">
        <v>46</v>
      </c>
      <c r="G10" s="47">
        <v>0.03</v>
      </c>
      <c r="H10" s="44"/>
      <c r="I10" s="44"/>
      <c r="J10" s="69"/>
      <c r="K10" s="44"/>
      <c r="L10" s="45"/>
      <c r="M10" s="120"/>
      <c r="N10" s="44"/>
      <c r="O10" s="44"/>
      <c r="P10" s="44"/>
    </row>
    <row r="11" spans="2:16" x14ac:dyDescent="0.25">
      <c r="B11" s="855"/>
      <c r="C11" s="855"/>
      <c r="D11" s="855"/>
      <c r="E11" s="855"/>
      <c r="F11" s="44" t="s">
        <v>118</v>
      </c>
      <c r="G11" s="838">
        <v>7.0000000000000007E-2</v>
      </c>
      <c r="H11" s="44"/>
      <c r="I11" s="45" t="s">
        <v>349</v>
      </c>
      <c r="J11" s="117"/>
      <c r="K11" s="44"/>
      <c r="L11" s="44"/>
      <c r="M11" s="111"/>
      <c r="N11" s="44"/>
      <c r="O11" s="44"/>
      <c r="P11" s="44"/>
    </row>
    <row r="12" spans="2:16" x14ac:dyDescent="0.25">
      <c r="B12" s="855"/>
      <c r="C12" s="855"/>
      <c r="D12" s="855"/>
      <c r="E12" s="855"/>
      <c r="F12" s="44" t="s">
        <v>43</v>
      </c>
      <c r="G12" s="52">
        <v>10</v>
      </c>
      <c r="H12" s="44" t="s">
        <v>44</v>
      </c>
      <c r="I12" s="44" t="s">
        <v>99</v>
      </c>
      <c r="J12" s="175">
        <f ca="1">C29*75*0.9*0.75</f>
        <v>2477587.5</v>
      </c>
      <c r="K12" s="44"/>
      <c r="L12" s="44"/>
      <c r="M12" s="117"/>
      <c r="N12" s="44"/>
      <c r="O12" s="44"/>
      <c r="P12" s="44"/>
    </row>
    <row r="13" spans="2:16" x14ac:dyDescent="0.25">
      <c r="B13" s="855"/>
      <c r="C13" s="855"/>
      <c r="D13" s="855"/>
      <c r="E13" s="855"/>
      <c r="F13" s="44" t="s">
        <v>119</v>
      </c>
      <c r="G13" s="47">
        <v>0.02</v>
      </c>
      <c r="H13" s="44"/>
      <c r="I13" s="105" t="s">
        <v>331</v>
      </c>
      <c r="J13" s="251">
        <f>'Office DCF'!G22</f>
        <v>7.0000000000000007E-2</v>
      </c>
      <c r="K13" s="44"/>
      <c r="L13" s="44"/>
      <c r="M13" s="44"/>
      <c r="N13" s="44"/>
      <c r="O13" s="44"/>
      <c r="P13" s="44"/>
    </row>
    <row r="14" spans="2:16" x14ac:dyDescent="0.25">
      <c r="B14" s="855"/>
      <c r="C14" s="855"/>
      <c r="D14" s="855"/>
      <c r="E14" s="855"/>
      <c r="F14" s="44" t="s">
        <v>170</v>
      </c>
      <c r="G14" s="47">
        <v>0.02</v>
      </c>
      <c r="H14" s="44"/>
      <c r="I14" s="178" t="s">
        <v>332</v>
      </c>
      <c r="J14" s="179">
        <f ca="1">J12/J13</f>
        <v>35394107.142857142</v>
      </c>
      <c r="K14" s="44"/>
      <c r="L14" s="44"/>
      <c r="M14" s="44"/>
      <c r="N14" s="44"/>
      <c r="O14" s="44"/>
      <c r="P14" s="44"/>
    </row>
    <row r="15" spans="2:16" x14ac:dyDescent="0.25">
      <c r="B15" s="855"/>
      <c r="C15" s="855"/>
      <c r="D15" s="855"/>
      <c r="E15" s="855"/>
      <c r="F15" s="44" t="s">
        <v>329</v>
      </c>
      <c r="G15" s="94">
        <v>3</v>
      </c>
      <c r="H15" s="44"/>
      <c r="I15" s="44" t="s">
        <v>333</v>
      </c>
      <c r="J15" s="85">
        <f ca="1">Costs!D36*C29</f>
        <v>11256200</v>
      </c>
      <c r="K15" s="44"/>
      <c r="L15" s="45"/>
      <c r="M15" s="44"/>
      <c r="N15" s="44"/>
      <c r="O15" s="44"/>
      <c r="P15" s="44"/>
    </row>
    <row r="16" spans="2:16" x14ac:dyDescent="0.25">
      <c r="B16" s="855"/>
      <c r="C16" s="855"/>
      <c r="D16" s="855"/>
      <c r="E16" s="855"/>
      <c r="F16" s="44"/>
      <c r="G16" s="44"/>
      <c r="H16" s="44"/>
      <c r="I16" s="105" t="s">
        <v>334</v>
      </c>
      <c r="J16" s="174">
        <f ca="1">0.2*J15</f>
        <v>2251240</v>
      </c>
      <c r="K16" s="44"/>
      <c r="L16" s="44"/>
      <c r="M16" s="119"/>
      <c r="N16" s="44"/>
      <c r="O16" s="44"/>
      <c r="P16" s="44"/>
    </row>
    <row r="17" spans="2:17" x14ac:dyDescent="0.25">
      <c r="B17" s="855"/>
      <c r="C17" s="855"/>
      <c r="D17" s="855"/>
      <c r="E17" s="855"/>
      <c r="F17" s="44"/>
      <c r="G17" s="44"/>
      <c r="H17" s="44"/>
      <c r="I17" s="176" t="s">
        <v>335</v>
      </c>
      <c r="J17" s="177">
        <f ca="1">SUM(J15:J16)</f>
        <v>13507440</v>
      </c>
      <c r="K17" s="44"/>
      <c r="L17" s="44"/>
      <c r="M17" s="52"/>
      <c r="N17" s="44"/>
      <c r="O17" s="44"/>
      <c r="P17" s="44"/>
    </row>
    <row r="18" spans="2:17" x14ac:dyDescent="0.25">
      <c r="B18" s="855"/>
      <c r="C18" s="855"/>
      <c r="D18" s="855"/>
      <c r="E18" s="855"/>
      <c r="F18" s="44"/>
      <c r="G18" s="44"/>
      <c r="H18" s="44"/>
      <c r="I18" s="43" t="s">
        <v>336</v>
      </c>
      <c r="J18" s="180">
        <f ca="1">J14-J17</f>
        <v>21886667.142857142</v>
      </c>
      <c r="K18" s="44"/>
      <c r="L18" s="44"/>
      <c r="M18" s="158"/>
      <c r="N18" s="44"/>
      <c r="O18" s="44"/>
      <c r="P18" s="44"/>
    </row>
    <row r="19" spans="2:17" x14ac:dyDescent="0.25">
      <c r="B19" s="855"/>
      <c r="C19" s="855"/>
      <c r="D19" s="855"/>
      <c r="E19" s="855"/>
      <c r="F19" s="44"/>
      <c r="G19" s="44"/>
      <c r="H19" s="44"/>
      <c r="I19" s="43" t="s">
        <v>337</v>
      </c>
      <c r="J19" s="180">
        <f ca="1">J18/C29</f>
        <v>447.21428571428567</v>
      </c>
      <c r="K19" s="44"/>
      <c r="L19" s="44"/>
      <c r="M19" s="529"/>
      <c r="N19" s="44"/>
      <c r="O19" s="44"/>
      <c r="P19" s="44"/>
    </row>
    <row r="20" spans="2:17" x14ac:dyDescent="0.25">
      <c r="B20" s="855"/>
      <c r="C20" s="855"/>
      <c r="D20" s="855"/>
      <c r="E20" s="855"/>
      <c r="F20" s="44"/>
      <c r="G20" s="44"/>
      <c r="H20" s="44"/>
      <c r="I20" s="44"/>
      <c r="J20" s="47"/>
      <c r="K20" s="44"/>
      <c r="L20" s="44"/>
      <c r="M20" s="44"/>
      <c r="N20" s="44"/>
      <c r="O20" s="44"/>
      <c r="P20" s="44"/>
    </row>
    <row r="21" spans="2:17" x14ac:dyDescent="0.25">
      <c r="B21" s="855"/>
      <c r="C21" s="855"/>
      <c r="D21" s="855"/>
      <c r="E21" s="855"/>
      <c r="F21" s="44"/>
      <c r="G21" s="44"/>
      <c r="H21" s="44"/>
      <c r="I21" s="44"/>
      <c r="J21" s="47"/>
      <c r="K21" s="44"/>
      <c r="L21" s="44"/>
      <c r="M21" s="44"/>
      <c r="N21" s="44"/>
      <c r="O21" s="44"/>
      <c r="P21" s="44"/>
    </row>
    <row r="22" spans="2:17" x14ac:dyDescent="0.25">
      <c r="F22" s="853" t="s">
        <v>49</v>
      </c>
      <c r="G22" s="853"/>
      <c r="H22" s="853"/>
      <c r="I22" s="853"/>
      <c r="J22" s="853"/>
      <c r="K22" s="853"/>
      <c r="L22" s="853"/>
      <c r="M22" s="853"/>
      <c r="N22" s="853"/>
      <c r="O22" s="853"/>
      <c r="P22" s="853"/>
    </row>
    <row r="23" spans="2:17" x14ac:dyDescent="0.25">
      <c r="F23" s="272" t="s">
        <v>105</v>
      </c>
      <c r="G23" s="311" t="s">
        <v>28</v>
      </c>
      <c r="H23" s="311" t="s">
        <v>28</v>
      </c>
      <c r="I23" s="312" t="s">
        <v>28</v>
      </c>
      <c r="J23" s="313" t="s">
        <v>47</v>
      </c>
      <c r="K23" s="313" t="s">
        <v>47</v>
      </c>
      <c r="L23" s="313" t="s">
        <v>47</v>
      </c>
      <c r="M23" s="314" t="s">
        <v>47</v>
      </c>
      <c r="N23" s="315" t="s">
        <v>48</v>
      </c>
      <c r="O23" s="315" t="s">
        <v>48</v>
      </c>
      <c r="P23" s="316" t="s">
        <v>48</v>
      </c>
    </row>
    <row r="24" spans="2:17" x14ac:dyDescent="0.25">
      <c r="B24" s="317"/>
      <c r="C24" s="362"/>
      <c r="D24" s="362"/>
      <c r="E24" s="362"/>
      <c r="F24" s="274">
        <v>0</v>
      </c>
      <c r="G24" s="320">
        <f>F24+1</f>
        <v>1</v>
      </c>
      <c r="H24" s="320">
        <f t="shared" ref="H24:P25" si="0">G24+1</f>
        <v>2</v>
      </c>
      <c r="I24" s="274">
        <f t="shared" si="0"/>
        <v>3</v>
      </c>
      <c r="J24" s="320">
        <f t="shared" si="0"/>
        <v>4</v>
      </c>
      <c r="K24" s="320">
        <f t="shared" si="0"/>
        <v>5</v>
      </c>
      <c r="L24" s="320">
        <f t="shared" si="0"/>
        <v>6</v>
      </c>
      <c r="M24" s="274">
        <f t="shared" si="0"/>
        <v>7</v>
      </c>
      <c r="N24" s="320">
        <f t="shared" si="0"/>
        <v>8</v>
      </c>
      <c r="O24" s="320">
        <f t="shared" si="0"/>
        <v>9</v>
      </c>
      <c r="P24" s="274">
        <f t="shared" si="0"/>
        <v>10</v>
      </c>
    </row>
    <row r="25" spans="2:17" x14ac:dyDescent="0.25">
      <c r="B25" s="321"/>
      <c r="C25" s="222"/>
      <c r="D25" s="222"/>
      <c r="E25" s="222"/>
      <c r="F25" s="278" t="s">
        <v>177</v>
      </c>
      <c r="G25" s="225">
        <v>2022</v>
      </c>
      <c r="H25" s="225">
        <f t="shared" si="0"/>
        <v>2023</v>
      </c>
      <c r="I25" s="278">
        <f t="shared" si="0"/>
        <v>2024</v>
      </c>
      <c r="J25" s="225">
        <f t="shared" si="0"/>
        <v>2025</v>
      </c>
      <c r="K25" s="225">
        <f t="shared" si="0"/>
        <v>2026</v>
      </c>
      <c r="L25" s="225">
        <f t="shared" si="0"/>
        <v>2027</v>
      </c>
      <c r="M25" s="278">
        <f t="shared" si="0"/>
        <v>2028</v>
      </c>
      <c r="N25" s="225">
        <f t="shared" si="0"/>
        <v>2029</v>
      </c>
      <c r="O25" s="225">
        <f t="shared" si="0"/>
        <v>2030</v>
      </c>
      <c r="P25" s="278">
        <f t="shared" si="0"/>
        <v>2031</v>
      </c>
    </row>
    <row r="26" spans="2:17" x14ac:dyDescent="0.25">
      <c r="B26" s="322"/>
      <c r="C26" s="35"/>
      <c r="D26" s="35"/>
      <c r="E26" s="35"/>
      <c r="F26" s="286"/>
      <c r="G26" s="226"/>
      <c r="H26" s="226"/>
      <c r="I26" s="286"/>
      <c r="J26" s="226"/>
      <c r="K26" s="226"/>
      <c r="L26" s="226"/>
      <c r="M26" s="286"/>
      <c r="N26" s="226"/>
      <c r="O26" s="226"/>
      <c r="P26" s="286"/>
      <c r="Q26" s="7"/>
    </row>
    <row r="27" spans="2:17" x14ac:dyDescent="0.25">
      <c r="B27" s="323" t="s">
        <v>135</v>
      </c>
      <c r="C27" s="125"/>
      <c r="D27" s="49"/>
      <c r="E27" s="49"/>
      <c r="F27" s="286"/>
      <c r="G27" s="226"/>
      <c r="H27" s="226"/>
      <c r="I27" s="286"/>
      <c r="J27" s="226"/>
      <c r="K27" s="226"/>
      <c r="L27" s="226"/>
      <c r="M27" s="286"/>
      <c r="N27" s="226"/>
      <c r="O27" s="226"/>
      <c r="P27" s="286"/>
      <c r="Q27" s="7"/>
    </row>
    <row r="28" spans="2:17" x14ac:dyDescent="0.25">
      <c r="B28" s="323"/>
      <c r="C28" s="125" t="s">
        <v>58</v>
      </c>
      <c r="D28" s="125"/>
      <c r="E28" s="76"/>
      <c r="F28" s="286"/>
      <c r="G28" s="226"/>
      <c r="H28" s="226"/>
      <c r="I28" s="286"/>
      <c r="J28" s="226"/>
      <c r="K28" s="226"/>
      <c r="L28" s="226"/>
      <c r="M28" s="286"/>
      <c r="N28" s="226"/>
      <c r="O28" s="226"/>
      <c r="P28" s="286"/>
      <c r="Q28" s="7"/>
    </row>
    <row r="29" spans="2:17" x14ac:dyDescent="0.25">
      <c r="B29" s="324" t="s">
        <v>321</v>
      </c>
      <c r="C29" s="486">
        <f ca="1">SUM(F29:P29)</f>
        <v>48940</v>
      </c>
      <c r="D29" s="228"/>
      <c r="E29" s="350"/>
      <c r="F29" s="287">
        <f>SUM('Development Schedule'!E319)</f>
        <v>0</v>
      </c>
      <c r="G29" s="229">
        <f ca="1">SUM('Development Schedule'!F319)</f>
        <v>0</v>
      </c>
      <c r="H29" s="229">
        <f>SUM('Development Schedule'!G319)</f>
        <v>24470</v>
      </c>
      <c r="I29" s="287">
        <f>SUM('Development Schedule'!H319)</f>
        <v>24470</v>
      </c>
      <c r="J29" s="229">
        <f ca="1">SUM('Development Schedule'!I319)</f>
        <v>0</v>
      </c>
      <c r="K29" s="229">
        <f ca="1">SUM('Development Schedule'!J319)</f>
        <v>0</v>
      </c>
      <c r="L29" s="229">
        <f ca="1">SUM('Development Schedule'!K319)</f>
        <v>0</v>
      </c>
      <c r="M29" s="287">
        <f ca="1">SUM('Development Schedule'!L319)</f>
        <v>0</v>
      </c>
      <c r="N29" s="229">
        <f ca="1">SUM('Development Schedule'!M319)</f>
        <v>0</v>
      </c>
      <c r="O29" s="229">
        <f ca="1">SUM('Development Schedule'!N319)</f>
        <v>0</v>
      </c>
      <c r="P29" s="287">
        <f ca="1">SUM('Development Schedule'!O319)</f>
        <v>0</v>
      </c>
      <c r="Q29" s="7"/>
    </row>
    <row r="30" spans="2:17" x14ac:dyDescent="0.25">
      <c r="B30" s="330" t="s">
        <v>330</v>
      </c>
      <c r="C30" s="398"/>
      <c r="D30" s="76"/>
      <c r="E30" s="76"/>
      <c r="F30" s="356">
        <v>0</v>
      </c>
      <c r="G30" s="363">
        <v>0.33</v>
      </c>
      <c r="H30" s="363">
        <v>0.66</v>
      </c>
      <c r="I30" s="357">
        <v>1</v>
      </c>
      <c r="J30" s="363">
        <v>0</v>
      </c>
      <c r="K30" s="363">
        <v>0</v>
      </c>
      <c r="L30" s="363">
        <v>0</v>
      </c>
      <c r="M30" s="357">
        <v>0</v>
      </c>
      <c r="N30" s="363">
        <v>0</v>
      </c>
      <c r="O30" s="363">
        <v>0</v>
      </c>
      <c r="P30" s="357">
        <v>0</v>
      </c>
      <c r="Q30" s="7"/>
    </row>
    <row r="31" spans="2:17" x14ac:dyDescent="0.25">
      <c r="B31" s="330"/>
      <c r="C31" s="123"/>
      <c r="D31" s="49"/>
      <c r="E31" s="49"/>
      <c r="F31" s="356"/>
      <c r="G31" s="235"/>
      <c r="H31" s="235"/>
      <c r="I31" s="356"/>
      <c r="J31" s="235"/>
      <c r="K31" s="235"/>
      <c r="L31" s="235"/>
      <c r="M31" s="356"/>
      <c r="N31" s="235"/>
      <c r="O31" s="235"/>
      <c r="P31" s="356"/>
      <c r="Q31" s="7"/>
    </row>
    <row r="32" spans="2:17" x14ac:dyDescent="0.25">
      <c r="B32" s="323" t="s">
        <v>173</v>
      </c>
      <c r="C32" s="220"/>
      <c r="D32" s="123"/>
      <c r="E32" s="123"/>
      <c r="F32" s="295"/>
      <c r="G32" s="240"/>
      <c r="H32" s="240"/>
      <c r="I32" s="291"/>
      <c r="J32" s="240"/>
      <c r="K32" s="240"/>
      <c r="L32" s="240"/>
      <c r="M32" s="291"/>
      <c r="N32" s="240"/>
      <c r="O32" s="240"/>
      <c r="P32" s="291"/>
      <c r="Q32" s="7"/>
    </row>
    <row r="33" spans="2:17" x14ac:dyDescent="0.25">
      <c r="B33" s="322" t="s">
        <v>328</v>
      </c>
      <c r="C33" s="354">
        <f ca="1">$J$8</f>
        <v>223.60714285714283</v>
      </c>
      <c r="D33" s="335"/>
      <c r="E33" s="335"/>
      <c r="F33" s="396">
        <f ca="1">C33*(1+F34)</f>
        <v>228.0792857142857</v>
      </c>
      <c r="G33" s="341">
        <f ca="1">F33*(1+G34)</f>
        <v>232.64087142857142</v>
      </c>
      <c r="H33" s="341">
        <f t="shared" ref="H33:P33" ca="1" si="1">G33*(1+H34)</f>
        <v>237.29368885714285</v>
      </c>
      <c r="I33" s="294">
        <f t="shared" ca="1" si="1"/>
        <v>242.03956263428572</v>
      </c>
      <c r="J33" s="341">
        <f t="shared" ca="1" si="1"/>
        <v>246.88035388697142</v>
      </c>
      <c r="K33" s="341">
        <f t="shared" ca="1" si="1"/>
        <v>251.81796096471086</v>
      </c>
      <c r="L33" s="341">
        <f t="shared" ca="1" si="1"/>
        <v>256.85432018400508</v>
      </c>
      <c r="M33" s="294">
        <f t="shared" ca="1" si="1"/>
        <v>261.99140658768516</v>
      </c>
      <c r="N33" s="341">
        <f t="shared" ca="1" si="1"/>
        <v>267.23123471943887</v>
      </c>
      <c r="O33" s="341">
        <f t="shared" ca="1" si="1"/>
        <v>272.57585941382763</v>
      </c>
      <c r="P33" s="294">
        <f t="shared" ca="1" si="1"/>
        <v>278.0273766021042</v>
      </c>
      <c r="Q33" s="140"/>
    </row>
    <row r="34" spans="2:17" x14ac:dyDescent="0.25">
      <c r="B34" s="322" t="s">
        <v>170</v>
      </c>
      <c r="C34" s="399">
        <f>$G$14</f>
        <v>0.02</v>
      </c>
      <c r="D34" s="400"/>
      <c r="E34" s="400"/>
      <c r="F34" s="397">
        <f>C34</f>
        <v>0.02</v>
      </c>
      <c r="G34" s="332">
        <f>F34</f>
        <v>0.02</v>
      </c>
      <c r="H34" s="332">
        <f t="shared" ref="H34:P34" si="2">G34</f>
        <v>0.02</v>
      </c>
      <c r="I34" s="289">
        <f t="shared" si="2"/>
        <v>0.02</v>
      </c>
      <c r="J34" s="332">
        <f t="shared" si="2"/>
        <v>0.02</v>
      </c>
      <c r="K34" s="332">
        <f t="shared" si="2"/>
        <v>0.02</v>
      </c>
      <c r="L34" s="332">
        <f t="shared" si="2"/>
        <v>0.02</v>
      </c>
      <c r="M34" s="289">
        <f t="shared" si="2"/>
        <v>0.02</v>
      </c>
      <c r="N34" s="332">
        <f t="shared" si="2"/>
        <v>0.02</v>
      </c>
      <c r="O34" s="332">
        <f t="shared" si="2"/>
        <v>0.02</v>
      </c>
      <c r="P34" s="289">
        <f t="shared" si="2"/>
        <v>0.02</v>
      </c>
      <c r="Q34" s="140"/>
    </row>
    <row r="35" spans="2:17" x14ac:dyDescent="0.25">
      <c r="B35" s="322"/>
      <c r="C35" s="401"/>
      <c r="D35" s="34"/>
      <c r="E35" s="34"/>
      <c r="F35" s="291"/>
      <c r="G35" s="240"/>
      <c r="H35" s="240"/>
      <c r="I35" s="291"/>
      <c r="J35" s="240"/>
      <c r="K35" s="240"/>
      <c r="L35" s="240"/>
      <c r="M35" s="291"/>
      <c r="N35" s="240"/>
      <c r="O35" s="240"/>
      <c r="P35" s="291"/>
      <c r="Q35" s="7"/>
    </row>
    <row r="36" spans="2:17" x14ac:dyDescent="0.25">
      <c r="B36" s="322" t="s">
        <v>129</v>
      </c>
      <c r="C36" s="401"/>
      <c r="D36" s="34"/>
      <c r="E36" s="34"/>
      <c r="F36" s="138">
        <f>IF(F30=100%,(F33*SUM($F$29:$P$29)),0)</f>
        <v>0</v>
      </c>
      <c r="G36" s="239">
        <f t="shared" ref="G36:P36" si="3">IF(G30=100%,(G33*SUM($F$29:$P$29)),0)</f>
        <v>0</v>
      </c>
      <c r="H36" s="239">
        <f t="shared" si="3"/>
        <v>0</v>
      </c>
      <c r="I36" s="138">
        <f t="shared" ca="1" si="3"/>
        <v>11845416.195321944</v>
      </c>
      <c r="J36" s="239">
        <f t="shared" si="3"/>
        <v>0</v>
      </c>
      <c r="K36" s="239">
        <f t="shared" si="3"/>
        <v>0</v>
      </c>
      <c r="L36" s="239">
        <f t="shared" si="3"/>
        <v>0</v>
      </c>
      <c r="M36" s="138">
        <f t="shared" si="3"/>
        <v>0</v>
      </c>
      <c r="N36" s="239">
        <f t="shared" si="3"/>
        <v>0</v>
      </c>
      <c r="O36" s="239">
        <f t="shared" si="3"/>
        <v>0</v>
      </c>
      <c r="P36" s="138">
        <f t="shared" si="3"/>
        <v>0</v>
      </c>
      <c r="Q36" s="7"/>
    </row>
    <row r="37" spans="2:17" x14ac:dyDescent="0.25">
      <c r="B37" s="322" t="s">
        <v>339</v>
      </c>
      <c r="C37" s="401">
        <f>J9</f>
        <v>7.0000000000000007E-2</v>
      </c>
      <c r="D37" s="34"/>
      <c r="E37" s="34"/>
      <c r="F37" s="138">
        <f>F36*$C$37</f>
        <v>0</v>
      </c>
      <c r="G37" s="239">
        <f t="shared" ref="G37:P37" si="4">G36*$C$37</f>
        <v>0</v>
      </c>
      <c r="H37" s="239">
        <f t="shared" si="4"/>
        <v>0</v>
      </c>
      <c r="I37" s="138">
        <f t="shared" ca="1" si="4"/>
        <v>829179.13367253612</v>
      </c>
      <c r="J37" s="239">
        <f t="shared" si="4"/>
        <v>0</v>
      </c>
      <c r="K37" s="239">
        <f t="shared" si="4"/>
        <v>0</v>
      </c>
      <c r="L37" s="239">
        <f t="shared" si="4"/>
        <v>0</v>
      </c>
      <c r="M37" s="138">
        <f t="shared" si="4"/>
        <v>0</v>
      </c>
      <c r="N37" s="239">
        <f t="shared" si="4"/>
        <v>0</v>
      </c>
      <c r="O37" s="239">
        <f t="shared" si="4"/>
        <v>0</v>
      </c>
      <c r="P37" s="138">
        <f t="shared" si="4"/>
        <v>0</v>
      </c>
      <c r="Q37" s="7"/>
    </row>
    <row r="38" spans="2:17" x14ac:dyDescent="0.25">
      <c r="B38" s="347" t="s">
        <v>41</v>
      </c>
      <c r="C38" s="640">
        <f>G13</f>
        <v>0.02</v>
      </c>
      <c r="D38" s="3"/>
      <c r="E38" s="3"/>
      <c r="F38" s="299">
        <f>$C$38*-F36</f>
        <v>0</v>
      </c>
      <c r="G38" s="143">
        <f t="shared" ref="G38:P38" si="5">$C$38*-G36</f>
        <v>0</v>
      </c>
      <c r="H38" s="143">
        <f t="shared" si="5"/>
        <v>0</v>
      </c>
      <c r="I38" s="299">
        <f t="shared" ca="1" si="5"/>
        <v>-236908.32390643889</v>
      </c>
      <c r="J38" s="143">
        <f t="shared" si="5"/>
        <v>0</v>
      </c>
      <c r="K38" s="143">
        <f t="shared" si="5"/>
        <v>0</v>
      </c>
      <c r="L38" s="143">
        <f t="shared" si="5"/>
        <v>0</v>
      </c>
      <c r="M38" s="299">
        <f t="shared" si="5"/>
        <v>0</v>
      </c>
      <c r="N38" s="239">
        <f t="shared" si="5"/>
        <v>0</v>
      </c>
      <c r="O38" s="239">
        <f t="shared" si="5"/>
        <v>0</v>
      </c>
      <c r="P38" s="138">
        <f t="shared" si="5"/>
        <v>0</v>
      </c>
      <c r="Q38" s="7"/>
    </row>
    <row r="39" spans="2:17" x14ac:dyDescent="0.25">
      <c r="B39" s="104" t="s">
        <v>268</v>
      </c>
      <c r="C39" s="34"/>
      <c r="D39" s="34"/>
      <c r="E39" s="34"/>
      <c r="F39" s="138">
        <f>SUM(F36:F38)</f>
        <v>0</v>
      </c>
      <c r="G39" s="239">
        <f t="shared" ref="G39:M39" si="6">SUM(G36:G38)</f>
        <v>0</v>
      </c>
      <c r="H39" s="239">
        <f t="shared" si="6"/>
        <v>0</v>
      </c>
      <c r="I39" s="138">
        <f t="shared" ca="1" si="6"/>
        <v>12437687.005088041</v>
      </c>
      <c r="J39" s="239">
        <f t="shared" si="6"/>
        <v>0</v>
      </c>
      <c r="K39" s="239">
        <f t="shared" si="6"/>
        <v>0</v>
      </c>
      <c r="L39" s="239">
        <f t="shared" si="6"/>
        <v>0</v>
      </c>
      <c r="M39" s="138">
        <f t="shared" si="6"/>
        <v>0</v>
      </c>
      <c r="N39" s="240"/>
      <c r="O39" s="240"/>
      <c r="P39" s="291"/>
      <c r="Q39" s="7"/>
    </row>
    <row r="40" spans="2:17" x14ac:dyDescent="0.25">
      <c r="B40" s="104"/>
      <c r="C40" s="34"/>
      <c r="D40" s="34"/>
      <c r="E40" s="34"/>
      <c r="F40" s="291"/>
      <c r="G40" s="240"/>
      <c r="H40" s="240"/>
      <c r="I40" s="291"/>
      <c r="J40" s="240"/>
      <c r="K40" s="240"/>
      <c r="L40" s="240"/>
      <c r="M40" s="291"/>
      <c r="N40" s="240"/>
      <c r="O40" s="240"/>
      <c r="P40" s="291"/>
      <c r="Q40" s="7"/>
    </row>
    <row r="41" spans="2:17" x14ac:dyDescent="0.25">
      <c r="B41" s="323" t="s">
        <v>103</v>
      </c>
      <c r="C41" s="331" t="s">
        <v>37</v>
      </c>
      <c r="D41" s="34" t="s">
        <v>45</v>
      </c>
      <c r="E41" s="34"/>
      <c r="F41" s="291"/>
      <c r="G41" s="240"/>
      <c r="H41" s="240"/>
      <c r="I41" s="291"/>
      <c r="J41" s="240"/>
      <c r="K41" s="240"/>
      <c r="L41" s="240"/>
      <c r="M41" s="291"/>
      <c r="N41" s="240"/>
      <c r="O41" s="240"/>
      <c r="P41" s="291"/>
      <c r="Q41" s="7"/>
    </row>
    <row r="42" spans="2:17" x14ac:dyDescent="0.25">
      <c r="B42" s="322" t="s">
        <v>30</v>
      </c>
      <c r="C42" s="247">
        <f>Costs!F39</f>
        <v>396</v>
      </c>
      <c r="D42" s="34"/>
      <c r="E42" s="34"/>
      <c r="F42" s="138">
        <f t="shared" ref="F42:P42" si="7">$C$42*F30*F29</f>
        <v>0</v>
      </c>
      <c r="G42" s="239">
        <f t="shared" ca="1" si="7"/>
        <v>0</v>
      </c>
      <c r="H42" s="239">
        <f t="shared" si="7"/>
        <v>6395479.2000000002</v>
      </c>
      <c r="I42" s="138">
        <f t="shared" si="7"/>
        <v>9690120</v>
      </c>
      <c r="J42" s="239">
        <f t="shared" ca="1" si="7"/>
        <v>0</v>
      </c>
      <c r="K42" s="239">
        <f t="shared" ca="1" si="7"/>
        <v>0</v>
      </c>
      <c r="L42" s="239">
        <f t="shared" ca="1" si="7"/>
        <v>0</v>
      </c>
      <c r="M42" s="138">
        <f t="shared" ca="1" si="7"/>
        <v>0</v>
      </c>
      <c r="N42" s="239">
        <f t="shared" ca="1" si="7"/>
        <v>0</v>
      </c>
      <c r="O42" s="239">
        <f t="shared" ca="1" si="7"/>
        <v>0</v>
      </c>
      <c r="P42" s="138">
        <f t="shared" ca="1" si="7"/>
        <v>0</v>
      </c>
      <c r="Q42" s="7"/>
    </row>
    <row r="43" spans="2:17" x14ac:dyDescent="0.25">
      <c r="B43" s="347" t="s">
        <v>36</v>
      </c>
      <c r="C43" s="524">
        <f>Costs!F56</f>
        <v>79.200000000000017</v>
      </c>
      <c r="D43" s="3"/>
      <c r="E43" s="3"/>
      <c r="F43" s="299">
        <f t="shared" ref="F43:P43" si="8">$C$43*F30*F29</f>
        <v>0</v>
      </c>
      <c r="G43" s="143">
        <f t="shared" ca="1" si="8"/>
        <v>0</v>
      </c>
      <c r="H43" s="143">
        <f t="shared" si="8"/>
        <v>1279095.8400000003</v>
      </c>
      <c r="I43" s="299">
        <f t="shared" si="8"/>
        <v>1938024.0000000005</v>
      </c>
      <c r="J43" s="143">
        <f t="shared" ca="1" si="8"/>
        <v>0</v>
      </c>
      <c r="K43" s="143">
        <f t="shared" ca="1" si="8"/>
        <v>0</v>
      </c>
      <c r="L43" s="143">
        <f t="shared" ca="1" si="8"/>
        <v>0</v>
      </c>
      <c r="M43" s="299">
        <f t="shared" ca="1" si="8"/>
        <v>0</v>
      </c>
      <c r="N43" s="143">
        <f t="shared" ca="1" si="8"/>
        <v>0</v>
      </c>
      <c r="O43" s="143">
        <f t="shared" ca="1" si="8"/>
        <v>0</v>
      </c>
      <c r="P43" s="299">
        <f t="shared" ca="1" si="8"/>
        <v>0</v>
      </c>
      <c r="Q43" s="7"/>
    </row>
    <row r="44" spans="2:17" x14ac:dyDescent="0.25">
      <c r="B44" s="323" t="s">
        <v>104</v>
      </c>
      <c r="C44" s="34"/>
      <c r="D44" s="34"/>
      <c r="E44" s="34"/>
      <c r="F44" s="138">
        <f t="shared" ref="F44:P44" si="9">SUM(F42:F43)</f>
        <v>0</v>
      </c>
      <c r="G44" s="239">
        <f t="shared" ca="1" si="9"/>
        <v>0</v>
      </c>
      <c r="H44" s="239">
        <f t="shared" si="9"/>
        <v>7674575.040000001</v>
      </c>
      <c r="I44" s="138">
        <f t="shared" si="9"/>
        <v>11628144</v>
      </c>
      <c r="J44" s="239">
        <f t="shared" ca="1" si="9"/>
        <v>0</v>
      </c>
      <c r="K44" s="239">
        <f t="shared" ca="1" si="9"/>
        <v>0</v>
      </c>
      <c r="L44" s="239">
        <f t="shared" ca="1" si="9"/>
        <v>0</v>
      </c>
      <c r="M44" s="138">
        <f t="shared" ca="1" si="9"/>
        <v>0</v>
      </c>
      <c r="N44" s="239">
        <f t="shared" ca="1" si="9"/>
        <v>0</v>
      </c>
      <c r="O44" s="239">
        <f t="shared" ca="1" si="9"/>
        <v>0</v>
      </c>
      <c r="P44" s="138">
        <f t="shared" ca="1" si="9"/>
        <v>0</v>
      </c>
      <c r="Q44" s="7"/>
    </row>
    <row r="45" spans="2:17" x14ac:dyDescent="0.25">
      <c r="B45" s="104"/>
      <c r="C45" s="220"/>
      <c r="D45" s="220"/>
      <c r="E45" s="220"/>
      <c r="F45" s="291"/>
      <c r="G45" s="240"/>
      <c r="H45" s="240"/>
      <c r="I45" s="291"/>
      <c r="J45" s="240"/>
      <c r="K45" s="240"/>
      <c r="L45" s="240"/>
      <c r="M45" s="291"/>
      <c r="N45" s="240"/>
      <c r="O45" s="240"/>
      <c r="P45" s="291"/>
      <c r="Q45" s="7"/>
    </row>
    <row r="46" spans="2:17" x14ac:dyDescent="0.25">
      <c r="B46" s="48" t="s">
        <v>202</v>
      </c>
      <c r="C46" s="79"/>
      <c r="D46" s="79"/>
      <c r="E46" s="79"/>
      <c r="F46" s="156">
        <f t="shared" ref="F46:P46" si="10">F36+F37+F38-F44</f>
        <v>0</v>
      </c>
      <c r="G46" s="142">
        <f t="shared" ca="1" si="10"/>
        <v>0</v>
      </c>
      <c r="H46" s="142">
        <f t="shared" si="10"/>
        <v>-7674575.040000001</v>
      </c>
      <c r="I46" s="156">
        <f t="shared" ca="1" si="10"/>
        <v>809543.00508804061</v>
      </c>
      <c r="J46" s="142">
        <f t="shared" ca="1" si="10"/>
        <v>0</v>
      </c>
      <c r="K46" s="142">
        <f t="shared" ca="1" si="10"/>
        <v>0</v>
      </c>
      <c r="L46" s="142">
        <f t="shared" ca="1" si="10"/>
        <v>0</v>
      </c>
      <c r="M46" s="156">
        <f t="shared" ca="1" si="10"/>
        <v>0</v>
      </c>
      <c r="N46" s="142">
        <f t="shared" ca="1" si="10"/>
        <v>0</v>
      </c>
      <c r="O46" s="142">
        <f t="shared" ca="1" si="10"/>
        <v>0</v>
      </c>
      <c r="P46" s="156">
        <f t="shared" ca="1" si="10"/>
        <v>0</v>
      </c>
      <c r="Q46" s="7"/>
    </row>
    <row r="47" spans="2:17" x14ac:dyDescent="0.25">
      <c r="C47" s="5"/>
      <c r="D47" s="5"/>
      <c r="E47" s="121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2:17" x14ac:dyDescent="0.25">
      <c r="B48" s="50" t="s">
        <v>130</v>
      </c>
      <c r="C48" s="135">
        <f ca="1">SUM(F46:P46)</f>
        <v>-6865032.0349119604</v>
      </c>
      <c r="D48" s="5"/>
      <c r="E48" s="121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  <row r="49" spans="2:17" x14ac:dyDescent="0.25">
      <c r="B49" s="104" t="s">
        <v>228</v>
      </c>
      <c r="C49" s="138">
        <f ca="1">SUM(F44:P44)</f>
        <v>19302719.039999999</v>
      </c>
      <c r="D49" s="121"/>
      <c r="E49" s="121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</row>
    <row r="50" spans="2:17" x14ac:dyDescent="0.25">
      <c r="B50" s="104" t="s">
        <v>202</v>
      </c>
      <c r="C50" s="136" t="s">
        <v>276</v>
      </c>
      <c r="D50" s="5"/>
      <c r="E50" s="121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</row>
    <row r="51" spans="2:17" x14ac:dyDescent="0.25">
      <c r="B51" s="51" t="s">
        <v>201</v>
      </c>
      <c r="C51" s="137">
        <f ca="1">C48/C49</f>
        <v>-0.35565103655531222</v>
      </c>
      <c r="D51" s="5"/>
      <c r="E51" s="121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2:17" x14ac:dyDescent="0.25">
      <c r="C52" s="5"/>
      <c r="D52" s="5"/>
      <c r="E52" s="121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</row>
    <row r="53" spans="2:17" x14ac:dyDescent="0.25">
      <c r="C53" s="5"/>
      <c r="D53" s="5"/>
      <c r="E53" s="121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</row>
    <row r="54" spans="2:17" x14ac:dyDescent="0.25"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</row>
    <row r="55" spans="2:17" x14ac:dyDescent="0.25"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</row>
    <row r="56" spans="2:17" x14ac:dyDescent="0.25"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</row>
    <row r="57" spans="2:17" x14ac:dyDescent="0.25"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</row>
    <row r="58" spans="2:17" x14ac:dyDescent="0.25"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</row>
    <row r="59" spans="2:17" x14ac:dyDescent="0.25"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</row>
  </sheetData>
  <mergeCells count="2">
    <mergeCell ref="F22:P22"/>
    <mergeCell ref="B5:E21"/>
  </mergeCells>
  <conditionalFormatting sqref="A22:P27 A1:P2 K7:P9 I7:J8 F15:G15 A28:B30 D30:P30 I20:P20 O13:P19 L15:N19 A51:P68 A50 C50:P50 A31:P49 A5:B5 F5:P6 F10:P12 A6:A21 F21:P21 I13:K19 F7:H14 F16:H21 A4:P4 A3 C3:P3">
    <cfRule type="cellIs" dxfId="133" priority="20" operator="lessThan">
      <formula>0</formula>
    </cfRule>
  </conditionalFormatting>
  <conditionalFormatting sqref="B48:C49 B51:C51 C50">
    <cfRule type="cellIs" dxfId="132" priority="18" operator="lessThan">
      <formula>0</formula>
    </cfRule>
  </conditionalFormatting>
  <conditionalFormatting sqref="E28:P29">
    <cfRule type="cellIs" dxfId="131" priority="13" operator="lessThan">
      <formula>0</formula>
    </cfRule>
  </conditionalFormatting>
  <conditionalFormatting sqref="I9:J9">
    <cfRule type="cellIs" dxfId="130" priority="9" operator="lessThan">
      <formula>0</formula>
    </cfRule>
  </conditionalFormatting>
  <conditionalFormatting sqref="H15">
    <cfRule type="cellIs" dxfId="129" priority="8" operator="lessThan">
      <formula>0</formula>
    </cfRule>
  </conditionalFormatting>
  <conditionalFormatting sqref="C28:C29">
    <cfRule type="cellIs" dxfId="128" priority="7" operator="lessThan">
      <formula>0</formula>
    </cfRule>
  </conditionalFormatting>
  <conditionalFormatting sqref="D28">
    <cfRule type="cellIs" dxfId="127" priority="6" operator="lessThan">
      <formula>0</formula>
    </cfRule>
  </conditionalFormatting>
  <conditionalFormatting sqref="D29">
    <cfRule type="cellIs" dxfId="126" priority="5" operator="lessThan">
      <formula>0</formula>
    </cfRule>
  </conditionalFormatting>
  <conditionalFormatting sqref="L13:N13">
    <cfRule type="cellIs" dxfId="125" priority="4" operator="lessThan">
      <formula>0</formula>
    </cfRule>
  </conditionalFormatting>
  <conditionalFormatting sqref="L14:N14">
    <cfRule type="cellIs" dxfId="124" priority="3" operator="lessThan">
      <formula>0</formula>
    </cfRule>
  </conditionalFormatting>
  <conditionalFormatting sqref="B50">
    <cfRule type="cellIs" dxfId="123" priority="2" operator="lessThan">
      <formula>0</formula>
    </cfRule>
  </conditionalFormatting>
  <conditionalFormatting sqref="B3">
    <cfRule type="cellIs" dxfId="122" priority="1" operator="lessThan">
      <formula>0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C2114-30AD-4FCE-8621-F6659209359C}">
  <sheetPr>
    <tabColor rgb="FF00B0F0"/>
  </sheetPr>
  <dimension ref="B2:Q75"/>
  <sheetViews>
    <sheetView showGridLines="0" zoomScale="85" zoomScaleNormal="85" workbookViewId="0">
      <pane xSplit="5" topLeftCell="F1" activePane="topRight" state="frozen"/>
      <selection pane="topRight" activeCell="H9" sqref="H9"/>
    </sheetView>
  </sheetViews>
  <sheetFormatPr defaultRowHeight="15" x14ac:dyDescent="0.25"/>
  <cols>
    <col min="2" max="2" width="41.85546875" customWidth="1"/>
    <col min="3" max="3" width="14.7109375" customWidth="1"/>
    <col min="4" max="4" width="11.5703125" customWidth="1"/>
    <col min="5" max="5" width="6.7109375" customWidth="1"/>
    <col min="6" max="8" width="19.85546875" customWidth="1"/>
    <col min="9" max="9" width="26.28515625" customWidth="1"/>
    <col min="10" max="16" width="19.85546875" customWidth="1"/>
    <col min="19" max="19" width="15.42578125" customWidth="1"/>
  </cols>
  <sheetData>
    <row r="2" spans="2:16" ht="18.75" x14ac:dyDescent="0.3">
      <c r="B2" s="8" t="s">
        <v>613</v>
      </c>
    </row>
    <row r="3" spans="2:16" x14ac:dyDescent="0.25">
      <c r="B3" t="s">
        <v>611</v>
      </c>
    </row>
    <row r="5" spans="2:16" x14ac:dyDescent="0.25">
      <c r="B5" s="855" t="s">
        <v>112</v>
      </c>
      <c r="C5" s="855"/>
      <c r="D5" s="855"/>
      <c r="E5" s="855"/>
      <c r="F5" s="45" t="s">
        <v>107</v>
      </c>
      <c r="G5" s="44"/>
      <c r="H5" s="115"/>
      <c r="I5" s="45" t="s">
        <v>110</v>
      </c>
      <c r="J5" s="46"/>
      <c r="K5" s="46"/>
      <c r="L5" s="45" t="s">
        <v>411</v>
      </c>
      <c r="M5" s="44"/>
      <c r="N5" s="44"/>
      <c r="O5" s="44"/>
      <c r="P5" s="44"/>
    </row>
    <row r="6" spans="2:16" ht="12.6" customHeight="1" x14ac:dyDescent="0.25">
      <c r="B6" s="855"/>
      <c r="C6" s="855"/>
      <c r="D6" s="855"/>
      <c r="E6" s="855"/>
      <c r="F6" s="44" t="s">
        <v>108</v>
      </c>
      <c r="G6" s="57">
        <f ca="1">Costs!G13</f>
        <v>285896.20999999996</v>
      </c>
      <c r="H6" s="44"/>
      <c r="I6" s="116" t="s">
        <v>417</v>
      </c>
      <c r="J6" s="73">
        <v>35</v>
      </c>
      <c r="K6" s="44"/>
      <c r="L6" s="44" t="s">
        <v>99</v>
      </c>
      <c r="M6" s="175">
        <f ca="1">SUM(F37:P37)*65*0.8</f>
        <v>3178656</v>
      </c>
      <c r="N6" s="44"/>
      <c r="O6" s="44"/>
      <c r="P6" s="44"/>
    </row>
    <row r="7" spans="2:16" ht="12.6" customHeight="1" x14ac:dyDescent="0.25">
      <c r="B7" s="855"/>
      <c r="C7" s="855"/>
      <c r="D7" s="855"/>
      <c r="E7" s="855"/>
      <c r="F7" s="44" t="s">
        <v>609</v>
      </c>
      <c r="G7" s="57">
        <f ca="1">C33</f>
        <v>72025</v>
      </c>
      <c r="H7" s="44"/>
      <c r="I7" s="116" t="s">
        <v>418</v>
      </c>
      <c r="J7" s="73">
        <v>17.5</v>
      </c>
      <c r="K7" s="44"/>
      <c r="L7" s="105" t="s">
        <v>331</v>
      </c>
      <c r="M7" s="250">
        <v>7.1999999999999995E-2</v>
      </c>
      <c r="N7" s="44"/>
      <c r="O7" s="44"/>
      <c r="P7" s="44"/>
    </row>
    <row r="8" spans="2:16" x14ac:dyDescent="0.25">
      <c r="B8" s="855"/>
      <c r="C8" s="855"/>
      <c r="D8" s="855"/>
      <c r="E8" s="855"/>
      <c r="F8" s="44" t="s">
        <v>610</v>
      </c>
      <c r="G8" s="154">
        <f ca="1">C37</f>
        <v>61128</v>
      </c>
      <c r="H8" s="44"/>
      <c r="I8" s="44"/>
      <c r="J8" s="85"/>
      <c r="K8" s="44"/>
      <c r="L8" s="178" t="s">
        <v>332</v>
      </c>
      <c r="M8" s="179">
        <f ca="1">M6/M7</f>
        <v>44148000</v>
      </c>
      <c r="N8" s="44"/>
      <c r="O8" s="44"/>
      <c r="P8" s="44"/>
    </row>
    <row r="9" spans="2:16" x14ac:dyDescent="0.25">
      <c r="B9" s="855"/>
      <c r="C9" s="855"/>
      <c r="D9" s="855"/>
      <c r="E9" s="855"/>
      <c r="F9" s="44" t="s">
        <v>356</v>
      </c>
      <c r="G9" s="160">
        <f ca="1">C41</f>
        <v>152743.21</v>
      </c>
      <c r="H9" s="161"/>
      <c r="I9" s="44" t="s">
        <v>409</v>
      </c>
      <c r="J9" s="47">
        <v>0.45</v>
      </c>
      <c r="K9" s="44"/>
      <c r="L9" s="44" t="s">
        <v>333</v>
      </c>
      <c r="M9" s="85">
        <f ca="1">C65*SUM(F37:P37)</f>
        <v>26896320</v>
      </c>
      <c r="N9" s="44"/>
      <c r="O9" s="44"/>
      <c r="P9" s="44"/>
    </row>
    <row r="10" spans="2:16" x14ac:dyDescent="0.25">
      <c r="B10" s="855"/>
      <c r="C10" s="855"/>
      <c r="D10" s="855"/>
      <c r="E10" s="855"/>
      <c r="F10" s="44"/>
      <c r="G10" s="160"/>
      <c r="H10" s="161"/>
      <c r="I10" s="44" t="s">
        <v>408</v>
      </c>
      <c r="J10" s="118">
        <f ca="1">J24*(1-J9)</f>
        <v>130.18823529411765</v>
      </c>
      <c r="K10" s="44"/>
      <c r="L10" s="105" t="s">
        <v>334</v>
      </c>
      <c r="M10" s="174">
        <f ca="1">0.2*M9</f>
        <v>5379264</v>
      </c>
      <c r="N10" s="44"/>
      <c r="O10" s="44"/>
      <c r="P10" s="44"/>
    </row>
    <row r="11" spans="2:16" x14ac:dyDescent="0.25">
      <c r="B11" s="855"/>
      <c r="C11" s="855"/>
      <c r="D11" s="855"/>
      <c r="E11" s="855"/>
      <c r="F11" s="45" t="s">
        <v>111</v>
      </c>
      <c r="G11" s="44"/>
      <c r="H11" s="44"/>
      <c r="I11" s="44" t="s">
        <v>348</v>
      </c>
      <c r="J11" s="47">
        <v>0.75</v>
      </c>
      <c r="K11" s="44"/>
      <c r="L11" s="176" t="s">
        <v>335</v>
      </c>
      <c r="M11" s="177">
        <f ca="1">SUM(M9:M10)</f>
        <v>32275584</v>
      </c>
      <c r="N11" s="44"/>
      <c r="O11" s="44"/>
      <c r="P11" s="44"/>
    </row>
    <row r="12" spans="2:16" x14ac:dyDescent="0.25">
      <c r="B12" s="855"/>
      <c r="C12" s="855"/>
      <c r="D12" s="855"/>
      <c r="E12" s="855"/>
      <c r="F12" s="44" t="s">
        <v>113</v>
      </c>
      <c r="G12" s="70">
        <v>0.03</v>
      </c>
      <c r="H12" s="44"/>
      <c r="I12" s="44" t="s">
        <v>346</v>
      </c>
      <c r="J12" s="118">
        <f ca="1">M13*(1-J11)</f>
        <v>48.555555555555557</v>
      </c>
      <c r="K12" s="44"/>
      <c r="L12" s="43" t="s">
        <v>336</v>
      </c>
      <c r="M12" s="180">
        <f ca="1">M8-M11</f>
        <v>11872416</v>
      </c>
      <c r="N12" s="44"/>
      <c r="O12" s="44"/>
      <c r="P12" s="44"/>
    </row>
    <row r="13" spans="2:16" x14ac:dyDescent="0.25">
      <c r="B13" s="855"/>
      <c r="C13" s="855"/>
      <c r="D13" s="855"/>
      <c r="E13" s="855"/>
      <c r="F13" s="44" t="s">
        <v>46</v>
      </c>
      <c r="G13" s="70">
        <v>0.03</v>
      </c>
      <c r="H13" s="44"/>
      <c r="I13" s="44" t="s">
        <v>404</v>
      </c>
      <c r="J13" s="69">
        <v>0.6</v>
      </c>
      <c r="K13" s="44"/>
      <c r="L13" s="43" t="s">
        <v>337</v>
      </c>
      <c r="M13" s="180">
        <f ca="1">M12/SUM(F37:P37)</f>
        <v>194.22222222222223</v>
      </c>
      <c r="N13" s="44"/>
      <c r="O13" s="44"/>
      <c r="P13" s="44"/>
    </row>
    <row r="14" spans="2:16" x14ac:dyDescent="0.25">
      <c r="B14" s="855"/>
      <c r="C14" s="855"/>
      <c r="D14" s="855"/>
      <c r="E14" s="855"/>
      <c r="F14" s="44" t="s">
        <v>250</v>
      </c>
      <c r="G14" s="47">
        <v>0.8</v>
      </c>
      <c r="H14" s="44"/>
      <c r="I14" s="44" t="s">
        <v>405</v>
      </c>
      <c r="J14" s="118">
        <f ca="1">M24*(1-J13)</f>
        <v>85.94285714285715</v>
      </c>
      <c r="K14" s="44"/>
      <c r="L14" s="45" t="s">
        <v>360</v>
      </c>
      <c r="M14" s="117"/>
      <c r="N14" s="44"/>
      <c r="O14" s="44"/>
      <c r="P14" s="44"/>
    </row>
    <row r="15" spans="2:16" x14ac:dyDescent="0.25">
      <c r="B15" s="855"/>
      <c r="C15" s="855"/>
      <c r="D15" s="855"/>
      <c r="E15" s="855"/>
      <c r="F15" s="44" t="s">
        <v>251</v>
      </c>
      <c r="G15" s="47">
        <v>1</v>
      </c>
      <c r="H15" s="44"/>
      <c r="I15" s="44"/>
      <c r="J15" s="44"/>
      <c r="K15" s="44"/>
      <c r="L15" s="44"/>
      <c r="M15" s="44"/>
      <c r="N15" s="44"/>
      <c r="O15" s="44"/>
      <c r="P15" s="44"/>
    </row>
    <row r="16" spans="2:16" x14ac:dyDescent="0.25">
      <c r="B16" s="855"/>
      <c r="C16" s="855"/>
      <c r="D16" s="855"/>
      <c r="E16" s="855"/>
      <c r="F16" s="44" t="s">
        <v>118</v>
      </c>
      <c r="G16" s="837">
        <v>7.0000000000000007E-2</v>
      </c>
      <c r="H16" s="44"/>
      <c r="I16" s="45" t="s">
        <v>410</v>
      </c>
      <c r="J16" s="44"/>
      <c r="K16" s="44"/>
      <c r="L16" s="45" t="s">
        <v>412</v>
      </c>
      <c r="M16" s="44"/>
      <c r="N16" s="44"/>
      <c r="O16" s="44"/>
      <c r="P16" s="44"/>
    </row>
    <row r="17" spans="2:16" x14ac:dyDescent="0.25">
      <c r="B17" s="855"/>
      <c r="C17" s="855"/>
      <c r="D17" s="855"/>
      <c r="E17" s="855"/>
      <c r="F17" s="44" t="s">
        <v>43</v>
      </c>
      <c r="G17" s="52">
        <v>10</v>
      </c>
      <c r="H17" s="44" t="s">
        <v>44</v>
      </c>
      <c r="I17" s="44" t="s">
        <v>99</v>
      </c>
      <c r="J17" s="175">
        <f ca="1">SUM(F33:P33)*65*0.8</f>
        <v>3745300</v>
      </c>
      <c r="K17" s="44"/>
      <c r="L17" s="44" t="s">
        <v>99</v>
      </c>
      <c r="M17" s="175">
        <f ca="1">SUM(F41:P41)*65*0.8</f>
        <v>7942646.9200000009</v>
      </c>
      <c r="N17" s="44"/>
      <c r="O17" s="44"/>
      <c r="P17" s="44"/>
    </row>
    <row r="18" spans="2:16" x14ac:dyDescent="0.25">
      <c r="B18" s="855"/>
      <c r="C18" s="855"/>
      <c r="D18" s="855"/>
      <c r="E18" s="855"/>
      <c r="F18" s="44" t="s">
        <v>119</v>
      </c>
      <c r="G18" s="70">
        <v>0.02</v>
      </c>
      <c r="H18" s="44"/>
      <c r="I18" s="105" t="s">
        <v>331</v>
      </c>
      <c r="J18" s="250">
        <v>6.8000000000000005E-2</v>
      </c>
      <c r="K18" s="44"/>
      <c r="L18" s="105" t="s">
        <v>331</v>
      </c>
      <c r="M18" s="250">
        <v>7.0000000000000007E-2</v>
      </c>
      <c r="N18" s="44"/>
      <c r="O18" s="44"/>
      <c r="P18" s="44"/>
    </row>
    <row r="19" spans="2:16" x14ac:dyDescent="0.25">
      <c r="B19" s="855"/>
      <c r="C19" s="855"/>
      <c r="D19" s="855"/>
      <c r="E19" s="855"/>
      <c r="F19" s="44" t="s">
        <v>170</v>
      </c>
      <c r="G19" s="70">
        <v>0.02</v>
      </c>
      <c r="H19" s="44"/>
      <c r="I19" s="178" t="s">
        <v>332</v>
      </c>
      <c r="J19" s="179">
        <f ca="1">J17/J18</f>
        <v>55077941.176470585</v>
      </c>
      <c r="K19" s="44"/>
      <c r="L19" s="178" t="s">
        <v>332</v>
      </c>
      <c r="M19" s="179">
        <f ca="1">M17/M18</f>
        <v>113466384.57142857</v>
      </c>
      <c r="N19" s="44"/>
      <c r="O19" s="44"/>
      <c r="P19" s="44"/>
    </row>
    <row r="20" spans="2:16" x14ac:dyDescent="0.25">
      <c r="B20" s="855"/>
      <c r="C20" s="855"/>
      <c r="D20" s="855"/>
      <c r="E20" s="855"/>
      <c r="F20" s="44"/>
      <c r="G20" s="44"/>
      <c r="H20" s="44"/>
      <c r="I20" s="44" t="s">
        <v>333</v>
      </c>
      <c r="J20" s="85">
        <f ca="1">$C$65*SUM(F33:P33)</f>
        <v>31691000</v>
      </c>
      <c r="K20" s="44"/>
      <c r="L20" s="44" t="s">
        <v>333</v>
      </c>
      <c r="M20" s="85">
        <f ca="1">SUM(G41:P41)*C65</f>
        <v>67207012.399999991</v>
      </c>
      <c r="N20" s="44"/>
      <c r="O20" s="44"/>
      <c r="P20" s="44"/>
    </row>
    <row r="21" spans="2:16" x14ac:dyDescent="0.25">
      <c r="B21" s="855"/>
      <c r="C21" s="855"/>
      <c r="D21" s="855"/>
      <c r="E21" s="855"/>
      <c r="F21" s="44"/>
      <c r="G21" s="44"/>
      <c r="H21" s="44"/>
      <c r="I21" s="105" t="s">
        <v>334</v>
      </c>
      <c r="J21" s="174">
        <f ca="1">0.2*J20</f>
        <v>6338200</v>
      </c>
      <c r="K21" s="44"/>
      <c r="L21" s="105" t="s">
        <v>334</v>
      </c>
      <c r="M21" s="174">
        <f ca="1">0.2*M20</f>
        <v>13441402.479999999</v>
      </c>
      <c r="N21" s="44"/>
      <c r="O21" s="44"/>
      <c r="P21" s="44"/>
    </row>
    <row r="22" spans="2:16" x14ac:dyDescent="0.25">
      <c r="B22" s="855"/>
      <c r="C22" s="855"/>
      <c r="D22" s="855"/>
      <c r="E22" s="855"/>
      <c r="F22" s="44"/>
      <c r="G22" s="44"/>
      <c r="H22" s="44"/>
      <c r="I22" s="176" t="s">
        <v>335</v>
      </c>
      <c r="J22" s="177">
        <f ca="1">SUM(J20:J21)</f>
        <v>38029200</v>
      </c>
      <c r="K22" s="44"/>
      <c r="L22" s="176" t="s">
        <v>335</v>
      </c>
      <c r="M22" s="177">
        <f ca="1">SUM(M20:M21)</f>
        <v>80648414.879999995</v>
      </c>
      <c r="N22" s="44"/>
      <c r="O22" s="44"/>
      <c r="P22" s="44"/>
    </row>
    <row r="23" spans="2:16" x14ac:dyDescent="0.25">
      <c r="B23" s="855"/>
      <c r="C23" s="855"/>
      <c r="D23" s="855"/>
      <c r="E23" s="855"/>
      <c r="F23" s="44"/>
      <c r="G23" s="44"/>
      <c r="H23" s="44"/>
      <c r="I23" s="43" t="s">
        <v>336</v>
      </c>
      <c r="J23" s="180">
        <f ca="1">J19-J22</f>
        <v>17048741.176470585</v>
      </c>
      <c r="K23" s="44"/>
      <c r="L23" s="43" t="s">
        <v>336</v>
      </c>
      <c r="M23" s="180">
        <f ca="1">M19-M22</f>
        <v>32817969.691428572</v>
      </c>
      <c r="N23" s="44"/>
      <c r="O23" s="44"/>
      <c r="P23" s="44"/>
    </row>
    <row r="24" spans="2:16" x14ac:dyDescent="0.25">
      <c r="B24" s="855"/>
      <c r="C24" s="855"/>
      <c r="D24" s="855"/>
      <c r="E24" s="855"/>
      <c r="F24" s="44"/>
      <c r="G24" s="70"/>
      <c r="H24" s="44"/>
      <c r="I24" s="43" t="s">
        <v>337</v>
      </c>
      <c r="J24" s="180">
        <f ca="1">J23/SUM(F33:P33)</f>
        <v>236.70588235294113</v>
      </c>
      <c r="K24" s="44"/>
      <c r="L24" s="43" t="s">
        <v>337</v>
      </c>
      <c r="M24" s="180">
        <f ca="1">M23/SUM(F41:P41)</f>
        <v>214.85714285714286</v>
      </c>
      <c r="N24" s="44"/>
      <c r="O24" s="44"/>
      <c r="P24" s="44"/>
    </row>
    <row r="25" spans="2:16" x14ac:dyDescent="0.25">
      <c r="B25" s="855"/>
      <c r="C25" s="855"/>
      <c r="D25" s="855"/>
      <c r="E25" s="855"/>
      <c r="F25" s="44"/>
      <c r="G25" s="44"/>
      <c r="H25" s="44"/>
      <c r="I25" s="44"/>
      <c r="J25" s="47"/>
      <c r="K25" s="44"/>
      <c r="L25" s="44"/>
      <c r="M25" s="44"/>
      <c r="N25" s="44"/>
      <c r="O25" s="44"/>
      <c r="P25" s="44"/>
    </row>
    <row r="26" spans="2:16" x14ac:dyDescent="0.25">
      <c r="F26" s="853" t="s">
        <v>49</v>
      </c>
      <c r="G26" s="853"/>
      <c r="H26" s="853"/>
      <c r="I26" s="853"/>
      <c r="J26" s="853"/>
      <c r="K26" s="853"/>
      <c r="L26" s="853"/>
      <c r="M26" s="853"/>
      <c r="N26" s="853"/>
      <c r="O26" s="853"/>
      <c r="P26" s="853"/>
    </row>
    <row r="27" spans="2:16" x14ac:dyDescent="0.25">
      <c r="F27" s="273" t="s">
        <v>105</v>
      </c>
      <c r="G27" s="207" t="s">
        <v>28</v>
      </c>
      <c r="H27" s="27" t="s">
        <v>28</v>
      </c>
      <c r="I27" s="275" t="s">
        <v>28</v>
      </c>
      <c r="J27" s="218" t="s">
        <v>47</v>
      </c>
      <c r="K27" s="28" t="s">
        <v>47</v>
      </c>
      <c r="L27" s="28" t="s">
        <v>47</v>
      </c>
      <c r="M27" s="277" t="s">
        <v>47</v>
      </c>
      <c r="N27" s="315" t="s">
        <v>48</v>
      </c>
      <c r="O27" s="315" t="s">
        <v>48</v>
      </c>
      <c r="P27" s="316" t="s">
        <v>48</v>
      </c>
    </row>
    <row r="28" spans="2:16" x14ac:dyDescent="0.25">
      <c r="B28" s="317"/>
      <c r="C28" s="362"/>
      <c r="D28" s="362"/>
      <c r="E28" s="362"/>
      <c r="F28" s="271">
        <v>0</v>
      </c>
      <c r="G28" s="438">
        <f>F28+1</f>
        <v>1</v>
      </c>
      <c r="H28" s="320">
        <f t="shared" ref="H28:P29" si="0">G28+1</f>
        <v>2</v>
      </c>
      <c r="I28" s="274">
        <f t="shared" si="0"/>
        <v>3</v>
      </c>
      <c r="J28" s="438">
        <f t="shared" si="0"/>
        <v>4</v>
      </c>
      <c r="K28" s="320">
        <f t="shared" si="0"/>
        <v>5</v>
      </c>
      <c r="L28" s="320">
        <f t="shared" si="0"/>
        <v>6</v>
      </c>
      <c r="M28" s="274">
        <f t="shared" si="0"/>
        <v>7</v>
      </c>
      <c r="N28" s="320">
        <f t="shared" si="0"/>
        <v>8</v>
      </c>
      <c r="O28" s="320">
        <f t="shared" si="0"/>
        <v>9</v>
      </c>
      <c r="P28" s="274">
        <f t="shared" si="0"/>
        <v>10</v>
      </c>
    </row>
    <row r="29" spans="2:16" x14ac:dyDescent="0.25">
      <c r="B29" s="321"/>
      <c r="C29" s="222"/>
      <c r="D29" s="222"/>
      <c r="E29" s="222"/>
      <c r="F29" s="419" t="s">
        <v>177</v>
      </c>
      <c r="G29" s="208">
        <v>2022</v>
      </c>
      <c r="H29" s="225">
        <f t="shared" si="0"/>
        <v>2023</v>
      </c>
      <c r="I29" s="278">
        <f t="shared" si="0"/>
        <v>2024</v>
      </c>
      <c r="J29" s="208">
        <f t="shared" si="0"/>
        <v>2025</v>
      </c>
      <c r="K29" s="225">
        <f t="shared" si="0"/>
        <v>2026</v>
      </c>
      <c r="L29" s="225">
        <f t="shared" si="0"/>
        <v>2027</v>
      </c>
      <c r="M29" s="278">
        <f t="shared" si="0"/>
        <v>2028</v>
      </c>
      <c r="N29" s="225">
        <f t="shared" si="0"/>
        <v>2029</v>
      </c>
      <c r="O29" s="225">
        <f t="shared" si="0"/>
        <v>2030</v>
      </c>
      <c r="P29" s="278">
        <f t="shared" si="0"/>
        <v>2031</v>
      </c>
    </row>
    <row r="30" spans="2:16" x14ac:dyDescent="0.25">
      <c r="B30" s="322"/>
      <c r="C30" s="123"/>
      <c r="D30" s="35"/>
      <c r="E30" s="35"/>
      <c r="F30" s="420"/>
      <c r="G30" s="439"/>
      <c r="H30" s="402"/>
      <c r="I30" s="403"/>
      <c r="J30" s="439"/>
      <c r="K30" s="402"/>
      <c r="L30" s="402"/>
      <c r="M30" s="403"/>
      <c r="N30" s="402"/>
      <c r="O30" s="402"/>
      <c r="P30" s="403"/>
    </row>
    <row r="31" spans="2:16" x14ac:dyDescent="0.25">
      <c r="B31" s="323" t="s">
        <v>135</v>
      </c>
      <c r="C31" s="125"/>
      <c r="D31" s="165"/>
      <c r="E31" s="165"/>
      <c r="F31" s="420"/>
      <c r="G31" s="439"/>
      <c r="H31" s="402"/>
      <c r="I31" s="403"/>
      <c r="J31" s="439"/>
      <c r="K31" s="402"/>
      <c r="L31" s="402"/>
      <c r="M31" s="403"/>
      <c r="N31" s="402"/>
      <c r="O31" s="402"/>
      <c r="P31" s="403"/>
    </row>
    <row r="32" spans="2:16" x14ac:dyDescent="0.25">
      <c r="B32" s="323"/>
      <c r="C32" s="201" t="s">
        <v>45</v>
      </c>
      <c r="D32" s="125"/>
      <c r="E32" s="76"/>
      <c r="F32" s="421"/>
      <c r="G32" s="209"/>
      <c r="H32" s="226"/>
      <c r="I32" s="286"/>
      <c r="J32" s="209"/>
      <c r="K32" s="226"/>
      <c r="L32" s="226"/>
      <c r="M32" s="286"/>
      <c r="N32" s="226"/>
      <c r="O32" s="226"/>
      <c r="P32" s="286"/>
    </row>
    <row r="33" spans="2:17" x14ac:dyDescent="0.25">
      <c r="B33" s="324" t="s">
        <v>340</v>
      </c>
      <c r="C33" s="404">
        <f ca="1">SUM(F33:P33)</f>
        <v>72025</v>
      </c>
      <c r="D33" s="227"/>
      <c r="E33" s="350"/>
      <c r="F33" s="422">
        <f>'Development Schedule'!E30</f>
        <v>0</v>
      </c>
      <c r="G33" s="440">
        <f ca="1">'Development Schedule'!F30</f>
        <v>0</v>
      </c>
      <c r="H33" s="333">
        <f ca="1">'Development Schedule'!G30</f>
        <v>0</v>
      </c>
      <c r="I33" s="290">
        <f ca="1">'Development Schedule'!H30</f>
        <v>0</v>
      </c>
      <c r="J33" s="440">
        <f>'Development Schedule'!I30</f>
        <v>36012.5</v>
      </c>
      <c r="K33" s="333">
        <f>'Development Schedule'!J30</f>
        <v>36012.5</v>
      </c>
      <c r="L33" s="333">
        <f ca="1">'Development Schedule'!K30</f>
        <v>0</v>
      </c>
      <c r="M33" s="290">
        <f>'Development Schedule'!L30</f>
        <v>0</v>
      </c>
      <c r="N33" s="333">
        <f ca="1">'Development Schedule'!M30</f>
        <v>0</v>
      </c>
      <c r="O33" s="333">
        <f ca="1">'Development Schedule'!N30</f>
        <v>0</v>
      </c>
      <c r="P33" s="290">
        <f ca="1">'Development Schedule'!O30</f>
        <v>0</v>
      </c>
    </row>
    <row r="34" spans="2:17" x14ac:dyDescent="0.25">
      <c r="B34" s="322" t="s">
        <v>341</v>
      </c>
      <c r="C34" s="237"/>
      <c r="D34" s="76"/>
      <c r="E34" s="123"/>
      <c r="F34" s="423">
        <f t="shared" ref="F34:P34" si="1">F33+E34</f>
        <v>0</v>
      </c>
      <c r="G34" s="441">
        <f t="shared" ca="1" si="1"/>
        <v>0</v>
      </c>
      <c r="H34" s="329">
        <f t="shared" ca="1" si="1"/>
        <v>0</v>
      </c>
      <c r="I34" s="288">
        <f t="shared" ca="1" si="1"/>
        <v>0</v>
      </c>
      <c r="J34" s="441">
        <f t="shared" ca="1" si="1"/>
        <v>36012.5</v>
      </c>
      <c r="K34" s="329">
        <f t="shared" ca="1" si="1"/>
        <v>72025</v>
      </c>
      <c r="L34" s="329">
        <f t="shared" ca="1" si="1"/>
        <v>72025</v>
      </c>
      <c r="M34" s="288">
        <f t="shared" ca="1" si="1"/>
        <v>72025</v>
      </c>
      <c r="N34" s="329">
        <f t="shared" ca="1" si="1"/>
        <v>72025</v>
      </c>
      <c r="O34" s="329">
        <f t="shared" ca="1" si="1"/>
        <v>72025</v>
      </c>
      <c r="P34" s="288">
        <f t="shared" ca="1" si="1"/>
        <v>72025</v>
      </c>
    </row>
    <row r="35" spans="2:17" x14ac:dyDescent="0.25">
      <c r="B35" s="330" t="s">
        <v>330</v>
      </c>
      <c r="C35" s="405"/>
      <c r="D35" s="76"/>
      <c r="E35" s="76"/>
      <c r="F35" s="453">
        <v>0</v>
      </c>
      <c r="G35" s="461">
        <v>0</v>
      </c>
      <c r="H35" s="332">
        <v>0</v>
      </c>
      <c r="I35" s="289">
        <v>0</v>
      </c>
      <c r="J35" s="461">
        <v>0.5</v>
      </c>
      <c r="K35" s="332">
        <v>1</v>
      </c>
      <c r="L35" s="332">
        <v>1</v>
      </c>
      <c r="M35" s="289">
        <v>1</v>
      </c>
      <c r="N35" s="332">
        <f>M35</f>
        <v>1</v>
      </c>
      <c r="O35" s="332">
        <f>N35</f>
        <v>1</v>
      </c>
      <c r="P35" s="289">
        <f>O35</f>
        <v>1</v>
      </c>
    </row>
    <row r="36" spans="2:17" x14ac:dyDescent="0.25">
      <c r="B36" s="322"/>
      <c r="C36" s="237"/>
      <c r="D36" s="76"/>
      <c r="E36" s="123"/>
      <c r="F36" s="421"/>
      <c r="G36" s="209"/>
      <c r="H36" s="226"/>
      <c r="I36" s="384"/>
      <c r="J36" s="219"/>
      <c r="K36" s="234"/>
      <c r="L36" s="234"/>
      <c r="M36" s="384"/>
      <c r="N36" s="234"/>
      <c r="O36" s="234"/>
      <c r="P36" s="384"/>
    </row>
    <row r="37" spans="2:17" x14ac:dyDescent="0.25">
      <c r="B37" s="324" t="s">
        <v>342</v>
      </c>
      <c r="C37" s="404">
        <f ca="1">SUM(F37:P37)</f>
        <v>61128</v>
      </c>
      <c r="D37" s="227"/>
      <c r="E37" s="350"/>
      <c r="F37" s="422">
        <f>'Development Schedule'!E105</f>
        <v>0</v>
      </c>
      <c r="G37" s="440">
        <f ca="1">'Development Schedule'!F105</f>
        <v>0</v>
      </c>
      <c r="H37" s="333">
        <f>'Development Schedule'!G105</f>
        <v>30564</v>
      </c>
      <c r="I37" s="290">
        <f>'Development Schedule'!H105</f>
        <v>30564</v>
      </c>
      <c r="J37" s="440">
        <f ca="1">'Development Schedule'!I105</f>
        <v>0</v>
      </c>
      <c r="K37" s="333">
        <f ca="1">'Development Schedule'!J105</f>
        <v>0</v>
      </c>
      <c r="L37" s="333">
        <f ca="1">'Development Schedule'!K105</f>
        <v>0</v>
      </c>
      <c r="M37" s="290">
        <f ca="1">'Development Schedule'!L105</f>
        <v>0</v>
      </c>
      <c r="N37" s="333">
        <f ca="1">'Development Schedule'!M105</f>
        <v>0</v>
      </c>
      <c r="O37" s="333">
        <f ca="1">'Development Schedule'!N105</f>
        <v>0</v>
      </c>
      <c r="P37" s="290">
        <f ca="1">'Development Schedule'!O105</f>
        <v>0</v>
      </c>
    </row>
    <row r="38" spans="2:17" x14ac:dyDescent="0.25">
      <c r="B38" s="322" t="s">
        <v>343</v>
      </c>
      <c r="C38" s="237"/>
      <c r="D38" s="76"/>
      <c r="E38" s="123"/>
      <c r="F38" s="423">
        <f>F37+E38</f>
        <v>0</v>
      </c>
      <c r="G38" s="441">
        <f t="shared" ref="G38:I38" ca="1" si="2">G37+F38</f>
        <v>0</v>
      </c>
      <c r="H38" s="329">
        <f t="shared" ca="1" si="2"/>
        <v>30564</v>
      </c>
      <c r="I38" s="288">
        <f t="shared" ca="1" si="2"/>
        <v>61128</v>
      </c>
      <c r="J38" s="441">
        <f t="shared" ref="J38:P38" ca="1" si="3">J37+I38</f>
        <v>61128</v>
      </c>
      <c r="K38" s="329">
        <f t="shared" ca="1" si="3"/>
        <v>61128</v>
      </c>
      <c r="L38" s="329">
        <f t="shared" ca="1" si="3"/>
        <v>61128</v>
      </c>
      <c r="M38" s="288">
        <f t="shared" ca="1" si="3"/>
        <v>61128</v>
      </c>
      <c r="N38" s="329">
        <f t="shared" ca="1" si="3"/>
        <v>61128</v>
      </c>
      <c r="O38" s="329">
        <f t="shared" ca="1" si="3"/>
        <v>61128</v>
      </c>
      <c r="P38" s="288">
        <f t="shared" ca="1" si="3"/>
        <v>61128</v>
      </c>
    </row>
    <row r="39" spans="2:17" x14ac:dyDescent="0.25">
      <c r="B39" s="330" t="s">
        <v>330</v>
      </c>
      <c r="C39" s="405"/>
      <c r="D39" s="76"/>
      <c r="E39" s="76"/>
      <c r="F39" s="453">
        <v>0</v>
      </c>
      <c r="G39" s="461">
        <v>0</v>
      </c>
      <c r="H39" s="332">
        <v>0.5</v>
      </c>
      <c r="I39" s="289">
        <v>1</v>
      </c>
      <c r="J39" s="461">
        <f>I39</f>
        <v>1</v>
      </c>
      <c r="K39" s="332">
        <f>J39</f>
        <v>1</v>
      </c>
      <c r="L39" s="332">
        <f t="shared" ref="L39:P39" si="4">K39</f>
        <v>1</v>
      </c>
      <c r="M39" s="289">
        <f t="shared" si="4"/>
        <v>1</v>
      </c>
      <c r="N39" s="332">
        <f t="shared" si="4"/>
        <v>1</v>
      </c>
      <c r="O39" s="332">
        <f t="shared" si="4"/>
        <v>1</v>
      </c>
      <c r="P39" s="289">
        <f t="shared" si="4"/>
        <v>1</v>
      </c>
    </row>
    <row r="40" spans="2:17" x14ac:dyDescent="0.25">
      <c r="B40" s="330"/>
      <c r="C40" s="144"/>
      <c r="D40" s="49"/>
      <c r="E40" s="49"/>
      <c r="F40" s="424"/>
      <c r="G40" s="443"/>
      <c r="H40" s="406"/>
      <c r="I40" s="407"/>
      <c r="J40" s="443"/>
      <c r="K40" s="406"/>
      <c r="L40" s="406"/>
      <c r="M40" s="407"/>
      <c r="N40" s="406"/>
      <c r="O40" s="406"/>
      <c r="P40" s="407"/>
    </row>
    <row r="41" spans="2:17" x14ac:dyDescent="0.25">
      <c r="B41" s="324" t="s">
        <v>344</v>
      </c>
      <c r="C41" s="404">
        <f ca="1">SUM(F41:P41)</f>
        <v>152743.21</v>
      </c>
      <c r="D41" s="227"/>
      <c r="E41" s="350"/>
      <c r="F41" s="425">
        <f>'Development Schedule'!E196</f>
        <v>0</v>
      </c>
      <c r="G41" s="210">
        <f ca="1">'Development Schedule'!F196</f>
        <v>0</v>
      </c>
      <c r="H41" s="229">
        <f ca="1">'Development Schedule'!G196</f>
        <v>0</v>
      </c>
      <c r="I41" s="287">
        <f ca="1">'Development Schedule'!H196</f>
        <v>0</v>
      </c>
      <c r="J41" s="210">
        <f ca="1">'Development Schedule'!I196</f>
        <v>0</v>
      </c>
      <c r="K41" s="229">
        <f ca="1">'Development Schedule'!J196</f>
        <v>0</v>
      </c>
      <c r="L41" s="229">
        <f ca="1">'Development Schedule'!K196</f>
        <v>0</v>
      </c>
      <c r="M41" s="287">
        <f ca="1">'Development Schedule'!L196</f>
        <v>0</v>
      </c>
      <c r="N41" s="229">
        <f>'Development Schedule'!M196</f>
        <v>76371.604999999996</v>
      </c>
      <c r="O41" s="229">
        <f>'Development Schedule'!N196</f>
        <v>76371.604999999996</v>
      </c>
      <c r="P41" s="287">
        <f ca="1">'Development Schedule'!O196</f>
        <v>0</v>
      </c>
    </row>
    <row r="42" spans="2:17" x14ac:dyDescent="0.25">
      <c r="B42" s="322" t="s">
        <v>345</v>
      </c>
      <c r="C42" s="327"/>
      <c r="D42" s="76"/>
      <c r="E42" s="123"/>
      <c r="F42" s="426">
        <f t="shared" ref="F42:M42" si="5">$C$42*F41</f>
        <v>0</v>
      </c>
      <c r="G42" s="211">
        <f t="shared" ca="1" si="5"/>
        <v>0</v>
      </c>
      <c r="H42" s="233">
        <f t="shared" ca="1" si="5"/>
        <v>0</v>
      </c>
      <c r="I42" s="348">
        <f t="shared" ca="1" si="5"/>
        <v>0</v>
      </c>
      <c r="J42" s="211">
        <f t="shared" ca="1" si="5"/>
        <v>0</v>
      </c>
      <c r="K42" s="233">
        <f t="shared" ca="1" si="5"/>
        <v>0</v>
      </c>
      <c r="L42" s="233">
        <f t="shared" ca="1" si="5"/>
        <v>0</v>
      </c>
      <c r="M42" s="348">
        <f t="shared" ca="1" si="5"/>
        <v>0</v>
      </c>
      <c r="N42" s="233">
        <f t="shared" ref="N42:P42" si="6">$C$42*N41</f>
        <v>0</v>
      </c>
      <c r="O42" s="233">
        <f t="shared" si="6"/>
        <v>0</v>
      </c>
      <c r="P42" s="348">
        <f t="shared" ca="1" si="6"/>
        <v>0</v>
      </c>
    </row>
    <row r="43" spans="2:17" x14ac:dyDescent="0.25">
      <c r="B43" s="330" t="s">
        <v>330</v>
      </c>
      <c r="C43" s="398"/>
      <c r="D43" s="76"/>
      <c r="E43" s="76"/>
      <c r="F43" s="453">
        <v>0</v>
      </c>
      <c r="G43" s="461">
        <v>0</v>
      </c>
      <c r="H43" s="332">
        <v>0</v>
      </c>
      <c r="I43" s="289">
        <v>0</v>
      </c>
      <c r="J43" s="461">
        <v>0</v>
      </c>
      <c r="K43" s="332">
        <v>0</v>
      </c>
      <c r="L43" s="332">
        <v>0</v>
      </c>
      <c r="M43" s="289">
        <v>0</v>
      </c>
      <c r="N43" s="332">
        <v>0.5</v>
      </c>
      <c r="O43" s="332">
        <v>1</v>
      </c>
      <c r="P43" s="289">
        <v>1</v>
      </c>
    </row>
    <row r="44" spans="2:17" x14ac:dyDescent="0.25">
      <c r="B44" s="330"/>
      <c r="C44" s="123"/>
      <c r="D44" s="49"/>
      <c r="E44" s="49"/>
      <c r="F44" s="424"/>
      <c r="G44" s="443"/>
      <c r="H44" s="406"/>
      <c r="I44" s="407"/>
      <c r="J44" s="443"/>
      <c r="K44" s="406"/>
      <c r="L44" s="406"/>
      <c r="M44" s="407"/>
      <c r="N44" s="406"/>
      <c r="O44" s="406"/>
      <c r="P44" s="407"/>
    </row>
    <row r="45" spans="2:17" x14ac:dyDescent="0.25">
      <c r="B45" s="323" t="s">
        <v>173</v>
      </c>
      <c r="C45" s="220"/>
      <c r="D45" s="123"/>
      <c r="E45" s="123"/>
      <c r="F45" s="427"/>
      <c r="G45" s="104"/>
      <c r="H45" s="34"/>
      <c r="I45" s="372"/>
      <c r="J45" s="104"/>
      <c r="K45" s="34"/>
      <c r="L45" s="34"/>
      <c r="M45" s="372"/>
      <c r="N45" s="34"/>
      <c r="O45" s="34"/>
      <c r="P45" s="372"/>
    </row>
    <row r="46" spans="2:17" x14ac:dyDescent="0.25">
      <c r="B46" s="322" t="s">
        <v>420</v>
      </c>
      <c r="C46" s="408">
        <f>J6</f>
        <v>35</v>
      </c>
      <c r="D46" s="335"/>
      <c r="E46" s="335"/>
      <c r="F46" s="428">
        <f>C46</f>
        <v>35</v>
      </c>
      <c r="G46" s="444">
        <f t="shared" ref="G46:P46" si="7">F46*(1+G$51)</f>
        <v>35.700000000000003</v>
      </c>
      <c r="H46" s="409">
        <f t="shared" si="7"/>
        <v>36.414000000000001</v>
      </c>
      <c r="I46" s="410">
        <f t="shared" si="7"/>
        <v>37.14228</v>
      </c>
      <c r="J46" s="444">
        <f t="shared" si="7"/>
        <v>37.885125600000002</v>
      </c>
      <c r="K46" s="409">
        <f t="shared" si="7"/>
        <v>38.642828112000004</v>
      </c>
      <c r="L46" s="409">
        <f t="shared" si="7"/>
        <v>39.415684674240005</v>
      </c>
      <c r="M46" s="410">
        <f t="shared" si="7"/>
        <v>40.203998367724807</v>
      </c>
      <c r="N46" s="409">
        <f t="shared" si="7"/>
        <v>41.008078335079304</v>
      </c>
      <c r="O46" s="409">
        <f t="shared" si="7"/>
        <v>41.82823990178089</v>
      </c>
      <c r="P46" s="410">
        <f t="shared" si="7"/>
        <v>42.664804699816507</v>
      </c>
      <c r="Q46" s="81"/>
    </row>
    <row r="47" spans="2:17" x14ac:dyDescent="0.25">
      <c r="B47" s="322" t="s">
        <v>421</v>
      </c>
      <c r="C47" s="408">
        <f>J7</f>
        <v>17.5</v>
      </c>
      <c r="D47" s="335"/>
      <c r="E47" s="335"/>
      <c r="F47" s="428">
        <f>C47</f>
        <v>17.5</v>
      </c>
      <c r="G47" s="444">
        <f t="shared" ref="G47" si="8">F47*(1+G$51)</f>
        <v>17.850000000000001</v>
      </c>
      <c r="H47" s="409">
        <f t="shared" ref="H47" si="9">G47*(1+H$51)</f>
        <v>18.207000000000001</v>
      </c>
      <c r="I47" s="410">
        <f t="shared" ref="I47" si="10">H47*(1+I$51)</f>
        <v>18.57114</v>
      </c>
      <c r="J47" s="444">
        <f t="shared" ref="J47" si="11">I47*(1+J$51)</f>
        <v>18.942562800000001</v>
      </c>
      <c r="K47" s="409">
        <f t="shared" ref="K47" si="12">J47*(1+K$51)</f>
        <v>19.321414056000002</v>
      </c>
      <c r="L47" s="409">
        <f t="shared" ref="L47" si="13">K47*(1+L$51)</f>
        <v>19.707842337120002</v>
      </c>
      <c r="M47" s="410">
        <f t="shared" ref="M47" si="14">L47*(1+M$51)</f>
        <v>20.101999183862404</v>
      </c>
      <c r="N47" s="409">
        <f t="shared" ref="N47" si="15">M47*(1+N$51)</f>
        <v>20.504039167539652</v>
      </c>
      <c r="O47" s="409">
        <f t="shared" ref="O47" si="16">N47*(1+O$51)</f>
        <v>20.914119950890445</v>
      </c>
      <c r="P47" s="410">
        <f t="shared" ref="P47" si="17">O47*(1+P$51)</f>
        <v>21.332402349908254</v>
      </c>
      <c r="Q47" s="81"/>
    </row>
    <row r="48" spans="2:17" x14ac:dyDescent="0.25">
      <c r="B48" s="322" t="s">
        <v>407</v>
      </c>
      <c r="C48" s="408">
        <f ca="1">J10</f>
        <v>130.18823529411765</v>
      </c>
      <c r="D48" s="335"/>
      <c r="E48" s="335"/>
      <c r="F48" s="428">
        <f ca="1">C48</f>
        <v>130.18823529411765</v>
      </c>
      <c r="G48" s="444">
        <f t="shared" ref="G48:P48" ca="1" si="18">F48*(1+G$51)</f>
        <v>132.792</v>
      </c>
      <c r="H48" s="409">
        <f t="shared" ca="1" si="18"/>
        <v>135.44784000000001</v>
      </c>
      <c r="I48" s="410">
        <f t="shared" ca="1" si="18"/>
        <v>138.15679680000002</v>
      </c>
      <c r="J48" s="444">
        <f t="shared" ca="1" si="18"/>
        <v>140.91993273600002</v>
      </c>
      <c r="K48" s="409">
        <f t="shared" ca="1" si="18"/>
        <v>143.73833139072002</v>
      </c>
      <c r="L48" s="409">
        <f t="shared" ca="1" si="18"/>
        <v>146.61309801853443</v>
      </c>
      <c r="M48" s="410">
        <f t="shared" ca="1" si="18"/>
        <v>149.54535997890511</v>
      </c>
      <c r="N48" s="409">
        <f t="shared" ca="1" si="18"/>
        <v>152.53626717848323</v>
      </c>
      <c r="O48" s="409">
        <f t="shared" ca="1" si="18"/>
        <v>155.5869925220529</v>
      </c>
      <c r="P48" s="410">
        <f t="shared" ca="1" si="18"/>
        <v>158.69873237249396</v>
      </c>
      <c r="Q48" s="81"/>
    </row>
    <row r="49" spans="2:17" x14ac:dyDescent="0.25">
      <c r="B49" s="322" t="s">
        <v>350</v>
      </c>
      <c r="C49" s="408">
        <f ca="1">$J$12</f>
        <v>48.555555555555557</v>
      </c>
      <c r="D49" s="335"/>
      <c r="E49" s="335"/>
      <c r="F49" s="428">
        <f ca="1">C49</f>
        <v>48.555555555555557</v>
      </c>
      <c r="G49" s="444">
        <f t="shared" ref="G49:P49" ca="1" si="19">F49*(1+G$51)</f>
        <v>49.526666666666671</v>
      </c>
      <c r="H49" s="409">
        <f t="shared" ca="1" si="19"/>
        <v>50.517200000000003</v>
      </c>
      <c r="I49" s="410">
        <f t="shared" ca="1" si="19"/>
        <v>51.527544000000006</v>
      </c>
      <c r="J49" s="444">
        <f t="shared" ca="1" si="19"/>
        <v>52.558094880000006</v>
      </c>
      <c r="K49" s="409">
        <f t="shared" ca="1" si="19"/>
        <v>53.60925677760001</v>
      </c>
      <c r="L49" s="409">
        <f t="shared" ca="1" si="19"/>
        <v>54.681441913152014</v>
      </c>
      <c r="M49" s="410">
        <f t="shared" ca="1" si="19"/>
        <v>55.775070751415058</v>
      </c>
      <c r="N49" s="409">
        <f t="shared" ca="1" si="19"/>
        <v>56.890572166443363</v>
      </c>
      <c r="O49" s="409">
        <f t="shared" ca="1" si="19"/>
        <v>58.028383609772234</v>
      </c>
      <c r="P49" s="410">
        <f t="shared" ca="1" si="19"/>
        <v>59.188951281967682</v>
      </c>
      <c r="Q49" s="81"/>
    </row>
    <row r="50" spans="2:17" x14ac:dyDescent="0.25">
      <c r="B50" s="322" t="s">
        <v>406</v>
      </c>
      <c r="C50" s="408">
        <f ca="1">$J$14</f>
        <v>85.94285714285715</v>
      </c>
      <c r="D50" s="335"/>
      <c r="E50" s="335"/>
      <c r="F50" s="428">
        <f ca="1">C50</f>
        <v>85.94285714285715</v>
      </c>
      <c r="G50" s="444">
        <f t="shared" ref="G50:P50" ca="1" si="20">F50*(1+G$51)</f>
        <v>87.661714285714297</v>
      </c>
      <c r="H50" s="409">
        <f t="shared" ca="1" si="20"/>
        <v>89.414948571428582</v>
      </c>
      <c r="I50" s="410">
        <f t="shared" ca="1" si="20"/>
        <v>91.203247542857156</v>
      </c>
      <c r="J50" s="444">
        <f t="shared" ca="1" si="20"/>
        <v>93.027312493714305</v>
      </c>
      <c r="K50" s="409">
        <f t="shared" ca="1" si="20"/>
        <v>94.887858743588595</v>
      </c>
      <c r="L50" s="409">
        <f t="shared" ca="1" si="20"/>
        <v>96.785615918460365</v>
      </c>
      <c r="M50" s="410">
        <f t="shared" ca="1" si="20"/>
        <v>98.721328236829578</v>
      </c>
      <c r="N50" s="409">
        <f t="shared" ca="1" si="20"/>
        <v>100.69575480156617</v>
      </c>
      <c r="O50" s="409">
        <f t="shared" ca="1" si="20"/>
        <v>102.70966989759749</v>
      </c>
      <c r="P50" s="410">
        <f t="shared" ca="1" si="20"/>
        <v>104.76386329554944</v>
      </c>
      <c r="Q50" s="81"/>
    </row>
    <row r="51" spans="2:17" x14ac:dyDescent="0.25">
      <c r="B51" s="322" t="s">
        <v>170</v>
      </c>
      <c r="C51" s="381">
        <f>G19</f>
        <v>0.02</v>
      </c>
      <c r="D51" s="411"/>
      <c r="E51" s="411"/>
      <c r="F51" s="429">
        <f>$C$51</f>
        <v>0.02</v>
      </c>
      <c r="G51" s="445">
        <f t="shared" ref="G51:P51" si="21">$C$51</f>
        <v>0.02</v>
      </c>
      <c r="H51" s="400">
        <f t="shared" si="21"/>
        <v>0.02</v>
      </c>
      <c r="I51" s="412">
        <f t="shared" si="21"/>
        <v>0.02</v>
      </c>
      <c r="J51" s="445">
        <f t="shared" si="21"/>
        <v>0.02</v>
      </c>
      <c r="K51" s="400">
        <f t="shared" si="21"/>
        <v>0.02</v>
      </c>
      <c r="L51" s="400">
        <f t="shared" si="21"/>
        <v>0.02</v>
      </c>
      <c r="M51" s="412">
        <f t="shared" si="21"/>
        <v>0.02</v>
      </c>
      <c r="N51" s="400">
        <f t="shared" si="21"/>
        <v>0.02</v>
      </c>
      <c r="O51" s="400">
        <f t="shared" si="21"/>
        <v>0.02</v>
      </c>
      <c r="P51" s="412">
        <f t="shared" si="21"/>
        <v>0.02</v>
      </c>
      <c r="Q51" s="99"/>
    </row>
    <row r="52" spans="2:17" x14ac:dyDescent="0.25">
      <c r="B52" s="323"/>
      <c r="C52" s="76"/>
      <c r="D52" s="49"/>
      <c r="E52" s="49"/>
      <c r="F52" s="430"/>
      <c r="G52" s="322"/>
      <c r="H52" s="35"/>
      <c r="I52" s="369"/>
      <c r="J52" s="322"/>
      <c r="K52" s="35"/>
      <c r="L52" s="35"/>
      <c r="M52" s="369"/>
      <c r="N52" s="35"/>
      <c r="O52" s="35"/>
      <c r="P52" s="369"/>
    </row>
    <row r="53" spans="2:17" x14ac:dyDescent="0.25">
      <c r="B53" s="323" t="s">
        <v>127</v>
      </c>
      <c r="C53" s="125" t="s">
        <v>169</v>
      </c>
      <c r="D53" s="35"/>
      <c r="E53" s="35"/>
      <c r="F53" s="430"/>
      <c r="G53" s="322"/>
      <c r="H53" s="35"/>
      <c r="I53" s="369"/>
      <c r="J53" s="322"/>
      <c r="K53" s="35"/>
      <c r="L53" s="35"/>
      <c r="M53" s="369"/>
      <c r="N53" s="35"/>
      <c r="O53" s="35"/>
      <c r="P53" s="369"/>
    </row>
    <row r="54" spans="2:17" x14ac:dyDescent="0.25">
      <c r="B54" s="322" t="s">
        <v>419</v>
      </c>
      <c r="C54" s="364"/>
      <c r="D54" s="35"/>
      <c r="E54" s="35"/>
      <c r="F54" s="431">
        <f>IF(F35=100%,F46*$C$33,0)+IF(F39=100%,F47*$C$37,0)+(E54*F55)</f>
        <v>0</v>
      </c>
      <c r="G54" s="446">
        <f t="shared" ref="G54:H54" si="22">IF(G35=100%,G46*$C$33,0)+IF(G39=100%,G47*$C$37,0)+(F54*G55)</f>
        <v>0</v>
      </c>
      <c r="H54" s="413">
        <f t="shared" si="22"/>
        <v>0</v>
      </c>
      <c r="I54" s="414">
        <f t="shared" ref="I54:P54" ca="1" si="23">IF(I35=100%,I46*$C$33,0)+IF(I39=100%,I47*$C$37,0)+(H54*I55)</f>
        <v>1135216.64592</v>
      </c>
      <c r="J54" s="446">
        <f t="shared" ca="1" si="23"/>
        <v>1191977.4782159999</v>
      </c>
      <c r="K54" s="413">
        <f t="shared" ca="1" si="23"/>
        <v>4000088.4175284486</v>
      </c>
      <c r="L54" s="413">
        <f t="shared" ca="1" si="23"/>
        <v>4163618.327571461</v>
      </c>
      <c r="M54" s="414">
        <f t="shared" ca="1" si="23"/>
        <v>4249396.538373664</v>
      </c>
      <c r="N54" s="413">
        <f t="shared" ca="1" si="23"/>
        <v>4334459.6444686605</v>
      </c>
      <c r="O54" s="413">
        <f t="shared" ca="1" si="23"/>
        <v>4421151.0926178591</v>
      </c>
      <c r="P54" s="414">
        <f t="shared" ca="1" si="23"/>
        <v>4509574.1821280112</v>
      </c>
    </row>
    <row r="55" spans="2:17" x14ac:dyDescent="0.25">
      <c r="B55" s="342" t="s">
        <v>132</v>
      </c>
      <c r="C55" s="252">
        <f>G12</f>
        <v>0.03</v>
      </c>
      <c r="D55" s="253"/>
      <c r="E55" s="253"/>
      <c r="F55" s="432">
        <f>C55</f>
        <v>0.03</v>
      </c>
      <c r="G55" s="447">
        <f>F55</f>
        <v>0.03</v>
      </c>
      <c r="H55" s="253">
        <f t="shared" ref="H55:P55" si="24">G55</f>
        <v>0.03</v>
      </c>
      <c r="I55" s="415">
        <f t="shared" si="24"/>
        <v>0.03</v>
      </c>
      <c r="J55" s="447">
        <f t="shared" si="24"/>
        <v>0.03</v>
      </c>
      <c r="K55" s="253">
        <f t="shared" si="24"/>
        <v>0.03</v>
      </c>
      <c r="L55" s="253">
        <f t="shared" si="24"/>
        <v>0.03</v>
      </c>
      <c r="M55" s="415">
        <f t="shared" si="24"/>
        <v>0.03</v>
      </c>
      <c r="N55" s="253">
        <f t="shared" si="24"/>
        <v>0.03</v>
      </c>
      <c r="O55" s="253">
        <f t="shared" si="24"/>
        <v>0.03</v>
      </c>
      <c r="P55" s="415">
        <f t="shared" si="24"/>
        <v>0.03</v>
      </c>
    </row>
    <row r="56" spans="2:17" x14ac:dyDescent="0.25">
      <c r="B56" s="343" t="s">
        <v>352</v>
      </c>
      <c r="C56" s="245"/>
      <c r="D56" s="34"/>
      <c r="E56" s="34"/>
      <c r="F56" s="433">
        <f t="shared" ref="F56:H56" si="25">SUM(F54:F54)</f>
        <v>0</v>
      </c>
      <c r="G56" s="216">
        <f t="shared" si="25"/>
        <v>0</v>
      </c>
      <c r="H56" s="139">
        <f t="shared" si="25"/>
        <v>0</v>
      </c>
      <c r="I56" s="387">
        <f t="shared" ref="I56:P56" ca="1" si="26">SUM(I54:I54)</f>
        <v>1135216.64592</v>
      </c>
      <c r="J56" s="216">
        <f t="shared" ca="1" si="26"/>
        <v>1191977.4782159999</v>
      </c>
      <c r="K56" s="139">
        <f t="shared" ca="1" si="26"/>
        <v>4000088.4175284486</v>
      </c>
      <c r="L56" s="139">
        <f t="shared" ca="1" si="26"/>
        <v>4163618.327571461</v>
      </c>
      <c r="M56" s="387">
        <f t="shared" ca="1" si="26"/>
        <v>4249396.538373664</v>
      </c>
      <c r="N56" s="139">
        <f t="shared" ca="1" si="26"/>
        <v>4334459.6444686605</v>
      </c>
      <c r="O56" s="139">
        <f t="shared" ca="1" si="26"/>
        <v>4421151.0926178591</v>
      </c>
      <c r="P56" s="387">
        <f t="shared" ca="1" si="26"/>
        <v>4509574.1821280112</v>
      </c>
    </row>
    <row r="57" spans="2:17" x14ac:dyDescent="0.25">
      <c r="B57" s="343"/>
      <c r="C57" s="245"/>
      <c r="D57" s="34"/>
      <c r="E57" s="34"/>
      <c r="F57" s="433"/>
      <c r="G57" s="216"/>
      <c r="H57" s="139"/>
      <c r="I57" s="387"/>
      <c r="J57" s="216"/>
      <c r="K57" s="139"/>
      <c r="L57" s="139"/>
      <c r="M57" s="387"/>
      <c r="N57" s="139"/>
      <c r="O57" s="139"/>
      <c r="P57" s="387"/>
    </row>
    <row r="58" spans="2:17" x14ac:dyDescent="0.25">
      <c r="B58" s="416" t="s">
        <v>414</v>
      </c>
      <c r="C58" s="245"/>
      <c r="D58" s="34"/>
      <c r="E58" s="34"/>
      <c r="F58" s="433">
        <f t="shared" ref="F58:P58" si="27">IF(F28=$G$17,$C$33*F48,0)</f>
        <v>0</v>
      </c>
      <c r="G58" s="216">
        <f t="shared" si="27"/>
        <v>0</v>
      </c>
      <c r="H58" s="139">
        <f t="shared" si="27"/>
        <v>0</v>
      </c>
      <c r="I58" s="387">
        <f t="shared" si="27"/>
        <v>0</v>
      </c>
      <c r="J58" s="216">
        <f t="shared" si="27"/>
        <v>0</v>
      </c>
      <c r="K58" s="139">
        <f t="shared" si="27"/>
        <v>0</v>
      </c>
      <c r="L58" s="139">
        <f t="shared" si="27"/>
        <v>0</v>
      </c>
      <c r="M58" s="387">
        <f t="shared" si="27"/>
        <v>0</v>
      </c>
      <c r="N58" s="139">
        <f t="shared" si="27"/>
        <v>0</v>
      </c>
      <c r="O58" s="139">
        <f t="shared" si="27"/>
        <v>0</v>
      </c>
      <c r="P58" s="387">
        <f t="shared" ca="1" si="27"/>
        <v>11430276.199128877</v>
      </c>
    </row>
    <row r="59" spans="2:17" x14ac:dyDescent="0.25">
      <c r="B59" s="322" t="s">
        <v>351</v>
      </c>
      <c r="C59" s="220"/>
      <c r="D59" s="34"/>
      <c r="E59" s="34"/>
      <c r="F59" s="434">
        <f t="shared" ref="F59:P59" si="28">IF(F28=$G$17,$C$37*F49,0)</f>
        <v>0</v>
      </c>
      <c r="G59" s="214">
        <f t="shared" si="28"/>
        <v>0</v>
      </c>
      <c r="H59" s="239">
        <f t="shared" si="28"/>
        <v>0</v>
      </c>
      <c r="I59" s="138">
        <f t="shared" si="28"/>
        <v>0</v>
      </c>
      <c r="J59" s="214">
        <f t="shared" si="28"/>
        <v>0</v>
      </c>
      <c r="K59" s="239">
        <f t="shared" si="28"/>
        <v>0</v>
      </c>
      <c r="L59" s="239">
        <f t="shared" si="28"/>
        <v>0</v>
      </c>
      <c r="M59" s="138">
        <f t="shared" si="28"/>
        <v>0</v>
      </c>
      <c r="N59" s="239">
        <f t="shared" si="28"/>
        <v>0</v>
      </c>
      <c r="O59" s="239">
        <f t="shared" si="28"/>
        <v>0</v>
      </c>
      <c r="P59" s="138">
        <f t="shared" ca="1" si="28"/>
        <v>3618102.2139641205</v>
      </c>
    </row>
    <row r="60" spans="2:17" x14ac:dyDescent="0.25">
      <c r="B60" s="322" t="s">
        <v>413</v>
      </c>
      <c r="C60" s="220"/>
      <c r="D60" s="34"/>
      <c r="E60" s="34"/>
      <c r="F60" s="434">
        <f>IF(F43=100%,$C$41*F50,0)</f>
        <v>0</v>
      </c>
      <c r="G60" s="214">
        <f t="shared" ref="G60:O60" si="29">IF(G43=100%,$C$41*G50,0)</f>
        <v>0</v>
      </c>
      <c r="H60" s="239">
        <f t="shared" si="29"/>
        <v>0</v>
      </c>
      <c r="I60" s="138">
        <f t="shared" si="29"/>
        <v>0</v>
      </c>
      <c r="J60" s="214">
        <f t="shared" si="29"/>
        <v>0</v>
      </c>
      <c r="K60" s="239">
        <f t="shared" si="29"/>
        <v>0</v>
      </c>
      <c r="L60" s="239">
        <f t="shared" si="29"/>
        <v>0</v>
      </c>
      <c r="M60" s="138">
        <f t="shared" si="29"/>
        <v>0</v>
      </c>
      <c r="N60" s="239">
        <f t="shared" si="29"/>
        <v>0</v>
      </c>
      <c r="O60" s="239">
        <f t="shared" ca="1" si="29"/>
        <v>15688204.678199412</v>
      </c>
      <c r="P60" s="138">
        <f ca="1">IF(P43=100%,$C$41*P50,0)</f>
        <v>16001968.771763399</v>
      </c>
    </row>
    <row r="61" spans="2:17" x14ac:dyDescent="0.25">
      <c r="B61" s="347" t="s">
        <v>41</v>
      </c>
      <c r="C61" s="163">
        <f>G18</f>
        <v>0.02</v>
      </c>
      <c r="D61" s="3"/>
      <c r="E61" s="3"/>
      <c r="F61" s="435">
        <f>SUM(F58:F60)*-$C$61</f>
        <v>0</v>
      </c>
      <c r="G61" s="448">
        <f t="shared" ref="G61:O61" si="30">SUM(G58:G60)*-$C$61</f>
        <v>0</v>
      </c>
      <c r="H61" s="143">
        <f t="shared" si="30"/>
        <v>0</v>
      </c>
      <c r="I61" s="299">
        <f t="shared" si="30"/>
        <v>0</v>
      </c>
      <c r="J61" s="448">
        <f t="shared" si="30"/>
        <v>0</v>
      </c>
      <c r="K61" s="143">
        <f t="shared" si="30"/>
        <v>0</v>
      </c>
      <c r="L61" s="143">
        <f t="shared" si="30"/>
        <v>0</v>
      </c>
      <c r="M61" s="299">
        <f t="shared" si="30"/>
        <v>0</v>
      </c>
      <c r="N61" s="143">
        <f t="shared" si="30"/>
        <v>0</v>
      </c>
      <c r="O61" s="143">
        <f t="shared" ca="1" si="30"/>
        <v>-313764.09356398828</v>
      </c>
      <c r="P61" s="299">
        <f ca="1">SUM(P58:P60)*-$C$61</f>
        <v>-621006.94369712798</v>
      </c>
    </row>
    <row r="62" spans="2:17" x14ac:dyDescent="0.25">
      <c r="B62" s="322" t="s">
        <v>268</v>
      </c>
      <c r="C62" s="417"/>
      <c r="D62" s="34"/>
      <c r="E62" s="34"/>
      <c r="F62" s="434">
        <f>SUM(F58:F61)</f>
        <v>0</v>
      </c>
      <c r="G62" s="214">
        <f t="shared" ref="G62:O62" si="31">SUM(G58:G61)</f>
        <v>0</v>
      </c>
      <c r="H62" s="239">
        <f t="shared" si="31"/>
        <v>0</v>
      </c>
      <c r="I62" s="138">
        <f t="shared" si="31"/>
        <v>0</v>
      </c>
      <c r="J62" s="214">
        <f t="shared" si="31"/>
        <v>0</v>
      </c>
      <c r="K62" s="239">
        <f t="shared" si="31"/>
        <v>0</v>
      </c>
      <c r="L62" s="239">
        <f t="shared" si="31"/>
        <v>0</v>
      </c>
      <c r="M62" s="138">
        <f t="shared" si="31"/>
        <v>0</v>
      </c>
      <c r="N62" s="239">
        <f t="shared" si="31"/>
        <v>0</v>
      </c>
      <c r="O62" s="239">
        <f t="shared" ca="1" si="31"/>
        <v>15374440.584635423</v>
      </c>
      <c r="P62" s="138">
        <f ca="1">SUM(P58:P61)</f>
        <v>30429340.241159268</v>
      </c>
    </row>
    <row r="63" spans="2:17" x14ac:dyDescent="0.25">
      <c r="B63" s="104"/>
      <c r="C63" s="220"/>
      <c r="D63" s="34"/>
      <c r="E63" s="34"/>
      <c r="F63" s="436"/>
      <c r="G63" s="104"/>
      <c r="H63" s="34"/>
      <c r="I63" s="372"/>
      <c r="J63" s="104"/>
      <c r="K63" s="34"/>
      <c r="L63" s="34"/>
      <c r="M63" s="372"/>
      <c r="N63" s="34"/>
      <c r="O63" s="34"/>
      <c r="P63" s="372"/>
    </row>
    <row r="64" spans="2:17" x14ac:dyDescent="0.25">
      <c r="B64" s="323" t="s">
        <v>103</v>
      </c>
      <c r="C64" s="418" t="s">
        <v>169</v>
      </c>
      <c r="D64" s="34"/>
      <c r="E64" s="34"/>
      <c r="F64" s="436"/>
      <c r="G64" s="104"/>
      <c r="H64" s="34"/>
      <c r="I64" s="372"/>
      <c r="J64" s="104"/>
      <c r="K64" s="34"/>
      <c r="L64" s="34"/>
      <c r="M64" s="372"/>
      <c r="N64" s="34"/>
      <c r="O64" s="34"/>
      <c r="P64" s="372"/>
    </row>
    <row r="65" spans="2:16" x14ac:dyDescent="0.25">
      <c r="B65" s="322" t="s">
        <v>30</v>
      </c>
      <c r="C65" s="247">
        <f>Costs!F40</f>
        <v>440</v>
      </c>
      <c r="D65" s="34"/>
      <c r="E65" s="34"/>
      <c r="F65" s="433">
        <f t="shared" ref="F65" si="32">SUM(F33,F37,F41)*$C$65</f>
        <v>0</v>
      </c>
      <c r="G65" s="216">
        <f t="shared" ref="G65:P65" ca="1" si="33">SUM(G33,G37,G41)*$C$65</f>
        <v>0</v>
      </c>
      <c r="H65" s="139">
        <f t="shared" ca="1" si="33"/>
        <v>13448160</v>
      </c>
      <c r="I65" s="387">
        <f t="shared" ca="1" si="33"/>
        <v>13448160</v>
      </c>
      <c r="J65" s="216">
        <f t="shared" ca="1" si="33"/>
        <v>15845500</v>
      </c>
      <c r="K65" s="139">
        <f t="shared" ca="1" si="33"/>
        <v>15845500</v>
      </c>
      <c r="L65" s="139">
        <f t="shared" ca="1" si="33"/>
        <v>0</v>
      </c>
      <c r="M65" s="387">
        <f t="shared" ca="1" si="33"/>
        <v>0</v>
      </c>
      <c r="N65" s="139">
        <f t="shared" ca="1" si="33"/>
        <v>33603506.199999996</v>
      </c>
      <c r="O65" s="139">
        <f t="shared" ca="1" si="33"/>
        <v>33603506.199999996</v>
      </c>
      <c r="P65" s="387">
        <f t="shared" ca="1" si="33"/>
        <v>0</v>
      </c>
    </row>
    <row r="66" spans="2:16" x14ac:dyDescent="0.25">
      <c r="B66" s="347" t="s">
        <v>36</v>
      </c>
      <c r="C66" s="607">
        <f>Costs!F57</f>
        <v>88.000000000000014</v>
      </c>
      <c r="D66" s="3"/>
      <c r="E66" s="3"/>
      <c r="F66" s="526">
        <f t="shared" ref="F66" si="34">SUM(F41,F37,F33)*$C$66</f>
        <v>0</v>
      </c>
      <c r="G66" s="527">
        <f t="shared" ref="G66:P66" ca="1" si="35">SUM(G41,G37,G33)*$C$66</f>
        <v>0</v>
      </c>
      <c r="H66" s="131">
        <f t="shared" ca="1" si="35"/>
        <v>2689632.0000000005</v>
      </c>
      <c r="I66" s="528">
        <f t="shared" ca="1" si="35"/>
        <v>2689632.0000000005</v>
      </c>
      <c r="J66" s="527">
        <f t="shared" ca="1" si="35"/>
        <v>3169100.0000000005</v>
      </c>
      <c r="K66" s="131">
        <f t="shared" ca="1" si="35"/>
        <v>3169100.0000000005</v>
      </c>
      <c r="L66" s="131">
        <f t="shared" ca="1" si="35"/>
        <v>0</v>
      </c>
      <c r="M66" s="528">
        <f t="shared" ca="1" si="35"/>
        <v>0</v>
      </c>
      <c r="N66" s="131">
        <f t="shared" ca="1" si="35"/>
        <v>6720701.2400000012</v>
      </c>
      <c r="O66" s="131">
        <f t="shared" ca="1" si="35"/>
        <v>6720701.2400000012</v>
      </c>
      <c r="P66" s="528">
        <f t="shared" ca="1" si="35"/>
        <v>0</v>
      </c>
    </row>
    <row r="67" spans="2:16" x14ac:dyDescent="0.25">
      <c r="B67" s="323" t="s">
        <v>104</v>
      </c>
      <c r="C67" s="34"/>
      <c r="D67" s="34"/>
      <c r="E67" s="34"/>
      <c r="F67" s="434">
        <f t="shared" ref="F67:P67" si="36">SUM(F65:F66)</f>
        <v>0</v>
      </c>
      <c r="G67" s="214">
        <f t="shared" ca="1" si="36"/>
        <v>0</v>
      </c>
      <c r="H67" s="239">
        <f t="shared" ca="1" si="36"/>
        <v>16137792</v>
      </c>
      <c r="I67" s="138">
        <f t="shared" ca="1" si="36"/>
        <v>16137792</v>
      </c>
      <c r="J67" s="214">
        <f t="shared" ca="1" si="36"/>
        <v>19014600</v>
      </c>
      <c r="K67" s="239">
        <f t="shared" ca="1" si="36"/>
        <v>19014600</v>
      </c>
      <c r="L67" s="239">
        <f t="shared" ca="1" si="36"/>
        <v>0</v>
      </c>
      <c r="M67" s="138">
        <f t="shared" ca="1" si="36"/>
        <v>0</v>
      </c>
      <c r="N67" s="239">
        <f t="shared" ca="1" si="36"/>
        <v>40324207.439999998</v>
      </c>
      <c r="O67" s="239">
        <f t="shared" ca="1" si="36"/>
        <v>40324207.439999998</v>
      </c>
      <c r="P67" s="138">
        <f t="shared" ca="1" si="36"/>
        <v>0</v>
      </c>
    </row>
    <row r="68" spans="2:16" x14ac:dyDescent="0.25">
      <c r="B68" s="104"/>
      <c r="C68" s="220"/>
      <c r="D68" s="220"/>
      <c r="E68" s="220"/>
      <c r="F68" s="433"/>
      <c r="G68" s="216"/>
      <c r="H68" s="139"/>
      <c r="I68" s="387"/>
      <c r="J68" s="216"/>
      <c r="K68" s="139"/>
      <c r="L68" s="139"/>
      <c r="M68" s="387"/>
      <c r="N68" s="139"/>
      <c r="O68" s="139"/>
      <c r="P68" s="387"/>
    </row>
    <row r="69" spans="2:16" x14ac:dyDescent="0.25">
      <c r="B69" s="48" t="s">
        <v>202</v>
      </c>
      <c r="C69" s="79"/>
      <c r="D69" s="79"/>
      <c r="E69" s="79"/>
      <c r="F69" s="437">
        <f t="shared" ref="F69:P69" si="37">F56+F62-F67</f>
        <v>0</v>
      </c>
      <c r="G69" s="449">
        <f t="shared" ca="1" si="37"/>
        <v>0</v>
      </c>
      <c r="H69" s="129">
        <f t="shared" ca="1" si="37"/>
        <v>-16137792</v>
      </c>
      <c r="I69" s="164">
        <f t="shared" ca="1" si="37"/>
        <v>-15002575.354079999</v>
      </c>
      <c r="J69" s="449">
        <f t="shared" ca="1" si="37"/>
        <v>-17822622.521784</v>
      </c>
      <c r="K69" s="129">
        <f t="shared" ca="1" si="37"/>
        <v>-15014511.582471551</v>
      </c>
      <c r="L69" s="129">
        <f t="shared" ca="1" si="37"/>
        <v>4163618.327571461</v>
      </c>
      <c r="M69" s="164">
        <f t="shared" ca="1" si="37"/>
        <v>4249396.538373664</v>
      </c>
      <c r="N69" s="129">
        <f t="shared" ca="1" si="37"/>
        <v>-35989747.79553134</v>
      </c>
      <c r="O69" s="129">
        <f t="shared" ca="1" si="37"/>
        <v>-20528615.762746714</v>
      </c>
      <c r="P69" s="164">
        <f t="shared" ca="1" si="37"/>
        <v>34938914.42328728</v>
      </c>
    </row>
    <row r="70" spans="2:16" x14ac:dyDescent="0.25">
      <c r="C70" s="5"/>
      <c r="D70" s="5"/>
      <c r="E70" s="121"/>
    </row>
    <row r="71" spans="2:16" x14ac:dyDescent="0.25">
      <c r="B71" s="50" t="s">
        <v>130</v>
      </c>
      <c r="C71" s="135">
        <f ca="1">SUM(F69:P69)</f>
        <v>-77143935.7273812</v>
      </c>
      <c r="D71" s="5"/>
      <c r="E71" s="121"/>
    </row>
    <row r="72" spans="2:16" x14ac:dyDescent="0.25">
      <c r="B72" s="104" t="s">
        <v>228</v>
      </c>
      <c r="C72" s="138">
        <f ca="1">SUM(F67:P67)</f>
        <v>150953198.88</v>
      </c>
      <c r="D72" s="121"/>
      <c r="E72" s="121"/>
    </row>
    <row r="73" spans="2:16" x14ac:dyDescent="0.25">
      <c r="B73" s="104" t="s">
        <v>202</v>
      </c>
      <c r="C73" s="136" t="s">
        <v>276</v>
      </c>
      <c r="D73" s="5"/>
      <c r="E73" s="121"/>
    </row>
    <row r="74" spans="2:16" x14ac:dyDescent="0.25">
      <c r="B74" s="51" t="s">
        <v>201</v>
      </c>
      <c r="C74" s="137">
        <f ca="1">C71/C72</f>
        <v>-0.51104538558806323</v>
      </c>
      <c r="D74" s="5"/>
      <c r="E74" s="121"/>
    </row>
    <row r="75" spans="2:16" x14ac:dyDescent="0.25">
      <c r="C75" s="5"/>
      <c r="D75" s="5"/>
      <c r="E75" s="121"/>
    </row>
  </sheetData>
  <mergeCells count="2">
    <mergeCell ref="F26:P26"/>
    <mergeCell ref="B5:E25"/>
  </mergeCells>
  <conditionalFormatting sqref="A26:Q31 A40:Q40 A37:A39 A41:A43 Q41:Q43 A32:B36 Q32:Q39 L14:M14 I17:J24 D34:P36 A44:Q72 A74:Q97 A73 C73:Q73">
    <cfRule type="cellIs" dxfId="121" priority="39" operator="lessThan">
      <formula>0</formula>
    </cfRule>
  </conditionalFormatting>
  <conditionalFormatting sqref="G59:P62">
    <cfRule type="cellIs" dxfId="120" priority="38" operator="lessThan">
      <formula>0</formula>
    </cfRule>
  </conditionalFormatting>
  <conditionalFormatting sqref="G67:P67">
    <cfRule type="cellIs" dxfId="119" priority="31" operator="lessThan">
      <formula>0</formula>
    </cfRule>
  </conditionalFormatting>
  <conditionalFormatting sqref="B71:C72 B74:C74 C73">
    <cfRule type="cellIs" dxfId="118" priority="30" operator="lessThan">
      <formula>0</formula>
    </cfRule>
  </conditionalFormatting>
  <conditionalFormatting sqref="B71:C72 B74:C74 C73">
    <cfRule type="cellIs" dxfId="117" priority="29" operator="lessThan">
      <formula>0</formula>
    </cfRule>
  </conditionalFormatting>
  <conditionalFormatting sqref="B2">
    <cfRule type="cellIs" dxfId="116" priority="25" operator="lessThan">
      <formula>0</formula>
    </cfRule>
  </conditionalFormatting>
  <conditionalFormatting sqref="E32:P33">
    <cfRule type="cellIs" dxfId="115" priority="23" operator="lessThan">
      <formula>0</formula>
    </cfRule>
  </conditionalFormatting>
  <conditionalFormatting sqref="D32">
    <cfRule type="cellIs" dxfId="114" priority="22" operator="lessThan">
      <formula>0</formula>
    </cfRule>
  </conditionalFormatting>
  <conditionalFormatting sqref="C32">
    <cfRule type="cellIs" dxfId="113" priority="21" operator="lessThan">
      <formula>0</formula>
    </cfRule>
  </conditionalFormatting>
  <conditionalFormatting sqref="D33">
    <cfRule type="cellIs" dxfId="112" priority="20" operator="lessThan">
      <formula>0</formula>
    </cfRule>
  </conditionalFormatting>
  <conditionalFormatting sqref="B37:B39 D38:P39">
    <cfRule type="cellIs" dxfId="111" priority="19" operator="lessThan">
      <formula>0</formula>
    </cfRule>
  </conditionalFormatting>
  <conditionalFormatting sqref="E37:P37">
    <cfRule type="cellIs" dxfId="110" priority="18" operator="lessThan">
      <formula>0</formula>
    </cfRule>
  </conditionalFormatting>
  <conditionalFormatting sqref="D37">
    <cfRule type="cellIs" dxfId="109" priority="17" operator="lessThan">
      <formula>0</formula>
    </cfRule>
  </conditionalFormatting>
  <conditionalFormatting sqref="B41:B43 D42:P42 D43:K43">
    <cfRule type="cellIs" dxfId="108" priority="16" operator="lessThan">
      <formula>0</formula>
    </cfRule>
  </conditionalFormatting>
  <conditionalFormatting sqref="E41:P41">
    <cfRule type="cellIs" dxfId="107" priority="15" operator="lessThan">
      <formula>0</formula>
    </cfRule>
  </conditionalFormatting>
  <conditionalFormatting sqref="D41">
    <cfRule type="cellIs" dxfId="106" priority="14" operator="lessThan">
      <formula>0</formula>
    </cfRule>
  </conditionalFormatting>
  <conditionalFormatting sqref="N43:P43">
    <cfRule type="cellIs" dxfId="105" priority="10" operator="lessThan">
      <formula>0</formula>
    </cfRule>
  </conditionalFormatting>
  <conditionalFormatting sqref="L43:M43">
    <cfRule type="cellIs" dxfId="104" priority="11" operator="lessThan">
      <formula>0</formula>
    </cfRule>
  </conditionalFormatting>
  <conditionalFormatting sqref="I16">
    <cfRule type="cellIs" dxfId="103" priority="9" operator="lessThan">
      <formula>0</formula>
    </cfRule>
  </conditionalFormatting>
  <conditionalFormatting sqref="L6:M13">
    <cfRule type="cellIs" dxfId="102" priority="8" operator="lessThan">
      <formula>0</formula>
    </cfRule>
  </conditionalFormatting>
  <conditionalFormatting sqref="L5">
    <cfRule type="cellIs" dxfId="101" priority="7" operator="lessThan">
      <formula>0</formula>
    </cfRule>
  </conditionalFormatting>
  <conditionalFormatting sqref="L16">
    <cfRule type="cellIs" dxfId="100" priority="5" operator="lessThan">
      <formula>0</formula>
    </cfRule>
  </conditionalFormatting>
  <conditionalFormatting sqref="L17:M24">
    <cfRule type="cellIs" dxfId="99" priority="6" operator="lessThan">
      <formula>0</formula>
    </cfRule>
  </conditionalFormatting>
  <conditionalFormatting sqref="B73">
    <cfRule type="cellIs" dxfId="98" priority="2" operator="lessThan">
      <formula>0</formula>
    </cfRule>
  </conditionalFormatting>
  <conditionalFormatting sqref="B3">
    <cfRule type="cellIs" dxfId="97" priority="1" operator="lessThan">
      <formula>0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F0"/>
  </sheetPr>
  <dimension ref="B1:R105"/>
  <sheetViews>
    <sheetView showGridLines="0" zoomScale="85" zoomScaleNormal="85" workbookViewId="0">
      <pane xSplit="5" topLeftCell="F1" activePane="topRight" state="frozen"/>
      <selection activeCell="J7" sqref="J7"/>
      <selection pane="topRight" activeCell="H19" sqref="H19"/>
    </sheetView>
  </sheetViews>
  <sheetFormatPr defaultRowHeight="15" x14ac:dyDescent="0.25"/>
  <cols>
    <col min="2" max="2" width="49.42578125" customWidth="1"/>
    <col min="3" max="3" width="13.7109375" customWidth="1"/>
    <col min="4" max="4" width="9.7109375" bestFit="1" customWidth="1"/>
    <col min="6" max="6" width="18.42578125" customWidth="1"/>
    <col min="7" max="8" width="17.7109375" customWidth="1"/>
    <col min="9" max="9" width="19.42578125" customWidth="1"/>
    <col min="10" max="16" width="17.7109375" customWidth="1"/>
    <col min="18" max="18" width="12.7109375" customWidth="1"/>
  </cols>
  <sheetData>
    <row r="1" spans="2:16" x14ac:dyDescent="0.25">
      <c r="C1" s="75"/>
      <c r="D1" s="121"/>
      <c r="E1" s="121"/>
    </row>
    <row r="2" spans="2:16" ht="18.75" x14ac:dyDescent="0.3">
      <c r="B2" s="8" t="s">
        <v>237</v>
      </c>
      <c r="C2" s="75"/>
      <c r="D2" s="121"/>
      <c r="E2" s="121"/>
    </row>
    <row r="3" spans="2:16" x14ac:dyDescent="0.25">
      <c r="B3" t="s">
        <v>611</v>
      </c>
      <c r="C3" s="75"/>
      <c r="D3" s="121"/>
      <c r="E3" s="121"/>
    </row>
    <row r="4" spans="2:16" x14ac:dyDescent="0.25">
      <c r="C4" s="75"/>
      <c r="D4" s="121"/>
      <c r="E4" s="121"/>
    </row>
    <row r="5" spans="2:16" x14ac:dyDescent="0.25">
      <c r="B5" s="855" t="s">
        <v>112</v>
      </c>
      <c r="C5" s="855"/>
      <c r="D5" s="855"/>
      <c r="E5" s="855"/>
      <c r="F5" s="45" t="s">
        <v>107</v>
      </c>
      <c r="G5" s="44"/>
      <c r="H5" s="44"/>
      <c r="I5" s="45" t="s">
        <v>110</v>
      </c>
      <c r="J5" s="71"/>
      <c r="K5" s="44"/>
      <c r="L5" s="45"/>
      <c r="M5" s="44"/>
      <c r="N5" s="44"/>
      <c r="O5" s="44"/>
      <c r="P5" s="44"/>
    </row>
    <row r="6" spans="2:16" x14ac:dyDescent="0.25">
      <c r="B6" s="855"/>
      <c r="C6" s="855"/>
      <c r="D6" s="855"/>
      <c r="E6" s="855"/>
      <c r="F6" s="44" t="s">
        <v>108</v>
      </c>
      <c r="G6" s="57">
        <f ca="1">Costs!G17</f>
        <v>85268.58</v>
      </c>
      <c r="H6" s="44"/>
      <c r="I6" s="44" t="s">
        <v>238</v>
      </c>
      <c r="J6" s="73">
        <v>120</v>
      </c>
      <c r="K6" s="44" t="s">
        <v>239</v>
      </c>
      <c r="L6" s="44"/>
      <c r="M6" s="47"/>
      <c r="N6" s="44"/>
      <c r="O6" s="44"/>
      <c r="P6" s="44"/>
    </row>
    <row r="7" spans="2:16" x14ac:dyDescent="0.25">
      <c r="B7" s="855"/>
      <c r="C7" s="855"/>
      <c r="D7" s="855"/>
      <c r="E7" s="855"/>
      <c r="F7" s="44" t="s">
        <v>137</v>
      </c>
      <c r="G7" s="160">
        <f ca="1">G6</f>
        <v>85268.58</v>
      </c>
      <c r="H7" s="159"/>
      <c r="I7" s="44" t="s">
        <v>240</v>
      </c>
      <c r="J7" s="72">
        <f>J6*12</f>
        <v>1440</v>
      </c>
      <c r="K7" s="44" t="s">
        <v>239</v>
      </c>
      <c r="L7" s="44"/>
      <c r="M7" s="85"/>
      <c r="N7" s="44"/>
      <c r="O7" s="44"/>
      <c r="P7" s="44"/>
    </row>
    <row r="8" spans="2:16" x14ac:dyDescent="0.25">
      <c r="B8" s="855"/>
      <c r="C8" s="855"/>
      <c r="D8" s="855"/>
      <c r="E8" s="855"/>
      <c r="F8" s="44" t="s">
        <v>138</v>
      </c>
      <c r="G8" s="160">
        <f>Parcels!G12+Parcels!G13+Parcels!G14</f>
        <v>9236</v>
      </c>
      <c r="H8" s="44"/>
      <c r="I8" s="44"/>
      <c r="J8" s="73"/>
      <c r="K8" s="44"/>
      <c r="L8" s="44"/>
      <c r="M8" s="47"/>
      <c r="N8" s="44"/>
      <c r="O8" s="44"/>
      <c r="P8" s="44"/>
    </row>
    <row r="9" spans="2:16" x14ac:dyDescent="0.25">
      <c r="B9" s="855"/>
      <c r="C9" s="855"/>
      <c r="D9" s="855"/>
      <c r="E9" s="855"/>
      <c r="F9" s="44" t="s">
        <v>241</v>
      </c>
      <c r="G9" s="94">
        <v>330</v>
      </c>
      <c r="H9" s="44"/>
      <c r="I9" s="45" t="s">
        <v>124</v>
      </c>
      <c r="J9" s="44"/>
      <c r="K9" s="44"/>
      <c r="L9" s="44"/>
      <c r="M9" s="52"/>
      <c r="N9" s="44"/>
      <c r="O9" s="44"/>
      <c r="P9" s="44"/>
    </row>
    <row r="10" spans="2:16" x14ac:dyDescent="0.25">
      <c r="B10" s="855"/>
      <c r="C10" s="855"/>
      <c r="D10" s="855"/>
      <c r="E10" s="855"/>
      <c r="F10" s="44"/>
      <c r="G10" s="94"/>
      <c r="H10" s="44"/>
      <c r="I10" s="44" t="s">
        <v>249</v>
      </c>
      <c r="J10" s="86">
        <f>J11/12</f>
        <v>41.666666666666664</v>
      </c>
      <c r="K10" s="44" t="s">
        <v>239</v>
      </c>
      <c r="L10" s="44"/>
      <c r="M10" s="120"/>
      <c r="N10" s="44"/>
      <c r="O10" s="44"/>
      <c r="P10" s="44"/>
    </row>
    <row r="11" spans="2:16" x14ac:dyDescent="0.25">
      <c r="B11" s="855"/>
      <c r="C11" s="855"/>
      <c r="D11" s="855"/>
      <c r="E11" s="855"/>
      <c r="F11" s="45" t="s">
        <v>111</v>
      </c>
      <c r="G11" s="44"/>
      <c r="H11" s="44"/>
      <c r="I11" s="44" t="s">
        <v>248</v>
      </c>
      <c r="J11" s="86">
        <v>500</v>
      </c>
      <c r="K11" s="44" t="s">
        <v>239</v>
      </c>
      <c r="L11" s="44"/>
      <c r="M11" s="120"/>
      <c r="N11" s="44"/>
      <c r="O11" s="44"/>
      <c r="P11" s="44"/>
    </row>
    <row r="12" spans="2:16" x14ac:dyDescent="0.25">
      <c r="B12" s="855"/>
      <c r="C12" s="855"/>
      <c r="D12" s="855"/>
      <c r="E12" s="855"/>
      <c r="F12" s="44" t="s">
        <v>113</v>
      </c>
      <c r="G12" s="47">
        <v>0.03</v>
      </c>
      <c r="H12" s="44"/>
      <c r="I12" s="44" t="s">
        <v>125</v>
      </c>
      <c r="J12" s="47">
        <v>0.02</v>
      </c>
      <c r="K12" s="44"/>
      <c r="L12" s="44"/>
      <c r="M12" s="44"/>
      <c r="N12" s="44"/>
      <c r="O12" s="44"/>
      <c r="P12" s="44"/>
    </row>
    <row r="13" spans="2:16" x14ac:dyDescent="0.25">
      <c r="B13" s="855"/>
      <c r="C13" s="855"/>
      <c r="D13" s="855"/>
      <c r="E13" s="855"/>
      <c r="F13" s="44" t="s">
        <v>46</v>
      </c>
      <c r="G13" s="47">
        <v>0.03</v>
      </c>
      <c r="H13" s="44"/>
      <c r="I13" s="44"/>
      <c r="J13" s="44"/>
      <c r="K13" s="44"/>
      <c r="L13" s="45"/>
      <c r="M13" s="44"/>
      <c r="N13" s="44"/>
      <c r="O13" s="44"/>
      <c r="P13" s="44"/>
    </row>
    <row r="14" spans="2:16" x14ac:dyDescent="0.25">
      <c r="B14" s="855"/>
      <c r="C14" s="855"/>
      <c r="D14" s="855"/>
      <c r="E14" s="855"/>
      <c r="F14" s="44" t="s">
        <v>170</v>
      </c>
      <c r="G14" s="47">
        <v>0.02</v>
      </c>
      <c r="H14" s="44"/>
      <c r="I14" s="44"/>
      <c r="J14" s="47"/>
      <c r="K14" s="44"/>
      <c r="L14" s="44"/>
      <c r="M14" s="119"/>
      <c r="N14" s="44"/>
      <c r="O14" s="44"/>
      <c r="P14" s="44"/>
    </row>
    <row r="15" spans="2:16" x14ac:dyDescent="0.25">
      <c r="B15" s="855"/>
      <c r="C15" s="855"/>
      <c r="D15" s="855"/>
      <c r="E15" s="855"/>
      <c r="F15" s="44" t="s">
        <v>43</v>
      </c>
      <c r="G15" s="94">
        <v>10</v>
      </c>
      <c r="H15" s="44" t="s">
        <v>44</v>
      </c>
      <c r="I15" s="44"/>
      <c r="J15" s="44"/>
      <c r="K15" s="44"/>
      <c r="L15" s="44"/>
      <c r="M15" s="119"/>
      <c r="N15" s="44"/>
      <c r="O15" s="44"/>
      <c r="P15" s="44"/>
    </row>
    <row r="16" spans="2:16" x14ac:dyDescent="0.25">
      <c r="B16" s="855"/>
      <c r="C16" s="855"/>
      <c r="D16" s="855"/>
      <c r="E16" s="855"/>
      <c r="F16" s="44" t="s">
        <v>114</v>
      </c>
      <c r="G16" s="47">
        <v>0.5</v>
      </c>
      <c r="H16" s="52"/>
      <c r="I16" s="44"/>
      <c r="J16" s="44"/>
      <c r="K16" s="44"/>
      <c r="L16" s="44"/>
      <c r="M16" s="44"/>
      <c r="N16" s="44"/>
      <c r="O16" s="44"/>
      <c r="P16" s="44"/>
    </row>
    <row r="17" spans="2:16" x14ac:dyDescent="0.25">
      <c r="B17" s="855"/>
      <c r="C17" s="855"/>
      <c r="D17" s="855"/>
      <c r="E17" s="855"/>
      <c r="F17" s="44" t="s">
        <v>115</v>
      </c>
      <c r="G17" s="47">
        <v>0.75</v>
      </c>
      <c r="H17" s="52"/>
      <c r="I17" s="44"/>
      <c r="J17" s="44"/>
      <c r="K17" s="44"/>
      <c r="L17" s="44"/>
      <c r="M17" s="44"/>
      <c r="N17" s="44"/>
      <c r="O17" s="44"/>
      <c r="P17" s="44"/>
    </row>
    <row r="18" spans="2:16" x14ac:dyDescent="0.25">
      <c r="B18" s="855"/>
      <c r="C18" s="855"/>
      <c r="D18" s="855"/>
      <c r="E18" s="855"/>
      <c r="F18" s="44" t="s">
        <v>116</v>
      </c>
      <c r="G18" s="47">
        <v>0.85</v>
      </c>
      <c r="H18" s="44"/>
      <c r="I18" s="44"/>
      <c r="J18" s="44"/>
      <c r="K18" s="44"/>
      <c r="L18" s="44"/>
      <c r="M18" s="44"/>
      <c r="N18" s="44"/>
      <c r="O18" s="44"/>
      <c r="P18" s="44"/>
    </row>
    <row r="19" spans="2:16" x14ac:dyDescent="0.25">
      <c r="B19" s="855"/>
      <c r="C19" s="855"/>
      <c r="D19" s="855"/>
      <c r="E19" s="855"/>
      <c r="F19" s="44" t="s">
        <v>118</v>
      </c>
      <c r="G19" s="837">
        <v>0.08</v>
      </c>
      <c r="H19" s="44"/>
      <c r="I19" s="44"/>
      <c r="J19" s="44"/>
      <c r="K19" s="44"/>
      <c r="L19" s="44"/>
      <c r="M19" s="44"/>
      <c r="N19" s="44"/>
      <c r="O19" s="44"/>
      <c r="P19" s="44"/>
    </row>
    <row r="20" spans="2:16" x14ac:dyDescent="0.25">
      <c r="B20" s="855"/>
      <c r="C20" s="855"/>
      <c r="D20" s="855"/>
      <c r="E20" s="855"/>
      <c r="F20" s="44" t="s">
        <v>41</v>
      </c>
      <c r="G20" s="70">
        <v>0.02</v>
      </c>
      <c r="H20" s="44"/>
      <c r="I20" s="44"/>
      <c r="J20" s="44"/>
      <c r="K20" s="44"/>
      <c r="L20" s="44"/>
      <c r="M20" s="44"/>
      <c r="N20" s="44"/>
      <c r="O20" s="44"/>
      <c r="P20" s="44"/>
    </row>
    <row r="21" spans="2:16" x14ac:dyDescent="0.25">
      <c r="B21" s="855"/>
      <c r="C21" s="855"/>
      <c r="D21" s="855"/>
      <c r="E21" s="855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</row>
    <row r="22" spans="2:16" x14ac:dyDescent="0.25">
      <c r="C22" s="75"/>
      <c r="D22" s="121"/>
      <c r="E22" s="121"/>
    </row>
    <row r="23" spans="2:16" x14ac:dyDescent="0.25">
      <c r="C23" s="75"/>
      <c r="D23" s="121"/>
      <c r="E23" s="121"/>
      <c r="F23" s="853" t="s">
        <v>49</v>
      </c>
      <c r="G23" s="853"/>
      <c r="H23" s="853"/>
      <c r="I23" s="853"/>
      <c r="J23" s="853"/>
      <c r="K23" s="853"/>
      <c r="L23" s="853"/>
      <c r="M23" s="853"/>
      <c r="N23" s="853"/>
      <c r="O23" s="853"/>
      <c r="P23" s="853"/>
    </row>
    <row r="24" spans="2:16" x14ac:dyDescent="0.25">
      <c r="C24" s="75"/>
      <c r="D24" s="121"/>
      <c r="E24" s="121"/>
      <c r="F24" s="272" t="s">
        <v>105</v>
      </c>
      <c r="G24" s="389" t="s">
        <v>28</v>
      </c>
      <c r="H24" s="311" t="s">
        <v>28</v>
      </c>
      <c r="I24" s="312" t="s">
        <v>28</v>
      </c>
      <c r="J24" s="390" t="s">
        <v>47</v>
      </c>
      <c r="K24" s="313" t="s">
        <v>47</v>
      </c>
      <c r="L24" s="313" t="s">
        <v>47</v>
      </c>
      <c r="M24" s="314" t="s">
        <v>47</v>
      </c>
      <c r="N24" s="315" t="s">
        <v>48</v>
      </c>
      <c r="O24" s="315" t="s">
        <v>48</v>
      </c>
      <c r="P24" s="316" t="s">
        <v>48</v>
      </c>
    </row>
    <row r="25" spans="2:16" x14ac:dyDescent="0.25">
      <c r="B25" s="317"/>
      <c r="C25" s="378"/>
      <c r="D25" s="318"/>
      <c r="E25" s="318"/>
      <c r="F25" s="271">
        <v>0</v>
      </c>
      <c r="G25" s="438">
        <f>F25+1</f>
        <v>1</v>
      </c>
      <c r="H25" s="320">
        <f t="shared" ref="H25:P26" si="0">G25+1</f>
        <v>2</v>
      </c>
      <c r="I25" s="274">
        <f t="shared" si="0"/>
        <v>3</v>
      </c>
      <c r="J25" s="438">
        <f t="shared" si="0"/>
        <v>4</v>
      </c>
      <c r="K25" s="320">
        <f t="shared" si="0"/>
        <v>5</v>
      </c>
      <c r="L25" s="320">
        <f t="shared" si="0"/>
        <v>6</v>
      </c>
      <c r="M25" s="274">
        <f t="shared" si="0"/>
        <v>7</v>
      </c>
      <c r="N25" s="320">
        <f t="shared" si="0"/>
        <v>8</v>
      </c>
      <c r="O25" s="320">
        <f t="shared" si="0"/>
        <v>9</v>
      </c>
      <c r="P25" s="274">
        <f t="shared" si="0"/>
        <v>10</v>
      </c>
    </row>
    <row r="26" spans="2:16" x14ac:dyDescent="0.25">
      <c r="B26" s="321"/>
      <c r="C26" s="379"/>
      <c r="D26" s="221"/>
      <c r="E26" s="221"/>
      <c r="F26" s="419" t="s">
        <v>177</v>
      </c>
      <c r="G26" s="208">
        <v>2022</v>
      </c>
      <c r="H26" s="225">
        <f t="shared" si="0"/>
        <v>2023</v>
      </c>
      <c r="I26" s="278">
        <f t="shared" si="0"/>
        <v>2024</v>
      </c>
      <c r="J26" s="208">
        <f t="shared" si="0"/>
        <v>2025</v>
      </c>
      <c r="K26" s="225">
        <f t="shared" si="0"/>
        <v>2026</v>
      </c>
      <c r="L26" s="225">
        <f t="shared" si="0"/>
        <v>2027</v>
      </c>
      <c r="M26" s="278">
        <f t="shared" si="0"/>
        <v>2028</v>
      </c>
      <c r="N26" s="225">
        <f t="shared" si="0"/>
        <v>2029</v>
      </c>
      <c r="O26" s="225">
        <f t="shared" si="0"/>
        <v>2030</v>
      </c>
      <c r="P26" s="278">
        <f t="shared" si="0"/>
        <v>2031</v>
      </c>
    </row>
    <row r="27" spans="2:16" x14ac:dyDescent="0.25">
      <c r="B27" s="323" t="s">
        <v>135</v>
      </c>
      <c r="C27" s="76"/>
      <c r="D27" s="76"/>
      <c r="E27" s="76"/>
      <c r="F27" s="421"/>
      <c r="G27" s="209"/>
      <c r="H27" s="226"/>
      <c r="I27" s="286"/>
      <c r="J27" s="209"/>
      <c r="K27" s="226"/>
      <c r="L27" s="226"/>
      <c r="M27" s="286"/>
      <c r="N27" s="226"/>
      <c r="O27" s="226"/>
      <c r="P27" s="286"/>
    </row>
    <row r="28" spans="2:16" x14ac:dyDescent="0.25">
      <c r="B28" s="323"/>
      <c r="C28" s="220" t="s">
        <v>58</v>
      </c>
      <c r="D28" s="125"/>
      <c r="E28" s="76"/>
      <c r="F28" s="426"/>
      <c r="G28" s="211"/>
      <c r="H28" s="233"/>
      <c r="I28" s="348"/>
      <c r="J28" s="211"/>
      <c r="K28" s="233"/>
      <c r="L28" s="233"/>
      <c r="M28" s="348"/>
      <c r="N28" s="233"/>
      <c r="O28" s="233"/>
      <c r="P28" s="348"/>
    </row>
    <row r="29" spans="2:16" x14ac:dyDescent="0.25">
      <c r="B29" s="324" t="s">
        <v>424</v>
      </c>
      <c r="C29" s="349">
        <f ca="1">SUM(F29:P29)</f>
        <v>35269.58</v>
      </c>
      <c r="D29" s="227"/>
      <c r="E29" s="350"/>
      <c r="F29" s="425">
        <f>'Development Schedule'!E51</f>
        <v>0</v>
      </c>
      <c r="G29" s="210">
        <f ca="1">'Development Schedule'!F51</f>
        <v>0</v>
      </c>
      <c r="H29" s="229">
        <f ca="1">'Development Schedule'!G51</f>
        <v>0</v>
      </c>
      <c r="I29" s="287">
        <f ca="1">'Development Schedule'!H51</f>
        <v>0</v>
      </c>
      <c r="J29" s="210">
        <f>'Development Schedule'!I51</f>
        <v>17634.79</v>
      </c>
      <c r="K29" s="229">
        <f>'Development Schedule'!J51</f>
        <v>17634.79</v>
      </c>
      <c r="L29" s="229">
        <f ca="1">'Development Schedule'!K51</f>
        <v>0</v>
      </c>
      <c r="M29" s="287">
        <f ca="1">'Development Schedule'!L51</f>
        <v>0</v>
      </c>
      <c r="N29" s="229">
        <f ca="1">'Development Schedule'!M51</f>
        <v>0</v>
      </c>
      <c r="O29" s="229">
        <f ca="1">'Development Schedule'!N51</f>
        <v>0</v>
      </c>
      <c r="P29" s="287">
        <f ca="1">'Development Schedule'!O51</f>
        <v>0</v>
      </c>
    </row>
    <row r="30" spans="2:16" x14ac:dyDescent="0.25">
      <c r="B30" s="322" t="s">
        <v>423</v>
      </c>
      <c r="C30" s="327"/>
      <c r="D30" s="76"/>
      <c r="E30" s="123"/>
      <c r="F30" s="426">
        <f>F29/$G$9+E30</f>
        <v>0</v>
      </c>
      <c r="G30" s="211">
        <f t="shared" ref="G30:P30" ca="1" si="1">G29/$G$9+F30</f>
        <v>0</v>
      </c>
      <c r="H30" s="233">
        <f t="shared" ca="1" si="1"/>
        <v>0</v>
      </c>
      <c r="I30" s="348">
        <f t="shared" ca="1" si="1"/>
        <v>0</v>
      </c>
      <c r="J30" s="211">
        <f t="shared" ca="1" si="1"/>
        <v>53.438757575757577</v>
      </c>
      <c r="K30" s="233">
        <f t="shared" ca="1" si="1"/>
        <v>106.87751515151515</v>
      </c>
      <c r="L30" s="233">
        <f t="shared" ca="1" si="1"/>
        <v>106.87751515151515</v>
      </c>
      <c r="M30" s="348">
        <f t="shared" ca="1" si="1"/>
        <v>106.87751515151515</v>
      </c>
      <c r="N30" s="233">
        <f t="shared" ca="1" si="1"/>
        <v>106.87751515151515</v>
      </c>
      <c r="O30" s="233">
        <f t="shared" ca="1" si="1"/>
        <v>106.87751515151515</v>
      </c>
      <c r="P30" s="348">
        <f t="shared" ca="1" si="1"/>
        <v>106.87751515151515</v>
      </c>
    </row>
    <row r="31" spans="2:16" x14ac:dyDescent="0.25">
      <c r="B31" s="450" t="s">
        <v>192</v>
      </c>
      <c r="C31" s="451"/>
      <c r="D31" s="400"/>
      <c r="E31" s="400"/>
      <c r="F31" s="453">
        <v>0</v>
      </c>
      <c r="G31" s="461">
        <v>0</v>
      </c>
      <c r="H31" s="332">
        <v>0</v>
      </c>
      <c r="I31" s="289">
        <v>0</v>
      </c>
      <c r="J31" s="461">
        <v>0</v>
      </c>
      <c r="K31" s="332">
        <v>0.5</v>
      </c>
      <c r="L31" s="332">
        <v>0.75</v>
      </c>
      <c r="M31" s="289">
        <v>0.85</v>
      </c>
      <c r="N31" s="332">
        <v>0.85</v>
      </c>
      <c r="O31" s="332">
        <f>N31</f>
        <v>0.85</v>
      </c>
      <c r="P31" s="289">
        <f>O31</f>
        <v>0.85</v>
      </c>
    </row>
    <row r="32" spans="2:16" x14ac:dyDescent="0.25">
      <c r="B32" s="330" t="s">
        <v>499</v>
      </c>
      <c r="C32" s="451"/>
      <c r="D32" s="400"/>
      <c r="E32" s="400"/>
      <c r="F32" s="453"/>
      <c r="G32" s="512">
        <f ca="1">G30-F30</f>
        <v>0</v>
      </c>
      <c r="H32" s="512">
        <f t="shared" ref="H32:P32" ca="1" si="2">H30-G30</f>
        <v>0</v>
      </c>
      <c r="I32" s="513">
        <f t="shared" ca="1" si="2"/>
        <v>0</v>
      </c>
      <c r="J32" s="512">
        <f t="shared" ca="1" si="2"/>
        <v>53.438757575757577</v>
      </c>
      <c r="K32" s="512">
        <f t="shared" ca="1" si="2"/>
        <v>53.438757575757577</v>
      </c>
      <c r="L32" s="512">
        <f t="shared" ca="1" si="2"/>
        <v>0</v>
      </c>
      <c r="M32" s="513">
        <f t="shared" ca="1" si="2"/>
        <v>0</v>
      </c>
      <c r="N32" s="512">
        <f t="shared" ca="1" si="2"/>
        <v>0</v>
      </c>
      <c r="O32" s="512">
        <f t="shared" ca="1" si="2"/>
        <v>0</v>
      </c>
      <c r="P32" s="513">
        <f t="shared" ca="1" si="2"/>
        <v>0</v>
      </c>
    </row>
    <row r="33" spans="2:16" x14ac:dyDescent="0.25">
      <c r="B33" s="322"/>
      <c r="C33" s="327"/>
      <c r="D33" s="76"/>
      <c r="E33" s="123"/>
      <c r="F33" s="426"/>
      <c r="G33" s="211"/>
      <c r="H33" s="233"/>
      <c r="I33" s="348"/>
      <c r="J33" s="211"/>
      <c r="K33" s="233"/>
      <c r="L33" s="233"/>
      <c r="M33" s="348"/>
      <c r="N33" s="233"/>
      <c r="O33" s="233"/>
      <c r="P33" s="348"/>
    </row>
    <row r="34" spans="2:16" x14ac:dyDescent="0.25">
      <c r="B34" s="324" t="s">
        <v>340</v>
      </c>
      <c r="C34" s="349">
        <f ca="1">SUM(F34:P34)</f>
        <v>9003</v>
      </c>
      <c r="D34" s="227"/>
      <c r="E34" s="350"/>
      <c r="F34" s="425">
        <f>'Development Schedule'!E36</f>
        <v>0</v>
      </c>
      <c r="G34" s="210">
        <f ca="1">'Development Schedule'!F36</f>
        <v>0</v>
      </c>
      <c r="H34" s="229">
        <f ca="1">'Development Schedule'!G36</f>
        <v>0</v>
      </c>
      <c r="I34" s="287">
        <f ca="1">'Development Schedule'!H36</f>
        <v>0</v>
      </c>
      <c r="J34" s="210">
        <f>'Development Schedule'!I36</f>
        <v>9003</v>
      </c>
      <c r="K34" s="229">
        <f ca="1">'Development Schedule'!J36</f>
        <v>0</v>
      </c>
      <c r="L34" s="229">
        <f ca="1">'Development Schedule'!K36</f>
        <v>0</v>
      </c>
      <c r="M34" s="287">
        <f ca="1">'Development Schedule'!L36</f>
        <v>0</v>
      </c>
      <c r="N34" s="229">
        <f ca="1">'Development Schedule'!M36</f>
        <v>0</v>
      </c>
      <c r="O34" s="229">
        <f ca="1">'Development Schedule'!N36</f>
        <v>0</v>
      </c>
      <c r="P34" s="287">
        <f ca="1">'Development Schedule'!O36</f>
        <v>0</v>
      </c>
    </row>
    <row r="35" spans="2:16" x14ac:dyDescent="0.25">
      <c r="B35" s="322" t="s">
        <v>422</v>
      </c>
      <c r="C35" s="327"/>
      <c r="D35" s="76"/>
      <c r="E35" s="123"/>
      <c r="F35" s="426">
        <f>F34/$G$9+E35</f>
        <v>0</v>
      </c>
      <c r="G35" s="211">
        <f t="shared" ref="G35" ca="1" si="3">G34/$G$9+F35</f>
        <v>0</v>
      </c>
      <c r="H35" s="233">
        <f t="shared" ref="H35" ca="1" si="4">H34/$G$9+G35</f>
        <v>0</v>
      </c>
      <c r="I35" s="348">
        <f t="shared" ref="I35" ca="1" si="5">I34/$G$9+H35</f>
        <v>0</v>
      </c>
      <c r="J35" s="211">
        <f t="shared" ref="J35" ca="1" si="6">J34/$G$9+I35</f>
        <v>27.281818181818181</v>
      </c>
      <c r="K35" s="233">
        <f t="shared" ref="K35" ca="1" si="7">K34/$G$9+J35</f>
        <v>27.281818181818181</v>
      </c>
      <c r="L35" s="233">
        <f t="shared" ref="L35" ca="1" si="8">L34/$G$9+K35</f>
        <v>27.281818181818181</v>
      </c>
      <c r="M35" s="348">
        <f t="shared" ref="M35" ca="1" si="9">M34/$G$9+L35</f>
        <v>27.281818181818181</v>
      </c>
      <c r="N35" s="233">
        <f t="shared" ref="N35" ca="1" si="10">N34/$G$9+M35</f>
        <v>27.281818181818181</v>
      </c>
      <c r="O35" s="233">
        <f t="shared" ref="O35" ca="1" si="11">O34/$G$9+N35</f>
        <v>27.281818181818181</v>
      </c>
      <c r="P35" s="348">
        <f t="shared" ref="P35" ca="1" si="12">P34/$G$9+O35</f>
        <v>27.281818181818181</v>
      </c>
    </row>
    <row r="36" spans="2:16" x14ac:dyDescent="0.25">
      <c r="B36" s="450" t="s">
        <v>192</v>
      </c>
      <c r="C36" s="451"/>
      <c r="D36" s="400"/>
      <c r="E36" s="400"/>
      <c r="F36" s="453">
        <v>0</v>
      </c>
      <c r="G36" s="461">
        <v>0</v>
      </c>
      <c r="H36" s="332">
        <v>0</v>
      </c>
      <c r="I36" s="289">
        <v>0</v>
      </c>
      <c r="J36" s="461">
        <v>0.5</v>
      </c>
      <c r="K36" s="332">
        <v>0.75</v>
      </c>
      <c r="L36" s="332">
        <v>0.85</v>
      </c>
      <c r="M36" s="289">
        <f t="shared" ref="M36:P36" si="13">L36</f>
        <v>0.85</v>
      </c>
      <c r="N36" s="332">
        <f t="shared" si="13"/>
        <v>0.85</v>
      </c>
      <c r="O36" s="332">
        <f t="shared" si="13"/>
        <v>0.85</v>
      </c>
      <c r="P36" s="289">
        <f t="shared" si="13"/>
        <v>0.85</v>
      </c>
    </row>
    <row r="37" spans="2:16" x14ac:dyDescent="0.25">
      <c r="B37" s="330" t="s">
        <v>500</v>
      </c>
      <c r="C37" s="451"/>
      <c r="D37" s="400"/>
      <c r="E37" s="400"/>
      <c r="F37" s="453"/>
      <c r="G37" s="512">
        <f ca="1">G35-F35</f>
        <v>0</v>
      </c>
      <c r="H37" s="512">
        <f t="shared" ref="H37:P37" ca="1" si="14">H35-G35</f>
        <v>0</v>
      </c>
      <c r="I37" s="513">
        <f t="shared" ca="1" si="14"/>
        <v>0</v>
      </c>
      <c r="J37" s="512">
        <f t="shared" ca="1" si="14"/>
        <v>27.281818181818181</v>
      </c>
      <c r="K37" s="512">
        <f t="shared" ca="1" si="14"/>
        <v>0</v>
      </c>
      <c r="L37" s="512">
        <f t="shared" ca="1" si="14"/>
        <v>0</v>
      </c>
      <c r="M37" s="513">
        <f t="shared" ca="1" si="14"/>
        <v>0</v>
      </c>
      <c r="N37" s="512">
        <f t="shared" ca="1" si="14"/>
        <v>0</v>
      </c>
      <c r="O37" s="512">
        <f t="shared" ca="1" si="14"/>
        <v>0</v>
      </c>
      <c r="P37" s="513">
        <f t="shared" ca="1" si="14"/>
        <v>0</v>
      </c>
    </row>
    <row r="38" spans="2:16" x14ac:dyDescent="0.25">
      <c r="B38" s="322"/>
      <c r="C38" s="327"/>
      <c r="D38" s="76"/>
      <c r="E38" s="123"/>
      <c r="F38" s="426"/>
      <c r="G38" s="211"/>
      <c r="H38" s="233"/>
      <c r="I38" s="348"/>
      <c r="J38" s="211"/>
      <c r="K38" s="233"/>
      <c r="L38" s="233"/>
      <c r="M38" s="348"/>
      <c r="N38" s="233"/>
      <c r="O38" s="233"/>
      <c r="P38" s="348"/>
    </row>
    <row r="39" spans="2:16" x14ac:dyDescent="0.25">
      <c r="B39" s="324" t="s">
        <v>425</v>
      </c>
      <c r="C39" s="349">
        <f ca="1">SUM(F39:P39)</f>
        <v>6075</v>
      </c>
      <c r="D39" s="227"/>
      <c r="E39" s="350"/>
      <c r="F39" s="425">
        <f>'Development Schedule'!E66</f>
        <v>0</v>
      </c>
      <c r="G39" s="210">
        <f ca="1">'Development Schedule'!F66</f>
        <v>0</v>
      </c>
      <c r="H39" s="229">
        <f ca="1">'Development Schedule'!G66</f>
        <v>0</v>
      </c>
      <c r="I39" s="287">
        <f ca="1">'Development Schedule'!H66</f>
        <v>0</v>
      </c>
      <c r="J39" s="210">
        <f ca="1">'Development Schedule'!I66</f>
        <v>0</v>
      </c>
      <c r="K39" s="229">
        <f>'Development Schedule'!J66</f>
        <v>6075</v>
      </c>
      <c r="L39" s="229">
        <f>'Development Schedule'!K66</f>
        <v>0</v>
      </c>
      <c r="M39" s="287">
        <f ca="1">'Development Schedule'!L66</f>
        <v>0</v>
      </c>
      <c r="N39" s="229">
        <f ca="1">'Development Schedule'!M66</f>
        <v>0</v>
      </c>
      <c r="O39" s="229">
        <f ca="1">'Development Schedule'!N66</f>
        <v>0</v>
      </c>
      <c r="P39" s="287">
        <f ca="1">'Development Schedule'!O66</f>
        <v>0</v>
      </c>
    </row>
    <row r="40" spans="2:16" x14ac:dyDescent="0.25">
      <c r="B40" s="322" t="s">
        <v>422</v>
      </c>
      <c r="C40" s="327"/>
      <c r="D40" s="76"/>
      <c r="E40" s="123"/>
      <c r="F40" s="426">
        <f>F39/$G$9+E40</f>
        <v>0</v>
      </c>
      <c r="G40" s="211">
        <f t="shared" ref="G40" ca="1" si="15">G39/$G$9+F40</f>
        <v>0</v>
      </c>
      <c r="H40" s="233">
        <f t="shared" ref="H40" ca="1" si="16">H39/$G$9+G40</f>
        <v>0</v>
      </c>
      <c r="I40" s="348">
        <f t="shared" ref="I40" ca="1" si="17">I39/$G$9+H40</f>
        <v>0</v>
      </c>
      <c r="J40" s="211">
        <f t="shared" ref="J40" ca="1" si="18">J39/$G$9+I40</f>
        <v>0</v>
      </c>
      <c r="K40" s="233">
        <f t="shared" ref="K40" ca="1" si="19">K39/$G$9+J40</f>
        <v>18.40909090909091</v>
      </c>
      <c r="L40" s="233">
        <f t="shared" ref="L40" ca="1" si="20">L39/$G$9+K40</f>
        <v>18.40909090909091</v>
      </c>
      <c r="M40" s="348">
        <f t="shared" ref="M40" ca="1" si="21">M39/$G$9+L40</f>
        <v>18.40909090909091</v>
      </c>
      <c r="N40" s="233">
        <f t="shared" ref="N40" ca="1" si="22">N39/$G$9+M40</f>
        <v>18.40909090909091</v>
      </c>
      <c r="O40" s="233">
        <f t="shared" ref="O40" ca="1" si="23">O39/$G$9+N40</f>
        <v>18.40909090909091</v>
      </c>
      <c r="P40" s="348">
        <f t="shared" ref="P40" ca="1" si="24">P39/$G$9+O40</f>
        <v>18.40909090909091</v>
      </c>
    </row>
    <row r="41" spans="2:16" x14ac:dyDescent="0.25">
      <c r="B41" s="450" t="s">
        <v>192</v>
      </c>
      <c r="C41" s="451"/>
      <c r="D41" s="400"/>
      <c r="E41" s="400"/>
      <c r="F41" s="453">
        <v>0</v>
      </c>
      <c r="G41" s="461">
        <v>0</v>
      </c>
      <c r="H41" s="332">
        <v>0</v>
      </c>
      <c r="I41" s="289">
        <v>0</v>
      </c>
      <c r="J41" s="461">
        <v>0.75</v>
      </c>
      <c r="K41" s="332">
        <v>0.85</v>
      </c>
      <c r="L41" s="332">
        <f>K41</f>
        <v>0.85</v>
      </c>
      <c r="M41" s="289">
        <f t="shared" ref="M41:P41" si="25">L41</f>
        <v>0.85</v>
      </c>
      <c r="N41" s="332">
        <f t="shared" si="25"/>
        <v>0.85</v>
      </c>
      <c r="O41" s="332">
        <f t="shared" si="25"/>
        <v>0.85</v>
      </c>
      <c r="P41" s="289">
        <f t="shared" si="25"/>
        <v>0.85</v>
      </c>
    </row>
    <row r="42" spans="2:16" x14ac:dyDescent="0.25">
      <c r="B42" s="330" t="s">
        <v>500</v>
      </c>
      <c r="C42" s="451"/>
      <c r="D42" s="400"/>
      <c r="E42" s="400"/>
      <c r="F42" s="453"/>
      <c r="G42" s="512">
        <f ca="1">G40-F40</f>
        <v>0</v>
      </c>
      <c r="H42" s="512">
        <f t="shared" ref="H42:P42" ca="1" si="26">H40-G40</f>
        <v>0</v>
      </c>
      <c r="I42" s="513">
        <f t="shared" ca="1" si="26"/>
        <v>0</v>
      </c>
      <c r="J42" s="512">
        <f t="shared" ca="1" si="26"/>
        <v>0</v>
      </c>
      <c r="K42" s="512">
        <f t="shared" ca="1" si="26"/>
        <v>18.40909090909091</v>
      </c>
      <c r="L42" s="512">
        <f t="shared" ca="1" si="26"/>
        <v>0</v>
      </c>
      <c r="M42" s="513">
        <f t="shared" ca="1" si="26"/>
        <v>0</v>
      </c>
      <c r="N42" s="512">
        <f t="shared" ca="1" si="26"/>
        <v>0</v>
      </c>
      <c r="O42" s="512">
        <f t="shared" ca="1" si="26"/>
        <v>0</v>
      </c>
      <c r="P42" s="513">
        <f t="shared" ca="1" si="26"/>
        <v>0</v>
      </c>
    </row>
    <row r="43" spans="2:16" x14ac:dyDescent="0.25">
      <c r="B43" s="322"/>
      <c r="C43" s="327"/>
      <c r="D43" s="76"/>
      <c r="E43" s="123"/>
      <c r="F43" s="426"/>
      <c r="G43" s="211"/>
      <c r="H43" s="233"/>
      <c r="I43" s="348"/>
      <c r="J43" s="211"/>
      <c r="K43" s="233"/>
      <c r="L43" s="233"/>
      <c r="M43" s="348"/>
      <c r="N43" s="233"/>
      <c r="O43" s="233"/>
      <c r="P43" s="348"/>
    </row>
    <row r="44" spans="2:16" x14ac:dyDescent="0.25">
      <c r="B44" s="324" t="s">
        <v>322</v>
      </c>
      <c r="C44" s="349">
        <f ca="1">SUM(F44:P44)</f>
        <v>19696</v>
      </c>
      <c r="D44" s="227"/>
      <c r="E44" s="350"/>
      <c r="F44" s="425">
        <f>'Development Schedule'!E96</f>
        <v>0</v>
      </c>
      <c r="G44" s="210">
        <f>'Development Schedule'!F96</f>
        <v>9848</v>
      </c>
      <c r="H44" s="229">
        <f>'Development Schedule'!G96</f>
        <v>9848</v>
      </c>
      <c r="I44" s="287">
        <f ca="1">'Development Schedule'!H96</f>
        <v>0</v>
      </c>
      <c r="J44" s="210">
        <f ca="1">'Development Schedule'!I96</f>
        <v>0</v>
      </c>
      <c r="K44" s="229">
        <f ca="1">'Development Schedule'!J96</f>
        <v>0</v>
      </c>
      <c r="L44" s="229">
        <f ca="1">'Development Schedule'!K96</f>
        <v>0</v>
      </c>
      <c r="M44" s="287">
        <f ca="1">'Development Schedule'!L96</f>
        <v>0</v>
      </c>
      <c r="N44" s="229">
        <f ca="1">'Development Schedule'!M96</f>
        <v>0</v>
      </c>
      <c r="O44" s="229">
        <f ca="1">'Development Schedule'!N96</f>
        <v>0</v>
      </c>
      <c r="P44" s="287">
        <f ca="1">'Development Schedule'!O96</f>
        <v>0</v>
      </c>
    </row>
    <row r="45" spans="2:16" x14ac:dyDescent="0.25">
      <c r="B45" s="322" t="s">
        <v>423</v>
      </c>
      <c r="C45" s="327"/>
      <c r="D45" s="76"/>
      <c r="E45" s="123"/>
      <c r="F45" s="426">
        <f>F44/$G$9+E45</f>
        <v>0</v>
      </c>
      <c r="G45" s="211">
        <f t="shared" ref="G45" si="27">G44/$G$9+F45</f>
        <v>29.842424242424244</v>
      </c>
      <c r="H45" s="233">
        <f t="shared" ref="H45" si="28">H44/$G$9+G45</f>
        <v>59.684848484848487</v>
      </c>
      <c r="I45" s="348">
        <f t="shared" ref="I45" ca="1" si="29">I44/$G$9+H45</f>
        <v>59.684848484848487</v>
      </c>
      <c r="J45" s="211">
        <f t="shared" ref="J45" ca="1" si="30">J44/$G$9+I45</f>
        <v>59.684848484848487</v>
      </c>
      <c r="K45" s="233">
        <f t="shared" ref="K45" ca="1" si="31">K44/$G$9+J45</f>
        <v>59.684848484848487</v>
      </c>
      <c r="L45" s="233">
        <f t="shared" ref="L45" ca="1" si="32">L44/$G$9+K45</f>
        <v>59.684848484848487</v>
      </c>
      <c r="M45" s="348">
        <f t="shared" ref="M45" ca="1" si="33">M44/$G$9+L45</f>
        <v>59.684848484848487</v>
      </c>
      <c r="N45" s="233">
        <f t="shared" ref="N45" ca="1" si="34">N44/$G$9+M45</f>
        <v>59.684848484848487</v>
      </c>
      <c r="O45" s="233">
        <f t="shared" ref="O45" ca="1" si="35">O44/$G$9+N45</f>
        <v>59.684848484848487</v>
      </c>
      <c r="P45" s="348">
        <f t="shared" ref="P45" ca="1" si="36">P44/$G$9+O45</f>
        <v>59.684848484848487</v>
      </c>
    </row>
    <row r="46" spans="2:16" x14ac:dyDescent="0.25">
      <c r="B46" s="450" t="s">
        <v>192</v>
      </c>
      <c r="C46" s="451"/>
      <c r="D46" s="400"/>
      <c r="E46" s="400"/>
      <c r="F46" s="453">
        <v>0</v>
      </c>
      <c r="G46" s="461">
        <v>0.5</v>
      </c>
      <c r="H46" s="332">
        <v>0.75</v>
      </c>
      <c r="I46" s="289">
        <v>0.85</v>
      </c>
      <c r="J46" s="461">
        <f>I46</f>
        <v>0.85</v>
      </c>
      <c r="K46" s="332">
        <f t="shared" ref="K46:P46" si="37">J46</f>
        <v>0.85</v>
      </c>
      <c r="L46" s="332">
        <f t="shared" si="37"/>
        <v>0.85</v>
      </c>
      <c r="M46" s="289">
        <f t="shared" si="37"/>
        <v>0.85</v>
      </c>
      <c r="N46" s="332">
        <f t="shared" si="37"/>
        <v>0.85</v>
      </c>
      <c r="O46" s="332">
        <f t="shared" si="37"/>
        <v>0.85</v>
      </c>
      <c r="P46" s="289">
        <f t="shared" si="37"/>
        <v>0.85</v>
      </c>
    </row>
    <row r="47" spans="2:16" x14ac:dyDescent="0.25">
      <c r="B47" s="330" t="s">
        <v>499</v>
      </c>
      <c r="C47" s="451"/>
      <c r="D47" s="400"/>
      <c r="E47" s="400"/>
      <c r="F47" s="453"/>
      <c r="G47" s="512">
        <f>G45-F45</f>
        <v>29.842424242424244</v>
      </c>
      <c r="H47" s="512">
        <f t="shared" ref="H47:P47" si="38">H45-G45</f>
        <v>29.842424242424244</v>
      </c>
      <c r="I47" s="513">
        <f t="shared" ca="1" si="38"/>
        <v>0</v>
      </c>
      <c r="J47" s="512">
        <f t="shared" ca="1" si="38"/>
        <v>0</v>
      </c>
      <c r="K47" s="512">
        <f t="shared" ca="1" si="38"/>
        <v>0</v>
      </c>
      <c r="L47" s="512">
        <f t="shared" ca="1" si="38"/>
        <v>0</v>
      </c>
      <c r="M47" s="513">
        <f t="shared" ca="1" si="38"/>
        <v>0</v>
      </c>
      <c r="N47" s="512">
        <f t="shared" ca="1" si="38"/>
        <v>0</v>
      </c>
      <c r="O47" s="512">
        <f t="shared" ca="1" si="38"/>
        <v>0</v>
      </c>
      <c r="P47" s="513">
        <f t="shared" ca="1" si="38"/>
        <v>0</v>
      </c>
    </row>
    <row r="48" spans="2:16" x14ac:dyDescent="0.25">
      <c r="B48" s="450"/>
      <c r="C48" s="451"/>
      <c r="D48" s="400"/>
      <c r="E48" s="400"/>
      <c r="F48" s="453"/>
      <c r="G48" s="461"/>
      <c r="H48" s="332"/>
      <c r="I48" s="289"/>
      <c r="J48" s="461"/>
      <c r="K48" s="332"/>
      <c r="L48" s="332"/>
      <c r="M48" s="289"/>
      <c r="N48" s="332"/>
      <c r="O48" s="332"/>
      <c r="P48" s="289"/>
    </row>
    <row r="49" spans="2:17" x14ac:dyDescent="0.25">
      <c r="B49" s="324" t="s">
        <v>403</v>
      </c>
      <c r="C49" s="349">
        <f ca="1">SUM(F49:P49)</f>
        <v>14401</v>
      </c>
      <c r="D49" s="227"/>
      <c r="E49" s="350"/>
      <c r="F49" s="425">
        <f>'Development Schedule'!E156</f>
        <v>0</v>
      </c>
      <c r="G49" s="210">
        <f ca="1">'Development Schedule'!F156</f>
        <v>0</v>
      </c>
      <c r="H49" s="229">
        <f>'Development Schedule'!G156</f>
        <v>14401</v>
      </c>
      <c r="I49" s="287">
        <f ca="1">'Development Schedule'!H156</f>
        <v>0</v>
      </c>
      <c r="J49" s="210">
        <f ca="1">'Development Schedule'!I156</f>
        <v>0</v>
      </c>
      <c r="K49" s="229">
        <f ca="1">'Development Schedule'!J156</f>
        <v>0</v>
      </c>
      <c r="L49" s="229">
        <f ca="1">'Development Schedule'!K156</f>
        <v>0</v>
      </c>
      <c r="M49" s="287">
        <f ca="1">'Development Schedule'!L156</f>
        <v>0</v>
      </c>
      <c r="N49" s="229">
        <f ca="1">'Development Schedule'!M156</f>
        <v>0</v>
      </c>
      <c r="O49" s="229">
        <f ca="1">'Development Schedule'!N156</f>
        <v>0</v>
      </c>
      <c r="P49" s="287">
        <f ca="1">'Development Schedule'!O156</f>
        <v>0</v>
      </c>
    </row>
    <row r="50" spans="2:17" x14ac:dyDescent="0.25">
      <c r="B50" s="322" t="s">
        <v>422</v>
      </c>
      <c r="C50" s="327"/>
      <c r="D50" s="76"/>
      <c r="E50" s="123"/>
      <c r="F50" s="426">
        <f>F49/$G$9+E50</f>
        <v>0</v>
      </c>
      <c r="G50" s="211">
        <f t="shared" ref="G50" ca="1" si="39">G49/$G$9+F50</f>
        <v>0</v>
      </c>
      <c r="H50" s="233">
        <f t="shared" ref="H50" ca="1" si="40">H49/$G$9+G50</f>
        <v>43.639393939393941</v>
      </c>
      <c r="I50" s="348">
        <f t="shared" ref="I50" ca="1" si="41">I49/$G$9+H50</f>
        <v>43.639393939393941</v>
      </c>
      <c r="J50" s="211">
        <f t="shared" ref="J50" ca="1" si="42">J49/$G$9+I50</f>
        <v>43.639393939393941</v>
      </c>
      <c r="K50" s="233">
        <f t="shared" ref="K50" ca="1" si="43">K49/$G$9+J50</f>
        <v>43.639393939393941</v>
      </c>
      <c r="L50" s="233">
        <f t="shared" ref="L50" ca="1" si="44">L49/$G$9+K50</f>
        <v>43.639393939393941</v>
      </c>
      <c r="M50" s="348">
        <f t="shared" ref="M50" ca="1" si="45">M49/$G$9+L50</f>
        <v>43.639393939393941</v>
      </c>
      <c r="N50" s="233">
        <f t="shared" ref="N50" ca="1" si="46">N49/$G$9+M50</f>
        <v>43.639393939393941</v>
      </c>
      <c r="O50" s="233">
        <f t="shared" ref="O50" ca="1" si="47">O49/$G$9+N50</f>
        <v>43.639393939393941</v>
      </c>
      <c r="P50" s="348">
        <f t="shared" ref="P50" ca="1" si="48">P49/$G$9+O50</f>
        <v>43.639393939393941</v>
      </c>
    </row>
    <row r="51" spans="2:17" x14ac:dyDescent="0.25">
      <c r="B51" s="450" t="s">
        <v>192</v>
      </c>
      <c r="C51" s="451"/>
      <c r="D51" s="400"/>
      <c r="E51" s="400"/>
      <c r="F51" s="453">
        <v>0</v>
      </c>
      <c r="G51" s="461">
        <v>0.5</v>
      </c>
      <c r="H51" s="332">
        <v>0.75</v>
      </c>
      <c r="I51" s="289">
        <v>0.85</v>
      </c>
      <c r="J51" s="461">
        <f>I51</f>
        <v>0.85</v>
      </c>
      <c r="K51" s="332">
        <f>J51</f>
        <v>0.85</v>
      </c>
      <c r="L51" s="332">
        <f t="shared" ref="L51:P51" si="49">K51</f>
        <v>0.85</v>
      </c>
      <c r="M51" s="289">
        <f t="shared" si="49"/>
        <v>0.85</v>
      </c>
      <c r="N51" s="332">
        <f t="shared" si="49"/>
        <v>0.85</v>
      </c>
      <c r="O51" s="332">
        <f t="shared" si="49"/>
        <v>0.85</v>
      </c>
      <c r="P51" s="289">
        <f t="shared" si="49"/>
        <v>0.85</v>
      </c>
    </row>
    <row r="52" spans="2:17" x14ac:dyDescent="0.25">
      <c r="B52" s="330" t="s">
        <v>500</v>
      </c>
      <c r="C52" s="451"/>
      <c r="D52" s="400"/>
      <c r="E52" s="400"/>
      <c r="F52" s="453"/>
      <c r="G52" s="512">
        <f ca="1">G50-F50</f>
        <v>0</v>
      </c>
      <c r="H52" s="512">
        <f t="shared" ref="H52:P52" ca="1" si="50">H50-G50</f>
        <v>43.639393939393941</v>
      </c>
      <c r="I52" s="513">
        <f t="shared" ca="1" si="50"/>
        <v>0</v>
      </c>
      <c r="J52" s="512">
        <f t="shared" ca="1" si="50"/>
        <v>0</v>
      </c>
      <c r="K52" s="512">
        <f t="shared" ca="1" si="50"/>
        <v>0</v>
      </c>
      <c r="L52" s="512">
        <f t="shared" ca="1" si="50"/>
        <v>0</v>
      </c>
      <c r="M52" s="513">
        <f t="shared" ca="1" si="50"/>
        <v>0</v>
      </c>
      <c r="N52" s="512">
        <f t="shared" ca="1" si="50"/>
        <v>0</v>
      </c>
      <c r="O52" s="512">
        <f t="shared" ca="1" si="50"/>
        <v>0</v>
      </c>
      <c r="P52" s="513">
        <f t="shared" ca="1" si="50"/>
        <v>0</v>
      </c>
    </row>
    <row r="53" spans="2:17" x14ac:dyDescent="0.25">
      <c r="B53" s="450"/>
      <c r="C53" s="451"/>
      <c r="D53" s="400"/>
      <c r="E53" s="400"/>
      <c r="F53" s="453"/>
      <c r="G53" s="461"/>
      <c r="H53" s="332"/>
      <c r="I53" s="289"/>
      <c r="J53" s="461"/>
      <c r="K53" s="332"/>
      <c r="L53" s="332"/>
      <c r="M53" s="289"/>
      <c r="N53" s="332"/>
      <c r="O53" s="332"/>
      <c r="P53" s="289"/>
    </row>
    <row r="54" spans="2:17" x14ac:dyDescent="0.25">
      <c r="B54" s="324" t="s">
        <v>344</v>
      </c>
      <c r="C54" s="349">
        <f ca="1">SUM(F54:P54)</f>
        <v>50914</v>
      </c>
      <c r="D54" s="227"/>
      <c r="E54" s="350"/>
      <c r="F54" s="425">
        <f>'Development Schedule'!E201</f>
        <v>0</v>
      </c>
      <c r="G54" s="210">
        <f ca="1">'Development Schedule'!F201</f>
        <v>0</v>
      </c>
      <c r="H54" s="229">
        <f ca="1">'Development Schedule'!G201</f>
        <v>0</v>
      </c>
      <c r="I54" s="287">
        <f ca="1">'Development Schedule'!H201</f>
        <v>0</v>
      </c>
      <c r="J54" s="210">
        <f ca="1">'Development Schedule'!I201</f>
        <v>0</v>
      </c>
      <c r="K54" s="229">
        <f ca="1">'Development Schedule'!J201</f>
        <v>0</v>
      </c>
      <c r="L54" s="229">
        <f ca="1">'Development Schedule'!K201</f>
        <v>0</v>
      </c>
      <c r="M54" s="287">
        <f>'Development Schedule'!L201</f>
        <v>0</v>
      </c>
      <c r="N54" s="229">
        <f>'Development Schedule'!M201</f>
        <v>25457</v>
      </c>
      <c r="O54" s="229">
        <f>'Development Schedule'!N201</f>
        <v>25457</v>
      </c>
      <c r="P54" s="287">
        <f ca="1">'Development Schedule'!O201</f>
        <v>0</v>
      </c>
    </row>
    <row r="55" spans="2:17" x14ac:dyDescent="0.25">
      <c r="B55" s="322" t="s">
        <v>422</v>
      </c>
      <c r="C55" s="327"/>
      <c r="D55" s="76"/>
      <c r="E55" s="123"/>
      <c r="F55" s="426">
        <f>F54/$G$9+E55</f>
        <v>0</v>
      </c>
      <c r="G55" s="211">
        <f t="shared" ref="G55" ca="1" si="51">G54/$G$9+F55</f>
        <v>0</v>
      </c>
      <c r="H55" s="233">
        <f t="shared" ref="H55" ca="1" si="52">H54/$G$9+G55</f>
        <v>0</v>
      </c>
      <c r="I55" s="348">
        <f t="shared" ref="I55" ca="1" si="53">I54/$G$9+H55</f>
        <v>0</v>
      </c>
      <c r="J55" s="211">
        <f t="shared" ref="J55" ca="1" si="54">J54/$G$9+I55</f>
        <v>0</v>
      </c>
      <c r="K55" s="233">
        <f t="shared" ref="K55" ca="1" si="55">K54/$G$9+J55</f>
        <v>0</v>
      </c>
      <c r="L55" s="233">
        <f t="shared" ref="L55" ca="1" si="56">L54/$G$9+K55</f>
        <v>0</v>
      </c>
      <c r="M55" s="348">
        <f t="shared" ref="M55" ca="1" si="57">M54/$G$9+L55</f>
        <v>0</v>
      </c>
      <c r="N55" s="233">
        <f t="shared" ref="N55" ca="1" si="58">N54/$G$9+M55</f>
        <v>77.142424242424241</v>
      </c>
      <c r="O55" s="233">
        <f t="shared" ref="O55" ca="1" si="59">O54/$G$9+N55</f>
        <v>154.28484848484848</v>
      </c>
      <c r="P55" s="348">
        <f t="shared" ref="P55" ca="1" si="60">P54/$G$9+O55</f>
        <v>154.28484848484848</v>
      </c>
    </row>
    <row r="56" spans="2:17" x14ac:dyDescent="0.25">
      <c r="B56" s="450" t="s">
        <v>192</v>
      </c>
      <c r="C56" s="451"/>
      <c r="D56" s="400"/>
      <c r="E56" s="400"/>
      <c r="F56" s="453">
        <v>0</v>
      </c>
      <c r="G56" s="461">
        <v>0</v>
      </c>
      <c r="H56" s="332">
        <v>0</v>
      </c>
      <c r="I56" s="289">
        <v>0</v>
      </c>
      <c r="J56" s="461">
        <v>0</v>
      </c>
      <c r="K56" s="332">
        <v>0</v>
      </c>
      <c r="L56" s="332">
        <v>0</v>
      </c>
      <c r="M56" s="289">
        <v>0.5</v>
      </c>
      <c r="N56" s="332">
        <v>0.75</v>
      </c>
      <c r="O56" s="332">
        <v>0.85</v>
      </c>
      <c r="P56" s="289">
        <f>O56</f>
        <v>0.85</v>
      </c>
    </row>
    <row r="57" spans="2:17" x14ac:dyDescent="0.25">
      <c r="B57" s="330" t="s">
        <v>500</v>
      </c>
      <c r="C57" s="451"/>
      <c r="D57" s="400"/>
      <c r="E57" s="400"/>
      <c r="F57" s="453"/>
      <c r="G57" s="512">
        <f ca="1">G55-F55</f>
        <v>0</v>
      </c>
      <c r="H57" s="512">
        <f t="shared" ref="H57:P57" ca="1" si="61">H55-G55</f>
        <v>0</v>
      </c>
      <c r="I57" s="513">
        <f t="shared" ca="1" si="61"/>
        <v>0</v>
      </c>
      <c r="J57" s="512">
        <f t="shared" ca="1" si="61"/>
        <v>0</v>
      </c>
      <c r="K57" s="512">
        <f t="shared" ca="1" si="61"/>
        <v>0</v>
      </c>
      <c r="L57" s="512">
        <f t="shared" ca="1" si="61"/>
        <v>0</v>
      </c>
      <c r="M57" s="513">
        <f t="shared" ca="1" si="61"/>
        <v>0</v>
      </c>
      <c r="N57" s="512">
        <f t="shared" ca="1" si="61"/>
        <v>77.142424242424241</v>
      </c>
      <c r="O57" s="512">
        <f t="shared" ca="1" si="61"/>
        <v>77.142424242424241</v>
      </c>
      <c r="P57" s="513">
        <f t="shared" ca="1" si="61"/>
        <v>0</v>
      </c>
    </row>
    <row r="58" spans="2:17" x14ac:dyDescent="0.25">
      <c r="B58" s="450"/>
      <c r="C58" s="451"/>
      <c r="D58" s="400"/>
      <c r="E58" s="400"/>
      <c r="F58" s="453"/>
      <c r="G58" s="461"/>
      <c r="H58" s="332"/>
      <c r="I58" s="289"/>
      <c r="J58" s="461"/>
      <c r="K58" s="332"/>
      <c r="L58" s="332"/>
      <c r="M58" s="289"/>
      <c r="N58" s="332"/>
      <c r="O58" s="332"/>
      <c r="P58" s="289"/>
    </row>
    <row r="59" spans="2:17" x14ac:dyDescent="0.25">
      <c r="B59" s="324" t="s">
        <v>302</v>
      </c>
      <c r="C59" s="349">
        <f ca="1">SUM(F59:P59)</f>
        <v>18640</v>
      </c>
      <c r="D59" s="227"/>
      <c r="E59" s="350"/>
      <c r="F59" s="425">
        <f>'Development Schedule'!E216</f>
        <v>0</v>
      </c>
      <c r="G59" s="210">
        <f ca="1">'Development Schedule'!F216</f>
        <v>0</v>
      </c>
      <c r="H59" s="229">
        <f ca="1">'Development Schedule'!G216</f>
        <v>0</v>
      </c>
      <c r="I59" s="287">
        <f ca="1">'Development Schedule'!H216</f>
        <v>0</v>
      </c>
      <c r="J59" s="210">
        <f ca="1">'Development Schedule'!I216</f>
        <v>0</v>
      </c>
      <c r="K59" s="229">
        <f ca="1">'Development Schedule'!J216</f>
        <v>0</v>
      </c>
      <c r="L59" s="229">
        <f ca="1">'Development Schedule'!K216</f>
        <v>0</v>
      </c>
      <c r="M59" s="287">
        <f ca="1">'Development Schedule'!L216</f>
        <v>0</v>
      </c>
      <c r="N59" s="229">
        <f>'Development Schedule'!M216</f>
        <v>9320</v>
      </c>
      <c r="O59" s="229">
        <f>'Development Schedule'!N216</f>
        <v>9320</v>
      </c>
      <c r="P59" s="287">
        <f ca="1">'Development Schedule'!O216</f>
        <v>0</v>
      </c>
    </row>
    <row r="60" spans="2:17" x14ac:dyDescent="0.25">
      <c r="B60" s="322" t="s">
        <v>422</v>
      </c>
      <c r="C60" s="327"/>
      <c r="D60" s="76"/>
      <c r="E60" s="123"/>
      <c r="F60" s="426">
        <f>F59/$G$9+E60</f>
        <v>0</v>
      </c>
      <c r="G60" s="211">
        <f t="shared" ref="G60" ca="1" si="62">G59/$G$9+F60</f>
        <v>0</v>
      </c>
      <c r="H60" s="233">
        <f t="shared" ref="H60" ca="1" si="63">H59/$G$9+G60</f>
        <v>0</v>
      </c>
      <c r="I60" s="348">
        <f t="shared" ref="I60" ca="1" si="64">I59/$G$9+H60</f>
        <v>0</v>
      </c>
      <c r="J60" s="211">
        <f t="shared" ref="J60" ca="1" si="65">J59/$G$9+I60</f>
        <v>0</v>
      </c>
      <c r="K60" s="233">
        <f t="shared" ref="K60" ca="1" si="66">K59/$G$9+J60</f>
        <v>0</v>
      </c>
      <c r="L60" s="233">
        <f t="shared" ref="L60" ca="1" si="67">L59/$G$9+K60</f>
        <v>0</v>
      </c>
      <c r="M60" s="348">
        <f t="shared" ref="M60" ca="1" si="68">M59/$G$9+L60</f>
        <v>0</v>
      </c>
      <c r="N60" s="233">
        <f t="shared" ref="N60" ca="1" si="69">N59/$G$9+M60</f>
        <v>28.242424242424242</v>
      </c>
      <c r="O60" s="233">
        <f t="shared" ref="O60" ca="1" si="70">O59/$G$9+N60</f>
        <v>56.484848484848484</v>
      </c>
      <c r="P60" s="348">
        <f t="shared" ref="P60" ca="1" si="71">P59/$G$9+O60</f>
        <v>56.484848484848484</v>
      </c>
    </row>
    <row r="61" spans="2:17" x14ac:dyDescent="0.25">
      <c r="B61" s="450" t="s">
        <v>192</v>
      </c>
      <c r="C61" s="451"/>
      <c r="D61" s="400"/>
      <c r="E61" s="400"/>
      <c r="F61" s="453">
        <v>0</v>
      </c>
      <c r="G61" s="461">
        <v>0</v>
      </c>
      <c r="H61" s="332">
        <v>0</v>
      </c>
      <c r="I61" s="289">
        <v>0</v>
      </c>
      <c r="J61" s="461">
        <v>0</v>
      </c>
      <c r="K61" s="332">
        <v>0</v>
      </c>
      <c r="L61" s="332">
        <v>0</v>
      </c>
      <c r="M61" s="289">
        <v>0</v>
      </c>
      <c r="N61" s="332">
        <v>0</v>
      </c>
      <c r="O61" s="332">
        <v>0.75</v>
      </c>
      <c r="P61" s="289">
        <v>0.85</v>
      </c>
      <c r="Q61" s="150"/>
    </row>
    <row r="62" spans="2:17" x14ac:dyDescent="0.25">
      <c r="B62" s="330" t="s">
        <v>500</v>
      </c>
      <c r="C62" s="451"/>
      <c r="D62" s="400"/>
      <c r="E62" s="400"/>
      <c r="F62" s="453"/>
      <c r="G62" s="512">
        <f ca="1">G60-F60</f>
        <v>0</v>
      </c>
      <c r="H62" s="512">
        <f t="shared" ref="H62:P62" ca="1" si="72">H60-G60</f>
        <v>0</v>
      </c>
      <c r="I62" s="513">
        <f t="shared" ca="1" si="72"/>
        <v>0</v>
      </c>
      <c r="J62" s="512">
        <f t="shared" ca="1" si="72"/>
        <v>0</v>
      </c>
      <c r="K62" s="512">
        <f t="shared" ca="1" si="72"/>
        <v>0</v>
      </c>
      <c r="L62" s="512">
        <f t="shared" ca="1" si="72"/>
        <v>0</v>
      </c>
      <c r="M62" s="513">
        <f t="shared" ca="1" si="72"/>
        <v>0</v>
      </c>
      <c r="N62" s="512">
        <f t="shared" ca="1" si="72"/>
        <v>28.242424242424242</v>
      </c>
      <c r="O62" s="512">
        <f t="shared" ca="1" si="72"/>
        <v>28.242424242424242</v>
      </c>
      <c r="P62" s="513">
        <f t="shared" ca="1" si="72"/>
        <v>0</v>
      </c>
      <c r="Q62" s="150"/>
    </row>
    <row r="63" spans="2:17" x14ac:dyDescent="0.25">
      <c r="B63" s="450"/>
      <c r="C63" s="451"/>
      <c r="D63" s="400"/>
      <c r="E63" s="400"/>
      <c r="F63" s="453"/>
      <c r="G63" s="461"/>
      <c r="H63" s="332"/>
      <c r="I63" s="289"/>
      <c r="J63" s="461"/>
      <c r="K63" s="332"/>
      <c r="L63" s="332"/>
      <c r="M63" s="289"/>
      <c r="N63" s="332"/>
      <c r="O63" s="332"/>
      <c r="P63" s="289"/>
    </row>
    <row r="64" spans="2:17" x14ac:dyDescent="0.25">
      <c r="B64" s="324" t="s">
        <v>324</v>
      </c>
      <c r="C64" s="349">
        <f ca="1">SUM(F64:P64)</f>
        <v>30303</v>
      </c>
      <c r="D64" s="227"/>
      <c r="E64" s="350"/>
      <c r="F64" s="425">
        <f>'Development Schedule'!E276</f>
        <v>0</v>
      </c>
      <c r="G64" s="210">
        <f ca="1">'Development Schedule'!F276</f>
        <v>0</v>
      </c>
      <c r="H64" s="229">
        <f>'Development Schedule'!G276</f>
        <v>15151.5</v>
      </c>
      <c r="I64" s="287">
        <f>'Development Schedule'!H276</f>
        <v>15151.5</v>
      </c>
      <c r="J64" s="210">
        <f ca="1">'Development Schedule'!I276</f>
        <v>0</v>
      </c>
      <c r="K64" s="229">
        <f ca="1">'Development Schedule'!J276</f>
        <v>0</v>
      </c>
      <c r="L64" s="229">
        <f ca="1">'Development Schedule'!K276</f>
        <v>0</v>
      </c>
      <c r="M64" s="287">
        <f ca="1">'Development Schedule'!L276</f>
        <v>0</v>
      </c>
      <c r="N64" s="229">
        <f ca="1">'Development Schedule'!M276</f>
        <v>0</v>
      </c>
      <c r="O64" s="229">
        <f ca="1">'Development Schedule'!N276</f>
        <v>0</v>
      </c>
      <c r="P64" s="287">
        <f ca="1">'Development Schedule'!O276</f>
        <v>0</v>
      </c>
    </row>
    <row r="65" spans="2:16" x14ac:dyDescent="0.25">
      <c r="B65" s="322" t="s">
        <v>423</v>
      </c>
      <c r="C65" s="327"/>
      <c r="D65" s="76"/>
      <c r="E65" s="123"/>
      <c r="F65" s="426">
        <f t="shared" ref="F65:P65" si="73">F64/$G$9+E65</f>
        <v>0</v>
      </c>
      <c r="G65" s="211">
        <f t="shared" ca="1" si="73"/>
        <v>0</v>
      </c>
      <c r="H65" s="233">
        <f t="shared" ca="1" si="73"/>
        <v>45.913636363636364</v>
      </c>
      <c r="I65" s="348">
        <f t="shared" ca="1" si="73"/>
        <v>91.827272727272728</v>
      </c>
      <c r="J65" s="211">
        <f t="shared" ca="1" si="73"/>
        <v>91.827272727272728</v>
      </c>
      <c r="K65" s="233">
        <f t="shared" ca="1" si="73"/>
        <v>91.827272727272728</v>
      </c>
      <c r="L65" s="233">
        <f t="shared" ca="1" si="73"/>
        <v>91.827272727272728</v>
      </c>
      <c r="M65" s="348">
        <f t="shared" ca="1" si="73"/>
        <v>91.827272727272728</v>
      </c>
      <c r="N65" s="233">
        <f t="shared" ca="1" si="73"/>
        <v>91.827272727272728</v>
      </c>
      <c r="O65" s="233">
        <f t="shared" ca="1" si="73"/>
        <v>91.827272727272728</v>
      </c>
      <c r="P65" s="348">
        <f t="shared" ca="1" si="73"/>
        <v>91.827272727272728</v>
      </c>
    </row>
    <row r="66" spans="2:16" x14ac:dyDescent="0.25">
      <c r="B66" s="450" t="s">
        <v>192</v>
      </c>
      <c r="C66" s="451"/>
      <c r="D66" s="620">
        <f ca="1">SUM(C29:C65)</f>
        <v>184301.58000000002</v>
      </c>
      <c r="E66" s="400"/>
      <c r="F66" s="453">
        <v>0</v>
      </c>
      <c r="G66" s="461">
        <v>0</v>
      </c>
      <c r="H66" s="332">
        <v>0</v>
      </c>
      <c r="I66" s="289">
        <v>0.5</v>
      </c>
      <c r="J66" s="461">
        <v>0.75</v>
      </c>
      <c r="K66" s="332">
        <v>0.85</v>
      </c>
      <c r="L66" s="332">
        <f t="shared" ref="L66:P66" si="74">K66</f>
        <v>0.85</v>
      </c>
      <c r="M66" s="289">
        <f t="shared" si="74"/>
        <v>0.85</v>
      </c>
      <c r="N66" s="332">
        <f t="shared" si="74"/>
        <v>0.85</v>
      </c>
      <c r="O66" s="332">
        <f t="shared" si="74"/>
        <v>0.85</v>
      </c>
      <c r="P66" s="289">
        <f t="shared" si="74"/>
        <v>0.85</v>
      </c>
    </row>
    <row r="67" spans="2:16" x14ac:dyDescent="0.25">
      <c r="B67" s="330" t="s">
        <v>499</v>
      </c>
      <c r="C67" s="451"/>
      <c r="D67" s="400"/>
      <c r="E67" s="400"/>
      <c r="F67" s="453"/>
      <c r="G67" s="512">
        <f ca="1">G65-F65</f>
        <v>0</v>
      </c>
      <c r="H67" s="512">
        <f t="shared" ref="H67:P67" ca="1" si="75">H65-G65</f>
        <v>45.913636363636364</v>
      </c>
      <c r="I67" s="513">
        <f t="shared" ca="1" si="75"/>
        <v>45.913636363636364</v>
      </c>
      <c r="J67" s="512">
        <f t="shared" ca="1" si="75"/>
        <v>0</v>
      </c>
      <c r="K67" s="512">
        <f t="shared" ca="1" si="75"/>
        <v>0</v>
      </c>
      <c r="L67" s="512">
        <f t="shared" ca="1" si="75"/>
        <v>0</v>
      </c>
      <c r="M67" s="513">
        <f t="shared" ca="1" si="75"/>
        <v>0</v>
      </c>
      <c r="N67" s="512">
        <f t="shared" ca="1" si="75"/>
        <v>0</v>
      </c>
      <c r="O67" s="512">
        <f t="shared" ca="1" si="75"/>
        <v>0</v>
      </c>
      <c r="P67" s="513">
        <f t="shared" ca="1" si="75"/>
        <v>0</v>
      </c>
    </row>
    <row r="68" spans="2:16" x14ac:dyDescent="0.25">
      <c r="B68" s="322"/>
      <c r="C68" s="327"/>
      <c r="D68" s="76"/>
      <c r="E68" s="123"/>
      <c r="F68" s="426"/>
      <c r="G68" s="211"/>
      <c r="H68" s="233"/>
      <c r="I68" s="348"/>
      <c r="J68" s="211"/>
      <c r="K68" s="233"/>
      <c r="L68" s="233"/>
      <c r="M68" s="348"/>
      <c r="N68" s="233"/>
      <c r="O68" s="233"/>
      <c r="P68" s="348"/>
    </row>
    <row r="69" spans="2:16" x14ac:dyDescent="0.25">
      <c r="B69" s="323" t="s">
        <v>173</v>
      </c>
      <c r="C69" s="241" t="s">
        <v>169</v>
      </c>
      <c r="D69" s="123"/>
      <c r="E69" s="123"/>
      <c r="F69" s="454"/>
      <c r="G69" s="215"/>
      <c r="H69" s="240"/>
      <c r="I69" s="291"/>
      <c r="J69" s="215"/>
      <c r="K69" s="240"/>
      <c r="L69" s="240"/>
      <c r="M69" s="291"/>
      <c r="N69" s="240"/>
      <c r="O69" s="240"/>
      <c r="P69" s="291"/>
    </row>
    <row r="70" spans="2:16" x14ac:dyDescent="0.25">
      <c r="B70" s="322" t="s">
        <v>246</v>
      </c>
      <c r="C70" s="354">
        <f>J7</f>
        <v>1440</v>
      </c>
      <c r="D70" s="335"/>
      <c r="E70" s="335"/>
      <c r="F70" s="455">
        <f>C70*(1+F72)</f>
        <v>1468.8</v>
      </c>
      <c r="G70" s="462">
        <f t="shared" ref="G70:P70" si="76">F70*(1+G72)</f>
        <v>1498.1759999999999</v>
      </c>
      <c r="H70" s="341">
        <f t="shared" si="76"/>
        <v>1528.1395199999999</v>
      </c>
      <c r="I70" s="294">
        <f t="shared" si="76"/>
        <v>1558.7023104</v>
      </c>
      <c r="J70" s="462">
        <f t="shared" si="76"/>
        <v>1589.8763566079999</v>
      </c>
      <c r="K70" s="341">
        <f t="shared" si="76"/>
        <v>1621.6738837401599</v>
      </c>
      <c r="L70" s="341">
        <f t="shared" si="76"/>
        <v>1654.1073614149632</v>
      </c>
      <c r="M70" s="294">
        <f t="shared" si="76"/>
        <v>1687.1895086432626</v>
      </c>
      <c r="N70" s="341">
        <f t="shared" si="76"/>
        <v>1720.9332988161279</v>
      </c>
      <c r="O70" s="341">
        <f t="shared" si="76"/>
        <v>1755.3519647924506</v>
      </c>
      <c r="P70" s="294">
        <f t="shared" si="76"/>
        <v>1790.4590040882997</v>
      </c>
    </row>
    <row r="71" spans="2:16" x14ac:dyDescent="0.25">
      <c r="B71" s="322" t="s">
        <v>247</v>
      </c>
      <c r="C71" s="354">
        <f>J7</f>
        <v>1440</v>
      </c>
      <c r="D71" s="335"/>
      <c r="E71" s="335"/>
      <c r="F71" s="455">
        <f>C71*(1+F72)</f>
        <v>1468.8</v>
      </c>
      <c r="G71" s="462">
        <f t="shared" ref="G71:P71" si="77">F71*(1+G72)</f>
        <v>1498.1759999999999</v>
      </c>
      <c r="H71" s="341">
        <f t="shared" si="77"/>
        <v>1528.1395199999999</v>
      </c>
      <c r="I71" s="294">
        <f t="shared" si="77"/>
        <v>1558.7023104</v>
      </c>
      <c r="J71" s="462">
        <f t="shared" si="77"/>
        <v>1589.8763566079999</v>
      </c>
      <c r="K71" s="341">
        <f t="shared" si="77"/>
        <v>1621.6738837401599</v>
      </c>
      <c r="L71" s="341">
        <f t="shared" si="77"/>
        <v>1654.1073614149632</v>
      </c>
      <c r="M71" s="294">
        <f t="shared" si="77"/>
        <v>1687.1895086432626</v>
      </c>
      <c r="N71" s="341">
        <f t="shared" si="77"/>
        <v>1720.9332988161279</v>
      </c>
      <c r="O71" s="341">
        <f t="shared" si="77"/>
        <v>1755.3519647924506</v>
      </c>
      <c r="P71" s="294">
        <f t="shared" si="77"/>
        <v>1790.4590040882997</v>
      </c>
    </row>
    <row r="72" spans="2:16" x14ac:dyDescent="0.25">
      <c r="B72" s="322" t="s">
        <v>170</v>
      </c>
      <c r="C72" s="338">
        <f>G14</f>
        <v>0.02</v>
      </c>
      <c r="D72" s="335"/>
      <c r="E72" s="335"/>
      <c r="F72" s="456">
        <f>$C$72</f>
        <v>0.02</v>
      </c>
      <c r="G72" s="442">
        <f t="shared" ref="G72:P72" si="78">$C$72</f>
        <v>0.02</v>
      </c>
      <c r="H72" s="363">
        <f t="shared" si="78"/>
        <v>0.02</v>
      </c>
      <c r="I72" s="357">
        <f t="shared" si="78"/>
        <v>0.02</v>
      </c>
      <c r="J72" s="442">
        <f t="shared" si="78"/>
        <v>0.02</v>
      </c>
      <c r="K72" s="363">
        <f t="shared" si="78"/>
        <v>0.02</v>
      </c>
      <c r="L72" s="363">
        <f t="shared" si="78"/>
        <v>0.02</v>
      </c>
      <c r="M72" s="357">
        <f t="shared" si="78"/>
        <v>0.02</v>
      </c>
      <c r="N72" s="363">
        <f t="shared" si="78"/>
        <v>0.02</v>
      </c>
      <c r="O72" s="363">
        <f t="shared" si="78"/>
        <v>0.02</v>
      </c>
      <c r="P72" s="357">
        <f t="shared" si="78"/>
        <v>0.02</v>
      </c>
    </row>
    <row r="73" spans="2:16" x14ac:dyDescent="0.25">
      <c r="B73" s="323"/>
      <c r="C73" s="76"/>
      <c r="D73" s="76"/>
      <c r="E73" s="76"/>
      <c r="F73" s="457"/>
      <c r="G73" s="212"/>
      <c r="H73" s="144"/>
      <c r="I73" s="295"/>
      <c r="J73" s="212"/>
      <c r="K73" s="144"/>
      <c r="L73" s="144"/>
      <c r="M73" s="295"/>
      <c r="N73" s="144"/>
      <c r="O73" s="144"/>
      <c r="P73" s="295"/>
    </row>
    <row r="74" spans="2:16" x14ac:dyDescent="0.25">
      <c r="B74" s="323" t="s">
        <v>127</v>
      </c>
      <c r="C74" s="382"/>
      <c r="D74" s="123"/>
      <c r="E74" s="123"/>
      <c r="F74" s="457"/>
      <c r="G74" s="212"/>
      <c r="H74" s="144"/>
      <c r="I74" s="295"/>
      <c r="J74" s="212"/>
      <c r="K74" s="144"/>
      <c r="L74" s="144"/>
      <c r="M74" s="295"/>
      <c r="N74" s="144"/>
      <c r="O74" s="144"/>
      <c r="P74" s="295"/>
    </row>
    <row r="75" spans="2:16" x14ac:dyDescent="0.25">
      <c r="B75" s="322" t="s">
        <v>88</v>
      </c>
      <c r="C75" s="383"/>
      <c r="D75" s="123"/>
      <c r="E75" s="123"/>
      <c r="F75" s="458">
        <f>(F70*SUM(F66*F65,F31*F30))+(F71*SUM(F61*F60,F56*F55,F51*F50,F46*F45,F41*F40,F36*F35))+E75*F76</f>
        <v>0</v>
      </c>
      <c r="G75" s="213">
        <f t="shared" ref="G75:P75" ca="1" si="79">(G70*SUM(G66*G65,G31*G30))+(G71*SUM(G61*G60,G56*G55,G51*G50,G46*G45,G41*G40,G36*G35))+F75*G76</f>
        <v>22354.601890909089</v>
      </c>
      <c r="H75" s="145">
        <f t="shared" ca="1" si="79"/>
        <v>119091.03172363636</v>
      </c>
      <c r="I75" s="296">
        <f t="shared" ca="1" si="79"/>
        <v>212032.39710952144</v>
      </c>
      <c r="J75" s="213">
        <f t="shared" ca="1" si="79"/>
        <v>277175.69269075117</v>
      </c>
      <c r="K75" s="145">
        <f t="shared" ca="1" si="79"/>
        <v>422533.97618322627</v>
      </c>
      <c r="L75" s="145">
        <f t="shared" ca="1" si="79"/>
        <v>483888.52557024872</v>
      </c>
      <c r="M75" s="296">
        <f t="shared" ca="1" si="79"/>
        <v>513185.67440490425</v>
      </c>
      <c r="N75" s="145">
        <f t="shared" ca="1" si="79"/>
        <v>623605.69421534124</v>
      </c>
      <c r="O75" s="145">
        <f t="shared" ca="1" si="79"/>
        <v>842087.09028063272</v>
      </c>
      <c r="P75" s="296">
        <f t="shared" ca="1" si="79"/>
        <v>875222.49110810098</v>
      </c>
    </row>
    <row r="76" spans="2:16" x14ac:dyDescent="0.25">
      <c r="B76" s="342" t="s">
        <v>132</v>
      </c>
      <c r="C76" s="149">
        <f>G12</f>
        <v>0.03</v>
      </c>
      <c r="D76" s="78"/>
      <c r="E76" s="78"/>
      <c r="F76" s="459">
        <f>$C$76</f>
        <v>0.03</v>
      </c>
      <c r="G76" s="463">
        <f t="shared" ref="G76:P76" si="80">$C$76</f>
        <v>0.03</v>
      </c>
      <c r="H76" s="171">
        <f t="shared" si="80"/>
        <v>0.03</v>
      </c>
      <c r="I76" s="376">
        <f t="shared" si="80"/>
        <v>0.03</v>
      </c>
      <c r="J76" s="463">
        <f t="shared" si="80"/>
        <v>0.03</v>
      </c>
      <c r="K76" s="171">
        <f t="shared" si="80"/>
        <v>0.03</v>
      </c>
      <c r="L76" s="171">
        <f t="shared" si="80"/>
        <v>0.03</v>
      </c>
      <c r="M76" s="376">
        <f t="shared" si="80"/>
        <v>0.03</v>
      </c>
      <c r="N76" s="171">
        <f t="shared" si="80"/>
        <v>0.03</v>
      </c>
      <c r="O76" s="171">
        <f t="shared" si="80"/>
        <v>0.03</v>
      </c>
      <c r="P76" s="376">
        <f t="shared" si="80"/>
        <v>0.03</v>
      </c>
    </row>
    <row r="77" spans="2:16" x14ac:dyDescent="0.25">
      <c r="B77" s="343" t="s">
        <v>106</v>
      </c>
      <c r="C77" s="346"/>
      <c r="D77" s="220"/>
      <c r="E77" s="220"/>
      <c r="F77" s="434">
        <f>F75</f>
        <v>0</v>
      </c>
      <c r="G77" s="214">
        <f t="shared" ref="G77:P77" ca="1" si="81">G75</f>
        <v>22354.601890909089</v>
      </c>
      <c r="H77" s="239">
        <f t="shared" ca="1" si="81"/>
        <v>119091.03172363636</v>
      </c>
      <c r="I77" s="138">
        <f t="shared" ca="1" si="81"/>
        <v>212032.39710952144</v>
      </c>
      <c r="J77" s="214">
        <f t="shared" ca="1" si="81"/>
        <v>277175.69269075117</v>
      </c>
      <c r="K77" s="239">
        <f t="shared" ca="1" si="81"/>
        <v>422533.97618322627</v>
      </c>
      <c r="L77" s="239">
        <f t="shared" ca="1" si="81"/>
        <v>483888.52557024872</v>
      </c>
      <c r="M77" s="138">
        <f t="shared" ca="1" si="81"/>
        <v>513185.67440490425</v>
      </c>
      <c r="N77" s="239">
        <f t="shared" ca="1" si="81"/>
        <v>623605.69421534124</v>
      </c>
      <c r="O77" s="239">
        <f t="shared" ca="1" si="81"/>
        <v>842087.09028063272</v>
      </c>
      <c r="P77" s="138">
        <f t="shared" ca="1" si="81"/>
        <v>875222.49110810098</v>
      </c>
    </row>
    <row r="78" spans="2:16" x14ac:dyDescent="0.25">
      <c r="B78" s="104"/>
      <c r="C78" s="346"/>
      <c r="D78" s="220"/>
      <c r="E78" s="220"/>
      <c r="F78" s="454"/>
      <c r="G78" s="215"/>
      <c r="H78" s="240"/>
      <c r="I78" s="291"/>
      <c r="J78" s="215"/>
      <c r="K78" s="240"/>
      <c r="L78" s="240"/>
      <c r="M78" s="291"/>
      <c r="N78" s="240"/>
      <c r="O78" s="240"/>
      <c r="P78" s="291"/>
    </row>
    <row r="79" spans="2:16" x14ac:dyDescent="0.25">
      <c r="B79" s="343" t="s">
        <v>124</v>
      </c>
      <c r="C79" s="346"/>
      <c r="D79" s="220"/>
      <c r="E79" s="220"/>
      <c r="F79" s="454"/>
      <c r="G79" s="215"/>
      <c r="H79" s="240"/>
      <c r="I79" s="291"/>
      <c r="J79" s="215"/>
      <c r="K79" s="240"/>
      <c r="L79" s="240"/>
      <c r="M79" s="291"/>
      <c r="N79" s="240"/>
      <c r="O79" s="240"/>
      <c r="P79" s="291"/>
    </row>
    <row r="80" spans="2:16" x14ac:dyDescent="0.25">
      <c r="B80" s="104" t="s">
        <v>128</v>
      </c>
      <c r="C80" s="452">
        <f>J11</f>
        <v>500</v>
      </c>
      <c r="D80" s="220"/>
      <c r="E80" s="220"/>
      <c r="F80" s="434">
        <f>(-SUM(F65,F60,F55,F50,F45,F40,F35,F30)*$C$80)+(E80*F82)</f>
        <v>0</v>
      </c>
      <c r="G80" s="214">
        <f t="shared" ref="G80:P80" ca="1" si="82">(-SUM(G65,G60,G55,G50,G45,G40,G35,G30)*$C$80)+(F80*G82)</f>
        <v>-14921.212121212122</v>
      </c>
      <c r="H80" s="239">
        <f t="shared" ca="1" si="82"/>
        <v>-75066.57575757576</v>
      </c>
      <c r="I80" s="138">
        <f t="shared" ca="1" si="82"/>
        <v>-99827.754848484852</v>
      </c>
      <c r="J80" s="214">
        <f t="shared" ca="1" si="82"/>
        <v>-140930.87809999997</v>
      </c>
      <c r="K80" s="239">
        <f t="shared" ca="1" si="82"/>
        <v>-178087.8960399697</v>
      </c>
      <c r="L80" s="239">
        <f t="shared" ca="1" si="82"/>
        <v>-179202.60657816878</v>
      </c>
      <c r="M80" s="138">
        <f t="shared" ca="1" si="82"/>
        <v>-179236.04789431475</v>
      </c>
      <c r="N80" s="239">
        <f t="shared" ca="1" si="82"/>
        <v>-231929.47537622339</v>
      </c>
      <c r="O80" s="239">
        <f t="shared" ca="1" si="82"/>
        <v>-286202.70244310488</v>
      </c>
      <c r="P80" s="138">
        <f t="shared" ca="1" si="82"/>
        <v>-287830.89925511135</v>
      </c>
    </row>
    <row r="81" spans="2:18" x14ac:dyDescent="0.25">
      <c r="B81" s="104" t="s">
        <v>134</v>
      </c>
      <c r="C81" s="243">
        <f>J12</f>
        <v>0.02</v>
      </c>
      <c r="D81" s="220"/>
      <c r="E81" s="220"/>
      <c r="F81" s="434">
        <f t="shared" ref="F81:P81" si="83">(E81*(F$82))-(F$77*$C$81)</f>
        <v>0</v>
      </c>
      <c r="G81" s="214">
        <f t="shared" ca="1" si="83"/>
        <v>-447.09203781818178</v>
      </c>
      <c r="H81" s="239">
        <f t="shared" ca="1" si="83"/>
        <v>-2395.2333956072725</v>
      </c>
      <c r="I81" s="138">
        <f t="shared" ca="1" si="83"/>
        <v>-4312.5049440586472</v>
      </c>
      <c r="J81" s="214">
        <f t="shared" ca="1" si="83"/>
        <v>-5672.8890021367824</v>
      </c>
      <c r="K81" s="239">
        <f t="shared" ca="1" si="83"/>
        <v>-8620.8661937286288</v>
      </c>
      <c r="L81" s="239">
        <f t="shared" ca="1" si="83"/>
        <v>-9936.3964972168342</v>
      </c>
      <c r="M81" s="138">
        <f t="shared" ca="1" si="83"/>
        <v>-10561.805383014589</v>
      </c>
      <c r="N81" s="239">
        <f t="shared" ca="1" si="83"/>
        <v>-12788.968045797263</v>
      </c>
      <c r="O81" s="239">
        <f t="shared" ca="1" si="83"/>
        <v>-17225.410846986571</v>
      </c>
      <c r="P81" s="138">
        <f t="shared" ca="1" si="83"/>
        <v>-18021.212147571616</v>
      </c>
    </row>
    <row r="82" spans="2:18" x14ac:dyDescent="0.25">
      <c r="B82" s="344" t="s">
        <v>133</v>
      </c>
      <c r="C82" s="243">
        <f>$G$13</f>
        <v>0.03</v>
      </c>
      <c r="D82" s="220"/>
      <c r="E82" s="220"/>
      <c r="F82" s="460">
        <f t="shared" ref="F82:P82" si="84">$G$13</f>
        <v>0.03</v>
      </c>
      <c r="G82" s="464">
        <f t="shared" si="84"/>
        <v>0.03</v>
      </c>
      <c r="H82" s="345">
        <f t="shared" si="84"/>
        <v>0.03</v>
      </c>
      <c r="I82" s="298">
        <f t="shared" si="84"/>
        <v>0.03</v>
      </c>
      <c r="J82" s="464">
        <f t="shared" si="84"/>
        <v>0.03</v>
      </c>
      <c r="K82" s="345">
        <f t="shared" si="84"/>
        <v>0.03</v>
      </c>
      <c r="L82" s="345">
        <f t="shared" si="84"/>
        <v>0.03</v>
      </c>
      <c r="M82" s="298">
        <f t="shared" si="84"/>
        <v>0.03</v>
      </c>
      <c r="N82" s="345">
        <f t="shared" si="84"/>
        <v>0.03</v>
      </c>
      <c r="O82" s="345">
        <f t="shared" si="84"/>
        <v>0.03</v>
      </c>
      <c r="P82" s="298">
        <f t="shared" si="84"/>
        <v>0.03</v>
      </c>
    </row>
    <row r="83" spans="2:18" x14ac:dyDescent="0.25">
      <c r="B83" s="104"/>
      <c r="C83" s="241"/>
      <c r="D83" s="220"/>
      <c r="E83" s="220"/>
      <c r="F83" s="454"/>
      <c r="G83" s="215"/>
      <c r="H83" s="240"/>
      <c r="I83" s="291"/>
      <c r="J83" s="215"/>
      <c r="K83" s="240"/>
      <c r="L83" s="240"/>
      <c r="M83" s="291"/>
      <c r="N83" s="240"/>
      <c r="O83" s="240"/>
      <c r="P83" s="291"/>
    </row>
    <row r="84" spans="2:18" x14ac:dyDescent="0.25">
      <c r="B84" s="48" t="s">
        <v>99</v>
      </c>
      <c r="C84" s="77"/>
      <c r="D84" s="79"/>
      <c r="E84" s="79"/>
      <c r="F84" s="360">
        <f t="shared" ref="F84:P84" si="85">SUM(F77:F81)</f>
        <v>0</v>
      </c>
      <c r="G84" s="217">
        <f t="shared" ca="1" si="85"/>
        <v>6986.2977318787853</v>
      </c>
      <c r="H84" s="142">
        <f t="shared" ca="1" si="85"/>
        <v>41629.222570453334</v>
      </c>
      <c r="I84" s="156">
        <f t="shared" ca="1" si="85"/>
        <v>107892.13731697794</v>
      </c>
      <c r="J84" s="217">
        <f t="shared" ca="1" si="85"/>
        <v>130571.92558861441</v>
      </c>
      <c r="K84" s="142">
        <f t="shared" ca="1" si="85"/>
        <v>235825.21394952794</v>
      </c>
      <c r="L84" s="142">
        <f t="shared" ca="1" si="85"/>
        <v>294749.52249486308</v>
      </c>
      <c r="M84" s="156">
        <f t="shared" ca="1" si="85"/>
        <v>323387.82112757489</v>
      </c>
      <c r="N84" s="142">
        <f t="shared" ca="1" si="85"/>
        <v>378887.25079332059</v>
      </c>
      <c r="O84" s="142">
        <f t="shared" ca="1" si="85"/>
        <v>538658.97699054121</v>
      </c>
      <c r="P84" s="156">
        <f t="shared" ca="1" si="85"/>
        <v>569370.37970541802</v>
      </c>
    </row>
    <row r="85" spans="2:18" x14ac:dyDescent="0.25">
      <c r="B85" s="322"/>
      <c r="C85" s="241"/>
      <c r="D85" s="220"/>
      <c r="E85" s="220"/>
      <c r="F85" s="434"/>
      <c r="G85" s="214"/>
      <c r="H85" s="239"/>
      <c r="I85" s="138"/>
      <c r="J85" s="214"/>
      <c r="K85" s="239"/>
      <c r="L85" s="239"/>
      <c r="M85" s="138"/>
      <c r="N85" s="239"/>
      <c r="O85" s="239"/>
      <c r="P85" s="138"/>
    </row>
    <row r="86" spans="2:18" x14ac:dyDescent="0.25">
      <c r="B86" s="322" t="s">
        <v>129</v>
      </c>
      <c r="C86" s="241"/>
      <c r="D86" s="220"/>
      <c r="E86" s="220"/>
      <c r="F86" s="434">
        <f t="shared" ref="F86:P86" si="86">IF(F25=$G$15,E84/$G$19,0)</f>
        <v>0</v>
      </c>
      <c r="G86" s="214">
        <f t="shared" si="86"/>
        <v>0</v>
      </c>
      <c r="H86" s="239">
        <f t="shared" si="86"/>
        <v>0</v>
      </c>
      <c r="I86" s="138">
        <f t="shared" si="86"/>
        <v>0</v>
      </c>
      <c r="J86" s="214">
        <f t="shared" si="86"/>
        <v>0</v>
      </c>
      <c r="K86" s="239">
        <f t="shared" si="86"/>
        <v>0</v>
      </c>
      <c r="L86" s="239">
        <f t="shared" si="86"/>
        <v>0</v>
      </c>
      <c r="M86" s="138">
        <f t="shared" si="86"/>
        <v>0</v>
      </c>
      <c r="N86" s="239">
        <f t="shared" si="86"/>
        <v>0</v>
      </c>
      <c r="O86" s="239">
        <f t="shared" si="86"/>
        <v>0</v>
      </c>
      <c r="P86" s="138">
        <f t="shared" ca="1" si="86"/>
        <v>6733237.2123817652</v>
      </c>
    </row>
    <row r="87" spans="2:18" x14ac:dyDescent="0.25">
      <c r="B87" s="347" t="s">
        <v>41</v>
      </c>
      <c r="C87" s="102">
        <f>G20</f>
        <v>0.02</v>
      </c>
      <c r="D87" s="56"/>
      <c r="E87" s="56"/>
      <c r="F87" s="435">
        <f>-F86*$C$87</f>
        <v>0</v>
      </c>
      <c r="G87" s="448">
        <f t="shared" ref="G87:P87" si="87">-G86*$C$87</f>
        <v>0</v>
      </c>
      <c r="H87" s="143">
        <f t="shared" si="87"/>
        <v>0</v>
      </c>
      <c r="I87" s="299">
        <f t="shared" si="87"/>
        <v>0</v>
      </c>
      <c r="J87" s="448">
        <f t="shared" si="87"/>
        <v>0</v>
      </c>
      <c r="K87" s="143">
        <f t="shared" si="87"/>
        <v>0</v>
      </c>
      <c r="L87" s="143">
        <f t="shared" si="87"/>
        <v>0</v>
      </c>
      <c r="M87" s="299">
        <f t="shared" si="87"/>
        <v>0</v>
      </c>
      <c r="N87" s="143">
        <f t="shared" si="87"/>
        <v>0</v>
      </c>
      <c r="O87" s="143">
        <f t="shared" si="87"/>
        <v>0</v>
      </c>
      <c r="P87" s="299">
        <f t="shared" ca="1" si="87"/>
        <v>-134664.7442476353</v>
      </c>
    </row>
    <row r="88" spans="2:18" x14ac:dyDescent="0.25">
      <c r="B88" s="322" t="s">
        <v>268</v>
      </c>
      <c r="C88" s="246"/>
      <c r="D88" s="220"/>
      <c r="E88" s="220"/>
      <c r="F88" s="434">
        <f>SUM(F86:F87)</f>
        <v>0</v>
      </c>
      <c r="G88" s="214">
        <f t="shared" ref="G88:P88" si="88">SUM(G86:G87)</f>
        <v>0</v>
      </c>
      <c r="H88" s="239">
        <f t="shared" si="88"/>
        <v>0</v>
      </c>
      <c r="I88" s="138">
        <f t="shared" si="88"/>
        <v>0</v>
      </c>
      <c r="J88" s="214">
        <f t="shared" si="88"/>
        <v>0</v>
      </c>
      <c r="K88" s="239">
        <f t="shared" si="88"/>
        <v>0</v>
      </c>
      <c r="L88" s="239">
        <f t="shared" si="88"/>
        <v>0</v>
      </c>
      <c r="M88" s="138">
        <f t="shared" si="88"/>
        <v>0</v>
      </c>
      <c r="N88" s="239">
        <f t="shared" si="88"/>
        <v>0</v>
      </c>
      <c r="O88" s="239">
        <f t="shared" si="88"/>
        <v>0</v>
      </c>
      <c r="P88" s="138">
        <f t="shared" ca="1" si="88"/>
        <v>6598572.4681341304</v>
      </c>
    </row>
    <row r="89" spans="2:18" x14ac:dyDescent="0.25">
      <c r="B89" s="104"/>
      <c r="C89" s="241"/>
      <c r="D89" s="220"/>
      <c r="E89" s="220"/>
      <c r="F89" s="454"/>
      <c r="G89" s="215"/>
      <c r="H89" s="240"/>
      <c r="I89" s="291"/>
      <c r="J89" s="215"/>
      <c r="K89" s="240"/>
      <c r="L89" s="240"/>
      <c r="M89" s="291"/>
      <c r="N89" s="240"/>
      <c r="O89" s="240"/>
      <c r="P89" s="291"/>
    </row>
    <row r="90" spans="2:18" x14ac:dyDescent="0.25">
      <c r="B90" s="323" t="s">
        <v>103</v>
      </c>
      <c r="C90" s="241" t="s">
        <v>37</v>
      </c>
      <c r="D90" s="241" t="s">
        <v>169</v>
      </c>
      <c r="E90" s="220"/>
      <c r="F90" s="454"/>
      <c r="G90" s="215"/>
      <c r="H90" s="240"/>
      <c r="I90" s="291"/>
      <c r="J90" s="215"/>
      <c r="K90" s="240"/>
      <c r="L90" s="240"/>
      <c r="M90" s="291"/>
      <c r="N90" s="240"/>
      <c r="O90" s="240"/>
      <c r="P90" s="291"/>
      <c r="R90" t="s">
        <v>45</v>
      </c>
    </row>
    <row r="91" spans="2:18" x14ac:dyDescent="0.25">
      <c r="B91" s="322" t="s">
        <v>242</v>
      </c>
      <c r="C91" s="247">
        <f>Costs!$F$44</f>
        <v>110</v>
      </c>
      <c r="D91" s="220"/>
      <c r="E91" s="220"/>
      <c r="F91" s="434">
        <f>$C$91*SUM(F64,F29,F44)</f>
        <v>0</v>
      </c>
      <c r="G91" s="214">
        <f ca="1">$C$91*SUM(G64,G29,G44)</f>
        <v>1083280</v>
      </c>
      <c r="H91" s="239">
        <f t="shared" ref="H91:P91" ca="1" si="89">$C$91*SUM(H64,H29,H44)</f>
        <v>2749945</v>
      </c>
      <c r="I91" s="138">
        <f t="shared" ca="1" si="89"/>
        <v>1666665</v>
      </c>
      <c r="J91" s="214">
        <f t="shared" ca="1" si="89"/>
        <v>1939826.9000000001</v>
      </c>
      <c r="K91" s="239">
        <f t="shared" ca="1" si="89"/>
        <v>1939826.9000000001</v>
      </c>
      <c r="L91" s="239">
        <f t="shared" ca="1" si="89"/>
        <v>0</v>
      </c>
      <c r="M91" s="138">
        <f t="shared" ca="1" si="89"/>
        <v>0</v>
      </c>
      <c r="N91" s="239">
        <f t="shared" ca="1" si="89"/>
        <v>0</v>
      </c>
      <c r="O91" s="239">
        <f t="shared" ca="1" si="89"/>
        <v>0</v>
      </c>
      <c r="P91" s="138">
        <f t="shared" ca="1" si="89"/>
        <v>0</v>
      </c>
      <c r="R91" s="124">
        <f ca="1">SUM(F91:P91)</f>
        <v>9379543.8000000007</v>
      </c>
    </row>
    <row r="92" spans="2:18" x14ac:dyDescent="0.25">
      <c r="B92" s="322" t="s">
        <v>243</v>
      </c>
      <c r="C92" s="247">
        <f>Costs!$F$45</f>
        <v>132</v>
      </c>
      <c r="D92" s="220"/>
      <c r="E92" s="220"/>
      <c r="F92" s="434">
        <f>$C$92*SUM(F59,F54,F49,F39,F34)</f>
        <v>0</v>
      </c>
      <c r="G92" s="214">
        <f ca="1">$C$92*SUM(G59,G54,G49,G39,G34)</f>
        <v>0</v>
      </c>
      <c r="H92" s="239">
        <f t="shared" ref="H92:P92" ca="1" si="90">$C$92*SUM(H59,H54,H49,H39,H34)</f>
        <v>1900932</v>
      </c>
      <c r="I92" s="138">
        <f t="shared" ca="1" si="90"/>
        <v>0</v>
      </c>
      <c r="J92" s="214">
        <f t="shared" ca="1" si="90"/>
        <v>1188396</v>
      </c>
      <c r="K92" s="239">
        <f t="shared" ca="1" si="90"/>
        <v>801900</v>
      </c>
      <c r="L92" s="239">
        <f t="shared" ca="1" si="90"/>
        <v>0</v>
      </c>
      <c r="M92" s="138">
        <f t="shared" ca="1" si="90"/>
        <v>0</v>
      </c>
      <c r="N92" s="239">
        <f t="shared" ca="1" si="90"/>
        <v>4590564</v>
      </c>
      <c r="O92" s="239">
        <f t="shared" ca="1" si="90"/>
        <v>4590564</v>
      </c>
      <c r="P92" s="138">
        <f t="shared" ca="1" si="90"/>
        <v>0</v>
      </c>
      <c r="R92" s="124">
        <f t="shared" ref="R92:R94" ca="1" si="91">SUM(F92:P92)</f>
        <v>13072356</v>
      </c>
    </row>
    <row r="93" spans="2:18" x14ac:dyDescent="0.25">
      <c r="B93" s="322" t="s">
        <v>244</v>
      </c>
      <c r="C93" s="247">
        <f>Costs!$F$61</f>
        <v>22.000000000000004</v>
      </c>
      <c r="D93" s="220"/>
      <c r="E93" s="220"/>
      <c r="F93" s="434">
        <f>$C$93*SUM(F64,F29,F44)</f>
        <v>0</v>
      </c>
      <c r="G93" s="214">
        <f ca="1">$C$93*SUM(G64,G29,G44)</f>
        <v>216656.00000000003</v>
      </c>
      <c r="H93" s="239">
        <f t="shared" ref="H93:P93" ca="1" si="92">$C$93*SUM(H64,H29,H44)</f>
        <v>549989.00000000012</v>
      </c>
      <c r="I93" s="138">
        <f t="shared" ca="1" si="92"/>
        <v>333333.00000000006</v>
      </c>
      <c r="J93" s="214">
        <f t="shared" ca="1" si="92"/>
        <v>387965.38000000006</v>
      </c>
      <c r="K93" s="239">
        <f t="shared" ca="1" si="92"/>
        <v>387965.38000000006</v>
      </c>
      <c r="L93" s="239">
        <f t="shared" ca="1" si="92"/>
        <v>0</v>
      </c>
      <c r="M93" s="138">
        <f t="shared" ca="1" si="92"/>
        <v>0</v>
      </c>
      <c r="N93" s="239">
        <f t="shared" ca="1" si="92"/>
        <v>0</v>
      </c>
      <c r="O93" s="239">
        <f t="shared" ca="1" si="92"/>
        <v>0</v>
      </c>
      <c r="P93" s="138">
        <f t="shared" ca="1" si="92"/>
        <v>0</v>
      </c>
      <c r="R93" s="124">
        <f t="shared" ca="1" si="91"/>
        <v>1875908.7600000005</v>
      </c>
    </row>
    <row r="94" spans="2:18" x14ac:dyDescent="0.25">
      <c r="B94" s="347" t="s">
        <v>245</v>
      </c>
      <c r="C94" s="524">
        <f>Costs!$F$62</f>
        <v>26.400000000000006</v>
      </c>
      <c r="D94" s="56"/>
      <c r="E94" s="56"/>
      <c r="F94" s="435">
        <f>$C$94*SUM(F59,F54,F49,F39,F34)</f>
        <v>0</v>
      </c>
      <c r="G94" s="448">
        <f ca="1">$C$94*SUM(G59,G54,G49,G39,G34)</f>
        <v>0</v>
      </c>
      <c r="H94" s="143">
        <f t="shared" ref="H94:P94" ca="1" si="93">$C$94*SUM(H59,H54,H49,H39,H34)</f>
        <v>380186.40000000008</v>
      </c>
      <c r="I94" s="299">
        <f t="shared" ca="1" si="93"/>
        <v>0</v>
      </c>
      <c r="J94" s="448">
        <f t="shared" ca="1" si="93"/>
        <v>237679.20000000004</v>
      </c>
      <c r="K94" s="143">
        <f t="shared" ca="1" si="93"/>
        <v>160380.00000000003</v>
      </c>
      <c r="L94" s="143">
        <f t="shared" ca="1" si="93"/>
        <v>0</v>
      </c>
      <c r="M94" s="299">
        <f t="shared" ca="1" si="93"/>
        <v>0</v>
      </c>
      <c r="N94" s="143">
        <f t="shared" ca="1" si="93"/>
        <v>918112.80000000016</v>
      </c>
      <c r="O94" s="143">
        <f t="shared" ca="1" si="93"/>
        <v>918112.80000000016</v>
      </c>
      <c r="P94" s="299">
        <f t="shared" ca="1" si="93"/>
        <v>0</v>
      </c>
      <c r="R94" s="124">
        <f t="shared" ca="1" si="91"/>
        <v>2614471.2000000007</v>
      </c>
    </row>
    <row r="95" spans="2:18" x14ac:dyDescent="0.25">
      <c r="B95" s="323" t="s">
        <v>104</v>
      </c>
      <c r="C95" s="241"/>
      <c r="D95" s="220"/>
      <c r="E95" s="220"/>
      <c r="F95" s="434">
        <f t="shared" ref="F95:P95" si="94">SUM(F91:F94)</f>
        <v>0</v>
      </c>
      <c r="G95" s="214">
        <f t="shared" ca="1" si="94"/>
        <v>1299936</v>
      </c>
      <c r="H95" s="239">
        <f t="shared" ca="1" si="94"/>
        <v>5581052.4000000004</v>
      </c>
      <c r="I95" s="138">
        <f t="shared" ca="1" si="94"/>
        <v>1999998</v>
      </c>
      <c r="J95" s="214">
        <f t="shared" ca="1" si="94"/>
        <v>3753867.4800000004</v>
      </c>
      <c r="K95" s="239">
        <f t="shared" ca="1" si="94"/>
        <v>3290072.2800000003</v>
      </c>
      <c r="L95" s="239">
        <f t="shared" ca="1" si="94"/>
        <v>0</v>
      </c>
      <c r="M95" s="138">
        <f t="shared" ca="1" si="94"/>
        <v>0</v>
      </c>
      <c r="N95" s="239">
        <f t="shared" ca="1" si="94"/>
        <v>5508676.7999999998</v>
      </c>
      <c r="O95" s="239">
        <f t="shared" ca="1" si="94"/>
        <v>5508676.7999999998</v>
      </c>
      <c r="P95" s="138">
        <f t="shared" ca="1" si="94"/>
        <v>0</v>
      </c>
    </row>
    <row r="96" spans="2:18" x14ac:dyDescent="0.25">
      <c r="B96" s="104"/>
      <c r="C96" s="220"/>
      <c r="D96" s="220"/>
      <c r="E96" s="220"/>
      <c r="F96" s="454"/>
      <c r="G96" s="215"/>
      <c r="H96" s="240"/>
      <c r="I96" s="291"/>
      <c r="J96" s="215"/>
      <c r="K96" s="240"/>
      <c r="L96" s="240"/>
      <c r="M96" s="291"/>
      <c r="N96" s="240"/>
      <c r="O96" s="240"/>
      <c r="P96" s="291"/>
    </row>
    <row r="97" spans="2:16" x14ac:dyDescent="0.25">
      <c r="B97" s="48" t="s">
        <v>202</v>
      </c>
      <c r="C97" s="79"/>
      <c r="D97" s="79"/>
      <c r="E97" s="79"/>
      <c r="F97" s="361">
        <f t="shared" ref="F97:P97" si="95">F84+F86+F87-F95</f>
        <v>0</v>
      </c>
      <c r="G97" s="465">
        <f t="shared" ca="1" si="95"/>
        <v>-1292949.7022681213</v>
      </c>
      <c r="H97" s="146">
        <f t="shared" ca="1" si="95"/>
        <v>-5539423.1774295466</v>
      </c>
      <c r="I97" s="155">
        <f t="shared" ca="1" si="95"/>
        <v>-1892105.8626830222</v>
      </c>
      <c r="J97" s="465">
        <f t="shared" ca="1" si="95"/>
        <v>-3623295.5544113861</v>
      </c>
      <c r="K97" s="146">
        <f t="shared" ca="1" si="95"/>
        <v>-3054247.0660504722</v>
      </c>
      <c r="L97" s="146">
        <f t="shared" ca="1" si="95"/>
        <v>294749.52249486308</v>
      </c>
      <c r="M97" s="155">
        <f t="shared" ca="1" si="95"/>
        <v>323387.82112757489</v>
      </c>
      <c r="N97" s="146">
        <f t="shared" ca="1" si="95"/>
        <v>-5129789.5492066797</v>
      </c>
      <c r="O97" s="146">
        <f t="shared" ca="1" si="95"/>
        <v>-4970017.8230094584</v>
      </c>
      <c r="P97" s="155">
        <f t="shared" ca="1" si="95"/>
        <v>7167942.8478395483</v>
      </c>
    </row>
    <row r="98" spans="2:16" x14ac:dyDescent="0.25">
      <c r="C98" s="121"/>
      <c r="D98" s="121"/>
      <c r="E98" s="121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</row>
    <row r="99" spans="2:16" x14ac:dyDescent="0.25">
      <c r="B99" s="50" t="s">
        <v>130</v>
      </c>
      <c r="C99" s="135">
        <f ca="1">SUM(F97:P97)</f>
        <v>-17715748.543596696</v>
      </c>
      <c r="D99" s="121"/>
      <c r="E99" s="121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</row>
    <row r="100" spans="2:16" x14ac:dyDescent="0.25">
      <c r="B100" s="104" t="s">
        <v>228</v>
      </c>
      <c r="C100" s="138">
        <f ca="1">SUM(F95:P95)</f>
        <v>26942279.760000002</v>
      </c>
      <c r="D100" s="121"/>
      <c r="E100" s="121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</row>
    <row r="101" spans="2:16" x14ac:dyDescent="0.25">
      <c r="B101" s="104" t="s">
        <v>202</v>
      </c>
      <c r="C101" s="136" t="e">
        <f ca="1">IRR(F97:P97)</f>
        <v>#NUM!</v>
      </c>
      <c r="D101" s="121"/>
      <c r="E101" s="121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</row>
    <row r="102" spans="2:16" x14ac:dyDescent="0.25">
      <c r="B102" s="51" t="s">
        <v>201</v>
      </c>
      <c r="C102" s="137">
        <f ca="1">C99/C100</f>
        <v>-0.65754452486602399</v>
      </c>
      <c r="D102" s="121"/>
      <c r="E102" s="121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</row>
    <row r="103" spans="2:16" x14ac:dyDescent="0.25">
      <c r="C103" s="75"/>
      <c r="D103" s="121"/>
      <c r="E103" s="121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</row>
    <row r="104" spans="2:16" x14ac:dyDescent="0.25">
      <c r="B104" s="49" t="s">
        <v>476</v>
      </c>
      <c r="C104" s="492">
        <f ca="1">R91+R93</f>
        <v>11255452.560000001</v>
      </c>
      <c r="D104" s="121"/>
      <c r="E104" s="121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</row>
    <row r="105" spans="2:16" x14ac:dyDescent="0.25">
      <c r="B105" s="49" t="s">
        <v>477</v>
      </c>
      <c r="C105" s="492">
        <f ca="1">R92+R94</f>
        <v>15686827.200000001</v>
      </c>
      <c r="D105" s="121"/>
      <c r="E105" s="121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</row>
  </sheetData>
  <mergeCells count="2">
    <mergeCell ref="F23:P23"/>
    <mergeCell ref="B5:E21"/>
  </mergeCells>
  <conditionalFormatting sqref="F12:H15 F16 K13:P18 A1:P2 A22:P27 D38:P38 B38 A28:A68 B28:B33 D33:P33 D32:F32 A102:P105 A101 C101:P101 D28:P31 A69:P100 A5:B5 A6:A21 I12:P12 F5:P11 I19:P21 F21:I21 H17:H20 F19:G20 A4:P4 A3 C3:P3">
    <cfRule type="cellIs" dxfId="96" priority="58" operator="lessThan">
      <formula>0</formula>
    </cfRule>
  </conditionalFormatting>
  <conditionalFormatting sqref="F75">
    <cfRule type="cellIs" dxfId="95" priority="67" operator="lessThan">
      <formula>0</formula>
    </cfRule>
  </conditionalFormatting>
  <conditionalFormatting sqref="G75:P75">
    <cfRule type="cellIs" dxfId="94" priority="66" operator="lessThan">
      <formula>0</formula>
    </cfRule>
  </conditionalFormatting>
  <conditionalFormatting sqref="F80:P80">
    <cfRule type="cellIs" dxfId="93" priority="63" operator="lessThan">
      <formula>0</formula>
    </cfRule>
  </conditionalFormatting>
  <conditionalFormatting sqref="G80:P80">
    <cfRule type="cellIs" dxfId="92" priority="61" operator="lessThan">
      <formula>0</formula>
    </cfRule>
  </conditionalFormatting>
  <conditionalFormatting sqref="F17:G17">
    <cfRule type="cellIs" dxfId="91" priority="57" operator="lessThan">
      <formula>0</formula>
    </cfRule>
  </conditionalFormatting>
  <conditionalFormatting sqref="I15:J18 I14">
    <cfRule type="cellIs" dxfId="90" priority="56" operator="lessThan">
      <formula>0</formula>
    </cfRule>
  </conditionalFormatting>
  <conditionalFormatting sqref="G75:P75">
    <cfRule type="cellIs" dxfId="89" priority="55" operator="lessThan">
      <formula>0</formula>
    </cfRule>
  </conditionalFormatting>
  <conditionalFormatting sqref="G75:P75">
    <cfRule type="cellIs" dxfId="88" priority="54" operator="lessThan">
      <formula>0</formula>
    </cfRule>
  </conditionalFormatting>
  <conditionalFormatting sqref="G75:P75">
    <cfRule type="cellIs" dxfId="87" priority="53" operator="lessThan">
      <formula>0</formula>
    </cfRule>
  </conditionalFormatting>
  <conditionalFormatting sqref="J14">
    <cfRule type="cellIs" dxfId="86" priority="52" operator="lessThan">
      <formula>0</formula>
    </cfRule>
  </conditionalFormatting>
  <conditionalFormatting sqref="G80:P80">
    <cfRule type="cellIs" dxfId="85" priority="51" operator="lessThan">
      <formula>0</formula>
    </cfRule>
  </conditionalFormatting>
  <conditionalFormatting sqref="G75:P75">
    <cfRule type="cellIs" dxfId="84" priority="50" operator="lessThan">
      <formula>0</formula>
    </cfRule>
  </conditionalFormatting>
  <conditionalFormatting sqref="I13:J13">
    <cfRule type="cellIs" dxfId="83" priority="49" operator="lessThan">
      <formula>0</formula>
    </cfRule>
  </conditionalFormatting>
  <conditionalFormatting sqref="D43:P43 B43 B68 D68:P68">
    <cfRule type="cellIs" dxfId="82" priority="48" operator="lessThan">
      <formula>0</formula>
    </cfRule>
  </conditionalFormatting>
  <conditionalFormatting sqref="C29">
    <cfRule type="cellIs" dxfId="81" priority="47" operator="lessThan">
      <formula>0</formula>
    </cfRule>
  </conditionalFormatting>
  <conditionalFormatting sqref="C44">
    <cfRule type="cellIs" dxfId="80" priority="37" operator="lessThan">
      <formula>0</formula>
    </cfRule>
  </conditionalFormatting>
  <conditionalFormatting sqref="B34:B36 D36:E36 D34:P35">
    <cfRule type="cellIs" dxfId="79" priority="44" operator="lessThan">
      <formula>0</formula>
    </cfRule>
  </conditionalFormatting>
  <conditionalFormatting sqref="C34">
    <cfRule type="cellIs" dxfId="78" priority="43" operator="lessThan">
      <formula>0</formula>
    </cfRule>
  </conditionalFormatting>
  <conditionalFormatting sqref="B44:B46 D53:P53 B53 B58 D58:P58 D63:P63 B63 D48:P48 D46:F46 B48 D44:P45">
    <cfRule type="cellIs" dxfId="77" priority="38" operator="lessThan">
      <formula>0</formula>
    </cfRule>
  </conditionalFormatting>
  <conditionalFormatting sqref="C59">
    <cfRule type="cellIs" dxfId="76" priority="31" operator="lessThan">
      <formula>0</formula>
    </cfRule>
  </conditionalFormatting>
  <conditionalFormatting sqref="B39:B41 D39:P41">
    <cfRule type="cellIs" dxfId="75" priority="40" operator="lessThan">
      <formula>0</formula>
    </cfRule>
  </conditionalFormatting>
  <conditionalFormatting sqref="C39">
    <cfRule type="cellIs" dxfId="74" priority="39" operator="lessThan">
      <formula>0</formula>
    </cfRule>
  </conditionalFormatting>
  <conditionalFormatting sqref="B59:B61 D61:M61 D59:P60">
    <cfRule type="cellIs" dxfId="73" priority="32" operator="lessThan">
      <formula>0</formula>
    </cfRule>
  </conditionalFormatting>
  <conditionalFormatting sqref="C64">
    <cfRule type="cellIs" dxfId="72" priority="29" operator="lessThan">
      <formula>0</formula>
    </cfRule>
  </conditionalFormatting>
  <conditionalFormatting sqref="C49">
    <cfRule type="cellIs" dxfId="71" priority="35" operator="lessThan">
      <formula>0</formula>
    </cfRule>
  </conditionalFormatting>
  <conditionalFormatting sqref="B49:B51 D51:F51 K51:P51 D49:P50">
    <cfRule type="cellIs" dxfId="70" priority="36" operator="lessThan">
      <formula>0</formula>
    </cfRule>
  </conditionalFormatting>
  <conditionalFormatting sqref="C54">
    <cfRule type="cellIs" dxfId="69" priority="33" operator="lessThan">
      <formula>0</formula>
    </cfRule>
  </conditionalFormatting>
  <conditionalFormatting sqref="B54:B56 D54:P55 D56:L56">
    <cfRule type="cellIs" dxfId="68" priority="34" operator="lessThan">
      <formula>0</formula>
    </cfRule>
  </conditionalFormatting>
  <conditionalFormatting sqref="B64:B66 D66:F66 K66:P66 D64:P65">
    <cfRule type="cellIs" dxfId="67" priority="30" operator="lessThan">
      <formula>0</formula>
    </cfRule>
  </conditionalFormatting>
  <conditionalFormatting sqref="G46:J46">
    <cfRule type="cellIs" dxfId="66" priority="28" operator="lessThan">
      <formula>0</formula>
    </cfRule>
  </conditionalFormatting>
  <conditionalFormatting sqref="G51:J51">
    <cfRule type="cellIs" dxfId="65" priority="27" operator="lessThan">
      <formula>0</formula>
    </cfRule>
  </conditionalFormatting>
  <conditionalFormatting sqref="M56:P56">
    <cfRule type="cellIs" dxfId="64" priority="26" operator="lessThan">
      <formula>0</formula>
    </cfRule>
  </conditionalFormatting>
  <conditionalFormatting sqref="N61:Q61 Q62">
    <cfRule type="cellIs" dxfId="63" priority="25" operator="lessThan">
      <formula>0</formula>
    </cfRule>
  </conditionalFormatting>
  <conditionalFormatting sqref="G66:J66">
    <cfRule type="cellIs" dxfId="62" priority="24" operator="lessThan">
      <formula>0</formula>
    </cfRule>
  </conditionalFormatting>
  <conditionalFormatting sqref="K46:P46">
    <cfRule type="cellIs" dxfId="61" priority="23" operator="lessThan">
      <formula>0</formula>
    </cfRule>
  </conditionalFormatting>
  <conditionalFormatting sqref="F36:P36">
    <cfRule type="cellIs" dxfId="60" priority="22" operator="lessThan">
      <formula>0</formula>
    </cfRule>
  </conditionalFormatting>
  <conditionalFormatting sqref="G75:P75">
    <cfRule type="cellIs" dxfId="59" priority="21" operator="lessThan">
      <formula>0</formula>
    </cfRule>
  </conditionalFormatting>
  <conditionalFormatting sqref="G75:P75">
    <cfRule type="cellIs" dxfId="58" priority="20" operator="lessThan">
      <formula>0</formula>
    </cfRule>
  </conditionalFormatting>
  <conditionalFormatting sqref="G80:P80">
    <cfRule type="cellIs" dxfId="57" priority="19" operator="lessThan">
      <formula>0</formula>
    </cfRule>
  </conditionalFormatting>
  <conditionalFormatting sqref="G32:P32">
    <cfRule type="cellIs" dxfId="56" priority="18" operator="lessThan">
      <formula>0</formula>
    </cfRule>
  </conditionalFormatting>
  <conditionalFormatting sqref="B47 D47:F47">
    <cfRule type="cellIs" dxfId="55" priority="17" operator="lessThan">
      <formula>0</formula>
    </cfRule>
  </conditionalFormatting>
  <conditionalFormatting sqref="G47:P47">
    <cfRule type="cellIs" dxfId="54" priority="16" operator="lessThan">
      <formula>0</formula>
    </cfRule>
  </conditionalFormatting>
  <conditionalFormatting sqref="B67 D67:F67">
    <cfRule type="cellIs" dxfId="53" priority="15" operator="lessThan">
      <formula>0</formula>
    </cfRule>
  </conditionalFormatting>
  <conditionalFormatting sqref="G67:P67">
    <cfRule type="cellIs" dxfId="52" priority="14" operator="lessThan">
      <formula>0</formula>
    </cfRule>
  </conditionalFormatting>
  <conditionalFormatting sqref="B62 D62:F62">
    <cfRule type="cellIs" dxfId="51" priority="13" operator="lessThan">
      <formula>0</formula>
    </cfRule>
  </conditionalFormatting>
  <conditionalFormatting sqref="G62:P62">
    <cfRule type="cellIs" dxfId="50" priority="12" operator="lessThan">
      <formula>0</formula>
    </cfRule>
  </conditionalFormatting>
  <conditionalFormatting sqref="B57 D57:F57">
    <cfRule type="cellIs" dxfId="49" priority="11" operator="lessThan">
      <formula>0</formula>
    </cfRule>
  </conditionalFormatting>
  <conditionalFormatting sqref="G57:P57">
    <cfRule type="cellIs" dxfId="48" priority="10" operator="lessThan">
      <formula>0</formula>
    </cfRule>
  </conditionalFormatting>
  <conditionalFormatting sqref="B52 D52:F52">
    <cfRule type="cellIs" dxfId="47" priority="9" operator="lessThan">
      <formula>0</formula>
    </cfRule>
  </conditionalFormatting>
  <conditionalFormatting sqref="G52:P52">
    <cfRule type="cellIs" dxfId="46" priority="8" operator="lessThan">
      <formula>0</formula>
    </cfRule>
  </conditionalFormatting>
  <conditionalFormatting sqref="B42 D42:F42">
    <cfRule type="cellIs" dxfId="45" priority="7" operator="lessThan">
      <formula>0</formula>
    </cfRule>
  </conditionalFormatting>
  <conditionalFormatting sqref="G42:P42">
    <cfRule type="cellIs" dxfId="44" priority="6" operator="lessThan">
      <formula>0</formula>
    </cfRule>
  </conditionalFormatting>
  <conditionalFormatting sqref="B37 D37:F37">
    <cfRule type="cellIs" dxfId="43" priority="5" operator="lessThan">
      <formula>0</formula>
    </cfRule>
  </conditionalFormatting>
  <conditionalFormatting sqref="G37:P37">
    <cfRule type="cellIs" dxfId="42" priority="4" operator="lessThan">
      <formula>0</formula>
    </cfRule>
  </conditionalFormatting>
  <conditionalFormatting sqref="B101">
    <cfRule type="cellIs" dxfId="41" priority="3" operator="lessThan">
      <formula>0</formula>
    </cfRule>
  </conditionalFormatting>
  <conditionalFormatting sqref="F18:G18">
    <cfRule type="cellIs" dxfId="40" priority="2" operator="lessThan">
      <formula>0</formula>
    </cfRule>
  </conditionalFormatting>
  <conditionalFormatting sqref="B3">
    <cfRule type="cellIs" dxfId="39" priority="1" operator="lessThan">
      <formula>0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F0"/>
  </sheetPr>
  <dimension ref="B1:R114"/>
  <sheetViews>
    <sheetView showGridLines="0" zoomScale="70" zoomScaleNormal="70" workbookViewId="0">
      <pane xSplit="5" topLeftCell="F1" activePane="topRight" state="frozen"/>
      <selection activeCell="J7" sqref="J7"/>
      <selection pane="topRight" activeCell="G13" sqref="G13"/>
    </sheetView>
  </sheetViews>
  <sheetFormatPr defaultRowHeight="15" x14ac:dyDescent="0.25"/>
  <cols>
    <col min="2" max="2" width="40.42578125" customWidth="1"/>
    <col min="3" max="3" width="25.7109375" customWidth="1"/>
    <col min="6" max="11" width="19.28515625" customWidth="1"/>
    <col min="12" max="12" width="29.5703125" customWidth="1"/>
    <col min="13" max="16" width="19.28515625" customWidth="1"/>
    <col min="18" max="18" width="11" bestFit="1" customWidth="1"/>
  </cols>
  <sheetData>
    <row r="1" spans="2:16" x14ac:dyDescent="0.25">
      <c r="C1" s="75"/>
      <c r="D1" s="121"/>
      <c r="E1" s="121"/>
    </row>
    <row r="2" spans="2:16" ht="18.75" x14ac:dyDescent="0.3">
      <c r="B2" s="8" t="s">
        <v>235</v>
      </c>
      <c r="C2" s="75"/>
      <c r="D2" s="121"/>
      <c r="E2" s="121"/>
    </row>
    <row r="3" spans="2:16" x14ac:dyDescent="0.25">
      <c r="B3" t="s">
        <v>611</v>
      </c>
      <c r="C3" s="75"/>
      <c r="D3" s="121"/>
      <c r="E3" s="121"/>
    </row>
    <row r="4" spans="2:16" x14ac:dyDescent="0.25">
      <c r="C4" s="75"/>
      <c r="D4" s="121"/>
      <c r="E4" s="121"/>
    </row>
    <row r="5" spans="2:16" x14ac:dyDescent="0.25">
      <c r="B5" s="855" t="s">
        <v>112</v>
      </c>
      <c r="C5" s="855"/>
      <c r="D5" s="855"/>
      <c r="E5" s="855"/>
      <c r="F5" s="45" t="s">
        <v>107</v>
      </c>
      <c r="G5" s="44"/>
      <c r="H5" s="44"/>
      <c r="I5" s="45" t="s">
        <v>110</v>
      </c>
      <c r="J5" s="71"/>
      <c r="K5" s="44"/>
      <c r="L5" s="45"/>
      <c r="M5" s="44"/>
      <c r="N5" s="44"/>
      <c r="O5" s="44"/>
      <c r="P5" s="44"/>
    </row>
    <row r="6" spans="2:16" x14ac:dyDescent="0.25">
      <c r="B6" s="855"/>
      <c r="C6" s="855"/>
      <c r="D6" s="855"/>
      <c r="E6" s="855"/>
      <c r="F6" s="44" t="s">
        <v>108</v>
      </c>
      <c r="G6" s="160">
        <f>SUM(G7:G9)</f>
        <v>171541</v>
      </c>
      <c r="H6" s="44"/>
      <c r="I6" s="44" t="s">
        <v>275</v>
      </c>
      <c r="J6" s="73">
        <v>0</v>
      </c>
      <c r="K6" s="44"/>
      <c r="L6" s="44"/>
      <c r="M6" s="47"/>
      <c r="N6" s="44"/>
      <c r="O6" s="44"/>
      <c r="P6" s="44"/>
    </row>
    <row r="7" spans="2:16" x14ac:dyDescent="0.25">
      <c r="B7" s="855"/>
      <c r="C7" s="855"/>
      <c r="D7" s="855"/>
      <c r="E7" s="855"/>
      <c r="F7" s="44" t="s">
        <v>236</v>
      </c>
      <c r="G7" s="160">
        <v>56815</v>
      </c>
      <c r="H7" s="159"/>
      <c r="I7" s="44"/>
      <c r="J7" s="72"/>
      <c r="K7" s="44"/>
      <c r="L7" s="44"/>
      <c r="M7" s="85"/>
      <c r="N7" s="44"/>
      <c r="O7" s="44"/>
      <c r="P7" s="44"/>
    </row>
    <row r="8" spans="2:16" x14ac:dyDescent="0.25">
      <c r="B8" s="855"/>
      <c r="C8" s="855"/>
      <c r="D8" s="855"/>
      <c r="E8" s="855"/>
      <c r="F8" s="44" t="s">
        <v>274</v>
      </c>
      <c r="G8" s="160">
        <v>114726</v>
      </c>
      <c r="H8" s="44"/>
      <c r="I8" s="45" t="s">
        <v>124</v>
      </c>
      <c r="J8" s="44"/>
      <c r="K8" s="44"/>
      <c r="L8" s="44"/>
      <c r="M8" s="47"/>
      <c r="N8" s="44"/>
      <c r="O8" s="44"/>
      <c r="P8" s="44"/>
    </row>
    <row r="9" spans="2:16" x14ac:dyDescent="0.25">
      <c r="B9" s="855"/>
      <c r="C9" s="855"/>
      <c r="D9" s="855"/>
      <c r="E9" s="855"/>
      <c r="F9" s="44"/>
      <c r="G9" s="57"/>
      <c r="H9" s="44"/>
      <c r="I9" s="44" t="s">
        <v>55</v>
      </c>
      <c r="J9" s="47">
        <v>0.2</v>
      </c>
      <c r="K9" s="44"/>
      <c r="L9" s="44"/>
      <c r="M9" s="52"/>
      <c r="N9" s="44"/>
      <c r="O9" s="44"/>
      <c r="P9" s="44"/>
    </row>
    <row r="10" spans="2:16" x14ac:dyDescent="0.25">
      <c r="B10" s="855"/>
      <c r="C10" s="855"/>
      <c r="D10" s="855"/>
      <c r="E10" s="855"/>
      <c r="F10" s="45" t="s">
        <v>111</v>
      </c>
      <c r="G10" s="44"/>
      <c r="H10" s="44"/>
      <c r="I10" s="44" t="s">
        <v>56</v>
      </c>
      <c r="J10" s="47">
        <v>0.03</v>
      </c>
      <c r="K10" s="44"/>
      <c r="L10" s="44"/>
      <c r="M10" s="120"/>
      <c r="N10" s="44"/>
      <c r="O10" s="44"/>
      <c r="P10" s="44"/>
    </row>
    <row r="11" spans="2:16" x14ac:dyDescent="0.25">
      <c r="B11" s="855"/>
      <c r="C11" s="855"/>
      <c r="D11" s="855"/>
      <c r="E11" s="855"/>
      <c r="F11" s="44" t="s">
        <v>113</v>
      </c>
      <c r="G11" s="47">
        <v>0.03</v>
      </c>
      <c r="H11" s="44"/>
      <c r="I11" s="44" t="s">
        <v>125</v>
      </c>
      <c r="J11" s="47">
        <v>0.02</v>
      </c>
      <c r="K11" s="44"/>
      <c r="L11" s="44"/>
      <c r="M11" s="120"/>
      <c r="N11" s="44"/>
      <c r="O11" s="44"/>
      <c r="P11" s="44"/>
    </row>
    <row r="12" spans="2:16" x14ac:dyDescent="0.25">
      <c r="B12" s="855"/>
      <c r="C12" s="855"/>
      <c r="D12" s="855"/>
      <c r="E12" s="855"/>
      <c r="F12" s="44" t="s">
        <v>46</v>
      </c>
      <c r="G12" s="47">
        <v>0.03</v>
      </c>
      <c r="H12" s="44"/>
      <c r="I12" s="44" t="s">
        <v>57</v>
      </c>
      <c r="J12" s="47">
        <v>0.15</v>
      </c>
      <c r="K12" s="44"/>
      <c r="L12" s="44"/>
      <c r="M12" s="44"/>
      <c r="N12" s="44"/>
      <c r="O12" s="44"/>
      <c r="P12" s="44"/>
    </row>
    <row r="13" spans="2:16" x14ac:dyDescent="0.25">
      <c r="B13" s="855"/>
      <c r="C13" s="855"/>
      <c r="D13" s="855"/>
      <c r="E13" s="855"/>
      <c r="F13" s="44" t="s">
        <v>170</v>
      </c>
      <c r="G13" s="47">
        <v>0.02</v>
      </c>
      <c r="H13" s="44"/>
      <c r="I13" s="44"/>
      <c r="J13" s="44"/>
      <c r="K13" s="44"/>
      <c r="L13" s="45"/>
      <c r="M13" s="44"/>
      <c r="N13" s="44"/>
      <c r="O13" s="44"/>
      <c r="P13" s="44"/>
    </row>
    <row r="14" spans="2:16" x14ac:dyDescent="0.25">
      <c r="B14" s="855"/>
      <c r="C14" s="855"/>
      <c r="D14" s="855"/>
      <c r="E14" s="855"/>
      <c r="F14" s="44" t="s">
        <v>43</v>
      </c>
      <c r="G14" s="94">
        <v>10</v>
      </c>
      <c r="H14" s="44" t="s">
        <v>44</v>
      </c>
      <c r="I14" s="44"/>
      <c r="J14" s="44"/>
      <c r="K14" s="44"/>
      <c r="L14" s="44"/>
      <c r="M14" s="119"/>
      <c r="N14" s="44"/>
      <c r="O14" s="44"/>
      <c r="P14" s="44"/>
    </row>
    <row r="15" spans="2:16" x14ac:dyDescent="0.25">
      <c r="B15" s="855"/>
      <c r="C15" s="855"/>
      <c r="D15" s="855"/>
      <c r="E15" s="855"/>
      <c r="F15" s="44" t="s">
        <v>118</v>
      </c>
      <c r="G15" s="839">
        <v>0.09</v>
      </c>
      <c r="H15" s="44"/>
      <c r="I15" s="44"/>
      <c r="J15" s="44"/>
      <c r="K15" s="44"/>
      <c r="L15" s="44"/>
      <c r="M15" s="119"/>
      <c r="N15" s="44"/>
      <c r="O15" s="44"/>
      <c r="P15" s="44"/>
    </row>
    <row r="16" spans="2:16" x14ac:dyDescent="0.25">
      <c r="B16" s="855"/>
      <c r="C16" s="855"/>
      <c r="D16" s="855"/>
      <c r="E16" s="855"/>
      <c r="F16" s="44" t="s">
        <v>612</v>
      </c>
      <c r="G16" s="47">
        <v>0.02</v>
      </c>
      <c r="H16" s="44"/>
      <c r="I16" s="44"/>
      <c r="J16" s="44"/>
      <c r="K16" s="44"/>
      <c r="L16" s="44"/>
      <c r="M16" s="119"/>
      <c r="N16" s="44"/>
      <c r="O16" s="44"/>
      <c r="P16" s="44"/>
    </row>
    <row r="17" spans="2:16" x14ac:dyDescent="0.25">
      <c r="B17" s="855"/>
      <c r="C17" s="855"/>
      <c r="D17" s="855"/>
      <c r="E17" s="855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</row>
    <row r="18" spans="2:16" x14ac:dyDescent="0.25">
      <c r="C18" s="75"/>
      <c r="D18" s="121"/>
      <c r="E18" s="121"/>
    </row>
    <row r="19" spans="2:16" x14ac:dyDescent="0.25">
      <c r="C19" s="75"/>
      <c r="D19" s="121"/>
      <c r="E19" s="121"/>
      <c r="F19" s="853" t="s">
        <v>49</v>
      </c>
      <c r="G19" s="853"/>
      <c r="H19" s="853"/>
      <c r="I19" s="853"/>
      <c r="J19" s="853"/>
      <c r="K19" s="853"/>
      <c r="L19" s="853"/>
      <c r="M19" s="853"/>
      <c r="N19" s="853"/>
      <c r="O19" s="853"/>
      <c r="P19" s="853"/>
    </row>
    <row r="20" spans="2:16" x14ac:dyDescent="0.25">
      <c r="C20" s="75"/>
      <c r="D20" s="121"/>
      <c r="E20" s="121"/>
      <c r="F20" s="377" t="s">
        <v>105</v>
      </c>
      <c r="G20" s="311" t="s">
        <v>28</v>
      </c>
      <c r="H20" s="311" t="s">
        <v>28</v>
      </c>
      <c r="I20" s="312" t="s">
        <v>28</v>
      </c>
      <c r="J20" s="313" t="s">
        <v>47</v>
      </c>
      <c r="K20" s="313" t="s">
        <v>47</v>
      </c>
      <c r="L20" s="313" t="s">
        <v>47</v>
      </c>
      <c r="M20" s="314" t="s">
        <v>47</v>
      </c>
      <c r="N20" s="315" t="s">
        <v>48</v>
      </c>
      <c r="O20" s="315" t="s">
        <v>48</v>
      </c>
      <c r="P20" s="316" t="s">
        <v>48</v>
      </c>
    </row>
    <row r="21" spans="2:16" x14ac:dyDescent="0.25">
      <c r="B21" s="317"/>
      <c r="C21" s="378"/>
      <c r="D21" s="318"/>
      <c r="E21" s="318"/>
      <c r="F21" s="274">
        <v>0</v>
      </c>
      <c r="G21" s="320">
        <f>F21+1</f>
        <v>1</v>
      </c>
      <c r="H21" s="320">
        <f t="shared" ref="H21:P22" si="0">G21+1</f>
        <v>2</v>
      </c>
      <c r="I21" s="274">
        <f t="shared" si="0"/>
        <v>3</v>
      </c>
      <c r="J21" s="320">
        <f t="shared" si="0"/>
        <v>4</v>
      </c>
      <c r="K21" s="320">
        <f t="shared" si="0"/>
        <v>5</v>
      </c>
      <c r="L21" s="320">
        <f t="shared" si="0"/>
        <v>6</v>
      </c>
      <c r="M21" s="274">
        <f t="shared" si="0"/>
        <v>7</v>
      </c>
      <c r="N21" s="320">
        <f t="shared" si="0"/>
        <v>8</v>
      </c>
      <c r="O21" s="320">
        <f t="shared" si="0"/>
        <v>9</v>
      </c>
      <c r="P21" s="274">
        <f t="shared" si="0"/>
        <v>10</v>
      </c>
    </row>
    <row r="22" spans="2:16" x14ac:dyDescent="0.25">
      <c r="B22" s="321"/>
      <c r="C22" s="379"/>
      <c r="D22" s="221"/>
      <c r="E22" s="221"/>
      <c r="F22" s="278" t="s">
        <v>177</v>
      </c>
      <c r="G22" s="225">
        <v>2022</v>
      </c>
      <c r="H22" s="225">
        <f t="shared" si="0"/>
        <v>2023</v>
      </c>
      <c r="I22" s="278">
        <f t="shared" si="0"/>
        <v>2024</v>
      </c>
      <c r="J22" s="225">
        <f t="shared" si="0"/>
        <v>2025</v>
      </c>
      <c r="K22" s="225">
        <f t="shared" si="0"/>
        <v>2026</v>
      </c>
      <c r="L22" s="225">
        <f t="shared" si="0"/>
        <v>2027</v>
      </c>
      <c r="M22" s="278">
        <f t="shared" si="0"/>
        <v>2028</v>
      </c>
      <c r="N22" s="225">
        <f t="shared" si="0"/>
        <v>2029</v>
      </c>
      <c r="O22" s="225">
        <f t="shared" si="0"/>
        <v>2030</v>
      </c>
      <c r="P22" s="278">
        <f t="shared" si="0"/>
        <v>2031</v>
      </c>
    </row>
    <row r="23" spans="2:16" x14ac:dyDescent="0.25">
      <c r="B23" s="323" t="s">
        <v>135</v>
      </c>
      <c r="C23" s="76"/>
      <c r="D23" s="76"/>
      <c r="E23" s="76"/>
      <c r="F23" s="286"/>
      <c r="G23" s="226"/>
      <c r="H23" s="226"/>
      <c r="I23" s="286"/>
      <c r="J23" s="226"/>
      <c r="K23" s="226"/>
      <c r="L23" s="226"/>
      <c r="M23" s="286"/>
      <c r="N23" s="226"/>
      <c r="O23" s="226"/>
      <c r="P23" s="286"/>
    </row>
    <row r="24" spans="2:16" x14ac:dyDescent="0.25">
      <c r="B24" s="322"/>
      <c r="C24" s="76"/>
      <c r="D24" s="123"/>
      <c r="E24" s="123"/>
      <c r="F24" s="288"/>
      <c r="G24" s="329"/>
      <c r="H24" s="329"/>
      <c r="I24" s="288"/>
      <c r="J24" s="329"/>
      <c r="K24" s="329"/>
      <c r="L24" s="329"/>
      <c r="M24" s="288"/>
      <c r="N24" s="329"/>
      <c r="O24" s="329"/>
      <c r="P24" s="288"/>
    </row>
    <row r="25" spans="2:16" x14ac:dyDescent="0.25">
      <c r="B25" s="324" t="s">
        <v>437</v>
      </c>
      <c r="C25" s="349">
        <f ca="1">SUM(F25:P25)</f>
        <v>34874</v>
      </c>
      <c r="D25" s="227"/>
      <c r="E25" s="350"/>
      <c r="F25" s="287">
        <f>'Development Schedule'!E12</f>
        <v>0</v>
      </c>
      <c r="G25" s="229">
        <f>'Development Schedule'!F12</f>
        <v>11624.666666666666</v>
      </c>
      <c r="H25" s="229">
        <f>'Development Schedule'!G12</f>
        <v>11624.666666666666</v>
      </c>
      <c r="I25" s="287">
        <f>'Development Schedule'!H12</f>
        <v>11624.666666666666</v>
      </c>
      <c r="J25" s="229">
        <f ca="1">'Development Schedule'!I12</f>
        <v>0</v>
      </c>
      <c r="K25" s="229">
        <f ca="1">'Development Schedule'!J12</f>
        <v>0</v>
      </c>
      <c r="L25" s="229">
        <f ca="1">'Development Schedule'!K12</f>
        <v>0</v>
      </c>
      <c r="M25" s="287">
        <f ca="1">'Development Schedule'!L12</f>
        <v>0</v>
      </c>
      <c r="N25" s="229">
        <f ca="1">'Development Schedule'!M12</f>
        <v>0</v>
      </c>
      <c r="O25" s="229">
        <f ca="1">'Development Schedule'!N12</f>
        <v>0</v>
      </c>
      <c r="P25" s="287">
        <f ca="1">'Development Schedule'!O12</f>
        <v>0</v>
      </c>
    </row>
    <row r="26" spans="2:16" x14ac:dyDescent="0.25">
      <c r="B26" s="322" t="s">
        <v>441</v>
      </c>
      <c r="C26" s="327"/>
      <c r="D26" s="76"/>
      <c r="E26" s="123"/>
      <c r="F26" s="348">
        <f>F25+E26</f>
        <v>0</v>
      </c>
      <c r="G26" s="233">
        <f t="shared" ref="G26:P26" si="1">G25+F26</f>
        <v>11624.666666666666</v>
      </c>
      <c r="H26" s="233">
        <f t="shared" si="1"/>
        <v>23249.333333333332</v>
      </c>
      <c r="I26" s="348">
        <f t="shared" si="1"/>
        <v>34874</v>
      </c>
      <c r="J26" s="233">
        <f t="shared" ca="1" si="1"/>
        <v>34874</v>
      </c>
      <c r="K26" s="233">
        <f t="shared" ca="1" si="1"/>
        <v>34874</v>
      </c>
      <c r="L26" s="233">
        <f t="shared" ca="1" si="1"/>
        <v>34874</v>
      </c>
      <c r="M26" s="348">
        <f t="shared" ca="1" si="1"/>
        <v>34874</v>
      </c>
      <c r="N26" s="233">
        <f t="shared" ca="1" si="1"/>
        <v>34874</v>
      </c>
      <c r="O26" s="233">
        <f t="shared" ca="1" si="1"/>
        <v>34874</v>
      </c>
      <c r="P26" s="348">
        <f t="shared" ca="1" si="1"/>
        <v>34874</v>
      </c>
    </row>
    <row r="27" spans="2:16" x14ac:dyDescent="0.25">
      <c r="B27" s="322" t="s">
        <v>438</v>
      </c>
      <c r="C27" s="327"/>
      <c r="D27" s="76"/>
      <c r="E27" s="123"/>
      <c r="F27" s="352">
        <f ca="1">F26/$C$25</f>
        <v>0</v>
      </c>
      <c r="G27" s="351">
        <f t="shared" ref="G27:P27" ca="1" si="2">G26/$C$25</f>
        <v>0.33333333333333331</v>
      </c>
      <c r="H27" s="351">
        <f t="shared" ca="1" si="2"/>
        <v>0.66666666666666663</v>
      </c>
      <c r="I27" s="352">
        <f t="shared" ca="1" si="2"/>
        <v>1</v>
      </c>
      <c r="J27" s="351">
        <f t="shared" ca="1" si="2"/>
        <v>1</v>
      </c>
      <c r="K27" s="351">
        <f t="shared" ca="1" si="2"/>
        <v>1</v>
      </c>
      <c r="L27" s="351">
        <f t="shared" ca="1" si="2"/>
        <v>1</v>
      </c>
      <c r="M27" s="352">
        <f t="shared" ca="1" si="2"/>
        <v>1</v>
      </c>
      <c r="N27" s="351">
        <f t="shared" ca="1" si="2"/>
        <v>1</v>
      </c>
      <c r="O27" s="351">
        <f t="shared" ca="1" si="2"/>
        <v>1</v>
      </c>
      <c r="P27" s="352">
        <f t="shared" ca="1" si="2"/>
        <v>1</v>
      </c>
    </row>
    <row r="28" spans="2:16" x14ac:dyDescent="0.25">
      <c r="B28" s="330"/>
      <c r="C28" s="382"/>
      <c r="D28" s="76"/>
      <c r="E28" s="76"/>
      <c r="F28" s="357"/>
      <c r="G28" s="363"/>
      <c r="H28" s="363"/>
      <c r="I28" s="357"/>
      <c r="J28" s="363"/>
      <c r="K28" s="363"/>
      <c r="L28" s="363"/>
      <c r="M28" s="357"/>
      <c r="N28" s="363"/>
      <c r="O28" s="363"/>
      <c r="P28" s="357"/>
    </row>
    <row r="29" spans="2:16" x14ac:dyDescent="0.25">
      <c r="B29" s="324" t="s">
        <v>427</v>
      </c>
      <c r="C29" s="349">
        <f ca="1">SUM(F29:P29)</f>
        <v>5321</v>
      </c>
      <c r="D29" s="227"/>
      <c r="E29" s="350"/>
      <c r="F29" s="287">
        <f>'Development Schedule'!E13</f>
        <v>0</v>
      </c>
      <c r="G29" s="229">
        <f ca="1">'Development Schedule'!F13</f>
        <v>0</v>
      </c>
      <c r="H29" s="229">
        <f>'Development Schedule'!G13</f>
        <v>2660.5</v>
      </c>
      <c r="I29" s="287">
        <f>'Development Schedule'!H13</f>
        <v>2660.5</v>
      </c>
      <c r="J29" s="229">
        <f ca="1">'Development Schedule'!I13</f>
        <v>0</v>
      </c>
      <c r="K29" s="229">
        <f ca="1">'Development Schedule'!J13</f>
        <v>0</v>
      </c>
      <c r="L29" s="229">
        <f ca="1">'Development Schedule'!K13</f>
        <v>0</v>
      </c>
      <c r="M29" s="287">
        <f ca="1">'Development Schedule'!L13</f>
        <v>0</v>
      </c>
      <c r="N29" s="229">
        <f ca="1">'Development Schedule'!M13</f>
        <v>0</v>
      </c>
      <c r="O29" s="229">
        <f ca="1">'Development Schedule'!N13</f>
        <v>0</v>
      </c>
      <c r="P29" s="287">
        <f ca="1">'Development Schedule'!O13</f>
        <v>0</v>
      </c>
    </row>
    <row r="30" spans="2:16" x14ac:dyDescent="0.25">
      <c r="B30" s="322" t="s">
        <v>440</v>
      </c>
      <c r="C30" s="327"/>
      <c r="D30" s="76"/>
      <c r="E30" s="123"/>
      <c r="F30" s="348">
        <f>F29+E30</f>
        <v>0</v>
      </c>
      <c r="G30" s="233">
        <f t="shared" ref="G30" ca="1" si="3">G29+F30</f>
        <v>0</v>
      </c>
      <c r="H30" s="233">
        <f t="shared" ref="H30" ca="1" si="4">H29+G30</f>
        <v>2660.5</v>
      </c>
      <c r="I30" s="348">
        <f t="shared" ref="I30" ca="1" si="5">I29+H30</f>
        <v>5321</v>
      </c>
      <c r="J30" s="233">
        <f t="shared" ref="J30" ca="1" si="6">J29+I30</f>
        <v>5321</v>
      </c>
      <c r="K30" s="233">
        <f t="shared" ref="K30" ca="1" si="7">K29+J30</f>
        <v>5321</v>
      </c>
      <c r="L30" s="233">
        <f t="shared" ref="L30" ca="1" si="8">L29+K30</f>
        <v>5321</v>
      </c>
      <c r="M30" s="348">
        <f t="shared" ref="M30" ca="1" si="9">M29+L30</f>
        <v>5321</v>
      </c>
      <c r="N30" s="233">
        <f t="shared" ref="N30" ca="1" si="10">N29+M30</f>
        <v>5321</v>
      </c>
      <c r="O30" s="233">
        <f t="shared" ref="O30" ca="1" si="11">O29+N30</f>
        <v>5321</v>
      </c>
      <c r="P30" s="348">
        <f t="shared" ref="P30" ca="1" si="12">P29+O30</f>
        <v>5321</v>
      </c>
    </row>
    <row r="31" spans="2:16" x14ac:dyDescent="0.25">
      <c r="B31" s="322" t="s">
        <v>438</v>
      </c>
      <c r="C31" s="327"/>
      <c r="D31" s="76"/>
      <c r="E31" s="123"/>
      <c r="F31" s="352">
        <f ca="1">F30/$C29</f>
        <v>0</v>
      </c>
      <c r="G31" s="351">
        <f t="shared" ref="G31:P31" ca="1" si="13">G30/$C29</f>
        <v>0</v>
      </c>
      <c r="H31" s="351">
        <f t="shared" ca="1" si="13"/>
        <v>0.5</v>
      </c>
      <c r="I31" s="352">
        <f t="shared" ca="1" si="13"/>
        <v>1</v>
      </c>
      <c r="J31" s="351">
        <f t="shared" ca="1" si="13"/>
        <v>1</v>
      </c>
      <c r="K31" s="351">
        <f t="shared" ca="1" si="13"/>
        <v>1</v>
      </c>
      <c r="L31" s="351">
        <f t="shared" ca="1" si="13"/>
        <v>1</v>
      </c>
      <c r="M31" s="352">
        <f t="shared" ca="1" si="13"/>
        <v>1</v>
      </c>
      <c r="N31" s="351">
        <f t="shared" ca="1" si="13"/>
        <v>1</v>
      </c>
      <c r="O31" s="351">
        <f t="shared" ca="1" si="13"/>
        <v>1</v>
      </c>
      <c r="P31" s="352">
        <f t="shared" ca="1" si="13"/>
        <v>1</v>
      </c>
    </row>
    <row r="32" spans="2:16" x14ac:dyDescent="0.25">
      <c r="B32" s="330"/>
      <c r="C32" s="382"/>
      <c r="D32" s="76"/>
      <c r="E32" s="76"/>
      <c r="F32" s="357"/>
      <c r="G32" s="363"/>
      <c r="H32" s="363"/>
      <c r="I32" s="357"/>
      <c r="J32" s="363"/>
      <c r="K32" s="363"/>
      <c r="L32" s="363"/>
      <c r="M32" s="357"/>
      <c r="N32" s="363"/>
      <c r="O32" s="363"/>
      <c r="P32" s="357"/>
    </row>
    <row r="33" spans="2:16" x14ac:dyDescent="0.25">
      <c r="B33" s="324" t="s">
        <v>428</v>
      </c>
      <c r="C33" s="349">
        <f ca="1">SUM(F33:P33)</f>
        <v>29221</v>
      </c>
      <c r="D33" s="227"/>
      <c r="E33" s="350"/>
      <c r="F33" s="287">
        <f>'Development Schedule'!E14</f>
        <v>0</v>
      </c>
      <c r="G33" s="229">
        <f ca="1">'Development Schedule'!F14</f>
        <v>0</v>
      </c>
      <c r="H33" s="229">
        <f ca="1">'Development Schedule'!G14</f>
        <v>0</v>
      </c>
      <c r="I33" s="287">
        <f ca="1">'Development Schedule'!H14</f>
        <v>0</v>
      </c>
      <c r="J33" s="229">
        <f ca="1">'Development Schedule'!I14</f>
        <v>0</v>
      </c>
      <c r="K33" s="229">
        <f>'Development Schedule'!J14</f>
        <v>9740.3333333333339</v>
      </c>
      <c r="L33" s="229">
        <f>'Development Schedule'!K14</f>
        <v>9740.3333333333339</v>
      </c>
      <c r="M33" s="287">
        <f>'Development Schedule'!L14</f>
        <v>9740.3333333333339</v>
      </c>
      <c r="N33" s="229">
        <f ca="1">'Development Schedule'!M14</f>
        <v>0</v>
      </c>
      <c r="O33" s="229">
        <f ca="1">'Development Schedule'!N14</f>
        <v>0</v>
      </c>
      <c r="P33" s="287">
        <f ca="1">'Development Schedule'!O14</f>
        <v>0</v>
      </c>
    </row>
    <row r="34" spans="2:16" x14ac:dyDescent="0.25">
      <c r="B34" s="322" t="s">
        <v>439</v>
      </c>
      <c r="C34" s="327"/>
      <c r="D34" s="76"/>
      <c r="E34" s="123"/>
      <c r="F34" s="348">
        <f>F33+E34</f>
        <v>0</v>
      </c>
      <c r="G34" s="233">
        <f t="shared" ref="G34" ca="1" si="14">G33+F34</f>
        <v>0</v>
      </c>
      <c r="H34" s="233">
        <f t="shared" ref="H34" ca="1" si="15">H33+G34</f>
        <v>0</v>
      </c>
      <c r="I34" s="348">
        <f t="shared" ref="I34" ca="1" si="16">I33+H34</f>
        <v>0</v>
      </c>
      <c r="J34" s="233">
        <f t="shared" ref="J34" ca="1" si="17">J33+I34</f>
        <v>0</v>
      </c>
      <c r="K34" s="233">
        <f t="shared" ref="K34" ca="1" si="18">K33+J34</f>
        <v>9740.3333333333339</v>
      </c>
      <c r="L34" s="233">
        <f t="shared" ref="L34" ca="1" si="19">L33+K34</f>
        <v>19480.666666666668</v>
      </c>
      <c r="M34" s="348">
        <f t="shared" ref="M34" ca="1" si="20">M33+L34</f>
        <v>29221</v>
      </c>
      <c r="N34" s="233">
        <f t="shared" ref="N34" ca="1" si="21">N33+M34</f>
        <v>29221</v>
      </c>
      <c r="O34" s="233">
        <f t="shared" ref="O34" ca="1" si="22">O33+N34</f>
        <v>29221</v>
      </c>
      <c r="P34" s="348">
        <f t="shared" ref="P34" ca="1" si="23">P33+O34</f>
        <v>29221</v>
      </c>
    </row>
    <row r="35" spans="2:16" x14ac:dyDescent="0.25">
      <c r="B35" s="322" t="s">
        <v>438</v>
      </c>
      <c r="C35" s="327"/>
      <c r="D35" s="76"/>
      <c r="E35" s="123"/>
      <c r="F35" s="352">
        <f ca="1">F34/$C33</f>
        <v>0</v>
      </c>
      <c r="G35" s="351">
        <f t="shared" ref="G35" ca="1" si="24">G34/$C33</f>
        <v>0</v>
      </c>
      <c r="H35" s="351">
        <f t="shared" ref="H35" ca="1" si="25">H34/$C33</f>
        <v>0</v>
      </c>
      <c r="I35" s="352">
        <f t="shared" ref="I35" ca="1" si="26">I34/$C33</f>
        <v>0</v>
      </c>
      <c r="J35" s="351">
        <f t="shared" ref="J35" ca="1" si="27">J34/$C33</f>
        <v>0</v>
      </c>
      <c r="K35" s="351">
        <f t="shared" ref="K35" ca="1" si="28">K34/$C33</f>
        <v>0.33333333333333337</v>
      </c>
      <c r="L35" s="351">
        <f t="shared" ref="L35" ca="1" si="29">L34/$C33</f>
        <v>0.66666666666666674</v>
      </c>
      <c r="M35" s="352">
        <f t="shared" ref="M35" ca="1" si="30">M34/$C33</f>
        <v>1</v>
      </c>
      <c r="N35" s="351">
        <f t="shared" ref="N35" ca="1" si="31">N34/$C33</f>
        <v>1</v>
      </c>
      <c r="O35" s="351">
        <f t="shared" ref="O35" ca="1" si="32">O34/$C33</f>
        <v>1</v>
      </c>
      <c r="P35" s="352">
        <f t="shared" ref="P35" ca="1" si="33">P34/$C33</f>
        <v>1</v>
      </c>
    </row>
    <row r="36" spans="2:16" x14ac:dyDescent="0.25">
      <c r="B36" s="330"/>
      <c r="C36" s="382"/>
      <c r="D36" s="76"/>
      <c r="E36" s="76"/>
      <c r="F36" s="357"/>
      <c r="G36" s="363"/>
      <c r="H36" s="363"/>
      <c r="I36" s="357"/>
      <c r="J36" s="363"/>
      <c r="K36" s="363"/>
      <c r="L36" s="363"/>
      <c r="M36" s="357"/>
      <c r="N36" s="363"/>
      <c r="O36" s="363"/>
      <c r="P36" s="357"/>
    </row>
    <row r="37" spans="2:16" x14ac:dyDescent="0.25">
      <c r="B37" s="324" t="s">
        <v>429</v>
      </c>
      <c r="C37" s="349">
        <f ca="1">SUM(F37:P37)</f>
        <v>22537</v>
      </c>
      <c r="D37" s="227"/>
      <c r="E37" s="350"/>
      <c r="F37" s="287">
        <f>'Development Schedule'!E15</f>
        <v>0</v>
      </c>
      <c r="G37" s="229">
        <f>'Development Schedule'!F15</f>
        <v>7512.333333333333</v>
      </c>
      <c r="H37" s="229">
        <f>'Development Schedule'!G15</f>
        <v>7512.333333333333</v>
      </c>
      <c r="I37" s="287">
        <f>'Development Schedule'!H15</f>
        <v>7512.333333333333</v>
      </c>
      <c r="J37" s="229">
        <f ca="1">'Development Schedule'!I15</f>
        <v>0</v>
      </c>
      <c r="K37" s="229">
        <f ca="1">'Development Schedule'!J15</f>
        <v>0</v>
      </c>
      <c r="L37" s="229">
        <f ca="1">'Development Schedule'!K15</f>
        <v>0</v>
      </c>
      <c r="M37" s="287">
        <f ca="1">'Development Schedule'!L15</f>
        <v>0</v>
      </c>
      <c r="N37" s="229">
        <f ca="1">'Development Schedule'!M15</f>
        <v>0</v>
      </c>
      <c r="O37" s="229">
        <f ca="1">'Development Schedule'!N15</f>
        <v>0</v>
      </c>
      <c r="P37" s="287">
        <f ca="1">'Development Schedule'!O15</f>
        <v>0</v>
      </c>
    </row>
    <row r="38" spans="2:16" x14ac:dyDescent="0.25">
      <c r="B38" s="322" t="s">
        <v>450</v>
      </c>
      <c r="C38" s="327"/>
      <c r="D38" s="76"/>
      <c r="E38" s="123"/>
      <c r="F38" s="348">
        <f>F37+E38</f>
        <v>0</v>
      </c>
      <c r="G38" s="233">
        <f t="shared" ref="G38" si="34">G37+F38</f>
        <v>7512.333333333333</v>
      </c>
      <c r="H38" s="233">
        <f t="shared" ref="H38" si="35">H37+G38</f>
        <v>15024.666666666666</v>
      </c>
      <c r="I38" s="348">
        <f t="shared" ref="I38" si="36">I37+H38</f>
        <v>22537</v>
      </c>
      <c r="J38" s="233">
        <f t="shared" ref="J38" ca="1" si="37">J37+I38</f>
        <v>22537</v>
      </c>
      <c r="K38" s="233">
        <f t="shared" ref="K38" ca="1" si="38">K37+J38</f>
        <v>22537</v>
      </c>
      <c r="L38" s="233">
        <f t="shared" ref="L38" ca="1" si="39">L37+K38</f>
        <v>22537</v>
      </c>
      <c r="M38" s="348">
        <f t="shared" ref="M38" ca="1" si="40">M37+L38</f>
        <v>22537</v>
      </c>
      <c r="N38" s="233">
        <f t="shared" ref="N38" ca="1" si="41">N37+M38</f>
        <v>22537</v>
      </c>
      <c r="O38" s="233">
        <f t="shared" ref="O38" ca="1" si="42">O37+N38</f>
        <v>22537</v>
      </c>
      <c r="P38" s="348">
        <f t="shared" ref="P38" ca="1" si="43">P37+O38</f>
        <v>22537</v>
      </c>
    </row>
    <row r="39" spans="2:16" x14ac:dyDescent="0.25">
      <c r="B39" s="322" t="s">
        <v>438</v>
      </c>
      <c r="C39" s="327"/>
      <c r="D39" s="76"/>
      <c r="E39" s="123"/>
      <c r="F39" s="352">
        <f ca="1">F38/$C37</f>
        <v>0</v>
      </c>
      <c r="G39" s="351">
        <f t="shared" ref="G39" ca="1" si="44">G38/$C37</f>
        <v>0.33333333333333331</v>
      </c>
      <c r="H39" s="351">
        <f t="shared" ref="H39" ca="1" si="45">H38/$C37</f>
        <v>0.66666666666666663</v>
      </c>
      <c r="I39" s="352">
        <f t="shared" ref="I39" ca="1" si="46">I38/$C37</f>
        <v>1</v>
      </c>
      <c r="J39" s="351">
        <f t="shared" ref="J39" ca="1" si="47">J38/$C37</f>
        <v>1</v>
      </c>
      <c r="K39" s="351">
        <f t="shared" ref="K39" ca="1" si="48">K38/$C37</f>
        <v>1</v>
      </c>
      <c r="L39" s="351">
        <f t="shared" ref="L39" ca="1" si="49">L38/$C37</f>
        <v>1</v>
      </c>
      <c r="M39" s="352">
        <f t="shared" ref="M39" ca="1" si="50">M38/$C37</f>
        <v>1</v>
      </c>
      <c r="N39" s="351">
        <f t="shared" ref="N39" ca="1" si="51">N38/$C37</f>
        <v>1</v>
      </c>
      <c r="O39" s="351">
        <f t="shared" ref="O39" ca="1" si="52">O38/$C37</f>
        <v>1</v>
      </c>
      <c r="P39" s="352">
        <f t="shared" ref="P39" ca="1" si="53">P38/$C37</f>
        <v>1</v>
      </c>
    </row>
    <row r="40" spans="2:16" x14ac:dyDescent="0.25">
      <c r="B40" s="330"/>
      <c r="C40" s="382"/>
      <c r="D40" s="76"/>
      <c r="E40" s="76"/>
      <c r="F40" s="357"/>
      <c r="G40" s="363"/>
      <c r="H40" s="363"/>
      <c r="I40" s="357"/>
      <c r="J40" s="363"/>
      <c r="K40" s="363"/>
      <c r="L40" s="363"/>
      <c r="M40" s="357"/>
      <c r="N40" s="363"/>
      <c r="O40" s="363"/>
      <c r="P40" s="357"/>
    </row>
    <row r="41" spans="2:16" x14ac:dyDescent="0.25">
      <c r="B41" s="324" t="s">
        <v>430</v>
      </c>
      <c r="C41" s="349">
        <f ca="1">SUM(F41:P41)</f>
        <v>14891</v>
      </c>
      <c r="D41" s="227"/>
      <c r="E41" s="350"/>
      <c r="F41" s="287">
        <f>'Development Schedule'!E16</f>
        <v>0</v>
      </c>
      <c r="G41" s="229">
        <f ca="1">'Development Schedule'!F16</f>
        <v>0</v>
      </c>
      <c r="H41" s="229">
        <f ca="1">'Development Schedule'!G16</f>
        <v>0</v>
      </c>
      <c r="I41" s="287">
        <f ca="1">'Development Schedule'!H16</f>
        <v>0</v>
      </c>
      <c r="J41" s="229">
        <f>'Development Schedule'!I16</f>
        <v>3722.75</v>
      </c>
      <c r="K41" s="229">
        <f>'Development Schedule'!J16</f>
        <v>3722.75</v>
      </c>
      <c r="L41" s="229">
        <f>'Development Schedule'!K16</f>
        <v>3722.75</v>
      </c>
      <c r="M41" s="287">
        <f>'Development Schedule'!L16</f>
        <v>3722.75</v>
      </c>
      <c r="N41" s="229">
        <f ca="1">'Development Schedule'!M16</f>
        <v>0</v>
      </c>
      <c r="O41" s="229">
        <f ca="1">'Development Schedule'!N16</f>
        <v>0</v>
      </c>
      <c r="P41" s="287">
        <f ca="1">'Development Schedule'!O16</f>
        <v>0</v>
      </c>
    </row>
    <row r="42" spans="2:16" x14ac:dyDescent="0.25">
      <c r="B42" s="322" t="s">
        <v>449</v>
      </c>
      <c r="C42" s="327"/>
      <c r="D42" s="76"/>
      <c r="E42" s="123"/>
      <c r="F42" s="348">
        <f>F41+E42</f>
        <v>0</v>
      </c>
      <c r="G42" s="233">
        <f t="shared" ref="G42" ca="1" si="54">G41+F42</f>
        <v>0</v>
      </c>
      <c r="H42" s="233">
        <f t="shared" ref="H42" ca="1" si="55">H41+G42</f>
        <v>0</v>
      </c>
      <c r="I42" s="348">
        <f t="shared" ref="I42" ca="1" si="56">I41+H42</f>
        <v>0</v>
      </c>
      <c r="J42" s="233">
        <f t="shared" ref="J42" ca="1" si="57">J41+I42</f>
        <v>3722.75</v>
      </c>
      <c r="K42" s="233">
        <f t="shared" ref="K42" ca="1" si="58">K41+J42</f>
        <v>7445.5</v>
      </c>
      <c r="L42" s="233">
        <f t="shared" ref="L42" ca="1" si="59">L41+K42</f>
        <v>11168.25</v>
      </c>
      <c r="M42" s="348">
        <f t="shared" ref="M42" ca="1" si="60">M41+L42</f>
        <v>14891</v>
      </c>
      <c r="N42" s="233">
        <f t="shared" ref="N42" ca="1" si="61">N41+M42</f>
        <v>14891</v>
      </c>
      <c r="O42" s="233">
        <f t="shared" ref="O42" ca="1" si="62">O41+N42</f>
        <v>14891</v>
      </c>
      <c r="P42" s="348">
        <f t="shared" ref="P42" ca="1" si="63">P41+O42</f>
        <v>14891</v>
      </c>
    </row>
    <row r="43" spans="2:16" x14ac:dyDescent="0.25">
      <c r="B43" s="322" t="s">
        <v>438</v>
      </c>
      <c r="C43" s="327"/>
      <c r="D43" s="76"/>
      <c r="E43" s="123"/>
      <c r="F43" s="352">
        <f ca="1">F42/$C41</f>
        <v>0</v>
      </c>
      <c r="G43" s="351">
        <f t="shared" ref="G43" ca="1" si="64">G42/$C41</f>
        <v>0</v>
      </c>
      <c r="H43" s="351">
        <f t="shared" ref="H43" ca="1" si="65">H42/$C41</f>
        <v>0</v>
      </c>
      <c r="I43" s="352">
        <f t="shared" ref="I43" ca="1" si="66">I42/$C41</f>
        <v>0</v>
      </c>
      <c r="J43" s="351">
        <f t="shared" ref="J43" ca="1" si="67">J42/$C41</f>
        <v>0.25</v>
      </c>
      <c r="K43" s="351">
        <f t="shared" ref="K43" ca="1" si="68">K42/$C41</f>
        <v>0.5</v>
      </c>
      <c r="L43" s="351">
        <f t="shared" ref="L43" ca="1" si="69">L42/$C41</f>
        <v>0.75</v>
      </c>
      <c r="M43" s="352">
        <f t="shared" ref="M43" ca="1" si="70">M42/$C41</f>
        <v>1</v>
      </c>
      <c r="N43" s="351">
        <f t="shared" ref="N43" ca="1" si="71">N42/$C41</f>
        <v>1</v>
      </c>
      <c r="O43" s="351">
        <f t="shared" ref="O43" ca="1" si="72">O42/$C41</f>
        <v>1</v>
      </c>
      <c r="P43" s="352">
        <f t="shared" ref="P43" ca="1" si="73">P42/$C41</f>
        <v>1</v>
      </c>
    </row>
    <row r="44" spans="2:16" x14ac:dyDescent="0.25">
      <c r="B44" s="330"/>
      <c r="C44" s="382"/>
      <c r="D44" s="76"/>
      <c r="E44" s="76"/>
      <c r="F44" s="357"/>
      <c r="G44" s="363"/>
      <c r="H44" s="363"/>
      <c r="I44" s="357"/>
      <c r="J44" s="363"/>
      <c r="K44" s="363"/>
      <c r="L44" s="363"/>
      <c r="M44" s="357"/>
      <c r="N44" s="363"/>
      <c r="O44" s="363"/>
      <c r="P44" s="357"/>
    </row>
    <row r="45" spans="2:16" x14ac:dyDescent="0.25">
      <c r="B45" s="324" t="s">
        <v>431</v>
      </c>
      <c r="C45" s="349">
        <f ca="1">SUM(F45:P45)</f>
        <v>12669</v>
      </c>
      <c r="D45" s="227"/>
      <c r="E45" s="350"/>
      <c r="F45" s="287">
        <f>'Development Schedule'!E17</f>
        <v>0</v>
      </c>
      <c r="G45" s="229">
        <f ca="1">'Development Schedule'!F17</f>
        <v>0</v>
      </c>
      <c r="H45" s="229">
        <f ca="1">'Development Schedule'!G17</f>
        <v>0</v>
      </c>
      <c r="I45" s="287">
        <f ca="1">'Development Schedule'!H17</f>
        <v>0</v>
      </c>
      <c r="J45" s="229">
        <f ca="1">'Development Schedule'!I17</f>
        <v>0</v>
      </c>
      <c r="K45" s="229">
        <f ca="1">'Development Schedule'!J17</f>
        <v>0</v>
      </c>
      <c r="L45" s="229">
        <f ca="1">'Development Schedule'!K17</f>
        <v>0</v>
      </c>
      <c r="M45" s="287">
        <f ca="1">'Development Schedule'!L17</f>
        <v>0</v>
      </c>
      <c r="N45" s="229">
        <f>'Development Schedule'!M17</f>
        <v>4223</v>
      </c>
      <c r="O45" s="229">
        <f>'Development Schedule'!N17</f>
        <v>4223</v>
      </c>
      <c r="P45" s="287">
        <f>'Development Schedule'!O17</f>
        <v>4223</v>
      </c>
    </row>
    <row r="46" spans="2:16" x14ac:dyDescent="0.25">
      <c r="B46" s="322" t="s">
        <v>448</v>
      </c>
      <c r="C46" s="327"/>
      <c r="D46" s="76"/>
      <c r="E46" s="123"/>
      <c r="F46" s="348">
        <f>F45+E46</f>
        <v>0</v>
      </c>
      <c r="G46" s="233">
        <f t="shared" ref="G46" ca="1" si="74">G45+F46</f>
        <v>0</v>
      </c>
      <c r="H46" s="233">
        <f t="shared" ref="H46" ca="1" si="75">H45+G46</f>
        <v>0</v>
      </c>
      <c r="I46" s="348">
        <f t="shared" ref="I46" ca="1" si="76">I45+H46</f>
        <v>0</v>
      </c>
      <c r="J46" s="233">
        <f t="shared" ref="J46" ca="1" si="77">J45+I46</f>
        <v>0</v>
      </c>
      <c r="K46" s="233">
        <f t="shared" ref="K46" ca="1" si="78">K45+J46</f>
        <v>0</v>
      </c>
      <c r="L46" s="233">
        <f t="shared" ref="L46" ca="1" si="79">L45+K46</f>
        <v>0</v>
      </c>
      <c r="M46" s="348">
        <f t="shared" ref="M46" ca="1" si="80">M45+L46</f>
        <v>0</v>
      </c>
      <c r="N46" s="233">
        <f t="shared" ref="N46" ca="1" si="81">N45+M46</f>
        <v>4223</v>
      </c>
      <c r="O46" s="233">
        <f t="shared" ref="O46" ca="1" si="82">O45+N46</f>
        <v>8446</v>
      </c>
      <c r="P46" s="348">
        <f t="shared" ref="P46" ca="1" si="83">P45+O46</f>
        <v>12669</v>
      </c>
    </row>
    <row r="47" spans="2:16" x14ac:dyDescent="0.25">
      <c r="B47" s="322" t="s">
        <v>438</v>
      </c>
      <c r="C47" s="327"/>
      <c r="D47" s="76"/>
      <c r="E47" s="123"/>
      <c r="F47" s="352">
        <f ca="1">F46/$C45</f>
        <v>0</v>
      </c>
      <c r="G47" s="351">
        <f t="shared" ref="G47" ca="1" si="84">G46/$C45</f>
        <v>0</v>
      </c>
      <c r="H47" s="351">
        <f t="shared" ref="H47" ca="1" si="85">H46/$C45</f>
        <v>0</v>
      </c>
      <c r="I47" s="352">
        <f t="shared" ref="I47" ca="1" si="86">I46/$C45</f>
        <v>0</v>
      </c>
      <c r="J47" s="351">
        <f t="shared" ref="J47" ca="1" si="87">J46/$C45</f>
        <v>0</v>
      </c>
      <c r="K47" s="351">
        <f t="shared" ref="K47" ca="1" si="88">K46/$C45</f>
        <v>0</v>
      </c>
      <c r="L47" s="351">
        <f t="shared" ref="L47" ca="1" si="89">L46/$C45</f>
        <v>0</v>
      </c>
      <c r="M47" s="352">
        <f t="shared" ref="M47" ca="1" si="90">M46/$C45</f>
        <v>0</v>
      </c>
      <c r="N47" s="351">
        <f t="shared" ref="N47" ca="1" si="91">N46/$C45</f>
        <v>0.33333333333333331</v>
      </c>
      <c r="O47" s="351">
        <f t="shared" ref="O47" ca="1" si="92">O46/$C45</f>
        <v>0.66666666666666663</v>
      </c>
      <c r="P47" s="352">
        <f t="shared" ref="P47" ca="1" si="93">P46/$C45</f>
        <v>1</v>
      </c>
    </row>
    <row r="48" spans="2:16" x14ac:dyDescent="0.25">
      <c r="B48" s="330"/>
      <c r="C48" s="382"/>
      <c r="D48" s="76"/>
      <c r="E48" s="76"/>
      <c r="F48" s="357"/>
      <c r="G48" s="363"/>
      <c r="H48" s="363"/>
      <c r="I48" s="357"/>
      <c r="J48" s="363"/>
      <c r="K48" s="363"/>
      <c r="L48" s="363"/>
      <c r="M48" s="357"/>
      <c r="N48" s="363"/>
      <c r="O48" s="363"/>
      <c r="P48" s="357"/>
    </row>
    <row r="49" spans="2:16" x14ac:dyDescent="0.25">
      <c r="B49" s="324" t="s">
        <v>433</v>
      </c>
      <c r="C49" s="349">
        <f>SUM(F49:P49)</f>
        <v>93310</v>
      </c>
      <c r="D49" s="227"/>
      <c r="E49" s="350"/>
      <c r="F49" s="287">
        <f>'Development Schedule'!E18</f>
        <v>0</v>
      </c>
      <c r="G49" s="229">
        <f>'Development Schedule'!F18</f>
        <v>9331</v>
      </c>
      <c r="H49" s="229">
        <f>'Development Schedule'!G18</f>
        <v>9331</v>
      </c>
      <c r="I49" s="287">
        <f>'Development Schedule'!H18</f>
        <v>9331</v>
      </c>
      <c r="J49" s="229">
        <f>'Development Schedule'!I18</f>
        <v>9331</v>
      </c>
      <c r="K49" s="229">
        <f>'Development Schedule'!J18</f>
        <v>9331</v>
      </c>
      <c r="L49" s="229">
        <f>'Development Schedule'!K18</f>
        <v>9331</v>
      </c>
      <c r="M49" s="287">
        <f>'Development Schedule'!L18</f>
        <v>9331</v>
      </c>
      <c r="N49" s="229">
        <f>'Development Schedule'!M18</f>
        <v>9331</v>
      </c>
      <c r="O49" s="229">
        <f>'Development Schedule'!N18</f>
        <v>9331</v>
      </c>
      <c r="P49" s="287">
        <f>'Development Schedule'!O18</f>
        <v>9331</v>
      </c>
    </row>
    <row r="50" spans="2:16" x14ac:dyDescent="0.25">
      <c r="B50" s="322" t="s">
        <v>447</v>
      </c>
      <c r="C50" s="327"/>
      <c r="D50" s="76"/>
      <c r="E50" s="123"/>
      <c r="F50" s="348">
        <f>F49+E50</f>
        <v>0</v>
      </c>
      <c r="G50" s="233">
        <f t="shared" ref="G50" si="94">G49+F50</f>
        <v>9331</v>
      </c>
      <c r="H50" s="233">
        <f t="shared" ref="H50" si="95">H49+G50</f>
        <v>18662</v>
      </c>
      <c r="I50" s="348">
        <f t="shared" ref="I50" si="96">I49+H50</f>
        <v>27993</v>
      </c>
      <c r="J50" s="233">
        <f t="shared" ref="J50" si="97">J49+I50</f>
        <v>37324</v>
      </c>
      <c r="K50" s="233">
        <f t="shared" ref="K50" si="98">K49+J50</f>
        <v>46655</v>
      </c>
      <c r="L50" s="233">
        <f t="shared" ref="L50" si="99">L49+K50</f>
        <v>55986</v>
      </c>
      <c r="M50" s="348">
        <f t="shared" ref="M50" si="100">M49+L50</f>
        <v>65317</v>
      </c>
      <c r="N50" s="233">
        <f t="shared" ref="N50" si="101">N49+M50</f>
        <v>74648</v>
      </c>
      <c r="O50" s="233">
        <f t="shared" ref="O50" si="102">O49+N50</f>
        <v>83979</v>
      </c>
      <c r="P50" s="348">
        <f t="shared" ref="P50" si="103">P49+O50</f>
        <v>93310</v>
      </c>
    </row>
    <row r="51" spans="2:16" x14ac:dyDescent="0.25">
      <c r="B51" s="322" t="s">
        <v>438</v>
      </c>
      <c r="C51" s="327"/>
      <c r="D51" s="76"/>
      <c r="E51" s="123"/>
      <c r="F51" s="352">
        <f>F50/$C49</f>
        <v>0</v>
      </c>
      <c r="G51" s="351">
        <f t="shared" ref="G51" si="104">G50/$C49</f>
        <v>0.1</v>
      </c>
      <c r="H51" s="351">
        <f t="shared" ref="H51" si="105">H50/$C49</f>
        <v>0.2</v>
      </c>
      <c r="I51" s="352">
        <f t="shared" ref="I51" si="106">I50/$C49</f>
        <v>0.3</v>
      </c>
      <c r="J51" s="351">
        <f t="shared" ref="J51" si="107">J50/$C49</f>
        <v>0.4</v>
      </c>
      <c r="K51" s="351">
        <f t="shared" ref="K51" si="108">K50/$C49</f>
        <v>0.5</v>
      </c>
      <c r="L51" s="351">
        <f t="shared" ref="L51" si="109">L50/$C49</f>
        <v>0.6</v>
      </c>
      <c r="M51" s="352">
        <f t="shared" ref="M51" si="110">M50/$C49</f>
        <v>0.7</v>
      </c>
      <c r="N51" s="351">
        <f t="shared" ref="N51" si="111">N50/$C49</f>
        <v>0.8</v>
      </c>
      <c r="O51" s="351">
        <f t="shared" ref="O51" si="112">O50/$C49</f>
        <v>0.9</v>
      </c>
      <c r="P51" s="352">
        <f t="shared" ref="P51" si="113">P50/$C49</f>
        <v>1</v>
      </c>
    </row>
    <row r="52" spans="2:16" x14ac:dyDescent="0.25">
      <c r="B52" s="330"/>
      <c r="C52" s="382"/>
      <c r="D52" s="76"/>
      <c r="E52" s="76"/>
      <c r="F52" s="357"/>
      <c r="G52" s="363"/>
      <c r="H52" s="363"/>
      <c r="I52" s="357"/>
      <c r="J52" s="363"/>
      <c r="K52" s="363"/>
      <c r="L52" s="363"/>
      <c r="M52" s="357"/>
      <c r="N52" s="363"/>
      <c r="O52" s="363"/>
      <c r="P52" s="357"/>
    </row>
    <row r="53" spans="2:16" x14ac:dyDescent="0.25">
      <c r="B53" s="324" t="s">
        <v>442</v>
      </c>
      <c r="C53" s="349">
        <f>SUM(F53:P53)</f>
        <v>34680</v>
      </c>
      <c r="D53" s="227"/>
      <c r="E53" s="350"/>
      <c r="F53" s="287">
        <f>'Development Schedule'!E19</f>
        <v>0</v>
      </c>
      <c r="G53" s="229">
        <f>'Development Schedule'!F19</f>
        <v>3468</v>
      </c>
      <c r="H53" s="229">
        <f>'Development Schedule'!G19</f>
        <v>3468</v>
      </c>
      <c r="I53" s="287">
        <f>'Development Schedule'!H19</f>
        <v>3468</v>
      </c>
      <c r="J53" s="229">
        <f>'Development Schedule'!I19</f>
        <v>3468</v>
      </c>
      <c r="K53" s="229">
        <f>'Development Schedule'!J19</f>
        <v>3468</v>
      </c>
      <c r="L53" s="229">
        <f>'Development Schedule'!K19</f>
        <v>3468</v>
      </c>
      <c r="M53" s="287">
        <f>'Development Schedule'!L19</f>
        <v>3468</v>
      </c>
      <c r="N53" s="229">
        <f>'Development Schedule'!M19</f>
        <v>3468</v>
      </c>
      <c r="O53" s="229">
        <f>'Development Schedule'!N19</f>
        <v>3468</v>
      </c>
      <c r="P53" s="287">
        <f>'Development Schedule'!O19</f>
        <v>3468</v>
      </c>
    </row>
    <row r="54" spans="2:16" x14ac:dyDescent="0.25">
      <c r="B54" s="322" t="s">
        <v>443</v>
      </c>
      <c r="C54" s="327"/>
      <c r="D54" s="76"/>
      <c r="E54" s="123"/>
      <c r="F54" s="348">
        <f>F53+E54</f>
        <v>0</v>
      </c>
      <c r="G54" s="233">
        <f t="shared" ref="G54" si="114">G53+F54</f>
        <v>3468</v>
      </c>
      <c r="H54" s="233">
        <f t="shared" ref="H54" si="115">H53+G54</f>
        <v>6936</v>
      </c>
      <c r="I54" s="348">
        <f t="shared" ref="I54" si="116">I53+H54</f>
        <v>10404</v>
      </c>
      <c r="J54" s="233">
        <f t="shared" ref="J54" si="117">J53+I54</f>
        <v>13872</v>
      </c>
      <c r="K54" s="233">
        <f t="shared" ref="K54" si="118">K53+J54</f>
        <v>17340</v>
      </c>
      <c r="L54" s="233">
        <f t="shared" ref="L54" si="119">L53+K54</f>
        <v>20808</v>
      </c>
      <c r="M54" s="348">
        <f t="shared" ref="M54" si="120">M53+L54</f>
        <v>24276</v>
      </c>
      <c r="N54" s="233">
        <f t="shared" ref="N54" si="121">N53+M54</f>
        <v>27744</v>
      </c>
      <c r="O54" s="233">
        <f t="shared" ref="O54" si="122">O53+N54</f>
        <v>31212</v>
      </c>
      <c r="P54" s="348">
        <f t="shared" ref="P54" si="123">P53+O54</f>
        <v>34680</v>
      </c>
    </row>
    <row r="55" spans="2:16" x14ac:dyDescent="0.25">
      <c r="B55" s="322" t="s">
        <v>438</v>
      </c>
      <c r="C55" s="327"/>
      <c r="D55" s="76"/>
      <c r="E55" s="123"/>
      <c r="F55" s="352">
        <f>F54/$C53</f>
        <v>0</v>
      </c>
      <c r="G55" s="351">
        <f t="shared" ref="G55" si="124">G54/$C53</f>
        <v>0.1</v>
      </c>
      <c r="H55" s="351">
        <f t="shared" ref="H55" si="125">H54/$C53</f>
        <v>0.2</v>
      </c>
      <c r="I55" s="352">
        <f t="shared" ref="I55" si="126">I54/$C53</f>
        <v>0.3</v>
      </c>
      <c r="J55" s="351">
        <f t="shared" ref="J55" si="127">J54/$C53</f>
        <v>0.4</v>
      </c>
      <c r="K55" s="351">
        <f t="shared" ref="K55" si="128">K54/$C53</f>
        <v>0.5</v>
      </c>
      <c r="L55" s="351">
        <f t="shared" ref="L55" si="129">L54/$C53</f>
        <v>0.6</v>
      </c>
      <c r="M55" s="352">
        <f t="shared" ref="M55" si="130">M54/$C53</f>
        <v>0.7</v>
      </c>
      <c r="N55" s="351">
        <f t="shared" ref="N55" si="131">N54/$C53</f>
        <v>0.8</v>
      </c>
      <c r="O55" s="351">
        <f t="shared" ref="O55" si="132">O54/$C53</f>
        <v>0.9</v>
      </c>
      <c r="P55" s="352">
        <f t="shared" ref="P55" si="133">P54/$C53</f>
        <v>1</v>
      </c>
    </row>
    <row r="56" spans="2:16" x14ac:dyDescent="0.25">
      <c r="B56" s="322"/>
      <c r="C56" s="327"/>
      <c r="D56" s="76"/>
      <c r="E56" s="123"/>
      <c r="F56" s="352"/>
      <c r="G56" s="351"/>
      <c r="H56" s="351"/>
      <c r="I56" s="352"/>
      <c r="J56" s="351"/>
      <c r="K56" s="351"/>
      <c r="L56" s="351"/>
      <c r="M56" s="352"/>
      <c r="N56" s="351"/>
      <c r="O56" s="351"/>
      <c r="P56" s="352"/>
    </row>
    <row r="57" spans="2:16" x14ac:dyDescent="0.25">
      <c r="B57" s="324" t="s">
        <v>444</v>
      </c>
      <c r="C57" s="349">
        <f>SUM(F57:P57)</f>
        <v>119120</v>
      </c>
      <c r="D57" s="227"/>
      <c r="E57" s="350"/>
      <c r="F57" s="287">
        <f>'Development Schedule'!E20</f>
        <v>0</v>
      </c>
      <c r="G57" s="229">
        <f>'Development Schedule'!F20</f>
        <v>11912</v>
      </c>
      <c r="H57" s="229">
        <f>'Development Schedule'!G20</f>
        <v>11912</v>
      </c>
      <c r="I57" s="287">
        <f>'Development Schedule'!H20</f>
        <v>11912</v>
      </c>
      <c r="J57" s="229">
        <f>'Development Schedule'!I20</f>
        <v>11912</v>
      </c>
      <c r="K57" s="229">
        <f>'Development Schedule'!J20</f>
        <v>11912</v>
      </c>
      <c r="L57" s="229">
        <f>'Development Schedule'!K20</f>
        <v>11912</v>
      </c>
      <c r="M57" s="287">
        <f>'Development Schedule'!L20</f>
        <v>11912</v>
      </c>
      <c r="N57" s="229">
        <f>'Development Schedule'!M20</f>
        <v>11912</v>
      </c>
      <c r="O57" s="229">
        <f>'Development Schedule'!N20</f>
        <v>11912</v>
      </c>
      <c r="P57" s="287">
        <f>'Development Schedule'!O20</f>
        <v>11912</v>
      </c>
    </row>
    <row r="58" spans="2:16" x14ac:dyDescent="0.25">
      <c r="B58" s="322" t="s">
        <v>445</v>
      </c>
      <c r="C58" s="327"/>
      <c r="D58" s="76"/>
      <c r="E58" s="123"/>
      <c r="F58" s="348">
        <f>F57+E58</f>
        <v>0</v>
      </c>
      <c r="G58" s="233">
        <f t="shared" ref="G58" si="134">G57+F58</f>
        <v>11912</v>
      </c>
      <c r="H58" s="233">
        <f t="shared" ref="H58" si="135">H57+G58</f>
        <v>23824</v>
      </c>
      <c r="I58" s="348">
        <f t="shared" ref="I58" si="136">I57+H58</f>
        <v>35736</v>
      </c>
      <c r="J58" s="233">
        <f t="shared" ref="J58" si="137">J57+I58</f>
        <v>47648</v>
      </c>
      <c r="K58" s="233">
        <f t="shared" ref="K58" si="138">K57+J58</f>
        <v>59560</v>
      </c>
      <c r="L58" s="233">
        <f t="shared" ref="L58" si="139">L57+K58</f>
        <v>71472</v>
      </c>
      <c r="M58" s="348">
        <f t="shared" ref="M58" si="140">M57+L58</f>
        <v>83384</v>
      </c>
      <c r="N58" s="233">
        <f t="shared" ref="N58" si="141">N57+M58</f>
        <v>95296</v>
      </c>
      <c r="O58" s="233">
        <f t="shared" ref="O58" si="142">O57+N58</f>
        <v>107208</v>
      </c>
      <c r="P58" s="348">
        <f t="shared" ref="P58" si="143">P57+O58</f>
        <v>119120</v>
      </c>
    </row>
    <row r="59" spans="2:16" x14ac:dyDescent="0.25">
      <c r="B59" s="322" t="s">
        <v>438</v>
      </c>
      <c r="C59" s="327"/>
      <c r="D59" s="76"/>
      <c r="E59" s="123"/>
      <c r="F59" s="352">
        <f>F58/$C57</f>
        <v>0</v>
      </c>
      <c r="G59" s="351">
        <f t="shared" ref="G59" si="144">G58/$C57</f>
        <v>0.1</v>
      </c>
      <c r="H59" s="351">
        <f t="shared" ref="H59" si="145">H58/$C57</f>
        <v>0.2</v>
      </c>
      <c r="I59" s="352">
        <f t="shared" ref="I59" si="146">I58/$C57</f>
        <v>0.3</v>
      </c>
      <c r="J59" s="351">
        <f t="shared" ref="J59" si="147">J58/$C57</f>
        <v>0.4</v>
      </c>
      <c r="K59" s="351">
        <f t="shared" ref="K59" si="148">K58/$C57</f>
        <v>0.5</v>
      </c>
      <c r="L59" s="351">
        <f t="shared" ref="L59" si="149">L58/$C57</f>
        <v>0.6</v>
      </c>
      <c r="M59" s="352">
        <f t="shared" ref="M59" si="150">M58/$C57</f>
        <v>0.7</v>
      </c>
      <c r="N59" s="351">
        <f t="shared" ref="N59" si="151">N58/$C57</f>
        <v>0.8</v>
      </c>
      <c r="O59" s="351">
        <f t="shared" ref="O59" si="152">O58/$C57</f>
        <v>0.9</v>
      </c>
      <c r="P59" s="352">
        <f t="shared" ref="P59" si="153">P58/$C57</f>
        <v>1</v>
      </c>
    </row>
    <row r="60" spans="2:16" x14ac:dyDescent="0.25">
      <c r="B60" s="330"/>
      <c r="C60" s="382"/>
      <c r="D60" s="76"/>
      <c r="E60" s="76"/>
      <c r="F60" s="357"/>
      <c r="G60" s="363"/>
      <c r="H60" s="363"/>
      <c r="I60" s="357"/>
      <c r="J60" s="363"/>
      <c r="K60" s="363"/>
      <c r="L60" s="363"/>
      <c r="M60" s="357"/>
      <c r="N60" s="363"/>
      <c r="O60" s="363"/>
      <c r="P60" s="357"/>
    </row>
    <row r="61" spans="2:16" x14ac:dyDescent="0.25">
      <c r="B61" s="324" t="s">
        <v>436</v>
      </c>
      <c r="C61" s="349">
        <f>SUM(F61:P61)</f>
        <v>142700</v>
      </c>
      <c r="D61" s="227"/>
      <c r="E61" s="350"/>
      <c r="F61" s="287">
        <f>'Development Schedule'!E21</f>
        <v>0</v>
      </c>
      <c r="G61" s="229">
        <f>'Development Schedule'!F21</f>
        <v>14270</v>
      </c>
      <c r="H61" s="229">
        <f>'Development Schedule'!G21</f>
        <v>14270</v>
      </c>
      <c r="I61" s="287">
        <f>'Development Schedule'!H21</f>
        <v>14270</v>
      </c>
      <c r="J61" s="229">
        <f>'Development Schedule'!I21</f>
        <v>14270</v>
      </c>
      <c r="K61" s="229">
        <f>'Development Schedule'!J21</f>
        <v>14270</v>
      </c>
      <c r="L61" s="229">
        <f>'Development Schedule'!K21</f>
        <v>14270</v>
      </c>
      <c r="M61" s="287">
        <f>'Development Schedule'!L21</f>
        <v>14270</v>
      </c>
      <c r="N61" s="229">
        <f>'Development Schedule'!M21</f>
        <v>14270</v>
      </c>
      <c r="O61" s="229">
        <f>'Development Schedule'!N21</f>
        <v>14270</v>
      </c>
      <c r="P61" s="287">
        <f>'Development Schedule'!O21</f>
        <v>14270</v>
      </c>
    </row>
    <row r="62" spans="2:16" x14ac:dyDescent="0.25">
      <c r="B62" s="322" t="s">
        <v>446</v>
      </c>
      <c r="C62" s="327"/>
      <c r="D62" s="76"/>
      <c r="E62" s="123"/>
      <c r="F62" s="348">
        <f>F61+E62</f>
        <v>0</v>
      </c>
      <c r="G62" s="233">
        <f t="shared" ref="G62" si="154">G61+F62</f>
        <v>14270</v>
      </c>
      <c r="H62" s="233">
        <f t="shared" ref="H62" si="155">H61+G62</f>
        <v>28540</v>
      </c>
      <c r="I62" s="348">
        <f t="shared" ref="I62" si="156">I61+H62</f>
        <v>42810</v>
      </c>
      <c r="J62" s="233">
        <f t="shared" ref="J62" si="157">J61+I62</f>
        <v>57080</v>
      </c>
      <c r="K62" s="233">
        <f t="shared" ref="K62" si="158">K61+J62</f>
        <v>71350</v>
      </c>
      <c r="L62" s="233">
        <f t="shared" ref="L62" si="159">L61+K62</f>
        <v>85620</v>
      </c>
      <c r="M62" s="348">
        <f t="shared" ref="M62" si="160">M61+L62</f>
        <v>99890</v>
      </c>
      <c r="N62" s="233">
        <f t="shared" ref="N62" si="161">N61+M62</f>
        <v>114160</v>
      </c>
      <c r="O62" s="233">
        <f t="shared" ref="O62" si="162">O61+N62</f>
        <v>128430</v>
      </c>
      <c r="P62" s="348">
        <f t="shared" ref="P62" si="163">P61+O62</f>
        <v>142700</v>
      </c>
    </row>
    <row r="63" spans="2:16" x14ac:dyDescent="0.25">
      <c r="B63" s="322" t="s">
        <v>438</v>
      </c>
      <c r="C63" s="327"/>
      <c r="D63" s="76"/>
      <c r="E63" s="123"/>
      <c r="F63" s="352">
        <f>F62/$C61</f>
        <v>0</v>
      </c>
      <c r="G63" s="351">
        <f t="shared" ref="G63" si="164">G62/$C61</f>
        <v>0.1</v>
      </c>
      <c r="H63" s="351">
        <f t="shared" ref="H63" si="165">H62/$C61</f>
        <v>0.2</v>
      </c>
      <c r="I63" s="352">
        <f t="shared" ref="I63" si="166">I62/$C61</f>
        <v>0.3</v>
      </c>
      <c r="J63" s="351">
        <f t="shared" ref="J63" si="167">J62/$C61</f>
        <v>0.4</v>
      </c>
      <c r="K63" s="351">
        <f t="shared" ref="K63" si="168">K62/$C61</f>
        <v>0.5</v>
      </c>
      <c r="L63" s="351">
        <f t="shared" ref="L63" si="169">L62/$C61</f>
        <v>0.6</v>
      </c>
      <c r="M63" s="352">
        <f t="shared" ref="M63" si="170">M62/$C61</f>
        <v>0.7</v>
      </c>
      <c r="N63" s="351">
        <f t="shared" ref="N63" si="171">N62/$C61</f>
        <v>0.8</v>
      </c>
      <c r="O63" s="351">
        <f t="shared" ref="O63" si="172">O62/$C61</f>
        <v>0.9</v>
      </c>
      <c r="P63" s="352">
        <f t="shared" ref="P63" si="173">P62/$C61</f>
        <v>1</v>
      </c>
    </row>
    <row r="64" spans="2:16" x14ac:dyDescent="0.25">
      <c r="B64" s="322"/>
      <c r="C64" s="327"/>
      <c r="D64" s="76"/>
      <c r="E64" s="123"/>
      <c r="F64" s="352"/>
      <c r="G64" s="351"/>
      <c r="H64" s="351"/>
      <c r="I64" s="352"/>
      <c r="J64" s="351"/>
      <c r="K64" s="351"/>
      <c r="L64" s="351"/>
      <c r="M64" s="352"/>
      <c r="N64" s="351"/>
      <c r="O64" s="351"/>
      <c r="P64" s="352"/>
    </row>
    <row r="65" spans="2:16" x14ac:dyDescent="0.25">
      <c r="B65" s="323" t="s">
        <v>173</v>
      </c>
      <c r="C65" s="241" t="s">
        <v>169</v>
      </c>
      <c r="D65" s="123"/>
      <c r="E65" s="123"/>
      <c r="F65" s="291"/>
      <c r="G65" s="240"/>
      <c r="H65" s="240"/>
      <c r="I65" s="291"/>
      <c r="J65" s="240"/>
      <c r="K65" s="240"/>
      <c r="L65" s="240"/>
      <c r="M65" s="291"/>
      <c r="N65" s="240"/>
      <c r="O65" s="240"/>
      <c r="P65" s="291"/>
    </row>
    <row r="66" spans="2:16" x14ac:dyDescent="0.25">
      <c r="B66" s="322" t="s">
        <v>275</v>
      </c>
      <c r="C66" s="354">
        <f>J6</f>
        <v>0</v>
      </c>
      <c r="D66" s="335"/>
      <c r="E66" s="335"/>
      <c r="F66" s="294">
        <f>C66*(1+F67)</f>
        <v>0</v>
      </c>
      <c r="G66" s="341">
        <f t="shared" ref="G66:P66" si="174">F66*(1+G67)</f>
        <v>0</v>
      </c>
      <c r="H66" s="341">
        <f t="shared" si="174"/>
        <v>0</v>
      </c>
      <c r="I66" s="294">
        <f t="shared" si="174"/>
        <v>0</v>
      </c>
      <c r="J66" s="341">
        <f t="shared" si="174"/>
        <v>0</v>
      </c>
      <c r="K66" s="341">
        <f t="shared" si="174"/>
        <v>0</v>
      </c>
      <c r="L66" s="341">
        <f t="shared" si="174"/>
        <v>0</v>
      </c>
      <c r="M66" s="294">
        <f t="shared" si="174"/>
        <v>0</v>
      </c>
      <c r="N66" s="341">
        <f t="shared" si="174"/>
        <v>0</v>
      </c>
      <c r="O66" s="341">
        <f t="shared" si="174"/>
        <v>0</v>
      </c>
      <c r="P66" s="294">
        <f t="shared" si="174"/>
        <v>0</v>
      </c>
    </row>
    <row r="67" spans="2:16" x14ac:dyDescent="0.25">
      <c r="B67" s="322" t="s">
        <v>170</v>
      </c>
      <c r="C67" s="338">
        <f>G13</f>
        <v>0.02</v>
      </c>
      <c r="D67" s="335"/>
      <c r="E67" s="335"/>
      <c r="F67" s="357">
        <f>$C$67</f>
        <v>0.02</v>
      </c>
      <c r="G67" s="363">
        <f t="shared" ref="G67:P67" si="175">$C$67</f>
        <v>0.02</v>
      </c>
      <c r="H67" s="363">
        <f t="shared" si="175"/>
        <v>0.02</v>
      </c>
      <c r="I67" s="357">
        <f t="shared" si="175"/>
        <v>0.02</v>
      </c>
      <c r="J67" s="363">
        <f t="shared" si="175"/>
        <v>0.02</v>
      </c>
      <c r="K67" s="363">
        <f t="shared" si="175"/>
        <v>0.02</v>
      </c>
      <c r="L67" s="363">
        <f t="shared" si="175"/>
        <v>0.02</v>
      </c>
      <c r="M67" s="357">
        <f t="shared" si="175"/>
        <v>0.02</v>
      </c>
      <c r="N67" s="363">
        <f t="shared" si="175"/>
        <v>0.02</v>
      </c>
      <c r="O67" s="363">
        <f t="shared" si="175"/>
        <v>0.02</v>
      </c>
      <c r="P67" s="357">
        <f t="shared" si="175"/>
        <v>0.02</v>
      </c>
    </row>
    <row r="68" spans="2:16" x14ac:dyDescent="0.25">
      <c r="B68" s="323"/>
      <c r="C68" s="76"/>
      <c r="D68" s="76"/>
      <c r="E68" s="76"/>
      <c r="F68" s="295"/>
      <c r="G68" s="144"/>
      <c r="H68" s="144"/>
      <c r="I68" s="295"/>
      <c r="J68" s="144"/>
      <c r="K68" s="144"/>
      <c r="L68" s="144"/>
      <c r="M68" s="295"/>
      <c r="N68" s="144"/>
      <c r="O68" s="144"/>
      <c r="P68" s="295"/>
    </row>
    <row r="69" spans="2:16" x14ac:dyDescent="0.25">
      <c r="B69" s="323" t="s">
        <v>127</v>
      </c>
      <c r="C69" s="382"/>
      <c r="D69" s="123"/>
      <c r="E69" s="123"/>
      <c r="F69" s="295"/>
      <c r="G69" s="144"/>
      <c r="H69" s="144"/>
      <c r="I69" s="295"/>
      <c r="J69" s="144"/>
      <c r="K69" s="144"/>
      <c r="L69" s="144"/>
      <c r="M69" s="295"/>
      <c r="N69" s="144"/>
      <c r="O69" s="144"/>
      <c r="P69" s="295"/>
    </row>
    <row r="70" spans="2:16" x14ac:dyDescent="0.25">
      <c r="B70" s="322" t="s">
        <v>217</v>
      </c>
      <c r="C70" s="383"/>
      <c r="D70" s="123"/>
      <c r="E70" s="123"/>
      <c r="F70" s="296">
        <f t="shared" ref="F70:P70" ca="1" si="176">(F27=100%)*(F66*F26)</f>
        <v>0</v>
      </c>
      <c r="G70" s="145">
        <f t="shared" ca="1" si="176"/>
        <v>0</v>
      </c>
      <c r="H70" s="145">
        <f t="shared" ca="1" si="176"/>
        <v>0</v>
      </c>
      <c r="I70" s="296">
        <f t="shared" ca="1" si="176"/>
        <v>0</v>
      </c>
      <c r="J70" s="145">
        <f t="shared" ca="1" si="176"/>
        <v>0</v>
      </c>
      <c r="K70" s="145">
        <f t="shared" ca="1" si="176"/>
        <v>0</v>
      </c>
      <c r="L70" s="145">
        <f t="shared" ca="1" si="176"/>
        <v>0</v>
      </c>
      <c r="M70" s="296">
        <f t="shared" ca="1" si="176"/>
        <v>0</v>
      </c>
      <c r="N70" s="145">
        <f t="shared" ca="1" si="176"/>
        <v>0</v>
      </c>
      <c r="O70" s="145">
        <f t="shared" ca="1" si="176"/>
        <v>0</v>
      </c>
      <c r="P70" s="296">
        <f t="shared" ca="1" si="176"/>
        <v>0</v>
      </c>
    </row>
    <row r="71" spans="2:16" x14ac:dyDescent="0.25">
      <c r="B71" s="330" t="s">
        <v>132</v>
      </c>
      <c r="C71" s="148">
        <f>G11</f>
        <v>0.03</v>
      </c>
      <c r="D71" s="123"/>
      <c r="E71" s="123"/>
      <c r="F71" s="493">
        <f>$C$71</f>
        <v>0.03</v>
      </c>
      <c r="G71" s="813">
        <f t="shared" ref="G71:P71" si="177">$C$71</f>
        <v>0.03</v>
      </c>
      <c r="H71" s="813">
        <f t="shared" si="177"/>
        <v>0.03</v>
      </c>
      <c r="I71" s="493">
        <f t="shared" si="177"/>
        <v>0.03</v>
      </c>
      <c r="J71" s="813">
        <f t="shared" si="177"/>
        <v>0.03</v>
      </c>
      <c r="K71" s="813">
        <f t="shared" si="177"/>
        <v>0.03</v>
      </c>
      <c r="L71" s="813">
        <f t="shared" si="177"/>
        <v>0.03</v>
      </c>
      <c r="M71" s="493">
        <f t="shared" si="177"/>
        <v>0.03</v>
      </c>
      <c r="N71" s="813">
        <f t="shared" si="177"/>
        <v>0.03</v>
      </c>
      <c r="O71" s="813">
        <f t="shared" si="177"/>
        <v>0.03</v>
      </c>
      <c r="P71" s="493">
        <f t="shared" si="177"/>
        <v>0.03</v>
      </c>
    </row>
    <row r="72" spans="2:16" x14ac:dyDescent="0.25">
      <c r="B72" s="322" t="s">
        <v>90</v>
      </c>
      <c r="C72" s="148"/>
      <c r="D72" s="123"/>
      <c r="E72" s="123"/>
      <c r="F72" s="494">
        <f ca="1">(1-F73)*-F70</f>
        <v>0</v>
      </c>
      <c r="G72" s="814">
        <f t="shared" ref="G72:P72" ca="1" si="178">(1-G73)*-G70</f>
        <v>0</v>
      </c>
      <c r="H72" s="814">
        <f t="shared" ca="1" si="178"/>
        <v>0</v>
      </c>
      <c r="I72" s="494">
        <f t="shared" ca="1" si="178"/>
        <v>0</v>
      </c>
      <c r="J72" s="814">
        <f t="shared" ca="1" si="178"/>
        <v>0</v>
      </c>
      <c r="K72" s="814">
        <f t="shared" ca="1" si="178"/>
        <v>0</v>
      </c>
      <c r="L72" s="814">
        <f t="shared" ca="1" si="178"/>
        <v>0</v>
      </c>
      <c r="M72" s="494">
        <f t="shared" ca="1" si="178"/>
        <v>0</v>
      </c>
      <c r="N72" s="814">
        <f t="shared" ca="1" si="178"/>
        <v>0</v>
      </c>
      <c r="O72" s="814">
        <f t="shared" ca="1" si="178"/>
        <v>0</v>
      </c>
      <c r="P72" s="494">
        <f t="shared" ca="1" si="178"/>
        <v>0</v>
      </c>
    </row>
    <row r="73" spans="2:16" x14ac:dyDescent="0.25">
      <c r="B73" s="347" t="s">
        <v>192</v>
      </c>
      <c r="C73" s="149" t="s">
        <v>193</v>
      </c>
      <c r="D73" s="78"/>
      <c r="E73" s="78"/>
      <c r="F73" s="495">
        <v>0</v>
      </c>
      <c r="G73" s="157">
        <v>0</v>
      </c>
      <c r="H73" s="157">
        <v>0</v>
      </c>
      <c r="I73" s="495">
        <v>0.7</v>
      </c>
      <c r="J73" s="157">
        <v>0.85</v>
      </c>
      <c r="K73" s="157">
        <v>0.89</v>
      </c>
      <c r="L73" s="157">
        <f>$K$73</f>
        <v>0.89</v>
      </c>
      <c r="M73" s="495">
        <f t="shared" ref="M73:P73" si="179">$K$73</f>
        <v>0.89</v>
      </c>
      <c r="N73" s="157">
        <f t="shared" si="179"/>
        <v>0.89</v>
      </c>
      <c r="O73" s="157">
        <f t="shared" si="179"/>
        <v>0.89</v>
      </c>
      <c r="P73" s="495">
        <f t="shared" si="179"/>
        <v>0.89</v>
      </c>
    </row>
    <row r="74" spans="2:16" x14ac:dyDescent="0.25">
      <c r="B74" s="343" t="s">
        <v>106</v>
      </c>
      <c r="C74" s="346"/>
      <c r="D74" s="220"/>
      <c r="E74" s="220"/>
      <c r="F74" s="138">
        <f ca="1">F70+F72</f>
        <v>0</v>
      </c>
      <c r="G74" s="239">
        <f t="shared" ref="G74:P74" ca="1" si="180">G70+G72</f>
        <v>0</v>
      </c>
      <c r="H74" s="239">
        <f t="shared" ca="1" si="180"/>
        <v>0</v>
      </c>
      <c r="I74" s="138">
        <f t="shared" ca="1" si="180"/>
        <v>0</v>
      </c>
      <c r="J74" s="239">
        <f t="shared" ca="1" si="180"/>
        <v>0</v>
      </c>
      <c r="K74" s="239">
        <f t="shared" ca="1" si="180"/>
        <v>0</v>
      </c>
      <c r="L74" s="239">
        <f t="shared" ca="1" si="180"/>
        <v>0</v>
      </c>
      <c r="M74" s="138">
        <f t="shared" ca="1" si="180"/>
        <v>0</v>
      </c>
      <c r="N74" s="239">
        <f t="shared" ca="1" si="180"/>
        <v>0</v>
      </c>
      <c r="O74" s="239">
        <f t="shared" ca="1" si="180"/>
        <v>0</v>
      </c>
      <c r="P74" s="138">
        <f t="shared" ca="1" si="180"/>
        <v>0</v>
      </c>
    </row>
    <row r="75" spans="2:16" x14ac:dyDescent="0.25">
      <c r="B75" s="104"/>
      <c r="C75" s="346"/>
      <c r="D75" s="220"/>
      <c r="E75" s="220"/>
      <c r="F75" s="291"/>
      <c r="G75" s="240"/>
      <c r="H75" s="240"/>
      <c r="I75" s="291"/>
      <c r="J75" s="240"/>
      <c r="K75" s="240"/>
      <c r="L75" s="240"/>
      <c r="M75" s="291"/>
      <c r="N75" s="240"/>
      <c r="O75" s="240"/>
      <c r="P75" s="291"/>
    </row>
    <row r="76" spans="2:16" x14ac:dyDescent="0.25">
      <c r="B76" s="343" t="s">
        <v>124</v>
      </c>
      <c r="C76" s="346"/>
      <c r="D76" s="220"/>
      <c r="E76" s="220"/>
      <c r="F76" s="291"/>
      <c r="G76" s="240"/>
      <c r="H76" s="240"/>
      <c r="I76" s="291"/>
      <c r="J76" s="240"/>
      <c r="K76" s="240"/>
      <c r="L76" s="240"/>
      <c r="M76" s="291"/>
      <c r="N76" s="240"/>
      <c r="O76" s="240"/>
      <c r="P76" s="291"/>
    </row>
    <row r="77" spans="2:16" x14ac:dyDescent="0.25">
      <c r="B77" s="104" t="s">
        <v>128</v>
      </c>
      <c r="C77" s="243">
        <f>$J$9</f>
        <v>0.2</v>
      </c>
      <c r="D77" s="220"/>
      <c r="E77" s="220"/>
      <c r="F77" s="138">
        <f ca="1">(E77*(F81))-(F74*$C$77)</f>
        <v>0</v>
      </c>
      <c r="G77" s="239">
        <f t="shared" ref="G77:P77" ca="1" si="181">(F77*(G81))-(G74*$C$77)</f>
        <v>0</v>
      </c>
      <c r="H77" s="239">
        <f t="shared" ca="1" si="181"/>
        <v>0</v>
      </c>
      <c r="I77" s="138">
        <f t="shared" ca="1" si="181"/>
        <v>0</v>
      </c>
      <c r="J77" s="239">
        <f t="shared" ca="1" si="181"/>
        <v>0</v>
      </c>
      <c r="K77" s="239">
        <f t="shared" ca="1" si="181"/>
        <v>0</v>
      </c>
      <c r="L77" s="239">
        <f t="shared" ca="1" si="181"/>
        <v>0</v>
      </c>
      <c r="M77" s="138">
        <f t="shared" ca="1" si="181"/>
        <v>0</v>
      </c>
      <c r="N77" s="239">
        <f t="shared" ca="1" si="181"/>
        <v>0</v>
      </c>
      <c r="O77" s="239">
        <f t="shared" ca="1" si="181"/>
        <v>0</v>
      </c>
      <c r="P77" s="138">
        <f t="shared" ca="1" si="181"/>
        <v>0</v>
      </c>
    </row>
    <row r="78" spans="2:16" x14ac:dyDescent="0.25">
      <c r="B78" s="104" t="s">
        <v>89</v>
      </c>
      <c r="C78" s="243">
        <f>J10</f>
        <v>0.03</v>
      </c>
      <c r="D78" s="220"/>
      <c r="E78" s="220"/>
      <c r="F78" s="138">
        <f ca="1">(E78*(F$81))-(F$74*$C$78)</f>
        <v>0</v>
      </c>
      <c r="G78" s="239">
        <f t="shared" ref="G78:P78" ca="1" si="182">(F78*(G$81))-(G$74*$C$78)</f>
        <v>0</v>
      </c>
      <c r="H78" s="239">
        <f t="shared" ca="1" si="182"/>
        <v>0</v>
      </c>
      <c r="I78" s="138">
        <f t="shared" ca="1" si="182"/>
        <v>0</v>
      </c>
      <c r="J78" s="239">
        <f t="shared" ca="1" si="182"/>
        <v>0</v>
      </c>
      <c r="K78" s="239">
        <f t="shared" ca="1" si="182"/>
        <v>0</v>
      </c>
      <c r="L78" s="239">
        <f t="shared" ca="1" si="182"/>
        <v>0</v>
      </c>
      <c r="M78" s="138">
        <f t="shared" ca="1" si="182"/>
        <v>0</v>
      </c>
      <c r="N78" s="239">
        <f t="shared" ca="1" si="182"/>
        <v>0</v>
      </c>
      <c r="O78" s="239">
        <f t="shared" ca="1" si="182"/>
        <v>0</v>
      </c>
      <c r="P78" s="138">
        <f t="shared" ca="1" si="182"/>
        <v>0</v>
      </c>
    </row>
    <row r="79" spans="2:16" x14ac:dyDescent="0.25">
      <c r="B79" s="104" t="s">
        <v>134</v>
      </c>
      <c r="C79" s="243">
        <f>J11</f>
        <v>0.02</v>
      </c>
      <c r="D79" s="220"/>
      <c r="E79" s="220"/>
      <c r="F79" s="138">
        <f ca="1">(E79*(F$81))-(F$74*$C$79)</f>
        <v>0</v>
      </c>
      <c r="G79" s="239">
        <f t="shared" ref="G79:P79" ca="1" si="183">(F79*(G$81))-(G$74*$C$79)</f>
        <v>0</v>
      </c>
      <c r="H79" s="239">
        <f t="shared" ca="1" si="183"/>
        <v>0</v>
      </c>
      <c r="I79" s="138">
        <f t="shared" ca="1" si="183"/>
        <v>0</v>
      </c>
      <c r="J79" s="239">
        <f t="shared" ca="1" si="183"/>
        <v>0</v>
      </c>
      <c r="K79" s="239">
        <f t="shared" ca="1" si="183"/>
        <v>0</v>
      </c>
      <c r="L79" s="239">
        <f t="shared" ca="1" si="183"/>
        <v>0</v>
      </c>
      <c r="M79" s="138">
        <f t="shared" ca="1" si="183"/>
        <v>0</v>
      </c>
      <c r="N79" s="239">
        <f t="shared" ca="1" si="183"/>
        <v>0</v>
      </c>
      <c r="O79" s="239">
        <f t="shared" ca="1" si="183"/>
        <v>0</v>
      </c>
      <c r="P79" s="138">
        <f t="shared" ca="1" si="183"/>
        <v>0</v>
      </c>
    </row>
    <row r="80" spans="2:16" x14ac:dyDescent="0.25">
      <c r="B80" s="104" t="s">
        <v>91</v>
      </c>
      <c r="C80" s="243">
        <f>J12</f>
        <v>0.15</v>
      </c>
      <c r="D80" s="220"/>
      <c r="E80" s="220"/>
      <c r="F80" s="138">
        <f ca="1">(E80*(F$81))-(F$74*$C$80)</f>
        <v>0</v>
      </c>
      <c r="G80" s="239">
        <f t="shared" ref="G80:P80" ca="1" si="184">(F80*(G$81))-(G$74*$C$80)</f>
        <v>0</v>
      </c>
      <c r="H80" s="239">
        <f t="shared" ca="1" si="184"/>
        <v>0</v>
      </c>
      <c r="I80" s="138">
        <f t="shared" ca="1" si="184"/>
        <v>0</v>
      </c>
      <c r="J80" s="239">
        <f t="shared" ca="1" si="184"/>
        <v>0</v>
      </c>
      <c r="K80" s="239">
        <f t="shared" ca="1" si="184"/>
        <v>0</v>
      </c>
      <c r="L80" s="239">
        <f t="shared" ca="1" si="184"/>
        <v>0</v>
      </c>
      <c r="M80" s="138">
        <f t="shared" ca="1" si="184"/>
        <v>0</v>
      </c>
      <c r="N80" s="239">
        <f t="shared" ca="1" si="184"/>
        <v>0</v>
      </c>
      <c r="O80" s="239">
        <f t="shared" ca="1" si="184"/>
        <v>0</v>
      </c>
      <c r="P80" s="138">
        <f t="shared" ca="1" si="184"/>
        <v>0</v>
      </c>
    </row>
    <row r="81" spans="2:18" x14ac:dyDescent="0.25">
      <c r="B81" s="344" t="s">
        <v>133</v>
      </c>
      <c r="C81" s="243">
        <f>$G$12</f>
        <v>0.03</v>
      </c>
      <c r="D81" s="220"/>
      <c r="E81" s="220"/>
      <c r="F81" s="298">
        <f t="shared" ref="F81:P81" si="185">$G$12</f>
        <v>0.03</v>
      </c>
      <c r="G81" s="345">
        <f t="shared" si="185"/>
        <v>0.03</v>
      </c>
      <c r="H81" s="345">
        <f t="shared" si="185"/>
        <v>0.03</v>
      </c>
      <c r="I81" s="298">
        <f t="shared" si="185"/>
        <v>0.03</v>
      </c>
      <c r="J81" s="345">
        <f t="shared" si="185"/>
        <v>0.03</v>
      </c>
      <c r="K81" s="345">
        <f t="shared" si="185"/>
        <v>0.03</v>
      </c>
      <c r="L81" s="345">
        <f t="shared" si="185"/>
        <v>0.03</v>
      </c>
      <c r="M81" s="298">
        <f t="shared" si="185"/>
        <v>0.03</v>
      </c>
      <c r="N81" s="345">
        <f t="shared" si="185"/>
        <v>0.03</v>
      </c>
      <c r="O81" s="345">
        <f t="shared" si="185"/>
        <v>0.03</v>
      </c>
      <c r="P81" s="298">
        <f t="shared" si="185"/>
        <v>0.03</v>
      </c>
    </row>
    <row r="82" spans="2:18" x14ac:dyDescent="0.25">
      <c r="B82" s="104"/>
      <c r="C82" s="241"/>
      <c r="D82" s="220"/>
      <c r="E82" s="220"/>
      <c r="F82" s="291"/>
      <c r="G82" s="240"/>
      <c r="H82" s="240"/>
      <c r="I82" s="291"/>
      <c r="J82" s="240"/>
      <c r="K82" s="240"/>
      <c r="L82" s="240"/>
      <c r="M82" s="291"/>
      <c r="N82" s="240"/>
      <c r="O82" s="240"/>
      <c r="P82" s="291"/>
    </row>
    <row r="83" spans="2:18" x14ac:dyDescent="0.25">
      <c r="B83" s="48" t="s">
        <v>99</v>
      </c>
      <c r="C83" s="77"/>
      <c r="D83" s="79"/>
      <c r="E83" s="79"/>
      <c r="F83" s="156">
        <f ca="1">SUM(F74:F80)</f>
        <v>0</v>
      </c>
      <c r="G83" s="142">
        <f t="shared" ref="G83:P83" ca="1" si="186">SUM(G74:G80)</f>
        <v>0</v>
      </c>
      <c r="H83" s="142">
        <f t="shared" ca="1" si="186"/>
        <v>0</v>
      </c>
      <c r="I83" s="156">
        <f t="shared" ca="1" si="186"/>
        <v>0</v>
      </c>
      <c r="J83" s="142">
        <f t="shared" ca="1" si="186"/>
        <v>0</v>
      </c>
      <c r="K83" s="142">
        <f t="shared" ca="1" si="186"/>
        <v>0</v>
      </c>
      <c r="L83" s="142">
        <f t="shared" ca="1" si="186"/>
        <v>0</v>
      </c>
      <c r="M83" s="156">
        <f t="shared" ca="1" si="186"/>
        <v>0</v>
      </c>
      <c r="N83" s="142">
        <f t="shared" ca="1" si="186"/>
        <v>0</v>
      </c>
      <c r="O83" s="142">
        <f t="shared" ca="1" si="186"/>
        <v>0</v>
      </c>
      <c r="P83" s="156">
        <f t="shared" ca="1" si="186"/>
        <v>0</v>
      </c>
    </row>
    <row r="84" spans="2:18" x14ac:dyDescent="0.25">
      <c r="B84" s="322"/>
      <c r="C84" s="241"/>
      <c r="D84" s="220"/>
      <c r="E84" s="220"/>
      <c r="F84" s="291"/>
      <c r="G84" s="240"/>
      <c r="H84" s="240"/>
      <c r="I84" s="291"/>
      <c r="J84" s="240"/>
      <c r="K84" s="240"/>
      <c r="L84" s="240"/>
      <c r="M84" s="291"/>
      <c r="N84" s="240"/>
      <c r="O84" s="240"/>
      <c r="P84" s="291"/>
    </row>
    <row r="85" spans="2:18" x14ac:dyDescent="0.25">
      <c r="B85" s="322" t="s">
        <v>129</v>
      </c>
      <c r="C85" s="241"/>
      <c r="D85" s="220"/>
      <c r="E85" s="220"/>
      <c r="F85" s="291">
        <f t="shared" ref="F85:P85" si="187">IF(F21=$G$14,E83/$G$15,0)</f>
        <v>0</v>
      </c>
      <c r="G85" s="240">
        <f t="shared" si="187"/>
        <v>0</v>
      </c>
      <c r="H85" s="240">
        <f t="shared" si="187"/>
        <v>0</v>
      </c>
      <c r="I85" s="291">
        <f t="shared" si="187"/>
        <v>0</v>
      </c>
      <c r="J85" s="240">
        <f t="shared" si="187"/>
        <v>0</v>
      </c>
      <c r="K85" s="240">
        <f t="shared" si="187"/>
        <v>0</v>
      </c>
      <c r="L85" s="240">
        <f t="shared" si="187"/>
        <v>0</v>
      </c>
      <c r="M85" s="291">
        <f t="shared" si="187"/>
        <v>0</v>
      </c>
      <c r="N85" s="240">
        <f t="shared" si="187"/>
        <v>0</v>
      </c>
      <c r="O85" s="240">
        <f t="shared" si="187"/>
        <v>0</v>
      </c>
      <c r="P85" s="291">
        <f t="shared" ca="1" si="187"/>
        <v>0</v>
      </c>
    </row>
    <row r="86" spans="2:18" x14ac:dyDescent="0.25">
      <c r="B86" s="322" t="s">
        <v>41</v>
      </c>
      <c r="C86" s="246">
        <f>G17</f>
        <v>0</v>
      </c>
      <c r="D86" s="220"/>
      <c r="E86" s="220"/>
      <c r="F86" s="291">
        <f>-F85*$C$86</f>
        <v>0</v>
      </c>
      <c r="G86" s="240">
        <f t="shared" ref="G86:P86" si="188">-G85*$C$86</f>
        <v>0</v>
      </c>
      <c r="H86" s="240">
        <f t="shared" si="188"/>
        <v>0</v>
      </c>
      <c r="I86" s="291">
        <f t="shared" si="188"/>
        <v>0</v>
      </c>
      <c r="J86" s="240">
        <f t="shared" si="188"/>
        <v>0</v>
      </c>
      <c r="K86" s="240">
        <f t="shared" si="188"/>
        <v>0</v>
      </c>
      <c r="L86" s="240">
        <f t="shared" si="188"/>
        <v>0</v>
      </c>
      <c r="M86" s="291">
        <f t="shared" si="188"/>
        <v>0</v>
      </c>
      <c r="N86" s="240">
        <f t="shared" si="188"/>
        <v>0</v>
      </c>
      <c r="O86" s="240">
        <f t="shared" si="188"/>
        <v>0</v>
      </c>
      <c r="P86" s="291">
        <f t="shared" ca="1" si="188"/>
        <v>0</v>
      </c>
    </row>
    <row r="87" spans="2:18" x14ac:dyDescent="0.25">
      <c r="B87" s="104"/>
      <c r="C87" s="241"/>
      <c r="D87" s="220"/>
      <c r="E87" s="220"/>
      <c r="F87" s="291"/>
      <c r="G87" s="240"/>
      <c r="H87" s="240"/>
      <c r="I87" s="291"/>
      <c r="J87" s="240"/>
      <c r="K87" s="240"/>
      <c r="L87" s="240"/>
      <c r="M87" s="291"/>
      <c r="N87" s="240"/>
      <c r="O87" s="240"/>
      <c r="P87" s="291"/>
    </row>
    <row r="88" spans="2:18" x14ac:dyDescent="0.25">
      <c r="B88" s="323" t="s">
        <v>103</v>
      </c>
      <c r="C88" s="241" t="s">
        <v>37</v>
      </c>
      <c r="D88" s="241" t="s">
        <v>169</v>
      </c>
      <c r="E88" s="220"/>
      <c r="F88" s="291"/>
      <c r="G88" s="240"/>
      <c r="H88" s="240"/>
      <c r="I88" s="291"/>
      <c r="J88" s="240"/>
      <c r="K88" s="240"/>
      <c r="L88" s="240"/>
      <c r="M88" s="291"/>
      <c r="N88" s="240"/>
      <c r="O88" s="240"/>
      <c r="P88" s="291"/>
      <c r="R88" t="s">
        <v>45</v>
      </c>
    </row>
    <row r="89" spans="2:18" x14ac:dyDescent="0.25">
      <c r="B89" s="322" t="s">
        <v>451</v>
      </c>
      <c r="C89" s="247">
        <f>Costs!F41</f>
        <v>605</v>
      </c>
      <c r="D89" s="220"/>
      <c r="E89" s="220"/>
      <c r="F89" s="138">
        <f t="shared" ref="F89:P89" si="189">$C$89*SUM(F29,F33)</f>
        <v>0</v>
      </c>
      <c r="G89" s="239">
        <f t="shared" ca="1" si="189"/>
        <v>0</v>
      </c>
      <c r="H89" s="239">
        <f t="shared" ca="1" si="189"/>
        <v>1609602.5</v>
      </c>
      <c r="I89" s="138">
        <f t="shared" ca="1" si="189"/>
        <v>1609602.5</v>
      </c>
      <c r="J89" s="239">
        <f t="shared" ca="1" si="189"/>
        <v>0</v>
      </c>
      <c r="K89" s="239">
        <f t="shared" ca="1" si="189"/>
        <v>5892901.666666667</v>
      </c>
      <c r="L89" s="239">
        <f t="shared" ca="1" si="189"/>
        <v>5892901.666666667</v>
      </c>
      <c r="M89" s="138">
        <f t="shared" ca="1" si="189"/>
        <v>5892901.666666667</v>
      </c>
      <c r="N89" s="239">
        <f t="shared" ca="1" si="189"/>
        <v>0</v>
      </c>
      <c r="O89" s="239">
        <f t="shared" ca="1" si="189"/>
        <v>0</v>
      </c>
      <c r="P89" s="138">
        <f t="shared" ca="1" si="189"/>
        <v>0</v>
      </c>
      <c r="R89" s="124">
        <f ca="1">SUM(F89:P89)</f>
        <v>20897910.000000004</v>
      </c>
    </row>
    <row r="90" spans="2:18" x14ac:dyDescent="0.25">
      <c r="B90" s="322" t="s">
        <v>455</v>
      </c>
      <c r="C90" s="247">
        <f>Costs!F42</f>
        <v>55</v>
      </c>
      <c r="D90" s="220"/>
      <c r="E90" s="220"/>
      <c r="F90" s="138">
        <f t="shared" ref="F90:P90" si="190">$C$90*SUM(F61,F57,F53,F49,F45,F41,F37)</f>
        <v>0</v>
      </c>
      <c r="G90" s="239">
        <f t="shared" ca="1" si="190"/>
        <v>2557133.3333333335</v>
      </c>
      <c r="H90" s="239">
        <f t="shared" ca="1" si="190"/>
        <v>2557133.3333333335</v>
      </c>
      <c r="I90" s="138">
        <f t="shared" ca="1" si="190"/>
        <v>2557133.3333333335</v>
      </c>
      <c r="J90" s="239">
        <f t="shared" ca="1" si="190"/>
        <v>2348706.25</v>
      </c>
      <c r="K90" s="239">
        <f t="shared" ca="1" si="190"/>
        <v>2348706.25</v>
      </c>
      <c r="L90" s="239">
        <f t="shared" ca="1" si="190"/>
        <v>2348706.25</v>
      </c>
      <c r="M90" s="138">
        <f t="shared" ca="1" si="190"/>
        <v>2348706.25</v>
      </c>
      <c r="N90" s="239">
        <f t="shared" ca="1" si="190"/>
        <v>2376220</v>
      </c>
      <c r="O90" s="239">
        <f t="shared" ca="1" si="190"/>
        <v>2376220</v>
      </c>
      <c r="P90" s="138">
        <f t="shared" ca="1" si="190"/>
        <v>2376220</v>
      </c>
      <c r="R90" s="124">
        <f t="shared" ref="R90:R94" ca="1" si="191">SUM(F90:P90)</f>
        <v>24194885</v>
      </c>
    </row>
    <row r="91" spans="2:18" x14ac:dyDescent="0.25">
      <c r="B91" s="322" t="s">
        <v>469</v>
      </c>
      <c r="C91" s="247">
        <f>Costs!F43</f>
        <v>330</v>
      </c>
      <c r="D91" s="220"/>
      <c r="E91" s="220"/>
      <c r="F91" s="138">
        <f t="shared" ref="F91:P91" si="192">$C$91*F25</f>
        <v>0</v>
      </c>
      <c r="G91" s="239">
        <f t="shared" si="192"/>
        <v>3836140</v>
      </c>
      <c r="H91" s="239">
        <f t="shared" si="192"/>
        <v>3836140</v>
      </c>
      <c r="I91" s="138">
        <f t="shared" si="192"/>
        <v>3836140</v>
      </c>
      <c r="J91" s="239">
        <f t="shared" ca="1" si="192"/>
        <v>0</v>
      </c>
      <c r="K91" s="239">
        <f t="shared" ca="1" si="192"/>
        <v>0</v>
      </c>
      <c r="L91" s="239">
        <f t="shared" ca="1" si="192"/>
        <v>0</v>
      </c>
      <c r="M91" s="138">
        <f t="shared" ca="1" si="192"/>
        <v>0</v>
      </c>
      <c r="N91" s="239">
        <f t="shared" ca="1" si="192"/>
        <v>0</v>
      </c>
      <c r="O91" s="239">
        <f t="shared" ca="1" si="192"/>
        <v>0</v>
      </c>
      <c r="P91" s="138">
        <f t="shared" ca="1" si="192"/>
        <v>0</v>
      </c>
      <c r="R91" s="124">
        <f t="shared" ca="1" si="191"/>
        <v>11508420</v>
      </c>
    </row>
    <row r="92" spans="2:18" x14ac:dyDescent="0.25">
      <c r="B92" s="322" t="s">
        <v>452</v>
      </c>
      <c r="C92" s="247">
        <f>Costs!F58</f>
        <v>121.00000000000003</v>
      </c>
      <c r="D92" s="220"/>
      <c r="E92" s="220"/>
      <c r="F92" s="138">
        <f t="shared" ref="F92:P92" si="193">$C$92*SUM(F29,F33)</f>
        <v>0</v>
      </c>
      <c r="G92" s="239">
        <f t="shared" ca="1" si="193"/>
        <v>0</v>
      </c>
      <c r="H92" s="239">
        <f t="shared" ca="1" si="193"/>
        <v>321920.50000000006</v>
      </c>
      <c r="I92" s="138">
        <f t="shared" ca="1" si="193"/>
        <v>321920.50000000006</v>
      </c>
      <c r="J92" s="239">
        <f t="shared" ca="1" si="193"/>
        <v>0</v>
      </c>
      <c r="K92" s="239">
        <f t="shared" ca="1" si="193"/>
        <v>1178580.3333333337</v>
      </c>
      <c r="L92" s="239">
        <f t="shared" ca="1" si="193"/>
        <v>1178580.3333333337</v>
      </c>
      <c r="M92" s="138">
        <f t="shared" ca="1" si="193"/>
        <v>1178580.3333333337</v>
      </c>
      <c r="N92" s="239">
        <f t="shared" ca="1" si="193"/>
        <v>0</v>
      </c>
      <c r="O92" s="239">
        <f t="shared" ca="1" si="193"/>
        <v>0</v>
      </c>
      <c r="P92" s="138">
        <f t="shared" ca="1" si="193"/>
        <v>0</v>
      </c>
      <c r="R92" s="124">
        <f t="shared" ca="1" si="191"/>
        <v>4179582.0000000019</v>
      </c>
    </row>
    <row r="93" spans="2:18" x14ac:dyDescent="0.25">
      <c r="B93" s="322" t="s">
        <v>456</v>
      </c>
      <c r="C93" s="247">
        <f>Costs!F59</f>
        <v>11.000000000000002</v>
      </c>
      <c r="D93" s="220"/>
      <c r="E93" s="220"/>
      <c r="F93" s="138">
        <f t="shared" ref="F93:P93" si="194">$C$93*SUM(F61,F57,F53,F49,F45,F41,F37)</f>
        <v>0</v>
      </c>
      <c r="G93" s="239">
        <f t="shared" ca="1" si="194"/>
        <v>511426.6666666668</v>
      </c>
      <c r="H93" s="239">
        <f t="shared" ca="1" si="194"/>
        <v>511426.6666666668</v>
      </c>
      <c r="I93" s="138">
        <f t="shared" ca="1" si="194"/>
        <v>511426.6666666668</v>
      </c>
      <c r="J93" s="239">
        <f t="shared" ca="1" si="194"/>
        <v>469741.25000000006</v>
      </c>
      <c r="K93" s="239">
        <f t="shared" ca="1" si="194"/>
        <v>469741.25000000006</v>
      </c>
      <c r="L93" s="239">
        <f t="shared" ca="1" si="194"/>
        <v>469741.25000000006</v>
      </c>
      <c r="M93" s="138">
        <f t="shared" ca="1" si="194"/>
        <v>469741.25000000006</v>
      </c>
      <c r="N93" s="239">
        <f t="shared" ca="1" si="194"/>
        <v>475244.00000000006</v>
      </c>
      <c r="O93" s="239">
        <f t="shared" ca="1" si="194"/>
        <v>475244.00000000006</v>
      </c>
      <c r="P93" s="138">
        <f t="shared" ca="1" si="194"/>
        <v>475244.00000000006</v>
      </c>
      <c r="R93" s="124">
        <f t="shared" ca="1" si="191"/>
        <v>4838977.0000000009</v>
      </c>
    </row>
    <row r="94" spans="2:18" x14ac:dyDescent="0.25">
      <c r="B94" s="347" t="s">
        <v>470</v>
      </c>
      <c r="C94" s="524">
        <f>Costs!F60</f>
        <v>66.000000000000014</v>
      </c>
      <c r="D94" s="56"/>
      <c r="E94" s="56"/>
      <c r="F94" s="299">
        <f>$C$94*F25</f>
        <v>0</v>
      </c>
      <c r="G94" s="143">
        <f t="shared" ref="G94:P94" si="195">$C$94*G25</f>
        <v>767228.00000000012</v>
      </c>
      <c r="H94" s="143">
        <f t="shared" si="195"/>
        <v>767228.00000000012</v>
      </c>
      <c r="I94" s="299">
        <f t="shared" si="195"/>
        <v>767228.00000000012</v>
      </c>
      <c r="J94" s="143">
        <f t="shared" ca="1" si="195"/>
        <v>0</v>
      </c>
      <c r="K94" s="143">
        <f t="shared" ca="1" si="195"/>
        <v>0</v>
      </c>
      <c r="L94" s="143">
        <f t="shared" ca="1" si="195"/>
        <v>0</v>
      </c>
      <c r="M94" s="299">
        <f t="shared" ca="1" si="195"/>
        <v>0</v>
      </c>
      <c r="N94" s="143">
        <f t="shared" ca="1" si="195"/>
        <v>0</v>
      </c>
      <c r="O94" s="143">
        <f t="shared" ca="1" si="195"/>
        <v>0</v>
      </c>
      <c r="P94" s="299">
        <f t="shared" ca="1" si="195"/>
        <v>0</v>
      </c>
      <c r="R94" s="124">
        <f t="shared" ca="1" si="191"/>
        <v>2301684.0000000005</v>
      </c>
    </row>
    <row r="95" spans="2:18" x14ac:dyDescent="0.25">
      <c r="B95" s="323" t="s">
        <v>104</v>
      </c>
      <c r="C95" s="241"/>
      <c r="D95" s="220"/>
      <c r="E95" s="220"/>
      <c r="F95" s="138">
        <f t="shared" ref="F95:P95" si="196">SUM(F89:F94)</f>
        <v>0</v>
      </c>
      <c r="G95" s="239">
        <f t="shared" ca="1" si="196"/>
        <v>7671928.0000000009</v>
      </c>
      <c r="H95" s="239">
        <f t="shared" ca="1" si="196"/>
        <v>9603451</v>
      </c>
      <c r="I95" s="138">
        <f t="shared" ca="1" si="196"/>
        <v>9603451</v>
      </c>
      <c r="J95" s="239">
        <f t="shared" ca="1" si="196"/>
        <v>2818447.5</v>
      </c>
      <c r="K95" s="239">
        <f t="shared" ca="1" si="196"/>
        <v>9889929.5</v>
      </c>
      <c r="L95" s="239">
        <f t="shared" ca="1" si="196"/>
        <v>9889929.5</v>
      </c>
      <c r="M95" s="138">
        <f t="shared" ca="1" si="196"/>
        <v>9889929.5</v>
      </c>
      <c r="N95" s="239">
        <f t="shared" ca="1" si="196"/>
        <v>2851464</v>
      </c>
      <c r="O95" s="239">
        <f t="shared" ca="1" si="196"/>
        <v>2851464</v>
      </c>
      <c r="P95" s="138">
        <f t="shared" ca="1" si="196"/>
        <v>2851464</v>
      </c>
    </row>
    <row r="96" spans="2:18" x14ac:dyDescent="0.25">
      <c r="B96" s="104"/>
      <c r="C96" s="220"/>
      <c r="D96" s="220"/>
      <c r="E96" s="220"/>
      <c r="F96" s="291"/>
      <c r="G96" s="240"/>
      <c r="H96" s="240"/>
      <c r="I96" s="291"/>
      <c r="J96" s="240"/>
      <c r="K96" s="240"/>
      <c r="L96" s="240"/>
      <c r="M96" s="291"/>
      <c r="N96" s="240"/>
      <c r="O96" s="240"/>
      <c r="P96" s="291"/>
    </row>
    <row r="97" spans="2:16" x14ac:dyDescent="0.25">
      <c r="B97" s="48" t="s">
        <v>202</v>
      </c>
      <c r="C97" s="79"/>
      <c r="D97" s="79"/>
      <c r="E97" s="79"/>
      <c r="F97" s="156">
        <f t="shared" ref="F97:P97" ca="1" si="197">F83+F85+F86-F95</f>
        <v>0</v>
      </c>
      <c r="G97" s="142">
        <f t="shared" ca="1" si="197"/>
        <v>-7671928.0000000009</v>
      </c>
      <c r="H97" s="142">
        <f t="shared" ca="1" si="197"/>
        <v>-9603451</v>
      </c>
      <c r="I97" s="156">
        <f t="shared" ca="1" si="197"/>
        <v>-9603451</v>
      </c>
      <c r="J97" s="142">
        <f t="shared" ca="1" si="197"/>
        <v>-2818447.5</v>
      </c>
      <c r="K97" s="142">
        <f t="shared" ca="1" si="197"/>
        <v>-9889929.5</v>
      </c>
      <c r="L97" s="142">
        <f t="shared" ca="1" si="197"/>
        <v>-9889929.5</v>
      </c>
      <c r="M97" s="156">
        <f t="shared" ca="1" si="197"/>
        <v>-9889929.5</v>
      </c>
      <c r="N97" s="142">
        <f t="shared" ca="1" si="197"/>
        <v>-2851464</v>
      </c>
      <c r="O97" s="142">
        <f t="shared" ca="1" si="197"/>
        <v>-2851464</v>
      </c>
      <c r="P97" s="156">
        <f t="shared" ca="1" si="197"/>
        <v>-2851464</v>
      </c>
    </row>
    <row r="98" spans="2:16" x14ac:dyDescent="0.25">
      <c r="C98" s="121"/>
      <c r="D98" s="121"/>
      <c r="E98" s="121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</row>
    <row r="99" spans="2:16" x14ac:dyDescent="0.25">
      <c r="B99" s="50" t="s">
        <v>130</v>
      </c>
      <c r="C99" s="135">
        <f ca="1">SUM(F97:P97)</f>
        <v>-67921458</v>
      </c>
      <c r="D99" s="121"/>
      <c r="E99" s="121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</row>
    <row r="100" spans="2:16" x14ac:dyDescent="0.25">
      <c r="B100" s="104" t="s">
        <v>228</v>
      </c>
      <c r="C100" s="138">
        <f ca="1">SUM(F95:P95)</f>
        <v>67921458</v>
      </c>
      <c r="D100" s="121"/>
      <c r="E100" s="121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</row>
    <row r="101" spans="2:16" x14ac:dyDescent="0.25">
      <c r="B101" s="104" t="s">
        <v>202</v>
      </c>
      <c r="C101" s="136" t="s">
        <v>276</v>
      </c>
      <c r="D101" s="121"/>
      <c r="E101" s="121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</row>
    <row r="102" spans="2:16" x14ac:dyDescent="0.25">
      <c r="B102" s="51" t="s">
        <v>201</v>
      </c>
      <c r="C102" s="137">
        <f ca="1">C99/C100</f>
        <v>-1</v>
      </c>
      <c r="D102" s="121"/>
      <c r="E102" s="121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</row>
    <row r="103" spans="2:16" x14ac:dyDescent="0.25">
      <c r="C103" s="121"/>
      <c r="D103" s="121"/>
      <c r="E103" s="121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</row>
    <row r="104" spans="2:16" x14ac:dyDescent="0.25">
      <c r="B104" s="49" t="s">
        <v>473</v>
      </c>
      <c r="C104" s="491">
        <f ca="1">R89+R92</f>
        <v>25077492.000000007</v>
      </c>
      <c r="D104" s="121"/>
      <c r="E104" s="121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</row>
    <row r="105" spans="2:16" x14ac:dyDescent="0.25">
      <c r="B105" s="49" t="s">
        <v>474</v>
      </c>
      <c r="C105" s="491">
        <f ca="1">R90+R93</f>
        <v>29033862</v>
      </c>
      <c r="D105" s="121"/>
      <c r="E105" s="121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</row>
    <row r="106" spans="2:16" x14ac:dyDescent="0.25">
      <c r="B106" s="49" t="s">
        <v>475</v>
      </c>
      <c r="C106" s="491">
        <f ca="1">R91+R94</f>
        <v>13810104</v>
      </c>
      <c r="D106" s="121"/>
      <c r="E106" s="121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</row>
    <row r="107" spans="2:16" x14ac:dyDescent="0.25">
      <c r="C107" s="75"/>
      <c r="D107" s="121"/>
      <c r="E107" s="121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</row>
    <row r="108" spans="2:16" x14ac:dyDescent="0.25">
      <c r="C108" s="75"/>
      <c r="D108" s="121"/>
      <c r="E108" s="121"/>
    </row>
    <row r="109" spans="2:16" x14ac:dyDescent="0.25">
      <c r="C109" s="75"/>
      <c r="D109" s="121"/>
      <c r="E109" s="121"/>
    </row>
    <row r="110" spans="2:16" x14ac:dyDescent="0.25">
      <c r="C110" s="75"/>
      <c r="D110" s="121"/>
      <c r="E110" s="121"/>
    </row>
    <row r="111" spans="2:16" x14ac:dyDescent="0.25">
      <c r="C111" s="75"/>
      <c r="D111" s="121"/>
      <c r="E111" s="121"/>
    </row>
    <row r="112" spans="2:16" x14ac:dyDescent="0.25">
      <c r="C112" s="75"/>
      <c r="D112" s="121"/>
      <c r="E112" s="121"/>
    </row>
    <row r="113" spans="3:5" x14ac:dyDescent="0.25">
      <c r="C113" s="75"/>
      <c r="D113" s="121"/>
      <c r="E113" s="121"/>
    </row>
    <row r="114" spans="3:5" x14ac:dyDescent="0.25">
      <c r="C114" s="75"/>
      <c r="D114" s="121"/>
      <c r="E114" s="121"/>
    </row>
  </sheetData>
  <mergeCells count="2">
    <mergeCell ref="F19:P19"/>
    <mergeCell ref="B5:E17"/>
  </mergeCells>
  <conditionalFormatting sqref="A1:P4 A18:P24 A28:P28 A25:A27 A32:P32 A29:B31 D29:P31 A36:P36 A33:A35 A44:P44 A37:A43 A45:A64 A65:P100 A102:P108 A101 C101:P101 A5:B5 A6:A17 H15:H16 F5:P9 F10:H14 I13:P13 K14:P17 K10:P12 I8:J12">
    <cfRule type="cellIs" dxfId="38" priority="30" operator="lessThan">
      <formula>0</formula>
    </cfRule>
  </conditionalFormatting>
  <conditionalFormatting sqref="F70">
    <cfRule type="cellIs" dxfId="37" priority="39" operator="lessThan">
      <formula>0</formula>
    </cfRule>
  </conditionalFormatting>
  <conditionalFormatting sqref="G70:P70">
    <cfRule type="cellIs" dxfId="36" priority="38" operator="lessThan">
      <formula>0</formula>
    </cfRule>
  </conditionalFormatting>
  <conditionalFormatting sqref="F72">
    <cfRule type="cellIs" dxfId="35" priority="37" operator="lessThan">
      <formula>0</formula>
    </cfRule>
  </conditionalFormatting>
  <conditionalFormatting sqref="G72:P72">
    <cfRule type="cellIs" dxfId="34" priority="36" operator="lessThan">
      <formula>0</formula>
    </cfRule>
  </conditionalFormatting>
  <conditionalFormatting sqref="F77">
    <cfRule type="cellIs" dxfId="33" priority="35" operator="lessThan">
      <formula>0</formula>
    </cfRule>
  </conditionalFormatting>
  <conditionalFormatting sqref="F78:F80">
    <cfRule type="cellIs" dxfId="32" priority="34" operator="lessThan">
      <formula>0</formula>
    </cfRule>
  </conditionalFormatting>
  <conditionalFormatting sqref="G77:P77">
    <cfRule type="cellIs" dxfId="31" priority="33" operator="lessThan">
      <formula>0</formula>
    </cfRule>
  </conditionalFormatting>
  <conditionalFormatting sqref="G78:P80">
    <cfRule type="cellIs" dxfId="30" priority="32" operator="lessThan">
      <formula>0</formula>
    </cfRule>
  </conditionalFormatting>
  <conditionalFormatting sqref="F15:G16">
    <cfRule type="cellIs" dxfId="29" priority="28" operator="lessThan">
      <formula>0</formula>
    </cfRule>
  </conditionalFormatting>
  <conditionalFormatting sqref="G70:P70">
    <cfRule type="cellIs" dxfId="28" priority="27" operator="lessThan">
      <formula>0</formula>
    </cfRule>
  </conditionalFormatting>
  <conditionalFormatting sqref="B25:B27 D25:P27">
    <cfRule type="cellIs" dxfId="27" priority="26" operator="lessThan">
      <formula>0</formula>
    </cfRule>
  </conditionalFormatting>
  <conditionalFormatting sqref="C25">
    <cfRule type="cellIs" dxfId="26" priority="25" operator="lessThan">
      <formula>0</formula>
    </cfRule>
  </conditionalFormatting>
  <conditionalFormatting sqref="C29">
    <cfRule type="cellIs" dxfId="25" priority="23" operator="lessThan">
      <formula>0</formula>
    </cfRule>
  </conditionalFormatting>
  <conditionalFormatting sqref="B33:B35 D33:P35">
    <cfRule type="cellIs" dxfId="24" priority="22" operator="lessThan">
      <formula>0</formula>
    </cfRule>
  </conditionalFormatting>
  <conditionalFormatting sqref="C33">
    <cfRule type="cellIs" dxfId="23" priority="21" operator="lessThan">
      <formula>0</formula>
    </cfRule>
  </conditionalFormatting>
  <conditionalFormatting sqref="B40:P40 B37:B39 D37:P39">
    <cfRule type="cellIs" dxfId="22" priority="20" operator="lessThan">
      <formula>0</formula>
    </cfRule>
  </conditionalFormatting>
  <conditionalFormatting sqref="C37">
    <cfRule type="cellIs" dxfId="21" priority="19" operator="lessThan">
      <formula>0</formula>
    </cfRule>
  </conditionalFormatting>
  <conditionalFormatting sqref="B41:B43 D41:P43">
    <cfRule type="cellIs" dxfId="20" priority="18" operator="lessThan">
      <formula>0</formula>
    </cfRule>
  </conditionalFormatting>
  <conditionalFormatting sqref="C41">
    <cfRule type="cellIs" dxfId="19" priority="17" operator="lessThan">
      <formula>0</formula>
    </cfRule>
  </conditionalFormatting>
  <conditionalFormatting sqref="B48:P48">
    <cfRule type="cellIs" dxfId="18" priority="16" operator="lessThan">
      <formula>0</formula>
    </cfRule>
  </conditionalFormatting>
  <conditionalFormatting sqref="B46:B47 D45:P45 D46:E47">
    <cfRule type="cellIs" dxfId="17" priority="15" operator="lessThan">
      <formula>0</formula>
    </cfRule>
  </conditionalFormatting>
  <conditionalFormatting sqref="C45">
    <cfRule type="cellIs" dxfId="16" priority="14" operator="lessThan">
      <formula>0</formula>
    </cfRule>
  </conditionalFormatting>
  <conditionalFormatting sqref="B52:P52 B49:B51 D49:P51">
    <cfRule type="cellIs" dxfId="15" priority="13" operator="lessThan">
      <formula>0</formula>
    </cfRule>
  </conditionalFormatting>
  <conditionalFormatting sqref="C49">
    <cfRule type="cellIs" dxfId="14" priority="12" operator="lessThan">
      <formula>0</formula>
    </cfRule>
  </conditionalFormatting>
  <conditionalFormatting sqref="B53:B56 D53:P56 D64:P64 B64">
    <cfRule type="cellIs" dxfId="13" priority="11" operator="lessThan">
      <formula>0</formula>
    </cfRule>
  </conditionalFormatting>
  <conditionalFormatting sqref="C53">
    <cfRule type="cellIs" dxfId="12" priority="10" operator="lessThan">
      <formula>0</formula>
    </cfRule>
  </conditionalFormatting>
  <conditionalFormatting sqref="B45">
    <cfRule type="cellIs" dxfId="11" priority="9" operator="lessThan">
      <formula>0</formula>
    </cfRule>
  </conditionalFormatting>
  <conditionalFormatting sqref="F46:P47">
    <cfRule type="cellIs" dxfId="10" priority="8" operator="lessThan">
      <formula>0</formula>
    </cfRule>
  </conditionalFormatting>
  <conditionalFormatting sqref="B60:P60 B57:B59 D57:P59">
    <cfRule type="cellIs" dxfId="9" priority="7" operator="lessThan">
      <formula>0</formula>
    </cfRule>
  </conditionalFormatting>
  <conditionalFormatting sqref="C57">
    <cfRule type="cellIs" dxfId="8" priority="6" operator="lessThan">
      <formula>0</formula>
    </cfRule>
  </conditionalFormatting>
  <conditionalFormatting sqref="B61:B63 D61:P63">
    <cfRule type="cellIs" dxfId="7" priority="5" operator="lessThan">
      <formula>0</formula>
    </cfRule>
  </conditionalFormatting>
  <conditionalFormatting sqref="C61">
    <cfRule type="cellIs" dxfId="6" priority="4" operator="lessThan">
      <formula>0</formula>
    </cfRule>
  </conditionalFormatting>
  <conditionalFormatting sqref="B101">
    <cfRule type="cellIs" dxfId="5" priority="3" operator="lessThan">
      <formula>0</formula>
    </cfRule>
  </conditionalFormatting>
  <conditionalFormatting sqref="I14:J16">
    <cfRule type="cellIs" dxfId="4" priority="2" operator="lessThan">
      <formula>0</formula>
    </cfRule>
  </conditionalFormatting>
  <conditionalFormatting sqref="F17:J17">
    <cfRule type="cellIs" dxfId="3" priority="1" operator="lessThan">
      <formula>0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</sheetPr>
  <dimension ref="B2:Z113"/>
  <sheetViews>
    <sheetView showGridLines="0" zoomScale="70" zoomScaleNormal="70" workbookViewId="0">
      <pane xSplit="3" topLeftCell="I1" activePane="topRight" state="frozen"/>
      <selection activeCell="H26" sqref="H26"/>
      <selection pane="topRight" activeCell="B3" sqref="B3"/>
    </sheetView>
  </sheetViews>
  <sheetFormatPr defaultRowHeight="15" x14ac:dyDescent="0.25"/>
  <cols>
    <col min="1" max="1" width="4" customWidth="1"/>
    <col min="2" max="2" width="5.28515625" customWidth="1"/>
    <col min="3" max="3" width="13.7109375" customWidth="1"/>
    <col min="4" max="4" width="17.85546875" customWidth="1"/>
    <col min="5" max="5" width="63.140625" customWidth="1"/>
    <col min="6" max="6" width="9.28515625" customWidth="1"/>
    <col min="7" max="7" width="12.5703125" customWidth="1"/>
    <col min="8" max="8" width="11.140625" customWidth="1"/>
    <col min="9" max="9" width="14.42578125" customWidth="1"/>
    <col min="10" max="10" width="15.28515625" style="5" customWidth="1"/>
    <col min="11" max="11" width="4.85546875" customWidth="1"/>
    <col min="12" max="12" width="9.7109375" customWidth="1"/>
    <col min="13" max="16" width="15.28515625" customWidth="1"/>
    <col min="17" max="25" width="20" customWidth="1"/>
    <col min="26" max="26" width="15.5703125" customWidth="1"/>
    <col min="27" max="27" width="11.28515625" bestFit="1" customWidth="1"/>
  </cols>
  <sheetData>
    <row r="2" spans="2:26" ht="18.75" x14ac:dyDescent="0.3">
      <c r="B2" s="8" t="s">
        <v>0</v>
      </c>
    </row>
    <row r="3" spans="2:26" x14ac:dyDescent="0.25">
      <c r="B3" t="s">
        <v>611</v>
      </c>
    </row>
    <row r="7" spans="2:26" ht="9.6" customHeight="1" x14ac:dyDescent="0.25"/>
    <row r="8" spans="2:26" ht="21" customHeight="1" x14ac:dyDescent="0.25"/>
    <row r="9" spans="2:26" s="67" customFormat="1" x14ac:dyDescent="0.25">
      <c r="B9" s="20" t="s">
        <v>86</v>
      </c>
      <c r="J9" s="21"/>
    </row>
    <row r="10" spans="2:26" s="6" customFormat="1" ht="30" customHeight="1" x14ac:dyDescent="0.25">
      <c r="B10" s="15" t="s">
        <v>26</v>
      </c>
      <c r="C10" s="15" t="s">
        <v>1</v>
      </c>
      <c r="D10" s="15" t="s">
        <v>2</v>
      </c>
      <c r="E10" s="15" t="s">
        <v>142</v>
      </c>
      <c r="F10" s="15" t="s">
        <v>141</v>
      </c>
      <c r="G10" s="15" t="s">
        <v>144</v>
      </c>
      <c r="H10" s="15" t="s">
        <v>143</v>
      </c>
      <c r="I10" s="15" t="s">
        <v>100</v>
      </c>
      <c r="J10" s="15" t="s">
        <v>147</v>
      </c>
      <c r="K10" s="59"/>
      <c r="L10" s="59"/>
      <c r="M10" s="58" t="s">
        <v>24</v>
      </c>
      <c r="N10" s="58" t="s">
        <v>25</v>
      </c>
      <c r="O10" s="58" t="s">
        <v>54</v>
      </c>
      <c r="Q10"/>
      <c r="R10"/>
      <c r="S10"/>
      <c r="T10"/>
      <c r="U10"/>
      <c r="V10"/>
      <c r="W10"/>
      <c r="X10"/>
      <c r="Y10"/>
      <c r="Z10"/>
    </row>
    <row r="11" spans="2:26" x14ac:dyDescent="0.25">
      <c r="B11" s="467" t="s">
        <v>27</v>
      </c>
      <c r="C11" s="468">
        <v>4</v>
      </c>
      <c r="D11" s="477" t="s">
        <v>6</v>
      </c>
      <c r="E11" s="477" t="s">
        <v>9</v>
      </c>
      <c r="F11" s="469" t="str">
        <f>IF(H11=0,"YES","NO")</f>
        <v>NO</v>
      </c>
      <c r="G11" s="478">
        <v>36753</v>
      </c>
      <c r="H11" s="479">
        <v>21199</v>
      </c>
      <c r="I11" s="472" t="s">
        <v>183</v>
      </c>
      <c r="J11" s="473" t="s">
        <v>220</v>
      </c>
      <c r="K11" s="474"/>
      <c r="L11" s="474"/>
      <c r="M11" s="480">
        <v>2388945</v>
      </c>
      <c r="N11" s="480">
        <v>2736554</v>
      </c>
      <c r="O11" s="476">
        <f t="shared" ref="O11:O57" si="0">SUM(N11:N11)</f>
        <v>2736554</v>
      </c>
      <c r="Q11" s="4" t="s">
        <v>234</v>
      </c>
    </row>
    <row r="12" spans="2:26" x14ac:dyDescent="0.25">
      <c r="B12" s="467" t="s">
        <v>27</v>
      </c>
      <c r="C12" s="468">
        <v>5</v>
      </c>
      <c r="D12" s="477" t="s">
        <v>6</v>
      </c>
      <c r="E12" s="477" t="s">
        <v>10</v>
      </c>
      <c r="F12" s="469" t="str">
        <f>IF(H12=0,"YES","NO")</f>
        <v>YES</v>
      </c>
      <c r="G12" s="481">
        <v>2188</v>
      </c>
      <c r="H12" s="479">
        <v>0</v>
      </c>
      <c r="I12" s="472" t="s">
        <v>183</v>
      </c>
      <c r="J12" s="473" t="s">
        <v>220</v>
      </c>
      <c r="K12" s="474"/>
      <c r="L12" s="474"/>
      <c r="M12" s="480">
        <v>284440</v>
      </c>
      <c r="N12" s="480">
        <v>284440</v>
      </c>
      <c r="O12" s="476">
        <f t="shared" si="0"/>
        <v>284440</v>
      </c>
      <c r="Q12" s="21" t="s">
        <v>148</v>
      </c>
      <c r="R12" s="21" t="s">
        <v>149</v>
      </c>
      <c r="S12" s="21" t="s">
        <v>150</v>
      </c>
      <c r="T12" s="21" t="s">
        <v>151</v>
      </c>
      <c r="U12" s="21" t="s">
        <v>155</v>
      </c>
      <c r="V12" s="21" t="s">
        <v>221</v>
      </c>
      <c r="W12" s="21" t="s">
        <v>220</v>
      </c>
      <c r="X12" s="21" t="s">
        <v>152</v>
      </c>
      <c r="Y12" s="21" t="s">
        <v>153</v>
      </c>
      <c r="Z12" s="21" t="s">
        <v>45</v>
      </c>
    </row>
    <row r="13" spans="2:26" x14ac:dyDescent="0.25">
      <c r="B13" s="467" t="s">
        <v>27</v>
      </c>
      <c r="C13" s="468">
        <v>6</v>
      </c>
      <c r="D13" s="477" t="s">
        <v>6</v>
      </c>
      <c r="E13" s="477" t="s">
        <v>10</v>
      </c>
      <c r="F13" s="469" t="str">
        <f t="shared" ref="F13:F57" si="1">IF(H13=0,"YES","NO")</f>
        <v>YES</v>
      </c>
      <c r="G13" s="478">
        <v>2360</v>
      </c>
      <c r="H13" s="479">
        <v>0</v>
      </c>
      <c r="I13" s="472" t="s">
        <v>183</v>
      </c>
      <c r="J13" s="473" t="s">
        <v>153</v>
      </c>
      <c r="K13" s="474"/>
      <c r="L13" s="474"/>
      <c r="M13" s="482">
        <v>306800</v>
      </c>
      <c r="N13" s="482">
        <v>306800</v>
      </c>
      <c r="O13" s="476">
        <f t="shared" si="0"/>
        <v>306800</v>
      </c>
      <c r="Q13" s="58" t="s">
        <v>31</v>
      </c>
      <c r="R13" s="58" t="s">
        <v>32</v>
      </c>
      <c r="S13" s="58" t="s">
        <v>34</v>
      </c>
      <c r="T13" s="58" t="s">
        <v>35</v>
      </c>
      <c r="U13" s="58" t="s">
        <v>33</v>
      </c>
      <c r="V13" s="58" t="s">
        <v>222</v>
      </c>
      <c r="W13" s="58" t="s">
        <v>212</v>
      </c>
      <c r="X13" s="58" t="s">
        <v>213</v>
      </c>
      <c r="Y13" s="58" t="s">
        <v>42</v>
      </c>
      <c r="Z13" s="58" t="s">
        <v>136</v>
      </c>
    </row>
    <row r="14" spans="2:26" x14ac:dyDescent="0.25">
      <c r="B14" s="467" t="s">
        <v>27</v>
      </c>
      <c r="C14" s="468">
        <v>7</v>
      </c>
      <c r="D14" s="477" t="s">
        <v>6</v>
      </c>
      <c r="E14" s="477" t="s">
        <v>9</v>
      </c>
      <c r="F14" s="469" t="str">
        <f t="shared" si="1"/>
        <v>YES</v>
      </c>
      <c r="G14" s="478">
        <v>4688</v>
      </c>
      <c r="H14" s="479">
        <v>0</v>
      </c>
      <c r="I14" s="472" t="s">
        <v>183</v>
      </c>
      <c r="J14" s="473" t="s">
        <v>153</v>
      </c>
      <c r="K14" s="474"/>
      <c r="L14" s="474"/>
      <c r="M14" s="482">
        <v>304720</v>
      </c>
      <c r="N14" s="480">
        <v>378007</v>
      </c>
      <c r="O14" s="476">
        <f t="shared" si="0"/>
        <v>378007</v>
      </c>
      <c r="Q14" s="32">
        <f>SUMIFS($H$11:$H$57,$J$11:$J$57,"MU")+SUMIFS($H$63:$H$97,$J$63:$J$97,"MU")</f>
        <v>43783</v>
      </c>
      <c r="R14" s="32">
        <f>SUMIFS($H$11:$H$57,$J$11:$J$57,"CO")+SUMIFS($H$63:$H$97,$J$63:$J$97,"CO")</f>
        <v>7452</v>
      </c>
      <c r="S14" s="32">
        <f>SUMIFS($H$11:$H$57,$J$11:$J$57,"OF")+SUMIFS($H$63:$H$97,$J$63:$J$97,"OF")</f>
        <v>34137</v>
      </c>
      <c r="T14" s="32">
        <f>SUMIFS($H$11:$H$57,$J$11:$J$57,"RE")+SUMIFS($H$63:$H$97,$J$63:$J$97,"RE")</f>
        <v>119147</v>
      </c>
      <c r="U14" s="32">
        <f>SUMIFS($H$11:$H$57,$J$11:$J$57,"HO")+SUMIFS($H$63:$H$97,$J$63:$J$97,"HO")</f>
        <v>2164</v>
      </c>
      <c r="V14" s="32">
        <f>SUMIFS($H$11:$H$57,$J$11:$J$57,"ED")+SUMIFS($H$63:$H$97,$J$63:$J$97,"ED")</f>
        <v>13622</v>
      </c>
      <c r="W14" s="32">
        <f>SUMIFS($H$11:$H$57,$J$11:$J$57,"AR")+SUMIFS($H$63:$H$97,$J$63:$J$97,"AR")</f>
        <v>38314</v>
      </c>
      <c r="X14" s="32">
        <f>SUMIFS($H$11:$H$57,$J$11:$J$57,"IN")+SUMIFS($H$63:$H$97,$J$63:$J$97,"IN")</f>
        <v>0</v>
      </c>
      <c r="Y14" s="32">
        <f>SUMIFS($H$11:$H$57,$J$11:$J$57,"PA")+SUMIFS($H$63:$H$97,$J$63:$J$97,"PA")</f>
        <v>0</v>
      </c>
      <c r="Z14" s="32">
        <f>SUM(Q14:Y14)</f>
        <v>258619</v>
      </c>
    </row>
    <row r="15" spans="2:26" x14ac:dyDescent="0.25">
      <c r="B15" s="467" t="s">
        <v>27</v>
      </c>
      <c r="C15" s="468">
        <v>12</v>
      </c>
      <c r="D15" s="477" t="s">
        <v>6</v>
      </c>
      <c r="E15" s="477" t="s">
        <v>11</v>
      </c>
      <c r="F15" s="469" t="str">
        <f t="shared" si="1"/>
        <v>YES</v>
      </c>
      <c r="G15" s="478">
        <v>14000</v>
      </c>
      <c r="H15" s="479">
        <v>0</v>
      </c>
      <c r="I15" s="472" t="s">
        <v>183</v>
      </c>
      <c r="J15" s="473" t="s">
        <v>148</v>
      </c>
      <c r="K15" s="474"/>
      <c r="L15" s="474"/>
      <c r="M15" s="482">
        <v>910000</v>
      </c>
      <c r="N15" s="482">
        <v>910000</v>
      </c>
      <c r="O15" s="476">
        <f t="shared" si="0"/>
        <v>910000</v>
      </c>
      <c r="Q15" s="122"/>
      <c r="R15" s="122"/>
      <c r="S15" s="122"/>
      <c r="T15" s="122"/>
      <c r="U15" s="122"/>
      <c r="V15" s="122"/>
      <c r="W15" s="122"/>
      <c r="X15" s="122"/>
      <c r="Y15" s="122"/>
    </row>
    <row r="16" spans="2:26" x14ac:dyDescent="0.25">
      <c r="B16" s="467" t="s">
        <v>27</v>
      </c>
      <c r="C16" s="468">
        <v>13</v>
      </c>
      <c r="D16" s="477" t="s">
        <v>7</v>
      </c>
      <c r="E16" s="477" t="s">
        <v>11</v>
      </c>
      <c r="F16" s="469" t="str">
        <f t="shared" si="1"/>
        <v>YES</v>
      </c>
      <c r="G16" s="478">
        <v>7000</v>
      </c>
      <c r="H16" s="479">
        <v>0</v>
      </c>
      <c r="I16" s="472" t="s">
        <v>183</v>
      </c>
      <c r="J16" s="473" t="s">
        <v>148</v>
      </c>
      <c r="K16" s="474"/>
      <c r="L16" s="474"/>
      <c r="M16" s="480">
        <v>612500</v>
      </c>
      <c r="N16" s="480">
        <v>612500</v>
      </c>
      <c r="O16" s="476">
        <f t="shared" si="0"/>
        <v>612500</v>
      </c>
      <c r="Q16" s="122"/>
      <c r="R16" s="122"/>
      <c r="S16" s="122"/>
      <c r="T16" s="122"/>
      <c r="U16" s="122"/>
      <c r="V16" s="122"/>
      <c r="W16" s="122"/>
      <c r="X16" s="122"/>
      <c r="Y16" s="122"/>
    </row>
    <row r="17" spans="2:26" x14ac:dyDescent="0.25">
      <c r="B17" s="467" t="s">
        <v>27</v>
      </c>
      <c r="C17" s="468">
        <v>14</v>
      </c>
      <c r="D17" s="477" t="s">
        <v>7</v>
      </c>
      <c r="E17" s="477" t="s">
        <v>11</v>
      </c>
      <c r="F17" s="469" t="str">
        <f t="shared" si="1"/>
        <v>YES</v>
      </c>
      <c r="G17" s="478">
        <v>7000</v>
      </c>
      <c r="H17" s="479">
        <v>0</v>
      </c>
      <c r="I17" s="472" t="s">
        <v>183</v>
      </c>
      <c r="J17" s="473" t="s">
        <v>148</v>
      </c>
      <c r="K17" s="474"/>
      <c r="L17" s="474"/>
      <c r="M17" s="482">
        <v>612500</v>
      </c>
      <c r="N17" s="482">
        <v>612500</v>
      </c>
      <c r="O17" s="476">
        <f t="shared" si="0"/>
        <v>612500</v>
      </c>
      <c r="Q17" s="4" t="s">
        <v>463</v>
      </c>
    </row>
    <row r="18" spans="2:26" x14ac:dyDescent="0.25">
      <c r="B18" s="467" t="s">
        <v>27</v>
      </c>
      <c r="C18" s="468">
        <v>16</v>
      </c>
      <c r="D18" s="468" t="s">
        <v>6</v>
      </c>
      <c r="E18" s="468" t="s">
        <v>9</v>
      </c>
      <c r="F18" s="469" t="str">
        <f t="shared" si="1"/>
        <v>NO</v>
      </c>
      <c r="G18" s="478">
        <v>52250</v>
      </c>
      <c r="H18" s="479">
        <v>72978</v>
      </c>
      <c r="I18" s="472" t="s">
        <v>183</v>
      </c>
      <c r="J18" s="473" t="s">
        <v>151</v>
      </c>
      <c r="K18" s="474"/>
      <c r="L18" s="474"/>
      <c r="M18" s="480">
        <v>5773625</v>
      </c>
      <c r="N18" s="480">
        <v>8182046</v>
      </c>
      <c r="O18" s="476">
        <f t="shared" si="0"/>
        <v>8182046</v>
      </c>
      <c r="Q18" s="21" t="s">
        <v>148</v>
      </c>
      <c r="R18" s="21" t="s">
        <v>149</v>
      </c>
      <c r="S18" s="21" t="s">
        <v>150</v>
      </c>
      <c r="T18" s="21" t="s">
        <v>151</v>
      </c>
      <c r="U18" s="21" t="s">
        <v>155</v>
      </c>
      <c r="V18" s="21" t="s">
        <v>221</v>
      </c>
      <c r="W18" s="21" t="s">
        <v>220</v>
      </c>
      <c r="X18" s="21" t="s">
        <v>152</v>
      </c>
      <c r="Y18" s="21" t="s">
        <v>153</v>
      </c>
      <c r="Z18" s="21" t="s">
        <v>45</v>
      </c>
    </row>
    <row r="19" spans="2:26" x14ac:dyDescent="0.25">
      <c r="B19" s="467" t="s">
        <v>27</v>
      </c>
      <c r="C19" s="468">
        <v>17</v>
      </c>
      <c r="D19" s="468" t="s">
        <v>6</v>
      </c>
      <c r="E19" s="468" t="s">
        <v>9</v>
      </c>
      <c r="F19" s="469" t="str">
        <f t="shared" si="1"/>
        <v>NO</v>
      </c>
      <c r="G19" s="478">
        <v>14000</v>
      </c>
      <c r="H19" s="479">
        <v>1350</v>
      </c>
      <c r="I19" s="472" t="s">
        <v>183</v>
      </c>
      <c r="J19" s="473" t="s">
        <v>220</v>
      </c>
      <c r="K19" s="474"/>
      <c r="L19" s="474"/>
      <c r="M19" s="480">
        <v>1820000</v>
      </c>
      <c r="N19" s="480">
        <v>1844017</v>
      </c>
      <c r="O19" s="476">
        <f t="shared" si="0"/>
        <v>1844017</v>
      </c>
      <c r="Q19" s="58" t="s">
        <v>31</v>
      </c>
      <c r="R19" s="58" t="s">
        <v>32</v>
      </c>
      <c r="S19" s="58" t="s">
        <v>34</v>
      </c>
      <c r="T19" s="58" t="s">
        <v>35</v>
      </c>
      <c r="U19" s="58" t="s">
        <v>33</v>
      </c>
      <c r="V19" s="58" t="s">
        <v>222</v>
      </c>
      <c r="W19" s="58" t="s">
        <v>212</v>
      </c>
      <c r="X19" s="58" t="s">
        <v>213</v>
      </c>
      <c r="Y19" s="58" t="s">
        <v>42</v>
      </c>
      <c r="Z19" s="58" t="s">
        <v>136</v>
      </c>
    </row>
    <row r="20" spans="2:26" x14ac:dyDescent="0.25">
      <c r="B20" s="467" t="s">
        <v>27</v>
      </c>
      <c r="C20" s="468">
        <v>18</v>
      </c>
      <c r="D20" s="468" t="s">
        <v>6</v>
      </c>
      <c r="E20" s="468" t="s">
        <v>11</v>
      </c>
      <c r="F20" s="469" t="str">
        <f t="shared" si="1"/>
        <v>YES</v>
      </c>
      <c r="G20" s="478">
        <v>7000</v>
      </c>
      <c r="H20" s="479">
        <v>0</v>
      </c>
      <c r="I20" s="472" t="s">
        <v>183</v>
      </c>
      <c r="J20" s="473" t="s">
        <v>155</v>
      </c>
      <c r="K20" s="474"/>
      <c r="L20" s="474"/>
      <c r="M20" s="480">
        <v>910000</v>
      </c>
      <c r="N20" s="480">
        <v>910000</v>
      </c>
      <c r="O20" s="476">
        <f t="shared" si="0"/>
        <v>910000</v>
      </c>
      <c r="Q20" s="112">
        <f>SUMIFS(O11:O57,J11:J57,"MU")</f>
        <v>29789776</v>
      </c>
      <c r="R20" s="112">
        <f>SUMIFS(O11:O57,J11:J57,"CO")</f>
        <v>9566400</v>
      </c>
      <c r="S20" s="112">
        <f>SUMIFS(O11:O57,J11:J57,"OF")</f>
        <v>12354499</v>
      </c>
      <c r="T20" s="112">
        <f>SUMIFS(O11:O57,J11:J57,"RE")</f>
        <v>17290987</v>
      </c>
      <c r="U20" s="112">
        <f>SUMIFS(O11:O57,J11:J57,"HO")</f>
        <v>1821000</v>
      </c>
      <c r="V20" s="112">
        <f>SUMIFS(O11:O57,J11:J57,"ED")</f>
        <v>0</v>
      </c>
      <c r="W20" s="112">
        <f>SUMIFS(O11:O57,J11:J57,"AR")</f>
        <v>17134310</v>
      </c>
      <c r="X20" s="112">
        <f>SUMIFS(O11:O57,J11:J57,"IN")</f>
        <v>1581490</v>
      </c>
      <c r="Y20" s="112">
        <f>SUMIFS(O11:O57,J11:J57,"PA")</f>
        <v>684807</v>
      </c>
      <c r="Z20" s="124">
        <f>SUM(Q20:Y20)</f>
        <v>90223269</v>
      </c>
    </row>
    <row r="21" spans="2:26" x14ac:dyDescent="0.25">
      <c r="B21" s="467" t="s">
        <v>27</v>
      </c>
      <c r="C21" s="468">
        <v>19</v>
      </c>
      <c r="D21" s="468" t="s">
        <v>6</v>
      </c>
      <c r="E21" s="468" t="s">
        <v>12</v>
      </c>
      <c r="F21" s="469" t="str">
        <f t="shared" si="1"/>
        <v>NO</v>
      </c>
      <c r="G21" s="478">
        <v>7000</v>
      </c>
      <c r="H21" s="479">
        <v>2164</v>
      </c>
      <c r="I21" s="472" t="s">
        <v>183</v>
      </c>
      <c r="J21" s="473" t="s">
        <v>155</v>
      </c>
      <c r="K21" s="474"/>
      <c r="L21" s="474"/>
      <c r="M21" s="480">
        <v>910000</v>
      </c>
      <c r="N21" s="480">
        <v>911000</v>
      </c>
      <c r="O21" s="476">
        <f t="shared" si="0"/>
        <v>911000</v>
      </c>
      <c r="Q21" s="122"/>
      <c r="R21" s="122"/>
      <c r="S21" s="122"/>
      <c r="T21" s="122"/>
      <c r="U21" s="122"/>
      <c r="V21" s="122"/>
      <c r="W21" s="122"/>
      <c r="X21" s="122"/>
      <c r="Y21" s="122"/>
    </row>
    <row r="22" spans="2:26" x14ac:dyDescent="0.25">
      <c r="B22" s="467" t="s">
        <v>27</v>
      </c>
      <c r="C22" s="468">
        <v>20</v>
      </c>
      <c r="D22" s="468" t="s">
        <v>7</v>
      </c>
      <c r="E22" s="468" t="s">
        <v>13</v>
      </c>
      <c r="F22" s="469" t="str">
        <f t="shared" si="1"/>
        <v>NO</v>
      </c>
      <c r="G22" s="478">
        <v>7000</v>
      </c>
      <c r="H22" s="479">
        <v>982</v>
      </c>
      <c r="I22" s="472" t="s">
        <v>183</v>
      </c>
      <c r="J22" s="473" t="s">
        <v>149</v>
      </c>
      <c r="K22" s="474"/>
      <c r="L22" s="474"/>
      <c r="M22" s="480">
        <v>1225000</v>
      </c>
      <c r="N22" s="480">
        <v>1243403</v>
      </c>
      <c r="O22" s="476">
        <f t="shared" si="0"/>
        <v>1243403</v>
      </c>
      <c r="Q22" s="122"/>
      <c r="R22" s="122"/>
      <c r="S22" s="122"/>
      <c r="T22" s="122"/>
      <c r="U22" s="122"/>
      <c r="V22" s="122"/>
      <c r="W22" s="122"/>
      <c r="X22" s="122"/>
      <c r="Y22" s="122"/>
    </row>
    <row r="23" spans="2:26" x14ac:dyDescent="0.25">
      <c r="B23" s="467" t="s">
        <v>27</v>
      </c>
      <c r="C23" s="468">
        <v>24</v>
      </c>
      <c r="D23" s="468" t="s">
        <v>6</v>
      </c>
      <c r="E23" s="468" t="s">
        <v>11</v>
      </c>
      <c r="F23" s="469" t="str">
        <f t="shared" si="1"/>
        <v>YES</v>
      </c>
      <c r="G23" s="478">
        <v>6800</v>
      </c>
      <c r="H23" s="479">
        <v>0</v>
      </c>
      <c r="I23" s="472" t="s">
        <v>183</v>
      </c>
      <c r="J23" s="473" t="s">
        <v>148</v>
      </c>
      <c r="K23" s="474"/>
      <c r="L23" s="474"/>
      <c r="M23" s="480">
        <v>884000</v>
      </c>
      <c r="N23" s="480">
        <v>884000</v>
      </c>
      <c r="O23" s="476">
        <f t="shared" si="0"/>
        <v>884000</v>
      </c>
      <c r="Q23" s="4" t="s">
        <v>463</v>
      </c>
    </row>
    <row r="24" spans="2:26" x14ac:dyDescent="0.25">
      <c r="B24" s="467" t="s">
        <v>27</v>
      </c>
      <c r="C24" s="468">
        <v>26</v>
      </c>
      <c r="D24" s="468" t="s">
        <v>6</v>
      </c>
      <c r="E24" s="468" t="s">
        <v>11</v>
      </c>
      <c r="F24" s="469" t="str">
        <f t="shared" si="1"/>
        <v>YES</v>
      </c>
      <c r="G24" s="478">
        <v>1620</v>
      </c>
      <c r="H24" s="479">
        <v>0</v>
      </c>
      <c r="I24" s="472" t="s">
        <v>183</v>
      </c>
      <c r="J24" s="473" t="s">
        <v>148</v>
      </c>
      <c r="K24" s="474"/>
      <c r="L24" s="474"/>
      <c r="M24" s="480">
        <v>210600</v>
      </c>
      <c r="N24" s="480">
        <v>210600</v>
      </c>
      <c r="O24" s="476">
        <f t="shared" si="0"/>
        <v>210600</v>
      </c>
      <c r="Q24" s="21" t="s">
        <v>148</v>
      </c>
      <c r="R24" s="21" t="s">
        <v>149</v>
      </c>
      <c r="S24" s="21" t="s">
        <v>150</v>
      </c>
      <c r="T24" s="21" t="s">
        <v>151</v>
      </c>
      <c r="U24" s="21" t="s">
        <v>155</v>
      </c>
      <c r="V24" s="21" t="s">
        <v>221</v>
      </c>
      <c r="W24" s="21" t="s">
        <v>220</v>
      </c>
      <c r="X24" s="21" t="s">
        <v>152</v>
      </c>
      <c r="Y24" s="21" t="s">
        <v>153</v>
      </c>
      <c r="Z24" s="21" t="s">
        <v>45</v>
      </c>
    </row>
    <row r="25" spans="2:26" x14ac:dyDescent="0.25">
      <c r="B25" s="467" t="s">
        <v>27</v>
      </c>
      <c r="C25" s="468">
        <v>27</v>
      </c>
      <c r="D25" s="468" t="s">
        <v>6</v>
      </c>
      <c r="E25" s="468" t="s">
        <v>14</v>
      </c>
      <c r="F25" s="469" t="str">
        <f t="shared" si="1"/>
        <v>YES</v>
      </c>
      <c r="G25" s="478">
        <v>2974</v>
      </c>
      <c r="H25" s="479">
        <v>0</v>
      </c>
      <c r="I25" s="472" t="s">
        <v>183</v>
      </c>
      <c r="J25" s="473" t="s">
        <v>148</v>
      </c>
      <c r="K25" s="474"/>
      <c r="L25" s="474"/>
      <c r="M25" s="480">
        <v>386620</v>
      </c>
      <c r="N25" s="480">
        <v>398024</v>
      </c>
      <c r="O25" s="476">
        <f t="shared" si="0"/>
        <v>398024</v>
      </c>
      <c r="Q25" s="58" t="s">
        <v>31</v>
      </c>
      <c r="R25" s="58" t="s">
        <v>32</v>
      </c>
      <c r="S25" s="58" t="s">
        <v>34</v>
      </c>
      <c r="T25" s="58" t="s">
        <v>35</v>
      </c>
      <c r="U25" s="58" t="s">
        <v>33</v>
      </c>
      <c r="V25" s="58" t="s">
        <v>222</v>
      </c>
      <c r="W25" s="58" t="s">
        <v>212</v>
      </c>
      <c r="X25" s="58" t="s">
        <v>213</v>
      </c>
      <c r="Y25" s="58" t="s">
        <v>42</v>
      </c>
      <c r="Z25" s="58" t="s">
        <v>136</v>
      </c>
    </row>
    <row r="26" spans="2:26" x14ac:dyDescent="0.25">
      <c r="B26" s="467" t="s">
        <v>27</v>
      </c>
      <c r="C26" s="468">
        <v>28</v>
      </c>
      <c r="D26" s="468" t="s">
        <v>6</v>
      </c>
      <c r="E26" s="468" t="s">
        <v>14</v>
      </c>
      <c r="F26" s="469" t="str">
        <f t="shared" si="1"/>
        <v>NO</v>
      </c>
      <c r="G26" s="478">
        <v>4501</v>
      </c>
      <c r="H26" s="479">
        <v>794</v>
      </c>
      <c r="I26" s="472" t="s">
        <v>183</v>
      </c>
      <c r="J26" s="473" t="s">
        <v>148</v>
      </c>
      <c r="K26" s="474"/>
      <c r="L26" s="474"/>
      <c r="M26" s="480">
        <v>585130</v>
      </c>
      <c r="N26" s="480">
        <v>623043</v>
      </c>
      <c r="O26" s="476">
        <f t="shared" si="0"/>
        <v>623043</v>
      </c>
      <c r="Q26" s="112">
        <f>SUMIFS(O62:O103,J62:J103,"MU")</f>
        <v>4287370</v>
      </c>
      <c r="R26" s="112">
        <f>SUMIFS(O62:O103,J62:J103,"CO")</f>
        <v>0</v>
      </c>
      <c r="S26" s="112">
        <f>SUMIFS(O62:O103,J62:J103,"OF")</f>
        <v>0</v>
      </c>
      <c r="T26" s="112">
        <f>SUMIFS(O62:O103,J62:J103,"RE")</f>
        <v>0</v>
      </c>
      <c r="U26" s="112">
        <f>SUMIFS(O62:O103,J62:J103,"HO")</f>
        <v>0</v>
      </c>
      <c r="V26" s="112">
        <f>SUMIFS(O62:O103,J62:J103,"ED")</f>
        <v>1245293</v>
      </c>
      <c r="W26" s="112">
        <f>SUMIFS(O62:O103,J62:J103,"AR")</f>
        <v>0</v>
      </c>
      <c r="X26" s="112">
        <f>SUMIFS(O62:O103,J62:J103,"IN")</f>
        <v>0</v>
      </c>
      <c r="Y26" s="112">
        <f>SUMIFS(O62:O103,J62:J103,"PA")</f>
        <v>0</v>
      </c>
      <c r="Z26" s="124">
        <f>SUM(Q26:Y26)</f>
        <v>5532663</v>
      </c>
    </row>
    <row r="27" spans="2:26" x14ac:dyDescent="0.25">
      <c r="B27" s="467" t="s">
        <v>27</v>
      </c>
      <c r="C27" s="468">
        <v>29</v>
      </c>
      <c r="D27" s="468" t="s">
        <v>7</v>
      </c>
      <c r="E27" s="468" t="s">
        <v>9</v>
      </c>
      <c r="F27" s="469" t="str">
        <f t="shared" si="1"/>
        <v>NO</v>
      </c>
      <c r="G27" s="478">
        <v>8090</v>
      </c>
      <c r="H27" s="479">
        <v>4998</v>
      </c>
      <c r="I27" s="472" t="s">
        <v>183</v>
      </c>
      <c r="J27" s="473" t="s">
        <v>148</v>
      </c>
      <c r="K27" s="474"/>
      <c r="L27" s="474"/>
      <c r="M27" s="480">
        <v>1415750</v>
      </c>
      <c r="N27" s="480">
        <v>1560675</v>
      </c>
      <c r="O27" s="476">
        <f t="shared" si="0"/>
        <v>1560675</v>
      </c>
    </row>
    <row r="28" spans="2:26" x14ac:dyDescent="0.25">
      <c r="B28" s="467" t="s">
        <v>27</v>
      </c>
      <c r="C28" s="468">
        <v>30</v>
      </c>
      <c r="D28" s="468" t="s">
        <v>7</v>
      </c>
      <c r="E28" s="468" t="s">
        <v>12</v>
      </c>
      <c r="F28" s="469" t="str">
        <f t="shared" si="1"/>
        <v>NO</v>
      </c>
      <c r="G28" s="478">
        <v>9930</v>
      </c>
      <c r="H28" s="479">
        <v>3076</v>
      </c>
      <c r="I28" s="472" t="s">
        <v>183</v>
      </c>
      <c r="J28" s="473" t="s">
        <v>148</v>
      </c>
      <c r="K28" s="474"/>
      <c r="L28" s="474"/>
      <c r="M28" s="480">
        <v>1737750</v>
      </c>
      <c r="N28" s="480">
        <v>1738750</v>
      </c>
      <c r="O28" s="476">
        <f t="shared" si="0"/>
        <v>1738750</v>
      </c>
    </row>
    <row r="29" spans="2:26" x14ac:dyDescent="0.25">
      <c r="B29" s="467" t="s">
        <v>29</v>
      </c>
      <c r="C29" s="468">
        <v>4</v>
      </c>
      <c r="D29" s="468" t="s">
        <v>6</v>
      </c>
      <c r="E29" s="468" t="s">
        <v>16</v>
      </c>
      <c r="F29" s="469" t="str">
        <f t="shared" si="1"/>
        <v>NO</v>
      </c>
      <c r="G29" s="478">
        <v>6900</v>
      </c>
      <c r="H29" s="479">
        <v>2408</v>
      </c>
      <c r="I29" s="472" t="s">
        <v>183</v>
      </c>
      <c r="J29" s="473" t="s">
        <v>148</v>
      </c>
      <c r="K29" s="474"/>
      <c r="L29" s="474"/>
      <c r="M29" s="480">
        <v>2070000</v>
      </c>
      <c r="N29" s="480">
        <v>2188613</v>
      </c>
      <c r="O29" s="476">
        <f t="shared" si="0"/>
        <v>2188613</v>
      </c>
    </row>
    <row r="30" spans="2:26" x14ac:dyDescent="0.25">
      <c r="B30" s="467" t="s">
        <v>29</v>
      </c>
      <c r="C30" s="468">
        <v>5</v>
      </c>
      <c r="D30" s="477" t="s">
        <v>6</v>
      </c>
      <c r="E30" s="477" t="s">
        <v>17</v>
      </c>
      <c r="F30" s="469" t="str">
        <f t="shared" si="1"/>
        <v>YES</v>
      </c>
      <c r="G30" s="478">
        <v>13800</v>
      </c>
      <c r="H30" s="479">
        <v>0</v>
      </c>
      <c r="I30" s="472" t="s">
        <v>183</v>
      </c>
      <c r="J30" s="473" t="s">
        <v>148</v>
      </c>
      <c r="K30" s="474"/>
      <c r="L30" s="474"/>
      <c r="M30" s="480">
        <v>4140000</v>
      </c>
      <c r="N30" s="480">
        <v>4142975</v>
      </c>
      <c r="O30" s="476">
        <f t="shared" si="0"/>
        <v>4142975</v>
      </c>
    </row>
    <row r="31" spans="2:26" x14ac:dyDescent="0.25">
      <c r="B31" s="467" t="s">
        <v>29</v>
      </c>
      <c r="C31" s="468">
        <v>6</v>
      </c>
      <c r="D31" s="474" t="s">
        <v>6</v>
      </c>
      <c r="E31" s="474" t="s">
        <v>11</v>
      </c>
      <c r="F31" s="469" t="str">
        <f t="shared" si="1"/>
        <v>YES</v>
      </c>
      <c r="G31" s="478">
        <v>6900</v>
      </c>
      <c r="H31" s="479">
        <v>0</v>
      </c>
      <c r="I31" s="472" t="s">
        <v>183</v>
      </c>
      <c r="J31" s="473" t="s">
        <v>220</v>
      </c>
      <c r="K31" s="474"/>
      <c r="L31" s="474"/>
      <c r="M31" s="483">
        <v>2070000</v>
      </c>
      <c r="N31" s="483">
        <v>2070000</v>
      </c>
      <c r="O31" s="476">
        <f t="shared" si="0"/>
        <v>2070000</v>
      </c>
    </row>
    <row r="32" spans="2:26" x14ac:dyDescent="0.25">
      <c r="B32" s="467" t="s">
        <v>29</v>
      </c>
      <c r="C32" s="468">
        <v>7</v>
      </c>
      <c r="D32" s="477" t="s">
        <v>6</v>
      </c>
      <c r="E32" s="477" t="s">
        <v>9</v>
      </c>
      <c r="F32" s="469" t="str">
        <f t="shared" si="1"/>
        <v>NO</v>
      </c>
      <c r="G32" s="478">
        <v>13800</v>
      </c>
      <c r="H32" s="479">
        <v>10000</v>
      </c>
      <c r="I32" s="472" t="s">
        <v>183</v>
      </c>
      <c r="J32" s="473" t="s">
        <v>220</v>
      </c>
      <c r="K32" s="474"/>
      <c r="L32" s="474"/>
      <c r="M32" s="480">
        <v>4140000</v>
      </c>
      <c r="N32" s="480">
        <v>4347853</v>
      </c>
      <c r="O32" s="476">
        <f t="shared" si="0"/>
        <v>4347853</v>
      </c>
    </row>
    <row r="33" spans="2:25" x14ac:dyDescent="0.25">
      <c r="B33" s="467" t="s">
        <v>29</v>
      </c>
      <c r="C33" s="468">
        <v>8</v>
      </c>
      <c r="D33" s="477" t="s">
        <v>6</v>
      </c>
      <c r="E33" s="477" t="s">
        <v>9</v>
      </c>
      <c r="F33" s="469" t="str">
        <f t="shared" si="1"/>
        <v>NO</v>
      </c>
      <c r="G33" s="478">
        <v>6900</v>
      </c>
      <c r="H33" s="479">
        <v>5765</v>
      </c>
      <c r="I33" s="472" t="s">
        <v>183</v>
      </c>
      <c r="J33" s="473" t="s">
        <v>220</v>
      </c>
      <c r="K33" s="474"/>
      <c r="L33" s="474"/>
      <c r="M33" s="480">
        <v>2070000</v>
      </c>
      <c r="N33" s="482">
        <v>2206446</v>
      </c>
      <c r="O33" s="476">
        <f t="shared" si="0"/>
        <v>2206446</v>
      </c>
    </row>
    <row r="34" spans="2:25" x14ac:dyDescent="0.25">
      <c r="B34" s="467" t="s">
        <v>29</v>
      </c>
      <c r="C34" s="468">
        <v>9</v>
      </c>
      <c r="D34" s="468" t="s">
        <v>6</v>
      </c>
      <c r="E34" s="477" t="s">
        <v>11</v>
      </c>
      <c r="F34" s="469" t="str">
        <f t="shared" si="1"/>
        <v>YES</v>
      </c>
      <c r="G34" s="478">
        <v>6900</v>
      </c>
      <c r="H34" s="479">
        <v>0</v>
      </c>
      <c r="I34" s="472" t="s">
        <v>183</v>
      </c>
      <c r="J34" s="473" t="s">
        <v>220</v>
      </c>
      <c r="K34" s="474"/>
      <c r="L34" s="474"/>
      <c r="M34" s="480">
        <v>2070000</v>
      </c>
      <c r="N34" s="480">
        <v>2070000</v>
      </c>
      <c r="O34" s="476">
        <f t="shared" si="0"/>
        <v>2070000</v>
      </c>
      <c r="Q34" s="122"/>
      <c r="R34" s="122"/>
      <c r="S34" s="122"/>
      <c r="T34" s="122"/>
      <c r="U34" s="122"/>
      <c r="V34" s="122"/>
      <c r="W34" s="122"/>
      <c r="X34" s="122"/>
      <c r="Y34" s="122"/>
    </row>
    <row r="35" spans="2:25" x14ac:dyDescent="0.25">
      <c r="B35" s="467" t="s">
        <v>29</v>
      </c>
      <c r="C35" s="468">
        <v>10</v>
      </c>
      <c r="D35" s="468" t="s">
        <v>6</v>
      </c>
      <c r="E35" s="477" t="s">
        <v>11</v>
      </c>
      <c r="F35" s="469" t="str">
        <f t="shared" si="1"/>
        <v>YES</v>
      </c>
      <c r="G35" s="478">
        <v>24288</v>
      </c>
      <c r="H35" s="479">
        <v>0</v>
      </c>
      <c r="I35" s="472" t="s">
        <v>183</v>
      </c>
      <c r="J35" s="473" t="s">
        <v>149</v>
      </c>
      <c r="K35" s="474"/>
      <c r="L35" s="474"/>
      <c r="M35" s="482">
        <v>6557760</v>
      </c>
      <c r="N35" s="482">
        <v>6557760</v>
      </c>
      <c r="O35" s="476">
        <f t="shared" si="0"/>
        <v>6557760</v>
      </c>
      <c r="Q35" s="122"/>
      <c r="R35" s="122"/>
      <c r="S35" s="122"/>
      <c r="T35" s="122"/>
      <c r="U35" s="122"/>
      <c r="V35" s="122"/>
      <c r="W35" s="122"/>
      <c r="X35" s="122"/>
      <c r="Y35" s="122"/>
    </row>
    <row r="36" spans="2:25" x14ac:dyDescent="0.25">
      <c r="B36" s="467" t="s">
        <v>29</v>
      </c>
      <c r="C36" s="468">
        <v>18</v>
      </c>
      <c r="D36" s="468" t="s">
        <v>8</v>
      </c>
      <c r="E36" s="477" t="s">
        <v>11</v>
      </c>
      <c r="F36" s="469" t="str">
        <f t="shared" si="1"/>
        <v>YES</v>
      </c>
      <c r="G36" s="481">
        <v>1750</v>
      </c>
      <c r="H36" s="479">
        <v>0</v>
      </c>
      <c r="I36" s="472" t="s">
        <v>183</v>
      </c>
      <c r="J36" s="473" t="s">
        <v>220</v>
      </c>
      <c r="K36" s="474"/>
      <c r="L36" s="474"/>
      <c r="M36" s="482">
        <v>262500</v>
      </c>
      <c r="N36" s="482">
        <v>262500</v>
      </c>
      <c r="O36" s="476">
        <f t="shared" si="0"/>
        <v>262500</v>
      </c>
      <c r="Q36" s="122"/>
      <c r="R36" s="122"/>
      <c r="S36" s="122"/>
      <c r="T36" s="122"/>
      <c r="U36" s="122"/>
      <c r="V36" s="122"/>
      <c r="W36" s="122"/>
      <c r="X36" s="122"/>
      <c r="Y36" s="122"/>
    </row>
    <row r="37" spans="2:25" x14ac:dyDescent="0.25">
      <c r="B37" s="467" t="s">
        <v>29</v>
      </c>
      <c r="C37" s="468">
        <v>19</v>
      </c>
      <c r="D37" s="468" t="s">
        <v>8</v>
      </c>
      <c r="E37" s="477" t="s">
        <v>18</v>
      </c>
      <c r="F37" s="469" t="str">
        <f t="shared" si="1"/>
        <v>YES</v>
      </c>
      <c r="G37" s="478">
        <v>1750</v>
      </c>
      <c r="H37" s="479">
        <v>0</v>
      </c>
      <c r="I37" s="472" t="s">
        <v>183</v>
      </c>
      <c r="J37" s="473" t="s">
        <v>220</v>
      </c>
      <c r="K37" s="474"/>
      <c r="L37" s="474"/>
      <c r="M37" s="480">
        <v>262500</v>
      </c>
      <c r="N37" s="480">
        <v>262500</v>
      </c>
      <c r="O37" s="476">
        <f t="shared" si="0"/>
        <v>262500</v>
      </c>
      <c r="Q37" s="122"/>
      <c r="R37" s="122"/>
      <c r="S37" s="122"/>
      <c r="T37" s="122"/>
      <c r="U37" s="122"/>
      <c r="V37" s="122"/>
      <c r="W37" s="122"/>
      <c r="X37" s="122"/>
      <c r="Y37" s="122"/>
    </row>
    <row r="38" spans="2:25" x14ac:dyDescent="0.25">
      <c r="B38" s="467" t="s">
        <v>29</v>
      </c>
      <c r="C38" s="468">
        <v>20</v>
      </c>
      <c r="D38" s="468" t="s">
        <v>8</v>
      </c>
      <c r="E38" s="477" t="s">
        <v>18</v>
      </c>
      <c r="F38" s="469" t="str">
        <f t="shared" si="1"/>
        <v>YES</v>
      </c>
      <c r="G38" s="481">
        <v>3500</v>
      </c>
      <c r="H38" s="479">
        <v>0</v>
      </c>
      <c r="I38" s="472" t="s">
        <v>183</v>
      </c>
      <c r="J38" s="473" t="s">
        <v>152</v>
      </c>
      <c r="K38" s="474"/>
      <c r="L38" s="474"/>
      <c r="M38" s="480">
        <v>525000</v>
      </c>
      <c r="N38" s="480">
        <v>525000</v>
      </c>
      <c r="O38" s="476">
        <f t="shared" si="0"/>
        <v>525000</v>
      </c>
      <c r="Q38" s="122"/>
      <c r="R38" s="122"/>
      <c r="S38" s="122"/>
      <c r="T38" s="122"/>
      <c r="U38" s="122"/>
      <c r="V38" s="122"/>
      <c r="W38" s="122"/>
      <c r="X38" s="122"/>
      <c r="Y38" s="122"/>
    </row>
    <row r="39" spans="2:25" x14ac:dyDescent="0.25">
      <c r="B39" s="467" t="s">
        <v>29</v>
      </c>
      <c r="C39" s="468">
        <v>21</v>
      </c>
      <c r="D39" s="468" t="s">
        <v>8</v>
      </c>
      <c r="E39" s="477" t="s">
        <v>18</v>
      </c>
      <c r="F39" s="469" t="str">
        <f t="shared" si="1"/>
        <v>YES</v>
      </c>
      <c r="G39" s="478">
        <v>3500</v>
      </c>
      <c r="H39" s="479">
        <v>0</v>
      </c>
      <c r="I39" s="472" t="s">
        <v>183</v>
      </c>
      <c r="J39" s="473" t="s">
        <v>220</v>
      </c>
      <c r="K39" s="474"/>
      <c r="L39" s="474"/>
      <c r="M39" s="482">
        <v>525000</v>
      </c>
      <c r="N39" s="482">
        <v>525000</v>
      </c>
      <c r="O39" s="476">
        <f t="shared" si="0"/>
        <v>525000</v>
      </c>
      <c r="Q39" s="122"/>
      <c r="R39" s="122"/>
      <c r="S39" s="122"/>
      <c r="T39" s="122"/>
      <c r="U39" s="122"/>
      <c r="V39" s="122"/>
      <c r="W39" s="122"/>
      <c r="X39" s="122"/>
      <c r="Y39" s="122"/>
    </row>
    <row r="40" spans="2:25" x14ac:dyDescent="0.25">
      <c r="B40" s="467" t="s">
        <v>29</v>
      </c>
      <c r="C40" s="468">
        <v>22</v>
      </c>
      <c r="D40" s="468" t="s">
        <v>8</v>
      </c>
      <c r="E40" s="477" t="s">
        <v>18</v>
      </c>
      <c r="F40" s="469" t="str">
        <f t="shared" si="1"/>
        <v>YES</v>
      </c>
      <c r="G40" s="478">
        <v>1750</v>
      </c>
      <c r="H40" s="479">
        <v>0</v>
      </c>
      <c r="I40" s="472" t="s">
        <v>183</v>
      </c>
      <c r="J40" s="473" t="s">
        <v>220</v>
      </c>
      <c r="K40" s="474"/>
      <c r="L40" s="474"/>
      <c r="M40" s="482">
        <v>262500</v>
      </c>
      <c r="N40" s="482">
        <v>262500</v>
      </c>
      <c r="O40" s="476">
        <f t="shared" si="0"/>
        <v>262500</v>
      </c>
      <c r="Q40" s="122"/>
      <c r="R40" s="122"/>
      <c r="S40" s="122"/>
      <c r="T40" s="122"/>
      <c r="U40" s="122"/>
      <c r="V40" s="122"/>
      <c r="W40" s="122"/>
      <c r="X40" s="122"/>
      <c r="Y40" s="122"/>
    </row>
    <row r="41" spans="2:25" x14ac:dyDescent="0.25">
      <c r="B41" s="467" t="s">
        <v>29</v>
      </c>
      <c r="C41" s="468">
        <v>23</v>
      </c>
      <c r="D41" s="468" t="s">
        <v>8</v>
      </c>
      <c r="E41" s="477" t="s">
        <v>18</v>
      </c>
      <c r="F41" s="469" t="str">
        <f t="shared" si="1"/>
        <v>YES</v>
      </c>
      <c r="G41" s="478">
        <v>1750</v>
      </c>
      <c r="H41" s="479">
        <v>0</v>
      </c>
      <c r="I41" s="472" t="s">
        <v>183</v>
      </c>
      <c r="J41" s="473" t="s">
        <v>220</v>
      </c>
      <c r="K41" s="474"/>
      <c r="L41" s="474"/>
      <c r="M41" s="482">
        <v>262500</v>
      </c>
      <c r="N41" s="482">
        <v>262500</v>
      </c>
      <c r="O41" s="476">
        <f t="shared" si="0"/>
        <v>262500</v>
      </c>
      <c r="Q41" s="122"/>
      <c r="R41" s="122"/>
      <c r="S41" s="122"/>
      <c r="T41" s="122"/>
      <c r="U41" s="122"/>
      <c r="V41" s="122"/>
      <c r="W41" s="122"/>
      <c r="X41" s="122"/>
      <c r="Y41" s="122"/>
    </row>
    <row r="42" spans="2:25" x14ac:dyDescent="0.25">
      <c r="B42" s="467" t="s">
        <v>29</v>
      </c>
      <c r="C42" s="468">
        <v>24</v>
      </c>
      <c r="D42" s="468" t="s">
        <v>8</v>
      </c>
      <c r="E42" s="477" t="s">
        <v>18</v>
      </c>
      <c r="F42" s="469" t="str">
        <f t="shared" si="1"/>
        <v>YES</v>
      </c>
      <c r="G42" s="481">
        <v>3500</v>
      </c>
      <c r="H42" s="479">
        <v>0</v>
      </c>
      <c r="I42" s="472" t="s">
        <v>183</v>
      </c>
      <c r="J42" s="473" t="s">
        <v>149</v>
      </c>
      <c r="K42" s="474"/>
      <c r="L42" s="474"/>
      <c r="M42" s="482">
        <v>525000</v>
      </c>
      <c r="N42" s="482">
        <v>525000</v>
      </c>
      <c r="O42" s="476">
        <f t="shared" si="0"/>
        <v>525000</v>
      </c>
      <c r="Q42" s="122"/>
      <c r="R42" s="122"/>
      <c r="S42" s="122"/>
      <c r="T42" s="122"/>
      <c r="U42" s="122"/>
      <c r="V42" s="122"/>
      <c r="W42" s="122"/>
      <c r="X42" s="122"/>
      <c r="Y42" s="122"/>
    </row>
    <row r="43" spans="2:25" x14ac:dyDescent="0.25">
      <c r="B43" s="467" t="s">
        <v>29</v>
      </c>
      <c r="C43" s="468">
        <v>25</v>
      </c>
      <c r="D43" s="468" t="s">
        <v>8</v>
      </c>
      <c r="E43" s="477" t="s">
        <v>9</v>
      </c>
      <c r="F43" s="469" t="str">
        <f t="shared" si="1"/>
        <v>NO</v>
      </c>
      <c r="G43" s="481">
        <v>7070</v>
      </c>
      <c r="H43" s="479">
        <v>6470</v>
      </c>
      <c r="I43" s="472" t="s">
        <v>183</v>
      </c>
      <c r="J43" s="473" t="s">
        <v>149</v>
      </c>
      <c r="K43" s="474"/>
      <c r="L43" s="474"/>
      <c r="M43" s="482">
        <v>1060500</v>
      </c>
      <c r="N43" s="480">
        <v>1240237</v>
      </c>
      <c r="O43" s="476">
        <f t="shared" si="0"/>
        <v>1240237</v>
      </c>
      <c r="Q43" s="122"/>
      <c r="R43" s="122"/>
      <c r="S43" s="122"/>
      <c r="T43" s="122"/>
      <c r="U43" s="122"/>
      <c r="V43" s="122"/>
      <c r="W43" s="122"/>
      <c r="X43" s="122"/>
      <c r="Y43" s="122"/>
    </row>
    <row r="44" spans="2:25" x14ac:dyDescent="0.25">
      <c r="B44" s="467" t="s">
        <v>29</v>
      </c>
      <c r="C44" s="468">
        <v>31</v>
      </c>
      <c r="D44" s="477" t="s">
        <v>8</v>
      </c>
      <c r="E44" s="477" t="s">
        <v>9</v>
      </c>
      <c r="F44" s="469" t="str">
        <f t="shared" si="1"/>
        <v>NO</v>
      </c>
      <c r="G44" s="481">
        <v>5250</v>
      </c>
      <c r="H44" s="479">
        <v>1421</v>
      </c>
      <c r="I44" s="472" t="s">
        <v>183</v>
      </c>
      <c r="J44" s="473" t="s">
        <v>150</v>
      </c>
      <c r="K44" s="474"/>
      <c r="L44" s="474"/>
      <c r="M44" s="482">
        <v>787500</v>
      </c>
      <c r="N44" s="482">
        <v>830877</v>
      </c>
      <c r="O44" s="476">
        <f t="shared" si="0"/>
        <v>830877</v>
      </c>
      <c r="Q44" s="122"/>
      <c r="R44" s="122"/>
      <c r="S44" s="122"/>
      <c r="T44" s="122"/>
      <c r="U44" s="122"/>
      <c r="V44" s="122"/>
      <c r="W44" s="122"/>
      <c r="X44" s="122"/>
      <c r="Y44" s="122"/>
    </row>
    <row r="45" spans="2:25" x14ac:dyDescent="0.25">
      <c r="B45" s="467" t="s">
        <v>29</v>
      </c>
      <c r="C45" s="468">
        <v>32</v>
      </c>
      <c r="D45" s="477" t="s">
        <v>8</v>
      </c>
      <c r="E45" s="477" t="s">
        <v>18</v>
      </c>
      <c r="F45" s="469" t="str">
        <f t="shared" si="1"/>
        <v>YES</v>
      </c>
      <c r="G45" s="478">
        <v>1750</v>
      </c>
      <c r="H45" s="479">
        <v>0</v>
      </c>
      <c r="I45" s="472" t="s">
        <v>183</v>
      </c>
      <c r="J45" s="473" t="s">
        <v>150</v>
      </c>
      <c r="K45" s="474"/>
      <c r="L45" s="474"/>
      <c r="M45" s="482">
        <v>262500</v>
      </c>
      <c r="N45" s="482">
        <v>262500</v>
      </c>
      <c r="O45" s="476">
        <f t="shared" si="0"/>
        <v>262500</v>
      </c>
      <c r="Q45" s="122"/>
      <c r="R45" s="122"/>
      <c r="S45" s="122"/>
      <c r="T45" s="122"/>
      <c r="U45" s="122"/>
      <c r="V45" s="122"/>
      <c r="W45" s="122"/>
      <c r="X45" s="122"/>
      <c r="Y45" s="122"/>
    </row>
    <row r="46" spans="2:25" x14ac:dyDescent="0.25">
      <c r="B46" s="467" t="s">
        <v>29</v>
      </c>
      <c r="C46" s="468">
        <v>33</v>
      </c>
      <c r="D46" s="477" t="s">
        <v>8</v>
      </c>
      <c r="E46" s="477" t="s">
        <v>17</v>
      </c>
      <c r="F46" s="469" t="str">
        <f t="shared" si="1"/>
        <v>YES</v>
      </c>
      <c r="G46" s="481">
        <v>1750</v>
      </c>
      <c r="H46" s="479">
        <v>0</v>
      </c>
      <c r="I46" s="472" t="s">
        <v>183</v>
      </c>
      <c r="J46" s="473" t="s">
        <v>150</v>
      </c>
      <c r="K46" s="474"/>
      <c r="L46" s="474"/>
      <c r="M46" s="482">
        <v>262500</v>
      </c>
      <c r="N46" s="482">
        <v>264082</v>
      </c>
      <c r="O46" s="476">
        <f t="shared" si="0"/>
        <v>264082</v>
      </c>
      <c r="Q46" s="122"/>
      <c r="R46" s="122"/>
      <c r="S46" s="122"/>
      <c r="T46" s="122"/>
      <c r="U46" s="122"/>
      <c r="V46" s="122"/>
      <c r="W46" s="122"/>
      <c r="X46" s="122"/>
      <c r="Y46" s="122"/>
    </row>
    <row r="47" spans="2:25" x14ac:dyDescent="0.25">
      <c r="B47" s="467" t="s">
        <v>29</v>
      </c>
      <c r="C47" s="468">
        <v>34</v>
      </c>
      <c r="D47" s="477" t="s">
        <v>8</v>
      </c>
      <c r="E47" s="477" t="s">
        <v>17</v>
      </c>
      <c r="F47" s="469" t="str">
        <f t="shared" si="1"/>
        <v>YES</v>
      </c>
      <c r="G47" s="478">
        <v>3500</v>
      </c>
      <c r="H47" s="479">
        <v>0</v>
      </c>
      <c r="I47" s="472" t="s">
        <v>183</v>
      </c>
      <c r="J47" s="473" t="s">
        <v>152</v>
      </c>
      <c r="K47" s="474"/>
      <c r="L47" s="474"/>
      <c r="M47" s="480">
        <v>525000</v>
      </c>
      <c r="N47" s="480">
        <v>526884</v>
      </c>
      <c r="O47" s="476">
        <f t="shared" si="0"/>
        <v>526884</v>
      </c>
      <c r="Q47" s="122"/>
      <c r="R47" s="122"/>
      <c r="S47" s="122"/>
      <c r="T47" s="122"/>
      <c r="U47" s="122"/>
      <c r="V47" s="122"/>
      <c r="W47" s="122"/>
      <c r="X47" s="122"/>
      <c r="Y47" s="122"/>
    </row>
    <row r="48" spans="2:25" x14ac:dyDescent="0.25">
      <c r="B48" s="467" t="s">
        <v>29</v>
      </c>
      <c r="C48" s="468">
        <v>35</v>
      </c>
      <c r="D48" s="477" t="s">
        <v>8</v>
      </c>
      <c r="E48" s="477" t="s">
        <v>17</v>
      </c>
      <c r="F48" s="469" t="str">
        <f t="shared" si="1"/>
        <v>YES</v>
      </c>
      <c r="G48" s="481">
        <v>3500</v>
      </c>
      <c r="H48" s="479">
        <v>0</v>
      </c>
      <c r="I48" s="472" t="s">
        <v>183</v>
      </c>
      <c r="J48" s="473" t="s">
        <v>152</v>
      </c>
      <c r="K48" s="474"/>
      <c r="L48" s="474"/>
      <c r="M48" s="480">
        <v>525000</v>
      </c>
      <c r="N48" s="482">
        <v>529606</v>
      </c>
      <c r="O48" s="476">
        <f t="shared" si="0"/>
        <v>529606</v>
      </c>
      <c r="Q48" s="122"/>
      <c r="R48" s="122"/>
      <c r="S48" s="122"/>
      <c r="T48" s="122"/>
      <c r="U48" s="122"/>
      <c r="V48" s="122"/>
      <c r="W48" s="122"/>
      <c r="X48" s="122"/>
      <c r="Y48" s="122"/>
    </row>
    <row r="49" spans="2:26" x14ac:dyDescent="0.25">
      <c r="B49" s="467" t="s">
        <v>29</v>
      </c>
      <c r="C49" s="468">
        <v>36</v>
      </c>
      <c r="D49" s="477" t="s">
        <v>8</v>
      </c>
      <c r="E49" s="477" t="s">
        <v>17</v>
      </c>
      <c r="F49" s="469" t="str">
        <f t="shared" si="1"/>
        <v>YES</v>
      </c>
      <c r="G49" s="481">
        <v>3500</v>
      </c>
      <c r="H49" s="479">
        <v>0</v>
      </c>
      <c r="I49" s="472" t="s">
        <v>183</v>
      </c>
      <c r="J49" s="473" t="s">
        <v>150</v>
      </c>
      <c r="K49" s="474"/>
      <c r="L49" s="474"/>
      <c r="M49" s="480">
        <v>525000</v>
      </c>
      <c r="N49" s="480">
        <v>527888</v>
      </c>
      <c r="O49" s="476">
        <f t="shared" si="0"/>
        <v>527888</v>
      </c>
      <c r="Q49" s="122"/>
      <c r="R49" s="122"/>
      <c r="S49" s="122"/>
      <c r="T49" s="122"/>
      <c r="U49" s="122"/>
      <c r="V49" s="122"/>
      <c r="W49" s="122"/>
      <c r="X49" s="122"/>
      <c r="Y49" s="122"/>
    </row>
    <row r="50" spans="2:26" x14ac:dyDescent="0.25">
      <c r="B50" s="467" t="s">
        <v>29</v>
      </c>
      <c r="C50" s="468">
        <v>37</v>
      </c>
      <c r="D50" s="477" t="s">
        <v>8</v>
      </c>
      <c r="E50" s="477" t="s">
        <v>19</v>
      </c>
      <c r="F50" s="469" t="str">
        <f t="shared" si="1"/>
        <v>NO</v>
      </c>
      <c r="G50" s="481">
        <v>10570</v>
      </c>
      <c r="H50" s="479">
        <v>7992</v>
      </c>
      <c r="I50" s="472" t="s">
        <v>183</v>
      </c>
      <c r="J50" s="473" t="s">
        <v>150</v>
      </c>
      <c r="K50" s="474"/>
      <c r="L50" s="474"/>
      <c r="M50" s="482">
        <v>1585500</v>
      </c>
      <c r="N50" s="482">
        <v>1765771</v>
      </c>
      <c r="O50" s="476">
        <f t="shared" si="0"/>
        <v>1765771</v>
      </c>
      <c r="Q50" s="122"/>
      <c r="R50" s="122"/>
      <c r="S50" s="122"/>
      <c r="T50" s="122"/>
      <c r="U50" s="122"/>
      <c r="V50" s="122"/>
      <c r="W50" s="122"/>
      <c r="X50" s="122"/>
      <c r="Y50" s="122"/>
    </row>
    <row r="51" spans="2:26" x14ac:dyDescent="0.25">
      <c r="B51" s="467" t="s">
        <v>29</v>
      </c>
      <c r="C51" s="468">
        <v>39</v>
      </c>
      <c r="D51" s="477" t="s">
        <v>8</v>
      </c>
      <c r="E51" s="477" t="s">
        <v>18</v>
      </c>
      <c r="F51" s="469" t="str">
        <f t="shared" si="1"/>
        <v>YES</v>
      </c>
      <c r="G51" s="481">
        <v>7000</v>
      </c>
      <c r="H51" s="479">
        <v>0</v>
      </c>
      <c r="I51" s="472" t="s">
        <v>183</v>
      </c>
      <c r="J51" s="473" t="s">
        <v>150</v>
      </c>
      <c r="K51" s="474"/>
      <c r="L51" s="474"/>
      <c r="M51" s="480">
        <v>1050000</v>
      </c>
      <c r="N51" s="480">
        <v>1050000</v>
      </c>
      <c r="O51" s="476">
        <f t="shared" si="0"/>
        <v>1050000</v>
      </c>
      <c r="Q51" s="122"/>
      <c r="R51" s="122"/>
      <c r="S51" s="122"/>
      <c r="T51" s="122"/>
      <c r="U51" s="122"/>
      <c r="V51" s="122"/>
      <c r="W51" s="122"/>
      <c r="X51" s="122"/>
      <c r="Y51" s="122"/>
    </row>
    <row r="52" spans="2:26" x14ac:dyDescent="0.25">
      <c r="B52" s="467" t="s">
        <v>29</v>
      </c>
      <c r="C52" s="468">
        <v>40</v>
      </c>
      <c r="D52" s="477" t="s">
        <v>8</v>
      </c>
      <c r="E52" s="477" t="s">
        <v>20</v>
      </c>
      <c r="F52" s="469" t="str">
        <f t="shared" si="1"/>
        <v>NO</v>
      </c>
      <c r="G52" s="478">
        <v>35000</v>
      </c>
      <c r="H52" s="479">
        <v>9454</v>
      </c>
      <c r="I52" s="472" t="s">
        <v>183</v>
      </c>
      <c r="J52" s="473" t="s">
        <v>150</v>
      </c>
      <c r="K52" s="474"/>
      <c r="L52" s="474"/>
      <c r="M52" s="480">
        <v>4987500</v>
      </c>
      <c r="N52" s="480">
        <v>5300250</v>
      </c>
      <c r="O52" s="476">
        <f t="shared" si="0"/>
        <v>5300250</v>
      </c>
      <c r="Q52" s="122"/>
      <c r="R52" s="122"/>
      <c r="S52" s="122"/>
      <c r="T52" s="122"/>
      <c r="U52" s="122"/>
      <c r="V52" s="122"/>
      <c r="W52" s="122"/>
      <c r="X52" s="122"/>
      <c r="Y52" s="122"/>
    </row>
    <row r="53" spans="2:26" x14ac:dyDescent="0.25">
      <c r="B53" s="467" t="s">
        <v>29</v>
      </c>
      <c r="C53" s="468">
        <v>41</v>
      </c>
      <c r="D53" s="477" t="s">
        <v>8</v>
      </c>
      <c r="E53" s="477" t="s">
        <v>9</v>
      </c>
      <c r="F53" s="469" t="str">
        <f t="shared" si="1"/>
        <v>NO</v>
      </c>
      <c r="G53" s="481">
        <v>15750</v>
      </c>
      <c r="H53" s="479">
        <v>15270</v>
      </c>
      <c r="I53" s="472" t="s">
        <v>183</v>
      </c>
      <c r="J53" s="473" t="s">
        <v>150</v>
      </c>
      <c r="K53" s="474"/>
      <c r="L53" s="474"/>
      <c r="M53" s="482">
        <v>2126250</v>
      </c>
      <c r="N53" s="480">
        <v>2353131</v>
      </c>
      <c r="O53" s="476">
        <f t="shared" si="0"/>
        <v>2353131</v>
      </c>
    </row>
    <row r="54" spans="2:26" x14ac:dyDescent="0.25">
      <c r="B54" s="467" t="s">
        <v>29</v>
      </c>
      <c r="C54" s="468">
        <v>42</v>
      </c>
      <c r="D54" s="468" t="s">
        <v>6</v>
      </c>
      <c r="E54" s="468" t="s">
        <v>16</v>
      </c>
      <c r="F54" s="469" t="str">
        <f t="shared" si="1"/>
        <v>NO</v>
      </c>
      <c r="G54" s="478">
        <v>15293</v>
      </c>
      <c r="H54" s="479">
        <v>10174</v>
      </c>
      <c r="I54" s="472" t="s">
        <v>183</v>
      </c>
      <c r="J54" s="473" t="s">
        <v>148</v>
      </c>
      <c r="K54" s="474"/>
      <c r="L54" s="474"/>
      <c r="M54" s="480">
        <v>4970225</v>
      </c>
      <c r="N54" s="480">
        <v>5658140</v>
      </c>
      <c r="O54" s="476">
        <f t="shared" si="0"/>
        <v>5658140</v>
      </c>
    </row>
    <row r="55" spans="2:26" x14ac:dyDescent="0.25">
      <c r="B55" s="467" t="s">
        <v>29</v>
      </c>
      <c r="C55" s="468">
        <v>45</v>
      </c>
      <c r="D55" s="468" t="s">
        <v>8</v>
      </c>
      <c r="E55" s="468" t="s">
        <v>21</v>
      </c>
      <c r="F55" s="469" t="str">
        <f t="shared" si="1"/>
        <v>NO</v>
      </c>
      <c r="G55" s="478">
        <v>51644</v>
      </c>
      <c r="H55" s="479">
        <v>46169</v>
      </c>
      <c r="I55" s="472" t="s">
        <v>183</v>
      </c>
      <c r="J55" s="473" t="s">
        <v>151</v>
      </c>
      <c r="K55" s="474"/>
      <c r="L55" s="474"/>
      <c r="M55" s="480">
        <v>7746600</v>
      </c>
      <c r="N55" s="480">
        <v>9108941</v>
      </c>
      <c r="O55" s="476">
        <f t="shared" si="0"/>
        <v>9108941</v>
      </c>
    </row>
    <row r="56" spans="2:26" x14ac:dyDescent="0.25">
      <c r="B56" s="467" t="s">
        <v>29</v>
      </c>
      <c r="C56" s="468">
        <v>46</v>
      </c>
      <c r="D56" s="468" t="s">
        <v>6</v>
      </c>
      <c r="E56" s="468" t="s">
        <v>22</v>
      </c>
      <c r="F56" s="469" t="str">
        <f t="shared" si="1"/>
        <v>NO</v>
      </c>
      <c r="G56" s="478">
        <v>18455</v>
      </c>
      <c r="H56" s="479">
        <v>7780</v>
      </c>
      <c r="I56" s="472" t="s">
        <v>183</v>
      </c>
      <c r="J56" s="473" t="s">
        <v>148</v>
      </c>
      <c r="K56" s="474"/>
      <c r="L56" s="474"/>
      <c r="M56" s="480">
        <v>5997875</v>
      </c>
      <c r="N56" s="480">
        <v>6214956</v>
      </c>
      <c r="O56" s="476">
        <f t="shared" si="0"/>
        <v>6214956</v>
      </c>
    </row>
    <row r="57" spans="2:26" x14ac:dyDescent="0.25">
      <c r="B57" s="467" t="s">
        <v>29</v>
      </c>
      <c r="C57" s="468">
        <v>47</v>
      </c>
      <c r="D57" s="468" t="s">
        <v>6</v>
      </c>
      <c r="E57" s="468" t="s">
        <v>23</v>
      </c>
      <c r="F57" s="469" t="str">
        <f t="shared" si="1"/>
        <v>NO</v>
      </c>
      <c r="G57" s="478">
        <v>7150</v>
      </c>
      <c r="H57" s="479">
        <v>7020</v>
      </c>
      <c r="I57" s="472" t="s">
        <v>183</v>
      </c>
      <c r="J57" s="473" t="s">
        <v>148</v>
      </c>
      <c r="K57" s="474"/>
      <c r="L57" s="474"/>
      <c r="M57" s="484">
        <v>2145000</v>
      </c>
      <c r="N57" s="484">
        <v>4035000</v>
      </c>
      <c r="O57" s="485">
        <f t="shared" si="0"/>
        <v>4035000</v>
      </c>
    </row>
    <row r="58" spans="2:26" x14ac:dyDescent="0.25">
      <c r="H58" s="32"/>
      <c r="L58" s="5" t="s">
        <v>45</v>
      </c>
      <c r="M58" s="36">
        <f>SUM(M11:M57)</f>
        <v>81578090</v>
      </c>
      <c r="N58" s="36">
        <f>SUM(N11:N57)</f>
        <v>90223269</v>
      </c>
      <c r="O58" s="36">
        <f>SUM(O11:O57)</f>
        <v>90223269</v>
      </c>
      <c r="P58" s="7"/>
    </row>
    <row r="59" spans="2:26" x14ac:dyDescent="0.25">
      <c r="H59" s="32"/>
      <c r="L59" s="5"/>
      <c r="M59" s="36"/>
      <c r="N59" s="36"/>
      <c r="O59" s="36"/>
      <c r="P59" s="7"/>
    </row>
    <row r="60" spans="2:26" x14ac:dyDescent="0.25">
      <c r="H60" s="32"/>
      <c r="L60" s="5"/>
      <c r="M60" s="36"/>
      <c r="N60" s="36"/>
      <c r="O60" s="36"/>
      <c r="P60" s="7"/>
      <c r="Q60" s="32"/>
      <c r="R60" s="32"/>
      <c r="S60" s="32"/>
      <c r="T60" s="32"/>
      <c r="U60" s="32"/>
      <c r="V60" s="32"/>
      <c r="W60" s="32"/>
      <c r="X60" s="32"/>
      <c r="Y60" s="32"/>
    </row>
    <row r="61" spans="2:26" s="67" customFormat="1" x14ac:dyDescent="0.25">
      <c r="B61" s="20" t="s">
        <v>140</v>
      </c>
      <c r="J61" s="21"/>
      <c r="Q61" s="21"/>
      <c r="R61" s="21"/>
      <c r="S61" s="21"/>
      <c r="T61" s="21"/>
      <c r="U61" s="21"/>
      <c r="V61" s="21"/>
      <c r="W61" s="21"/>
      <c r="X61" s="21"/>
      <c r="Y61" s="21"/>
    </row>
    <row r="62" spans="2:26" ht="30" x14ac:dyDescent="0.25">
      <c r="B62" s="15" t="s">
        <v>26</v>
      </c>
      <c r="C62" s="15" t="s">
        <v>1</v>
      </c>
      <c r="D62" s="15" t="s">
        <v>2</v>
      </c>
      <c r="E62" s="15" t="s">
        <v>3</v>
      </c>
      <c r="F62" s="15" t="s">
        <v>141</v>
      </c>
      <c r="G62" s="15" t="s">
        <v>4</v>
      </c>
      <c r="H62" s="15" t="s">
        <v>5</v>
      </c>
      <c r="I62" s="15" t="s">
        <v>100</v>
      </c>
      <c r="J62" s="15" t="s">
        <v>147</v>
      </c>
      <c r="K62" s="16"/>
      <c r="L62" s="16"/>
      <c r="M62" s="17" t="s">
        <v>24</v>
      </c>
      <c r="N62" s="17" t="s">
        <v>25</v>
      </c>
      <c r="O62" s="18" t="s">
        <v>54</v>
      </c>
      <c r="P62" s="6"/>
      <c r="Q62" s="122"/>
      <c r="R62" s="122"/>
      <c r="S62" s="122"/>
      <c r="T62" s="122"/>
      <c r="U62" s="122"/>
      <c r="V62" s="122"/>
      <c r="W62" s="122"/>
      <c r="X62" s="122"/>
      <c r="Y62" s="122"/>
      <c r="Z62" s="122"/>
    </row>
    <row r="63" spans="2:26" x14ac:dyDescent="0.25">
      <c r="B63" s="7" t="s">
        <v>27</v>
      </c>
      <c r="C63" s="1">
        <v>1</v>
      </c>
      <c r="D63" s="68" t="s">
        <v>157</v>
      </c>
      <c r="E63" s="2" t="s">
        <v>158</v>
      </c>
      <c r="F63" s="55" t="str">
        <f>IF(H63=0,"YES","NO")</f>
        <v>YES</v>
      </c>
      <c r="G63" s="60">
        <v>74326</v>
      </c>
      <c r="H63" s="153"/>
      <c r="I63" s="66" t="s">
        <v>184</v>
      </c>
      <c r="J63" s="147"/>
      <c r="M63" s="63">
        <v>13007050</v>
      </c>
      <c r="N63" s="64">
        <v>83520000</v>
      </c>
      <c r="O63" s="37">
        <f t="shared" ref="O63:O97" si="2">SUM(N63:N63)</f>
        <v>83520000</v>
      </c>
      <c r="Q63" s="122"/>
      <c r="R63" s="122"/>
      <c r="S63" s="122"/>
      <c r="T63" s="122"/>
      <c r="U63" s="122"/>
      <c r="V63" s="122"/>
      <c r="W63" s="122"/>
      <c r="X63" s="122"/>
      <c r="Y63" s="122"/>
      <c r="Z63" s="122"/>
    </row>
    <row r="64" spans="2:26" x14ac:dyDescent="0.25">
      <c r="B64" s="7" t="s">
        <v>27</v>
      </c>
      <c r="C64" s="1">
        <v>2</v>
      </c>
      <c r="D64" s="2" t="s">
        <v>7</v>
      </c>
      <c r="E64" s="2" t="s">
        <v>159</v>
      </c>
      <c r="F64" s="55" t="str">
        <f>IF(H64=0,"YES","NO")</f>
        <v>YES</v>
      </c>
      <c r="G64" s="61">
        <v>5600</v>
      </c>
      <c r="H64" s="153"/>
      <c r="I64" s="66" t="s">
        <v>184</v>
      </c>
      <c r="J64" s="147"/>
      <c r="M64" s="63">
        <v>1260000</v>
      </c>
      <c r="N64" s="63">
        <v>1330608</v>
      </c>
      <c r="O64" s="37">
        <f t="shared" si="2"/>
        <v>1330608</v>
      </c>
      <c r="Q64" s="122"/>
      <c r="R64" s="122"/>
      <c r="S64" s="122"/>
      <c r="T64" s="122"/>
      <c r="U64" s="122"/>
      <c r="V64" s="122"/>
      <c r="W64" s="122"/>
      <c r="X64" s="122"/>
      <c r="Y64" s="122"/>
      <c r="Z64" s="122"/>
    </row>
    <row r="65" spans="2:26" x14ac:dyDescent="0.25">
      <c r="B65" s="7" t="s">
        <v>27</v>
      </c>
      <c r="C65" s="1">
        <v>3</v>
      </c>
      <c r="D65" s="2" t="s">
        <v>7</v>
      </c>
      <c r="E65" s="2" t="s">
        <v>22</v>
      </c>
      <c r="F65" s="55" t="str">
        <f t="shared" ref="F65:F97" si="3">IF(H65=0,"YES","NO")</f>
        <v>YES</v>
      </c>
      <c r="G65" s="61">
        <v>10500</v>
      </c>
      <c r="H65" s="153"/>
      <c r="I65" s="66" t="s">
        <v>184</v>
      </c>
      <c r="J65" s="147"/>
      <c r="M65" s="64">
        <v>2362500</v>
      </c>
      <c r="N65" s="63">
        <v>2363000</v>
      </c>
      <c r="O65" s="37">
        <f t="shared" si="2"/>
        <v>2363000</v>
      </c>
      <c r="Q65" s="122"/>
      <c r="R65" s="122"/>
      <c r="S65" s="122"/>
      <c r="T65" s="122"/>
      <c r="U65" s="122"/>
      <c r="V65" s="122"/>
      <c r="W65" s="122"/>
      <c r="X65" s="122"/>
      <c r="Y65" s="122"/>
      <c r="Z65" s="122"/>
    </row>
    <row r="66" spans="2:26" x14ac:dyDescent="0.25">
      <c r="B66" s="7" t="s">
        <v>27</v>
      </c>
      <c r="C66" s="1">
        <v>8</v>
      </c>
      <c r="D66" s="2" t="s">
        <v>6</v>
      </c>
      <c r="E66" s="2" t="s">
        <v>11</v>
      </c>
      <c r="F66" s="55" t="str">
        <f t="shared" si="3"/>
        <v>YES</v>
      </c>
      <c r="G66" s="61">
        <v>1875</v>
      </c>
      <c r="H66" s="153"/>
      <c r="I66" s="66" t="s">
        <v>184</v>
      </c>
      <c r="J66" s="147"/>
      <c r="M66" s="63">
        <v>243750</v>
      </c>
      <c r="N66" s="63">
        <v>243750</v>
      </c>
      <c r="O66" s="37">
        <f t="shared" si="2"/>
        <v>243750</v>
      </c>
      <c r="Q66" s="122"/>
      <c r="R66" s="122"/>
      <c r="S66" s="122"/>
      <c r="T66" s="122"/>
      <c r="U66" s="122"/>
      <c r="V66" s="122"/>
      <c r="W66" s="122"/>
      <c r="X66" s="122"/>
      <c r="Y66" s="122"/>
      <c r="Z66" s="122"/>
    </row>
    <row r="67" spans="2:26" x14ac:dyDescent="0.25">
      <c r="B67" s="7" t="s">
        <v>27</v>
      </c>
      <c r="C67" s="1">
        <v>9</v>
      </c>
      <c r="D67" s="2" t="s">
        <v>7</v>
      </c>
      <c r="E67" s="2" t="s">
        <v>14</v>
      </c>
      <c r="F67" s="55" t="str">
        <f t="shared" si="3"/>
        <v>YES</v>
      </c>
      <c r="G67" s="61">
        <v>1750</v>
      </c>
      <c r="H67" s="153"/>
      <c r="I67" s="66" t="s">
        <v>184</v>
      </c>
      <c r="J67" s="147"/>
      <c r="M67" s="64">
        <v>306250</v>
      </c>
      <c r="N67" s="63">
        <v>344669</v>
      </c>
      <c r="O67" s="37">
        <f t="shared" si="2"/>
        <v>344669</v>
      </c>
      <c r="Q67" s="122"/>
      <c r="R67" s="122"/>
      <c r="S67" s="122"/>
      <c r="T67" s="122"/>
      <c r="U67" s="122"/>
      <c r="V67" s="122"/>
      <c r="W67" s="122"/>
      <c r="X67" s="122"/>
      <c r="Y67" s="122"/>
      <c r="Z67" s="122"/>
    </row>
    <row r="68" spans="2:26" x14ac:dyDescent="0.25">
      <c r="B68" s="7" t="s">
        <v>27</v>
      </c>
      <c r="C68" s="1">
        <v>10</v>
      </c>
      <c r="D68" s="2" t="s">
        <v>7</v>
      </c>
      <c r="E68" s="2" t="s">
        <v>11</v>
      </c>
      <c r="F68" s="55" t="str">
        <f t="shared" si="3"/>
        <v>YES</v>
      </c>
      <c r="G68" s="61">
        <v>3500</v>
      </c>
      <c r="H68" s="153"/>
      <c r="I68" s="66" t="s">
        <v>184</v>
      </c>
      <c r="J68" s="147"/>
      <c r="M68" s="64">
        <v>612500</v>
      </c>
      <c r="N68" s="64">
        <v>612500</v>
      </c>
      <c r="O68" s="37">
        <f t="shared" si="2"/>
        <v>612500</v>
      </c>
      <c r="Q68" s="122"/>
      <c r="R68" s="122"/>
      <c r="S68" s="122"/>
      <c r="T68" s="122"/>
      <c r="U68" s="122"/>
      <c r="V68" s="122"/>
      <c r="W68" s="122"/>
      <c r="X68" s="122"/>
      <c r="Y68" s="122"/>
      <c r="Z68" s="122"/>
    </row>
    <row r="69" spans="2:26" x14ac:dyDescent="0.25">
      <c r="B69" s="7" t="s">
        <v>27</v>
      </c>
      <c r="C69" s="1">
        <v>11</v>
      </c>
      <c r="D69" s="2" t="s">
        <v>7</v>
      </c>
      <c r="E69" s="2" t="s">
        <v>22</v>
      </c>
      <c r="F69" s="55" t="str">
        <f t="shared" si="3"/>
        <v>YES</v>
      </c>
      <c r="G69" s="60">
        <v>10500</v>
      </c>
      <c r="H69" s="153"/>
      <c r="I69" s="66" t="s">
        <v>184</v>
      </c>
      <c r="J69" s="147"/>
      <c r="M69" s="63">
        <v>2362500</v>
      </c>
      <c r="N69" s="64">
        <v>2394331</v>
      </c>
      <c r="O69" s="37">
        <f t="shared" si="2"/>
        <v>2394331</v>
      </c>
      <c r="Q69" s="122"/>
      <c r="R69" s="122"/>
      <c r="S69" s="122"/>
      <c r="T69" s="122"/>
      <c r="U69" s="122"/>
      <c r="V69" s="122"/>
      <c r="W69" s="122"/>
      <c r="X69" s="122"/>
      <c r="Y69" s="122"/>
      <c r="Z69" s="122"/>
    </row>
    <row r="70" spans="2:26" x14ac:dyDescent="0.25">
      <c r="B70" s="7" t="s">
        <v>27</v>
      </c>
      <c r="C70" s="1">
        <v>15</v>
      </c>
      <c r="D70" s="2" t="s">
        <v>7</v>
      </c>
      <c r="E70" s="2" t="s">
        <v>15</v>
      </c>
      <c r="F70" s="55" t="str">
        <f t="shared" si="3"/>
        <v>YES</v>
      </c>
      <c r="G70" s="60">
        <v>17550</v>
      </c>
      <c r="H70" s="153"/>
      <c r="I70" s="66" t="s">
        <v>184</v>
      </c>
      <c r="J70" s="147"/>
      <c r="M70" s="64">
        <v>3948750</v>
      </c>
      <c r="N70" s="64">
        <v>3963258</v>
      </c>
      <c r="O70" s="37">
        <f t="shared" si="2"/>
        <v>3963258</v>
      </c>
      <c r="Q70" s="122"/>
      <c r="R70" s="122"/>
      <c r="S70" s="122"/>
      <c r="T70" s="122"/>
      <c r="U70" s="122"/>
      <c r="V70" s="122"/>
      <c r="W70" s="122"/>
      <c r="X70" s="122"/>
      <c r="Y70" s="122"/>
      <c r="Z70" s="122"/>
    </row>
    <row r="71" spans="2:26" x14ac:dyDescent="0.25">
      <c r="B71" s="7" t="s">
        <v>27</v>
      </c>
      <c r="C71" s="1">
        <v>21</v>
      </c>
      <c r="D71" s="1" t="s">
        <v>7</v>
      </c>
      <c r="E71" s="1" t="s">
        <v>12</v>
      </c>
      <c r="F71" s="55" t="str">
        <f t="shared" si="3"/>
        <v>YES</v>
      </c>
      <c r="G71" s="62">
        <v>7000</v>
      </c>
      <c r="H71" s="153"/>
      <c r="I71" s="66" t="s">
        <v>184</v>
      </c>
      <c r="J71" s="147"/>
      <c r="M71" s="63">
        <v>1225000</v>
      </c>
      <c r="N71" s="63">
        <v>1226000</v>
      </c>
      <c r="O71" s="37">
        <f t="shared" si="2"/>
        <v>1226000</v>
      </c>
      <c r="Q71" s="122"/>
      <c r="R71" s="122"/>
      <c r="S71" s="122"/>
      <c r="T71" s="122"/>
      <c r="U71" s="122"/>
      <c r="V71" s="122"/>
      <c r="W71" s="122"/>
      <c r="X71" s="122"/>
      <c r="Y71" s="122"/>
      <c r="Z71" s="122"/>
    </row>
    <row r="72" spans="2:26" x14ac:dyDescent="0.25">
      <c r="B72" s="7" t="s">
        <v>27</v>
      </c>
      <c r="C72" s="1">
        <v>22</v>
      </c>
      <c r="D72" s="1" t="s">
        <v>7</v>
      </c>
      <c r="E72" s="1" t="s">
        <v>22</v>
      </c>
      <c r="F72" s="55" t="str">
        <f t="shared" si="3"/>
        <v>YES</v>
      </c>
      <c r="G72" s="62">
        <v>11726</v>
      </c>
      <c r="H72" s="153"/>
      <c r="I72" s="66" t="s">
        <v>184</v>
      </c>
      <c r="J72" s="147"/>
      <c r="M72" s="63">
        <v>2638350</v>
      </c>
      <c r="N72" s="63">
        <v>2925297</v>
      </c>
      <c r="O72" s="37">
        <f t="shared" si="2"/>
        <v>2925297</v>
      </c>
      <c r="Q72" s="122"/>
      <c r="R72" s="122"/>
      <c r="S72" s="122"/>
      <c r="T72" s="122"/>
      <c r="U72" s="122"/>
      <c r="V72" s="122"/>
      <c r="W72" s="122"/>
      <c r="X72" s="122"/>
      <c r="Y72" s="122"/>
      <c r="Z72" s="122"/>
    </row>
    <row r="73" spans="2:26" x14ac:dyDescent="0.25">
      <c r="B73" s="7" t="s">
        <v>27</v>
      </c>
      <c r="C73" s="1">
        <v>23</v>
      </c>
      <c r="D73" s="1" t="s">
        <v>7</v>
      </c>
      <c r="E73" s="1" t="s">
        <v>11</v>
      </c>
      <c r="F73" s="55" t="str">
        <f t="shared" si="3"/>
        <v>YES</v>
      </c>
      <c r="G73" s="62">
        <v>5823</v>
      </c>
      <c r="H73" s="153"/>
      <c r="I73" s="66" t="s">
        <v>184</v>
      </c>
      <c r="J73" s="147"/>
      <c r="M73" s="63">
        <v>1455750</v>
      </c>
      <c r="N73" s="63">
        <v>1455750</v>
      </c>
      <c r="O73" s="37">
        <f t="shared" si="2"/>
        <v>1455750</v>
      </c>
      <c r="Q73" s="122"/>
      <c r="R73" s="122"/>
      <c r="S73" s="122"/>
      <c r="T73" s="122"/>
      <c r="U73" s="122"/>
      <c r="V73" s="122"/>
      <c r="W73" s="122"/>
      <c r="X73" s="122"/>
      <c r="Y73" s="122"/>
    </row>
    <row r="74" spans="2:26" x14ac:dyDescent="0.25">
      <c r="B74" s="7" t="s">
        <v>27</v>
      </c>
      <c r="C74" s="1">
        <v>31</v>
      </c>
      <c r="D74" s="1" t="s">
        <v>7</v>
      </c>
      <c r="E74" s="1" t="s">
        <v>22</v>
      </c>
      <c r="F74" s="55" t="str">
        <f t="shared" si="3"/>
        <v>YES</v>
      </c>
      <c r="G74" s="62">
        <v>13050</v>
      </c>
      <c r="H74" s="153"/>
      <c r="I74" s="66" t="s">
        <v>184</v>
      </c>
      <c r="J74" s="147"/>
      <c r="M74" s="63">
        <v>2936250</v>
      </c>
      <c r="N74" s="63">
        <v>3211429</v>
      </c>
      <c r="O74" s="37">
        <f t="shared" si="2"/>
        <v>3211429</v>
      </c>
      <c r="Q74" s="122"/>
      <c r="R74" s="122"/>
      <c r="S74" s="122"/>
      <c r="T74" s="122"/>
      <c r="U74" s="122"/>
      <c r="V74" s="122"/>
      <c r="W74" s="122"/>
      <c r="X74" s="122"/>
      <c r="Y74" s="122"/>
    </row>
    <row r="75" spans="2:26" x14ac:dyDescent="0.25">
      <c r="B75" s="7" t="s">
        <v>27</v>
      </c>
      <c r="C75" s="1">
        <v>32</v>
      </c>
      <c r="D75" s="1" t="s">
        <v>7</v>
      </c>
      <c r="E75" s="1" t="s">
        <v>160</v>
      </c>
      <c r="F75" s="55" t="str">
        <f t="shared" si="3"/>
        <v>YES</v>
      </c>
      <c r="G75" s="62">
        <v>14154.4</v>
      </c>
      <c r="H75" s="153"/>
      <c r="I75" s="66" t="s">
        <v>184</v>
      </c>
      <c r="J75" s="147"/>
      <c r="M75" s="63">
        <v>3184650</v>
      </c>
      <c r="N75" s="63">
        <v>3184650</v>
      </c>
      <c r="O75" s="37">
        <f t="shared" si="2"/>
        <v>3184650</v>
      </c>
      <c r="Q75" s="122"/>
      <c r="R75" s="122"/>
      <c r="S75" s="122"/>
      <c r="T75" s="122"/>
      <c r="U75" s="122"/>
      <c r="V75" s="122"/>
      <c r="W75" s="122"/>
      <c r="X75" s="122"/>
      <c r="Y75" s="122"/>
    </row>
    <row r="76" spans="2:26" x14ac:dyDescent="0.25">
      <c r="B76" s="7" t="s">
        <v>29</v>
      </c>
      <c r="C76" s="1">
        <v>1</v>
      </c>
      <c r="D76" s="1" t="s">
        <v>6</v>
      </c>
      <c r="E76" s="1" t="s">
        <v>11</v>
      </c>
      <c r="F76" s="55" t="str">
        <f t="shared" si="3"/>
        <v>YES</v>
      </c>
      <c r="G76" s="62">
        <v>3250</v>
      </c>
      <c r="H76" s="153"/>
      <c r="I76" s="66" t="s">
        <v>184</v>
      </c>
      <c r="J76" s="147"/>
      <c r="M76" s="63">
        <v>1056250</v>
      </c>
      <c r="N76" s="63">
        <v>1056250</v>
      </c>
      <c r="O76" s="37">
        <f t="shared" si="2"/>
        <v>1056250</v>
      </c>
      <c r="Q76" s="122"/>
      <c r="R76" s="122"/>
      <c r="S76" s="122"/>
      <c r="T76" s="122"/>
      <c r="U76" s="122"/>
      <c r="V76" s="122"/>
      <c r="W76" s="122"/>
      <c r="X76" s="122"/>
      <c r="Y76" s="122"/>
    </row>
    <row r="77" spans="2:26" x14ac:dyDescent="0.25">
      <c r="B77" s="7" t="s">
        <v>29</v>
      </c>
      <c r="C77" s="1">
        <v>2</v>
      </c>
      <c r="D77" s="1" t="s">
        <v>6</v>
      </c>
      <c r="E77" s="1" t="s">
        <v>11</v>
      </c>
      <c r="F77" s="55" t="str">
        <f t="shared" si="3"/>
        <v>YES</v>
      </c>
      <c r="G77" s="62">
        <v>3450</v>
      </c>
      <c r="H77" s="153"/>
      <c r="I77" s="66" t="s">
        <v>184</v>
      </c>
      <c r="J77" s="147"/>
      <c r="M77" s="63">
        <v>1035000</v>
      </c>
      <c r="N77" s="63">
        <v>1035000</v>
      </c>
      <c r="O77" s="37">
        <f t="shared" si="2"/>
        <v>1035000</v>
      </c>
      <c r="Q77" s="122"/>
      <c r="R77" s="122"/>
      <c r="S77" s="122"/>
      <c r="T77" s="122"/>
      <c r="U77" s="122"/>
      <c r="V77" s="122"/>
      <c r="W77" s="122"/>
      <c r="X77" s="122"/>
      <c r="Y77" s="122"/>
    </row>
    <row r="78" spans="2:26" x14ac:dyDescent="0.25">
      <c r="B78" s="7" t="s">
        <v>29</v>
      </c>
      <c r="C78" s="1">
        <v>3</v>
      </c>
      <c r="D78" s="1" t="s">
        <v>6</v>
      </c>
      <c r="E78" s="1" t="s">
        <v>161</v>
      </c>
      <c r="F78" s="55" t="str">
        <f t="shared" si="3"/>
        <v>YES</v>
      </c>
      <c r="G78" s="62">
        <v>6900</v>
      </c>
      <c r="H78" s="153"/>
      <c r="I78" s="66" t="s">
        <v>184</v>
      </c>
      <c r="J78" s="147"/>
      <c r="M78" s="63">
        <v>2070000</v>
      </c>
      <c r="N78" s="63">
        <v>2070000</v>
      </c>
      <c r="O78" s="37">
        <f t="shared" si="2"/>
        <v>2070000</v>
      </c>
      <c r="Q78" s="122"/>
      <c r="R78" s="122"/>
      <c r="S78" s="122"/>
      <c r="T78" s="122"/>
      <c r="U78" s="122"/>
      <c r="V78" s="122"/>
      <c r="W78" s="122"/>
      <c r="X78" s="122"/>
      <c r="Y78" s="122"/>
    </row>
    <row r="79" spans="2:26" x14ac:dyDescent="0.25">
      <c r="B79" s="7" t="s">
        <v>29</v>
      </c>
      <c r="C79" s="1">
        <v>11</v>
      </c>
      <c r="D79" s="1" t="s">
        <v>6</v>
      </c>
      <c r="E79" s="1" t="s">
        <v>11</v>
      </c>
      <c r="F79" s="55" t="str">
        <f t="shared" si="3"/>
        <v>YES</v>
      </c>
      <c r="G79" s="62">
        <v>7106</v>
      </c>
      <c r="H79" s="153"/>
      <c r="I79" s="66" t="s">
        <v>184</v>
      </c>
      <c r="J79" s="147"/>
      <c r="M79" s="63">
        <v>2309450</v>
      </c>
      <c r="N79" s="63">
        <v>2309450</v>
      </c>
      <c r="O79" s="37">
        <f t="shared" si="2"/>
        <v>2309450</v>
      </c>
      <c r="Q79" s="122"/>
      <c r="R79" s="122"/>
      <c r="S79" s="122"/>
      <c r="T79" s="122"/>
      <c r="U79" s="122"/>
      <c r="V79" s="122"/>
      <c r="W79" s="122"/>
      <c r="X79" s="122"/>
      <c r="Y79" s="122"/>
    </row>
    <row r="80" spans="2:26" x14ac:dyDescent="0.25">
      <c r="B80" s="7" t="s">
        <v>29</v>
      </c>
      <c r="C80" s="1">
        <v>12</v>
      </c>
      <c r="D80" s="1" t="s">
        <v>6</v>
      </c>
      <c r="E80" s="1" t="s">
        <v>162</v>
      </c>
      <c r="F80" s="55" t="str">
        <f t="shared" si="3"/>
        <v>YES</v>
      </c>
      <c r="G80" s="62">
        <v>5250</v>
      </c>
      <c r="H80" s="153"/>
      <c r="I80" s="66" t="s">
        <v>184</v>
      </c>
      <c r="J80" s="147"/>
      <c r="M80" s="63">
        <v>1706250</v>
      </c>
      <c r="N80" s="63">
        <v>2087727</v>
      </c>
      <c r="O80" s="37">
        <f t="shared" si="2"/>
        <v>2087727</v>
      </c>
      <c r="Q80" s="122"/>
      <c r="R80" s="122"/>
      <c r="S80" s="122"/>
      <c r="T80" s="122"/>
      <c r="U80" s="122"/>
      <c r="V80" s="122"/>
      <c r="W80" s="122"/>
      <c r="X80" s="122"/>
      <c r="Y80" s="122"/>
    </row>
    <row r="81" spans="2:25" x14ac:dyDescent="0.25">
      <c r="B81" s="7" t="s">
        <v>29</v>
      </c>
      <c r="C81" s="1">
        <v>13</v>
      </c>
      <c r="D81" s="1" t="s">
        <v>6</v>
      </c>
      <c r="E81" s="1" t="s">
        <v>18</v>
      </c>
      <c r="F81" s="55" t="str">
        <f t="shared" si="3"/>
        <v>YES</v>
      </c>
      <c r="G81" s="62">
        <v>5250</v>
      </c>
      <c r="H81" s="153"/>
      <c r="I81" s="66" t="s">
        <v>184</v>
      </c>
      <c r="J81" s="147"/>
      <c r="M81" s="63">
        <v>1575000</v>
      </c>
      <c r="N81" s="63">
        <v>1581810</v>
      </c>
      <c r="O81" s="37">
        <f t="shared" si="2"/>
        <v>1581810</v>
      </c>
      <c r="Q81" s="122"/>
      <c r="R81" s="122"/>
      <c r="S81" s="122"/>
      <c r="T81" s="122"/>
      <c r="U81" s="122"/>
      <c r="V81" s="122"/>
      <c r="W81" s="122"/>
      <c r="X81" s="122"/>
      <c r="Y81" s="122"/>
    </row>
    <row r="82" spans="2:25" x14ac:dyDescent="0.25">
      <c r="B82" s="7" t="s">
        <v>29</v>
      </c>
      <c r="C82" s="1">
        <v>14</v>
      </c>
      <c r="D82" s="1" t="s">
        <v>8</v>
      </c>
      <c r="E82" s="1" t="s">
        <v>11</v>
      </c>
      <c r="F82" s="55" t="str">
        <f t="shared" si="3"/>
        <v>YES</v>
      </c>
      <c r="G82" s="62">
        <v>825</v>
      </c>
      <c r="H82" s="153"/>
      <c r="I82" s="66" t="s">
        <v>184</v>
      </c>
      <c r="J82" s="147"/>
      <c r="M82" s="63">
        <v>92812</v>
      </c>
      <c r="N82" s="63">
        <v>92812</v>
      </c>
      <c r="O82" s="37">
        <f t="shared" si="2"/>
        <v>92812</v>
      </c>
      <c r="Q82" s="122"/>
      <c r="R82" s="122"/>
      <c r="S82" s="122"/>
      <c r="T82" s="122"/>
      <c r="U82" s="122"/>
      <c r="V82" s="122"/>
      <c r="W82" s="122"/>
      <c r="X82" s="122"/>
      <c r="Y82" s="122"/>
    </row>
    <row r="83" spans="2:25" x14ac:dyDescent="0.25">
      <c r="B83" s="7" t="s">
        <v>29</v>
      </c>
      <c r="C83" s="1">
        <v>15</v>
      </c>
      <c r="D83" s="1" t="s">
        <v>8</v>
      </c>
      <c r="E83" s="1" t="s">
        <v>14</v>
      </c>
      <c r="F83" s="55" t="str">
        <f t="shared" si="3"/>
        <v>YES</v>
      </c>
      <c r="G83" s="62">
        <v>1750</v>
      </c>
      <c r="H83" s="153"/>
      <c r="I83" s="66" t="s">
        <v>184</v>
      </c>
      <c r="J83" s="147"/>
      <c r="M83" s="63">
        <v>196875</v>
      </c>
      <c r="N83" s="63">
        <v>210662</v>
      </c>
      <c r="O83" s="37">
        <f t="shared" si="2"/>
        <v>210662</v>
      </c>
      <c r="Q83" s="122"/>
      <c r="R83" s="122"/>
      <c r="S83" s="122"/>
      <c r="T83" s="122"/>
      <c r="U83" s="122"/>
      <c r="V83" s="122"/>
      <c r="W83" s="122"/>
      <c r="X83" s="122"/>
      <c r="Y83" s="122"/>
    </row>
    <row r="84" spans="2:25" x14ac:dyDescent="0.25">
      <c r="B84" s="7" t="s">
        <v>29</v>
      </c>
      <c r="C84" s="1">
        <v>16</v>
      </c>
      <c r="D84" s="1" t="s">
        <v>8</v>
      </c>
      <c r="E84" s="1" t="s">
        <v>163</v>
      </c>
      <c r="F84" s="55" t="str">
        <f t="shared" si="3"/>
        <v>YES</v>
      </c>
      <c r="G84" s="62">
        <v>7000</v>
      </c>
      <c r="H84" s="153"/>
      <c r="I84" s="66" t="s">
        <v>184</v>
      </c>
      <c r="J84" s="147"/>
      <c r="M84" s="63">
        <v>1050000</v>
      </c>
      <c r="N84" s="63">
        <v>1133340</v>
      </c>
      <c r="O84" s="37">
        <f t="shared" si="2"/>
        <v>1133340</v>
      </c>
      <c r="Q84" s="122"/>
      <c r="R84" s="122"/>
      <c r="S84" s="122"/>
      <c r="T84" s="122"/>
      <c r="U84" s="122"/>
      <c r="V84" s="122"/>
      <c r="W84" s="122"/>
      <c r="X84" s="122"/>
      <c r="Y84" s="122"/>
    </row>
    <row r="85" spans="2:25" x14ac:dyDescent="0.25">
      <c r="B85" s="7" t="s">
        <v>29</v>
      </c>
      <c r="C85" s="1">
        <v>17</v>
      </c>
      <c r="D85" s="1" t="s">
        <v>8</v>
      </c>
      <c r="E85" s="2" t="s">
        <v>164</v>
      </c>
      <c r="F85" s="55" t="str">
        <f t="shared" si="3"/>
        <v>YES</v>
      </c>
      <c r="G85" s="60">
        <v>5250</v>
      </c>
      <c r="H85" s="153"/>
      <c r="I85" s="66" t="s">
        <v>184</v>
      </c>
      <c r="J85" s="147"/>
      <c r="M85" s="64">
        <v>787500</v>
      </c>
      <c r="N85" s="64">
        <v>817316</v>
      </c>
      <c r="O85" s="37">
        <f t="shared" si="2"/>
        <v>817316</v>
      </c>
      <c r="Q85" s="122"/>
      <c r="R85" s="122"/>
      <c r="S85" s="122"/>
      <c r="T85" s="122"/>
      <c r="U85" s="122"/>
      <c r="V85" s="122"/>
      <c r="W85" s="122"/>
      <c r="X85" s="122"/>
      <c r="Y85" s="122"/>
    </row>
    <row r="86" spans="2:25" x14ac:dyDescent="0.25">
      <c r="B86" s="7" t="s">
        <v>29</v>
      </c>
      <c r="C86" s="1">
        <v>26</v>
      </c>
      <c r="D86" s="2" t="s">
        <v>6</v>
      </c>
      <c r="E86" s="2" t="s">
        <v>19</v>
      </c>
      <c r="F86" s="55" t="str">
        <f t="shared" si="3"/>
        <v>YES</v>
      </c>
      <c r="G86" s="60">
        <v>24808</v>
      </c>
      <c r="H86" s="153"/>
      <c r="I86" s="66" t="s">
        <v>184</v>
      </c>
      <c r="J86" s="147"/>
      <c r="M86" s="63">
        <v>8062600</v>
      </c>
      <c r="N86" s="64">
        <v>9092123</v>
      </c>
      <c r="O86" s="37">
        <f t="shared" si="2"/>
        <v>9092123</v>
      </c>
      <c r="Q86" s="122"/>
      <c r="R86" s="122"/>
      <c r="S86" s="122"/>
      <c r="T86" s="122"/>
      <c r="U86" s="122"/>
      <c r="V86" s="122"/>
      <c r="W86" s="122"/>
      <c r="X86" s="122"/>
      <c r="Y86" s="122"/>
    </row>
    <row r="87" spans="2:25" x14ac:dyDescent="0.25">
      <c r="B87" s="7" t="s">
        <v>29</v>
      </c>
      <c r="C87" s="1">
        <v>27</v>
      </c>
      <c r="D87" s="2" t="s">
        <v>6</v>
      </c>
      <c r="E87" s="2" t="s">
        <v>11</v>
      </c>
      <c r="F87" s="55" t="str">
        <f t="shared" si="3"/>
        <v>YES</v>
      </c>
      <c r="G87" s="61">
        <v>3500</v>
      </c>
      <c r="H87" s="153"/>
      <c r="I87" s="66" t="s">
        <v>184</v>
      </c>
      <c r="J87" s="147"/>
      <c r="M87" s="63">
        <v>1050000</v>
      </c>
      <c r="N87" s="63">
        <v>1050000</v>
      </c>
      <c r="O87" s="37">
        <f t="shared" si="2"/>
        <v>1050000</v>
      </c>
      <c r="Q87" s="122"/>
      <c r="R87" s="122"/>
      <c r="S87" s="122"/>
      <c r="T87" s="122"/>
      <c r="U87" s="122"/>
      <c r="V87" s="122"/>
      <c r="W87" s="122"/>
      <c r="X87" s="122"/>
      <c r="Y87" s="122"/>
    </row>
    <row r="88" spans="2:25" x14ac:dyDescent="0.25">
      <c r="B88" s="7" t="s">
        <v>29</v>
      </c>
      <c r="C88" s="1">
        <v>28</v>
      </c>
      <c r="D88" s="2" t="s">
        <v>8</v>
      </c>
      <c r="E88" s="2" t="s">
        <v>18</v>
      </c>
      <c r="F88" s="55" t="str">
        <f t="shared" si="3"/>
        <v>YES</v>
      </c>
      <c r="G88" s="60">
        <v>3500</v>
      </c>
      <c r="H88" s="153"/>
      <c r="I88" s="66" t="s">
        <v>184</v>
      </c>
      <c r="J88" s="147"/>
      <c r="M88" s="64">
        <v>525000</v>
      </c>
      <c r="N88" s="64">
        <v>525000</v>
      </c>
      <c r="O88" s="37">
        <f t="shared" si="2"/>
        <v>525000</v>
      </c>
      <c r="Q88" s="122"/>
      <c r="R88" s="122"/>
      <c r="S88" s="122"/>
      <c r="T88" s="122"/>
      <c r="U88" s="122"/>
      <c r="V88" s="122"/>
      <c r="W88" s="122"/>
      <c r="X88" s="122"/>
      <c r="Y88" s="122"/>
    </row>
    <row r="89" spans="2:25" x14ac:dyDescent="0.25">
      <c r="B89" s="7" t="s">
        <v>29</v>
      </c>
      <c r="C89" s="1">
        <v>29</v>
      </c>
      <c r="D89" s="2" t="s">
        <v>8</v>
      </c>
      <c r="E89" s="2" t="s">
        <v>13</v>
      </c>
      <c r="F89" s="55" t="str">
        <f t="shared" si="3"/>
        <v>YES</v>
      </c>
      <c r="G89" s="60">
        <v>3500</v>
      </c>
      <c r="H89" s="153"/>
      <c r="I89" s="66" t="s">
        <v>184</v>
      </c>
      <c r="J89" s="147"/>
      <c r="M89" s="64">
        <v>393750</v>
      </c>
      <c r="N89" s="63">
        <v>470961</v>
      </c>
      <c r="O89" s="37">
        <f t="shared" si="2"/>
        <v>470961</v>
      </c>
      <c r="Q89" s="122"/>
      <c r="R89" s="122"/>
      <c r="S89" s="122"/>
      <c r="T89" s="122"/>
      <c r="U89" s="122"/>
      <c r="V89" s="122"/>
      <c r="W89" s="122"/>
      <c r="X89" s="122"/>
      <c r="Y89" s="122"/>
    </row>
    <row r="90" spans="2:25" x14ac:dyDescent="0.25">
      <c r="B90" s="7" t="s">
        <v>29</v>
      </c>
      <c r="C90" s="1">
        <v>30</v>
      </c>
      <c r="D90" s="2" t="s">
        <v>8</v>
      </c>
      <c r="E90" s="2" t="s">
        <v>165</v>
      </c>
      <c r="F90" s="55" t="str">
        <f t="shared" si="3"/>
        <v>YES</v>
      </c>
      <c r="G90" s="61">
        <v>1750</v>
      </c>
      <c r="H90" s="153"/>
      <c r="I90" s="66" t="s">
        <v>184</v>
      </c>
      <c r="J90" s="147"/>
      <c r="M90" s="63">
        <v>196875</v>
      </c>
      <c r="N90" s="64">
        <v>197435</v>
      </c>
      <c r="O90" s="37">
        <f t="shared" si="2"/>
        <v>197435</v>
      </c>
      <c r="Q90" s="122"/>
      <c r="R90" s="122"/>
      <c r="S90" s="122"/>
      <c r="T90" s="122"/>
      <c r="U90" s="122"/>
      <c r="V90" s="122"/>
      <c r="W90" s="122"/>
      <c r="X90" s="122"/>
      <c r="Y90" s="122"/>
    </row>
    <row r="91" spans="2:25" x14ac:dyDescent="0.25">
      <c r="B91" s="7" t="s">
        <v>29</v>
      </c>
      <c r="C91" s="1">
        <v>38</v>
      </c>
      <c r="D91" s="2" t="s">
        <v>8</v>
      </c>
      <c r="E91" s="2" t="s">
        <v>19</v>
      </c>
      <c r="F91" s="55" t="str">
        <f t="shared" si="3"/>
        <v>YES</v>
      </c>
      <c r="G91" s="61">
        <v>14000</v>
      </c>
      <c r="H91" s="153"/>
      <c r="I91" s="66" t="s">
        <v>184</v>
      </c>
      <c r="J91" s="147"/>
      <c r="M91" s="63">
        <v>2100000</v>
      </c>
      <c r="N91" s="63">
        <v>2243959</v>
      </c>
      <c r="O91" s="37">
        <f t="shared" si="2"/>
        <v>2243959</v>
      </c>
      <c r="Q91" s="122"/>
      <c r="R91" s="122"/>
      <c r="S91" s="122"/>
      <c r="T91" s="122"/>
      <c r="U91" s="122"/>
      <c r="V91" s="122"/>
      <c r="W91" s="122"/>
      <c r="X91" s="122"/>
      <c r="Y91" s="122"/>
    </row>
    <row r="92" spans="2:25" x14ac:dyDescent="0.25">
      <c r="B92" s="467" t="s">
        <v>29</v>
      </c>
      <c r="C92" s="468">
        <v>43</v>
      </c>
      <c r="D92" s="468" t="s">
        <v>8</v>
      </c>
      <c r="E92" s="468" t="s">
        <v>9</v>
      </c>
      <c r="F92" s="469" t="str">
        <f t="shared" si="3"/>
        <v>NO</v>
      </c>
      <c r="G92" s="470">
        <v>28000</v>
      </c>
      <c r="H92" s="471">
        <v>7533</v>
      </c>
      <c r="I92" s="472" t="s">
        <v>183</v>
      </c>
      <c r="J92" s="473" t="s">
        <v>148</v>
      </c>
      <c r="K92" s="474"/>
      <c r="L92" s="474"/>
      <c r="M92" s="475">
        <v>4200000</v>
      </c>
      <c r="N92" s="475">
        <v>4287370</v>
      </c>
      <c r="O92" s="476">
        <f t="shared" si="2"/>
        <v>4287370</v>
      </c>
      <c r="Q92" s="122"/>
      <c r="R92" s="122"/>
      <c r="S92" s="122"/>
      <c r="T92" s="122"/>
      <c r="U92" s="122"/>
      <c r="V92" s="122"/>
      <c r="W92" s="122"/>
      <c r="X92" s="122"/>
      <c r="Y92" s="122"/>
    </row>
    <row r="93" spans="2:25" x14ac:dyDescent="0.25">
      <c r="B93" s="467" t="s">
        <v>29</v>
      </c>
      <c r="C93" s="468">
        <v>44</v>
      </c>
      <c r="D93" s="468" t="s">
        <v>8</v>
      </c>
      <c r="E93" s="468" t="s">
        <v>9</v>
      </c>
      <c r="F93" s="469" t="str">
        <f t="shared" si="3"/>
        <v>NO</v>
      </c>
      <c r="G93" s="470">
        <v>6985</v>
      </c>
      <c r="H93" s="471">
        <v>13622</v>
      </c>
      <c r="I93" s="472" t="s">
        <v>183</v>
      </c>
      <c r="J93" s="473" t="s">
        <v>221</v>
      </c>
      <c r="K93" s="474"/>
      <c r="L93" s="474"/>
      <c r="M93" s="475">
        <v>1047750</v>
      </c>
      <c r="N93" s="475">
        <v>1245293</v>
      </c>
      <c r="O93" s="476">
        <f t="shared" si="2"/>
        <v>1245293</v>
      </c>
      <c r="Q93" s="122"/>
      <c r="R93" s="122"/>
      <c r="S93" s="122"/>
      <c r="T93" s="122"/>
      <c r="U93" s="122"/>
      <c r="V93" s="122"/>
      <c r="W93" s="122"/>
      <c r="X93" s="122"/>
      <c r="Y93" s="122"/>
    </row>
    <row r="94" spans="2:25" x14ac:dyDescent="0.25">
      <c r="B94" s="7" t="s">
        <v>29</v>
      </c>
      <c r="C94" s="1">
        <v>48</v>
      </c>
      <c r="D94" s="1" t="s">
        <v>6</v>
      </c>
      <c r="E94" s="1" t="s">
        <v>18</v>
      </c>
      <c r="F94" s="55" t="str">
        <f t="shared" si="3"/>
        <v>YES</v>
      </c>
      <c r="G94" s="62">
        <v>7135</v>
      </c>
      <c r="H94" s="153"/>
      <c r="I94" s="66" t="s">
        <v>184</v>
      </c>
      <c r="J94" s="147"/>
      <c r="M94" s="63">
        <v>2140500</v>
      </c>
      <c r="N94" s="63">
        <v>2140500</v>
      </c>
      <c r="O94" s="37">
        <f t="shared" si="2"/>
        <v>2140500</v>
      </c>
      <c r="Q94" s="122"/>
      <c r="R94" s="122"/>
      <c r="S94" s="122"/>
      <c r="T94" s="122"/>
      <c r="U94" s="122"/>
      <c r="V94" s="122"/>
      <c r="W94" s="122"/>
      <c r="X94" s="122"/>
      <c r="Y94" s="122"/>
    </row>
    <row r="95" spans="2:25" x14ac:dyDescent="0.25">
      <c r="B95" s="7" t="s">
        <v>29</v>
      </c>
      <c r="C95" s="1">
        <v>49</v>
      </c>
      <c r="D95" s="1" t="s">
        <v>8</v>
      </c>
      <c r="E95" s="1" t="s">
        <v>166</v>
      </c>
      <c r="F95" s="55" t="str">
        <f t="shared" si="3"/>
        <v>YES</v>
      </c>
      <c r="G95" s="62">
        <v>7135</v>
      </c>
      <c r="H95" s="153"/>
      <c r="I95" s="66" t="s">
        <v>184</v>
      </c>
      <c r="J95" s="147"/>
      <c r="M95" s="63">
        <v>1070250</v>
      </c>
      <c r="N95" s="63">
        <v>1138800</v>
      </c>
      <c r="O95" s="37">
        <f t="shared" si="2"/>
        <v>1138800</v>
      </c>
      <c r="Q95" s="122"/>
      <c r="R95" s="122"/>
      <c r="S95" s="122"/>
      <c r="T95" s="122"/>
      <c r="U95" s="122"/>
      <c r="V95" s="122"/>
      <c r="W95" s="122"/>
      <c r="X95" s="122"/>
      <c r="Y95" s="122"/>
    </row>
    <row r="96" spans="2:25" x14ac:dyDescent="0.25">
      <c r="B96" s="7" t="s">
        <v>29</v>
      </c>
      <c r="C96" s="1">
        <v>50</v>
      </c>
      <c r="D96" s="1" t="s">
        <v>8</v>
      </c>
      <c r="E96" s="1" t="s">
        <v>167</v>
      </c>
      <c r="F96" s="55" t="str">
        <f t="shared" si="3"/>
        <v>YES</v>
      </c>
      <c r="G96" s="62">
        <v>7135</v>
      </c>
      <c r="H96" s="153"/>
      <c r="I96" s="66" t="s">
        <v>184</v>
      </c>
      <c r="J96" s="147"/>
      <c r="M96" s="63">
        <v>1070250</v>
      </c>
      <c r="N96" s="63">
        <v>1244799</v>
      </c>
      <c r="O96" s="37">
        <f t="shared" si="2"/>
        <v>1244799</v>
      </c>
      <c r="Q96" s="122"/>
      <c r="R96" s="122"/>
      <c r="S96" s="122"/>
      <c r="T96" s="122"/>
      <c r="U96" s="122"/>
      <c r="V96" s="122"/>
      <c r="W96" s="122"/>
      <c r="X96" s="122"/>
      <c r="Y96" s="122"/>
    </row>
    <row r="97" spans="2:26" x14ac:dyDescent="0.25">
      <c r="B97" s="7" t="s">
        <v>29</v>
      </c>
      <c r="C97" s="1">
        <v>51</v>
      </c>
      <c r="D97" s="1" t="s">
        <v>8</v>
      </c>
      <c r="E97" s="1" t="s">
        <v>18</v>
      </c>
      <c r="F97" s="55" t="str">
        <f t="shared" si="3"/>
        <v>YES</v>
      </c>
      <c r="G97" s="62">
        <v>14270</v>
      </c>
      <c r="H97" s="153"/>
      <c r="I97" s="66" t="s">
        <v>184</v>
      </c>
      <c r="J97" s="147"/>
      <c r="M97" s="65">
        <v>2140500</v>
      </c>
      <c r="N97" s="65">
        <v>2140500</v>
      </c>
      <c r="O97" s="38">
        <f t="shared" si="2"/>
        <v>2140500</v>
      </c>
      <c r="Q97" s="122"/>
      <c r="R97" s="122"/>
      <c r="S97" s="122"/>
      <c r="T97" s="122"/>
      <c r="U97" s="122"/>
      <c r="V97" s="122"/>
      <c r="W97" s="122"/>
      <c r="X97" s="122"/>
      <c r="Y97" s="122"/>
    </row>
    <row r="98" spans="2:26" x14ac:dyDescent="0.25">
      <c r="I98" s="66"/>
      <c r="J98" s="14"/>
      <c r="L98" s="5" t="s">
        <v>45</v>
      </c>
      <c r="M98" s="36">
        <f>SUM(M48:M97)</f>
        <v>184656952</v>
      </c>
      <c r="N98" s="36">
        <f>SUM(N48:N97)</f>
        <v>271713301</v>
      </c>
      <c r="O98" s="36">
        <f>SUM(O48:O97)</f>
        <v>271713301</v>
      </c>
      <c r="P98" s="7" t="s">
        <v>92</v>
      </c>
      <c r="Q98" s="122"/>
      <c r="R98" s="122"/>
      <c r="S98" s="122"/>
      <c r="T98" s="122"/>
      <c r="U98" s="122"/>
      <c r="V98" s="122"/>
      <c r="W98" s="122"/>
      <c r="X98" s="122"/>
      <c r="Y98" s="122"/>
    </row>
    <row r="99" spans="2:26" x14ac:dyDescent="0.25">
      <c r="I99" s="66"/>
      <c r="J99" s="14"/>
      <c r="L99" s="5"/>
      <c r="M99" s="36"/>
      <c r="N99" s="36"/>
      <c r="O99" s="36"/>
      <c r="P99" s="7"/>
      <c r="Q99" s="122"/>
      <c r="R99" s="122"/>
      <c r="S99" s="122"/>
      <c r="T99" s="122"/>
      <c r="U99" s="122"/>
      <c r="V99" s="122"/>
      <c r="W99" s="122"/>
      <c r="X99" s="122"/>
      <c r="Y99" s="122"/>
    </row>
    <row r="100" spans="2:26" x14ac:dyDescent="0.25">
      <c r="I100" s="12"/>
      <c r="J100" s="12"/>
      <c r="Q100" s="122"/>
      <c r="R100" s="122"/>
      <c r="S100" s="122"/>
      <c r="T100" s="122"/>
      <c r="U100" s="122"/>
      <c r="V100" s="122"/>
      <c r="W100" s="122"/>
      <c r="X100" s="122"/>
      <c r="Y100" s="122"/>
      <c r="Z100" s="35"/>
    </row>
    <row r="101" spans="2:26" x14ac:dyDescent="0.25">
      <c r="I101" s="12"/>
      <c r="J101" s="12"/>
      <c r="Q101" s="122"/>
      <c r="R101" s="122"/>
      <c r="S101" s="122"/>
      <c r="T101" s="122"/>
      <c r="U101" s="122"/>
      <c r="V101" s="122"/>
      <c r="W101" s="122"/>
      <c r="X101" s="122"/>
      <c r="Y101" s="122"/>
      <c r="Z101" s="35"/>
    </row>
    <row r="102" spans="2:26" x14ac:dyDescent="0.25">
      <c r="J102"/>
      <c r="Q102" s="122"/>
      <c r="R102" s="122"/>
      <c r="S102" s="122"/>
      <c r="T102" s="122"/>
      <c r="U102" s="122"/>
      <c r="V102" s="122"/>
      <c r="W102" s="122"/>
      <c r="X102" s="122"/>
      <c r="Y102" s="122"/>
      <c r="Z102" s="35"/>
    </row>
    <row r="103" spans="2:26" x14ac:dyDescent="0.25">
      <c r="J103"/>
      <c r="Q103" s="122"/>
      <c r="R103" s="122"/>
      <c r="S103" s="122"/>
      <c r="T103" s="122"/>
      <c r="U103" s="122"/>
      <c r="V103" s="122"/>
      <c r="W103" s="122"/>
      <c r="X103" s="122"/>
      <c r="Y103" s="122"/>
      <c r="Z103" s="35"/>
    </row>
    <row r="104" spans="2:26" x14ac:dyDescent="0.25">
      <c r="J104"/>
      <c r="Q104" s="122"/>
      <c r="R104" s="122"/>
      <c r="S104" s="122"/>
      <c r="T104" s="122"/>
      <c r="U104" s="122"/>
      <c r="V104" s="122"/>
      <c r="W104" s="122"/>
      <c r="X104" s="122"/>
      <c r="Y104" s="122"/>
      <c r="Z104" s="35"/>
    </row>
    <row r="105" spans="2:26" x14ac:dyDescent="0.25">
      <c r="J105"/>
      <c r="Q105" s="35"/>
      <c r="R105" s="35"/>
      <c r="S105" s="35"/>
      <c r="T105" s="35"/>
      <c r="U105" s="122"/>
      <c r="V105" s="122"/>
      <c r="W105" s="122"/>
      <c r="X105" s="122"/>
      <c r="Y105" s="122"/>
      <c r="Z105" s="35"/>
    </row>
    <row r="106" spans="2:26" x14ac:dyDescent="0.25">
      <c r="J106"/>
      <c r="Q106" s="35"/>
      <c r="R106" s="35"/>
      <c r="S106" s="35"/>
      <c r="T106" s="35"/>
      <c r="U106" s="35"/>
      <c r="V106" s="35"/>
      <c r="W106" s="35"/>
      <c r="X106" s="35"/>
      <c r="Y106" s="35"/>
      <c r="Z106" s="35"/>
    </row>
    <row r="107" spans="2:26" x14ac:dyDescent="0.25">
      <c r="J107"/>
      <c r="Q107" s="35"/>
      <c r="R107" s="35"/>
      <c r="S107" s="35"/>
      <c r="T107" s="35"/>
      <c r="U107" s="35"/>
      <c r="V107" s="35"/>
      <c r="W107" s="35"/>
      <c r="X107" s="35"/>
      <c r="Y107" s="35"/>
      <c r="Z107" s="35"/>
    </row>
    <row r="108" spans="2:26" x14ac:dyDescent="0.25">
      <c r="J108"/>
      <c r="Q108" s="35"/>
      <c r="R108" s="35"/>
      <c r="S108" s="35"/>
      <c r="T108" s="35"/>
      <c r="U108" s="35"/>
      <c r="V108" s="35"/>
      <c r="W108" s="35"/>
      <c r="X108" s="35"/>
      <c r="Y108" s="35"/>
      <c r="Z108" s="35"/>
    </row>
    <row r="109" spans="2:26" x14ac:dyDescent="0.25">
      <c r="J109"/>
    </row>
    <row r="110" spans="2:26" x14ac:dyDescent="0.25">
      <c r="J110"/>
    </row>
    <row r="111" spans="2:26" x14ac:dyDescent="0.25">
      <c r="J111"/>
    </row>
    <row r="112" spans="2:26" x14ac:dyDescent="0.25">
      <c r="J112"/>
    </row>
    <row r="113" spans="10:10" x14ac:dyDescent="0.25">
      <c r="J113"/>
    </row>
  </sheetData>
  <conditionalFormatting sqref="O56">
    <cfRule type="containsText" dxfId="2" priority="8" operator="containsText" text="MU">
      <formula>NOT(ISERROR(SEARCH("MU",O56)))</formula>
    </cfRule>
    <cfRule type="cellIs" dxfId="1" priority="9" operator="equal">
      <formula>"MU"</formula>
    </cfRule>
  </conditionalFormatting>
  <conditionalFormatting sqref="B3">
    <cfRule type="cellIs" dxfId="0" priority="1" operator="lessThan">
      <formula>0</formula>
    </cfRule>
  </conditionalFormatting>
  <dataValidations count="2">
    <dataValidation type="list" allowBlank="1" showInputMessage="1" showErrorMessage="1" sqref="I98:I99" xr:uid="{00000000-0002-0000-0200-000000000000}">
      <formula1>"Keep, Redevelop, Sell, Value-Add"</formula1>
    </dataValidation>
    <dataValidation type="list" allowBlank="1" showInputMessage="1" showErrorMessage="1" sqref="I63:I97 I11:I57" xr:uid="{F86C626F-F288-472C-861F-B3BE1AC746EF}">
      <formula1>"Demo, Build, Buy, None"</formula1>
    </dataValidation>
  </dataValidations>
  <pageMargins left="0.7" right="0.7" top="0.75" bottom="0.75" header="0.3" footer="0.3"/>
  <pageSetup orientation="portrait" r:id="rId1"/>
  <ignoredErrors>
    <ignoredError sqref="O11:O12 O13:O23 O24:O28 O29:O5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79998168889431442"/>
  </sheetPr>
  <dimension ref="B2:N57"/>
  <sheetViews>
    <sheetView showGridLines="0" zoomScale="85" zoomScaleNormal="85" workbookViewId="0">
      <selection activeCell="C24" sqref="C24"/>
    </sheetView>
  </sheetViews>
  <sheetFormatPr defaultRowHeight="15" x14ac:dyDescent="0.25"/>
  <cols>
    <col min="2" max="2" width="28" customWidth="1"/>
    <col min="3" max="3" width="21.140625" customWidth="1"/>
    <col min="4" max="4" width="18.85546875" customWidth="1"/>
    <col min="5" max="5" width="22.28515625" customWidth="1"/>
    <col min="6" max="6" width="13.140625" customWidth="1"/>
    <col min="7" max="7" width="24.42578125" customWidth="1"/>
    <col min="8" max="8" width="13.28515625" customWidth="1"/>
    <col min="9" max="14" width="22.28515625" customWidth="1"/>
    <col min="16" max="16" width="19.7109375" customWidth="1"/>
    <col min="17" max="17" width="14.5703125" bestFit="1" customWidth="1"/>
  </cols>
  <sheetData>
    <row r="2" spans="2:12" ht="18.75" x14ac:dyDescent="0.3">
      <c r="B2" s="8" t="s">
        <v>620</v>
      </c>
    </row>
    <row r="3" spans="2:12" x14ac:dyDescent="0.25">
      <c r="B3" t="s">
        <v>611</v>
      </c>
    </row>
    <row r="4" spans="2:12" ht="15.75" thickBot="1" x14ac:dyDescent="0.3"/>
    <row r="5" spans="2:12" x14ac:dyDescent="0.25">
      <c r="B5" s="537" t="s">
        <v>207</v>
      </c>
      <c r="C5" s="538"/>
      <c r="D5" s="538"/>
      <c r="E5" s="539"/>
      <c r="G5" s="533" t="s">
        <v>519</v>
      </c>
    </row>
    <row r="6" spans="2:12" x14ac:dyDescent="0.25">
      <c r="B6" s="540" t="s">
        <v>481</v>
      </c>
      <c r="C6" s="515"/>
      <c r="D6" s="520">
        <f ca="1">D12-D7-D8-D9-D10-D11</f>
        <v>-2450511.1780153234</v>
      </c>
      <c r="E6" s="542">
        <f t="shared" ref="E6:E11" ca="1" si="0">D6/$D$12</f>
        <v>-3.4892993901998442E-3</v>
      </c>
      <c r="F6" s="124"/>
      <c r="G6" t="s">
        <v>524</v>
      </c>
      <c r="I6" s="124">
        <f>Costs!M71</f>
        <v>15646847.832</v>
      </c>
    </row>
    <row r="7" spans="2:12" x14ac:dyDescent="0.25">
      <c r="B7" s="541" t="s">
        <v>415</v>
      </c>
      <c r="C7" s="34"/>
      <c r="D7" s="543">
        <f ca="1">-'Combined DCF'!J74</f>
        <v>214205591.94892642</v>
      </c>
      <c r="E7" s="542">
        <f t="shared" ca="1" si="0"/>
        <v>0.30500878676673876</v>
      </c>
      <c r="F7" s="124"/>
      <c r="G7" s="762" t="s">
        <v>522</v>
      </c>
      <c r="H7" s="534"/>
      <c r="I7" s="530">
        <v>25000000</v>
      </c>
    </row>
    <row r="8" spans="2:12" ht="15" customHeight="1" x14ac:dyDescent="0.25">
      <c r="B8" s="541" t="s">
        <v>564</v>
      </c>
      <c r="C8" s="34"/>
      <c r="D8" s="536">
        <f ca="1">'Combined DCF'!R82</f>
        <v>449422687.86096358</v>
      </c>
      <c r="E8" s="542">
        <f t="shared" ca="1" si="0"/>
        <v>0.63993599570735327</v>
      </c>
      <c r="F8" s="124"/>
      <c r="G8" s="854" t="s">
        <v>523</v>
      </c>
      <c r="H8" s="854"/>
      <c r="I8" s="141">
        <f ca="1">-SUM('Multifamily DCF'!F116:P116,'Condominium DCF'!F112:P112)*'S&amp;U'!J8</f>
        <v>468567.34772537847</v>
      </c>
      <c r="J8" s="535">
        <v>0.09</v>
      </c>
      <c r="K8" s="12"/>
      <c r="L8" s="12"/>
    </row>
    <row r="9" spans="2:12" ht="15.6" customHeight="1" x14ac:dyDescent="0.25">
      <c r="B9" s="541" t="s">
        <v>536</v>
      </c>
      <c r="C9" s="34"/>
      <c r="D9" s="536">
        <f>Costs!M71</f>
        <v>15646847.832</v>
      </c>
      <c r="E9" s="542">
        <f t="shared" ca="1" si="0"/>
        <v>2.2279652134851825E-2</v>
      </c>
      <c r="F9" s="124"/>
      <c r="G9" s="854"/>
      <c r="H9" s="854"/>
      <c r="L9" s="530"/>
    </row>
    <row r="10" spans="2:12" x14ac:dyDescent="0.25">
      <c r="B10" s="541" t="s">
        <v>534</v>
      </c>
      <c r="C10" s="34"/>
      <c r="D10" s="732">
        <f>I7</f>
        <v>25000000</v>
      </c>
      <c r="E10" s="542">
        <f t="shared" ca="1" si="0"/>
        <v>3.5597668575274966E-2</v>
      </c>
      <c r="F10" s="124"/>
      <c r="L10" s="530"/>
    </row>
    <row r="11" spans="2:12" x14ac:dyDescent="0.25">
      <c r="B11" s="541" t="s">
        <v>535</v>
      </c>
      <c r="C11" s="34"/>
      <c r="D11" s="543">
        <f ca="1">I8</f>
        <v>468567.34772537847</v>
      </c>
      <c r="E11" s="542">
        <f t="shared" ca="1" si="0"/>
        <v>6.6719620598094562E-4</v>
      </c>
      <c r="F11" s="124"/>
    </row>
    <row r="12" spans="2:12" ht="14.45" customHeight="1" thickBot="1" x14ac:dyDescent="0.3">
      <c r="B12" s="544" t="s">
        <v>514</v>
      </c>
      <c r="C12" s="545"/>
      <c r="D12" s="546">
        <f ca="1">D21</f>
        <v>702293183.81160009</v>
      </c>
      <c r="E12" s="547">
        <f ca="1">SUM(E6:E11)</f>
        <v>1</v>
      </c>
      <c r="G12" s="533" t="s">
        <v>525</v>
      </c>
    </row>
    <row r="13" spans="2:12" x14ac:dyDescent="0.25">
      <c r="B13" s="521"/>
      <c r="G13" t="s">
        <v>526</v>
      </c>
    </row>
    <row r="14" spans="2:12" ht="15.75" thickBot="1" x14ac:dyDescent="0.3">
      <c r="G14" t="s">
        <v>528</v>
      </c>
      <c r="K14" s="12"/>
      <c r="L14" s="531"/>
    </row>
    <row r="15" spans="2:12" x14ac:dyDescent="0.25">
      <c r="B15" s="548" t="s">
        <v>208</v>
      </c>
      <c r="C15" s="549"/>
      <c r="D15" s="549"/>
      <c r="E15" s="550"/>
      <c r="G15" t="s">
        <v>527</v>
      </c>
      <c r="K15" s="12"/>
      <c r="L15" s="532"/>
    </row>
    <row r="16" spans="2:12" x14ac:dyDescent="0.25">
      <c r="B16" s="541" t="s">
        <v>515</v>
      </c>
      <c r="C16" s="34"/>
      <c r="D16" s="536">
        <f>-'Combined DCF'!E33</f>
        <v>99586169.280000001</v>
      </c>
      <c r="E16" s="542">
        <f ca="1">D16/$D$21</f>
        <v>0.14180141794842677</v>
      </c>
      <c r="F16" s="124"/>
      <c r="K16" s="12"/>
      <c r="L16" s="12"/>
    </row>
    <row r="17" spans="2:12" x14ac:dyDescent="0.25">
      <c r="B17" s="541" t="s">
        <v>131</v>
      </c>
      <c r="C17" s="34"/>
      <c r="D17" s="536">
        <f>-'Combined DCF'!E37</f>
        <v>5120656.2</v>
      </c>
      <c r="E17" s="542">
        <f ca="1">D17/$D$21</f>
        <v>7.2913368918210769E-3</v>
      </c>
      <c r="F17" s="124"/>
      <c r="K17" s="12"/>
      <c r="L17" s="12"/>
    </row>
    <row r="18" spans="2:12" x14ac:dyDescent="0.25">
      <c r="B18" s="541" t="s">
        <v>103</v>
      </c>
      <c r="C18" s="34"/>
      <c r="D18" s="536">
        <f ca="1">-SUM(Summary!E49:N49)</f>
        <v>512620437.12000006</v>
      </c>
      <c r="E18" s="542">
        <f ca="1">D18/$D$21</f>
        <v>0.72992369702041371</v>
      </c>
      <c r="F18" s="124"/>
      <c r="K18" s="12"/>
      <c r="L18" s="12"/>
    </row>
    <row r="19" spans="2:12" ht="14.45" customHeight="1" x14ac:dyDescent="0.25">
      <c r="B19" s="541" t="s">
        <v>39</v>
      </c>
      <c r="C19" s="34"/>
      <c r="D19" s="536">
        <f ca="1">-SUM('Combined DCF'!E47:O47)</f>
        <v>65358400.932000004</v>
      </c>
      <c r="E19" s="542">
        <f ca="1">D19/$D$21</f>
        <v>9.3064267799491132E-2</v>
      </c>
      <c r="F19" s="124"/>
      <c r="K19" s="12"/>
      <c r="L19" s="12"/>
    </row>
    <row r="20" spans="2:12" x14ac:dyDescent="0.25">
      <c r="B20" s="541" t="s">
        <v>516</v>
      </c>
      <c r="C20" s="34"/>
      <c r="D20" s="543">
        <f ca="1">-SUM('Combined DCF'!E48:O48)</f>
        <v>19607520.279600002</v>
      </c>
      <c r="E20" s="542">
        <f ca="1">D20/$D$21</f>
        <v>2.7919280339847342E-2</v>
      </c>
      <c r="F20" s="124"/>
    </row>
    <row r="21" spans="2:12" ht="15.75" thickBot="1" x14ac:dyDescent="0.3">
      <c r="B21" s="544" t="s">
        <v>517</v>
      </c>
      <c r="C21" s="545"/>
      <c r="D21" s="546">
        <f ca="1">SUM(D16:D20)</f>
        <v>702293183.81160009</v>
      </c>
      <c r="E21" s="547">
        <f ca="1">SUM(E16:E20)</f>
        <v>1</v>
      </c>
    </row>
    <row r="22" spans="2:12" x14ac:dyDescent="0.25">
      <c r="K22" s="12"/>
      <c r="L22" s="12"/>
    </row>
    <row r="46" spans="5:14" x14ac:dyDescent="0.25">
      <c r="E46" s="186"/>
      <c r="F46" s="186"/>
      <c r="G46" s="186"/>
      <c r="H46" s="186"/>
      <c r="I46" s="186"/>
      <c r="J46" s="186"/>
      <c r="K46" s="186"/>
      <c r="L46" s="186"/>
      <c r="M46" s="186"/>
      <c r="N46" s="186"/>
    </row>
    <row r="47" spans="5:14" x14ac:dyDescent="0.25">
      <c r="E47" s="186"/>
      <c r="F47" s="186"/>
      <c r="G47" s="186"/>
      <c r="H47" s="186"/>
      <c r="I47" s="186"/>
      <c r="J47" s="186"/>
      <c r="K47" s="186"/>
      <c r="L47" s="186"/>
      <c r="M47" s="186"/>
      <c r="N47" s="186"/>
    </row>
    <row r="48" spans="5:14" x14ac:dyDescent="0.25">
      <c r="E48" s="186"/>
      <c r="F48" s="186"/>
      <c r="G48" s="186"/>
      <c r="H48" s="186"/>
      <c r="I48" s="186"/>
      <c r="J48" s="186"/>
      <c r="K48" s="186"/>
      <c r="L48" s="186"/>
      <c r="M48" s="186"/>
      <c r="N48" s="186"/>
    </row>
    <row r="55" ht="12.6" customHeight="1" x14ac:dyDescent="0.25"/>
    <row r="56" ht="14.45" customHeight="1" x14ac:dyDescent="0.25"/>
    <row r="57" ht="14.45" customHeight="1" x14ac:dyDescent="0.25"/>
  </sheetData>
  <mergeCells count="1">
    <mergeCell ref="G8:H9"/>
  </mergeCells>
  <conditionalFormatting sqref="B3">
    <cfRule type="cellIs" dxfId="333" priority="1" operator="lessThan">
      <formula>0</formula>
    </cfRule>
  </conditionalFormatting>
  <hyperlinks>
    <hyperlink ref="G7" r:id="rId1" xr:uid="{BA9079E6-5659-4EA7-97BB-15143CFD2869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050EC-B905-475E-A038-BEF0871E8732}">
  <sheetPr>
    <tabColor theme="7" tint="0.79998168889431442"/>
  </sheetPr>
  <dimension ref="A1:R377"/>
  <sheetViews>
    <sheetView showGridLines="0" zoomScale="70" zoomScaleNormal="70" workbookViewId="0">
      <pane ySplit="7" topLeftCell="A8" activePane="bottomLeft" state="frozen"/>
      <selection pane="bottomLeft" activeCell="A3" sqref="A3"/>
    </sheetView>
  </sheetViews>
  <sheetFormatPr defaultRowHeight="15" x14ac:dyDescent="0.25"/>
  <cols>
    <col min="1" max="1" width="8.85546875" style="284"/>
    <col min="2" max="2" width="30" customWidth="1"/>
    <col min="3" max="3" width="22.5703125" customWidth="1"/>
    <col min="4" max="4" width="16.42578125" style="147" customWidth="1"/>
    <col min="5" max="5" width="22.5703125" customWidth="1"/>
    <col min="6" max="15" width="20.28515625" customWidth="1"/>
  </cols>
  <sheetData>
    <row r="1" spans="1:18" x14ac:dyDescent="0.25">
      <c r="B1" s="182"/>
      <c r="C1" s="181"/>
      <c r="D1" s="196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</row>
    <row r="2" spans="1:18" ht="18.75" x14ac:dyDescent="0.3">
      <c r="B2" s="8" t="s">
        <v>380</v>
      </c>
      <c r="C2" s="181"/>
      <c r="D2" s="196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</row>
    <row r="3" spans="1:18" x14ac:dyDescent="0.25">
      <c r="B3" t="s">
        <v>611</v>
      </c>
      <c r="C3" s="181"/>
      <c r="D3" s="196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</row>
    <row r="4" spans="1:18" x14ac:dyDescent="0.25">
      <c r="C4" s="181"/>
      <c r="D4" s="196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</row>
    <row r="5" spans="1:18" x14ac:dyDescent="0.25">
      <c r="B5" s="182"/>
      <c r="C5" s="181"/>
      <c r="D5" s="196"/>
      <c r="E5" s="273" t="s">
        <v>105</v>
      </c>
      <c r="F5" s="27" t="s">
        <v>28</v>
      </c>
      <c r="G5" s="27" t="s">
        <v>28</v>
      </c>
      <c r="H5" s="275" t="s">
        <v>28</v>
      </c>
      <c r="I5" s="28" t="s">
        <v>47</v>
      </c>
      <c r="J5" s="28" t="s">
        <v>47</v>
      </c>
      <c r="K5" s="28" t="s">
        <v>47</v>
      </c>
      <c r="L5" s="277" t="s">
        <v>47</v>
      </c>
      <c r="M5" s="29" t="s">
        <v>48</v>
      </c>
      <c r="N5" s="29" t="s">
        <v>48</v>
      </c>
      <c r="O5" s="39" t="s">
        <v>48</v>
      </c>
      <c r="P5" s="181"/>
      <c r="Q5" s="181"/>
      <c r="R5" s="181"/>
    </row>
    <row r="6" spans="1:18" x14ac:dyDescent="0.25">
      <c r="B6" s="786"/>
      <c r="C6" s="787"/>
      <c r="D6" s="788"/>
      <c r="E6" s="271">
        <v>0</v>
      </c>
      <c r="F6" s="40">
        <f>E6+1</f>
        <v>1</v>
      </c>
      <c r="G6" s="40">
        <f t="shared" ref="G6:O7" si="0">F6+1</f>
        <v>2</v>
      </c>
      <c r="H6" s="276">
        <f t="shared" si="0"/>
        <v>3</v>
      </c>
      <c r="I6" s="40">
        <f t="shared" si="0"/>
        <v>4</v>
      </c>
      <c r="J6" s="40">
        <f t="shared" si="0"/>
        <v>5</v>
      </c>
      <c r="K6" s="40">
        <f t="shared" si="0"/>
        <v>6</v>
      </c>
      <c r="L6" s="276">
        <f t="shared" si="0"/>
        <v>7</v>
      </c>
      <c r="M6" s="40">
        <f t="shared" si="0"/>
        <v>8</v>
      </c>
      <c r="N6" s="40">
        <f t="shared" si="0"/>
        <v>9</v>
      </c>
      <c r="O6" s="276">
        <f t="shared" si="0"/>
        <v>10</v>
      </c>
      <c r="P6" s="183"/>
      <c r="Q6" s="183"/>
      <c r="R6" s="183"/>
    </row>
    <row r="7" spans="1:18" x14ac:dyDescent="0.25">
      <c r="A7" s="284" t="s">
        <v>49</v>
      </c>
      <c r="B7" s="783"/>
      <c r="C7" s="784" t="s">
        <v>353</v>
      </c>
      <c r="D7" s="785" t="s">
        <v>92</v>
      </c>
      <c r="E7" s="419" t="s">
        <v>177</v>
      </c>
      <c r="F7" s="41">
        <v>2022</v>
      </c>
      <c r="G7" s="41">
        <f t="shared" si="0"/>
        <v>2023</v>
      </c>
      <c r="H7" s="278">
        <f t="shared" si="0"/>
        <v>2024</v>
      </c>
      <c r="I7" s="41">
        <f t="shared" si="0"/>
        <v>2025</v>
      </c>
      <c r="J7" s="41">
        <f t="shared" si="0"/>
        <v>2026</v>
      </c>
      <c r="K7" s="41">
        <f t="shared" si="0"/>
        <v>2027</v>
      </c>
      <c r="L7" s="278">
        <f t="shared" si="0"/>
        <v>2028</v>
      </c>
      <c r="M7" s="41">
        <f t="shared" si="0"/>
        <v>2029</v>
      </c>
      <c r="N7" s="41">
        <f t="shared" si="0"/>
        <v>2030</v>
      </c>
      <c r="O7" s="278">
        <f t="shared" si="0"/>
        <v>2031</v>
      </c>
      <c r="P7" s="183"/>
      <c r="Q7" s="183"/>
      <c r="R7" s="183"/>
    </row>
    <row r="8" spans="1:18" x14ac:dyDescent="0.25">
      <c r="B8" s="764"/>
      <c r="C8" s="765"/>
      <c r="D8" s="766"/>
      <c r="E8" s="767"/>
      <c r="F8" s="768"/>
      <c r="G8" s="768"/>
      <c r="H8" s="767"/>
      <c r="I8" s="768"/>
      <c r="J8" s="768"/>
      <c r="K8" s="768"/>
      <c r="L8" s="767"/>
      <c r="M8" s="768"/>
      <c r="N8" s="768"/>
      <c r="O8" s="767"/>
      <c r="P8" s="183"/>
      <c r="Q8" s="183"/>
      <c r="R8" s="183"/>
    </row>
    <row r="9" spans="1:18" x14ac:dyDescent="0.25">
      <c r="B9" s="769"/>
      <c r="C9" s="255"/>
      <c r="D9" s="267"/>
      <c r="E9" s="263"/>
      <c r="F9" s="256"/>
      <c r="G9" s="256"/>
      <c r="H9" s="263"/>
      <c r="I9" s="256"/>
      <c r="J9" s="256"/>
      <c r="K9" s="256"/>
      <c r="L9" s="263"/>
      <c r="M9" s="256"/>
      <c r="N9" s="256"/>
      <c r="O9" s="263"/>
      <c r="P9" s="183"/>
      <c r="Q9" s="184"/>
      <c r="R9" s="183"/>
    </row>
    <row r="10" spans="1:18" x14ac:dyDescent="0.25">
      <c r="B10" s="770"/>
      <c r="C10" s="257"/>
      <c r="D10" s="268"/>
      <c r="E10" s="264"/>
      <c r="F10" s="258"/>
      <c r="G10" s="258"/>
      <c r="H10" s="264"/>
      <c r="I10" s="258"/>
      <c r="J10" s="258"/>
      <c r="K10" s="258"/>
      <c r="L10" s="264"/>
      <c r="M10" s="258"/>
      <c r="N10" s="258"/>
      <c r="O10" s="264"/>
      <c r="P10" s="183"/>
      <c r="Q10" s="184"/>
      <c r="R10" s="183"/>
    </row>
    <row r="11" spans="1:18" x14ac:dyDescent="0.25">
      <c r="B11" s="771" t="s">
        <v>213</v>
      </c>
      <c r="C11" s="257"/>
      <c r="D11" s="268"/>
      <c r="E11" s="264"/>
      <c r="F11" s="466">
        <f ca="1">IFERROR(OFFSET(INDIRECT(#REF!),MATCH([2]Development_Schedule_EK!I$6,INDIRECT(#REF!),0)-1,MATCH([2]Development_Schedule_EK!$B8,INDIRECT(#REF!),0),1,1)*$D11,0)</f>
        <v>0</v>
      </c>
      <c r="G11" s="466">
        <f ca="1">IFERROR(OFFSET(INDIRECT(#REF!),MATCH([2]Development_Schedule_EK!J$6,INDIRECT(#REF!),0)-1,MATCH([2]Development_Schedule_EK!$B8,INDIRECT(#REF!),0),1,1)*$D11,0)</f>
        <v>0</v>
      </c>
      <c r="H11" s="763">
        <f ca="1">IFERROR(OFFSET(INDIRECT(#REF!),MATCH([2]Development_Schedule_EK!K$6,INDIRECT(#REF!),0)-1,MATCH([2]Development_Schedule_EK!$B8,INDIRECT(#REF!),0),1,1)*$D11,0)</f>
        <v>0</v>
      </c>
      <c r="I11" s="466">
        <f ca="1">IFERROR(OFFSET(INDIRECT(#REF!),MATCH([2]Development_Schedule_EK!L$6,INDIRECT(#REF!),0)-1,MATCH([2]Development_Schedule_EK!$B8,INDIRECT(#REF!),0),1,1)*$D11,0)</f>
        <v>0</v>
      </c>
      <c r="J11" s="466">
        <f ca="1">IFERROR(OFFSET(INDIRECT(#REF!),MATCH([2]Development_Schedule_EK!M$6,INDIRECT(#REF!),0)-1,MATCH([2]Development_Schedule_EK!$B8,INDIRECT(#REF!),0),1,1)*$D11,0)</f>
        <v>0</v>
      </c>
      <c r="K11" s="466">
        <f ca="1">IFERROR(OFFSET(INDIRECT(#REF!),MATCH([2]Development_Schedule_EK!N$6,INDIRECT(#REF!),0)-1,MATCH([2]Development_Schedule_EK!$B8,INDIRECT(#REF!),0),1,1)*$D11,0)</f>
        <v>0</v>
      </c>
      <c r="L11" s="763">
        <f ca="1">IFERROR(OFFSET(INDIRECT(#REF!),MATCH([2]Development_Schedule_EK!O$6,INDIRECT(#REF!),0)-1,MATCH([2]Development_Schedule_EK!$B8,INDIRECT(#REF!),0),1,1)*$D11,0)</f>
        <v>0</v>
      </c>
      <c r="M11" s="466">
        <f ca="1">IFERROR(OFFSET(INDIRECT(#REF!),MATCH([2]Development_Schedule_EK!P$6,INDIRECT(#REF!),0)-1,MATCH([2]Development_Schedule_EK!$B8,INDIRECT(#REF!),0),1,1)*$D11,0)</f>
        <v>0</v>
      </c>
      <c r="N11" s="466">
        <f ca="1">IFERROR(OFFSET(INDIRECT(#REF!),MATCH([2]Development_Schedule_EK!Q$6,INDIRECT(#REF!),0)-1,MATCH([2]Development_Schedule_EK!$B8,INDIRECT(#REF!),0),1,1)*$D11,0)</f>
        <v>0</v>
      </c>
      <c r="O11" s="763">
        <f ca="1">IFERROR(OFFSET(INDIRECT(#REF!),MATCH([2]Development_Schedule_EK!R$6,INDIRECT(#REF!),0)-1,MATCH([2]Development_Schedule_EK!$B8,INDIRECT(#REF!),0),1,1)*$D11,0)</f>
        <v>0</v>
      </c>
      <c r="P11" s="183"/>
      <c r="Q11" s="184"/>
      <c r="R11" s="183"/>
    </row>
    <row r="12" spans="1:18" x14ac:dyDescent="0.25">
      <c r="A12" s="284">
        <v>1</v>
      </c>
      <c r="B12" s="772" t="s">
        <v>426</v>
      </c>
      <c r="C12" s="257"/>
      <c r="D12" s="269">
        <v>34874</v>
      </c>
      <c r="E12" s="264"/>
      <c r="F12" s="258">
        <f>D12/3</f>
        <v>11624.666666666666</v>
      </c>
      <c r="G12" s="258">
        <f>F12</f>
        <v>11624.666666666666</v>
      </c>
      <c r="H12" s="264">
        <f>G12</f>
        <v>11624.666666666666</v>
      </c>
      <c r="I12" s="466">
        <f ca="1">IFERROR(OFFSET(INDIRECT(#REF!),MATCH([2]Development_Schedule_EK!L$6,INDIRECT(#REF!),0)-1,MATCH([2]Development_Schedule_EK!$B9,INDIRECT(#REF!),0),1,1)*$D12,0)</f>
        <v>0</v>
      </c>
      <c r="J12" s="466">
        <f ca="1">IFERROR(OFFSET(INDIRECT(#REF!),MATCH([2]Development_Schedule_EK!M$6,INDIRECT(#REF!),0)-1,MATCH([2]Development_Schedule_EK!$B9,INDIRECT(#REF!),0),1,1)*$D12,0)</f>
        <v>0</v>
      </c>
      <c r="K12" s="466">
        <f ca="1">IFERROR(OFFSET(INDIRECT(#REF!),MATCH([2]Development_Schedule_EK!N$6,INDIRECT(#REF!),0)-1,MATCH([2]Development_Schedule_EK!$B9,INDIRECT(#REF!),0),1,1)*$D12,0)</f>
        <v>0</v>
      </c>
      <c r="L12" s="763">
        <f ca="1">IFERROR(OFFSET(INDIRECT(#REF!),MATCH([2]Development_Schedule_EK!O$6,INDIRECT(#REF!),0)-1,MATCH([2]Development_Schedule_EK!$B9,INDIRECT(#REF!),0),1,1)*$D12,0)</f>
        <v>0</v>
      </c>
      <c r="M12" s="466">
        <f ca="1">IFERROR(OFFSET(INDIRECT(#REF!),MATCH([2]Development_Schedule_EK!P$6,INDIRECT(#REF!),0)-1,MATCH([2]Development_Schedule_EK!$B9,INDIRECT(#REF!),0),1,1)*$D12,0)</f>
        <v>0</v>
      </c>
      <c r="N12" s="466">
        <f ca="1">IFERROR(OFFSET(INDIRECT(#REF!),MATCH([2]Development_Schedule_EK!Q$6,INDIRECT(#REF!),0)-1,MATCH([2]Development_Schedule_EK!$B9,INDIRECT(#REF!),0),1,1)*$D12,0)</f>
        <v>0</v>
      </c>
      <c r="O12" s="763">
        <f ca="1">IFERROR(OFFSET(INDIRECT(#REF!),MATCH([2]Development_Schedule_EK!R$6,INDIRECT(#REF!),0)-1,MATCH([2]Development_Schedule_EK!$B9,INDIRECT(#REF!),0),1,1)*$D12,0)</f>
        <v>0</v>
      </c>
      <c r="P12" s="183"/>
      <c r="Q12" s="184"/>
      <c r="R12" s="183"/>
    </row>
    <row r="13" spans="1:18" x14ac:dyDescent="0.25">
      <c r="A13" s="284">
        <v>1</v>
      </c>
      <c r="B13" s="772" t="s">
        <v>427</v>
      </c>
      <c r="C13" s="257"/>
      <c r="D13" s="269">
        <v>5321</v>
      </c>
      <c r="E13" s="264"/>
      <c r="F13" s="466">
        <f ca="1">IFERROR(OFFSET(INDIRECT(#REF!),MATCH([2]Development_Schedule_EK!I$6,INDIRECT(#REF!),0)-1,MATCH([2]Development_Schedule_EK!$B10,INDIRECT(#REF!),0),1,1)*$D13,0)</f>
        <v>0</v>
      </c>
      <c r="G13" s="258">
        <f>D13/2</f>
        <v>2660.5</v>
      </c>
      <c r="H13" s="264">
        <f>G13</f>
        <v>2660.5</v>
      </c>
      <c r="I13" s="466">
        <f ca="1">IFERROR(OFFSET(INDIRECT(#REF!),MATCH([2]Development_Schedule_EK!L$6,INDIRECT(#REF!),0)-1,MATCH([2]Development_Schedule_EK!$B10,INDIRECT(#REF!),0),1,1)*$D13,0)</f>
        <v>0</v>
      </c>
      <c r="J13" s="466">
        <f ca="1">IFERROR(OFFSET(INDIRECT(#REF!),MATCH([2]Development_Schedule_EK!M$6,INDIRECT(#REF!),0)-1,MATCH([2]Development_Schedule_EK!$B10,INDIRECT(#REF!),0),1,1)*$D13,0)</f>
        <v>0</v>
      </c>
      <c r="K13" s="466">
        <f ca="1">IFERROR(OFFSET(INDIRECT(#REF!),MATCH([2]Development_Schedule_EK!N$6,INDIRECT(#REF!),0)-1,MATCH([2]Development_Schedule_EK!$B10,INDIRECT(#REF!),0),1,1)*$D13,0)</f>
        <v>0</v>
      </c>
      <c r="L13" s="763">
        <f ca="1">IFERROR(OFFSET(INDIRECT(#REF!),MATCH([2]Development_Schedule_EK!O$6,INDIRECT(#REF!),0)-1,MATCH([2]Development_Schedule_EK!$B10,INDIRECT(#REF!),0),1,1)*$D13,0)</f>
        <v>0</v>
      </c>
      <c r="M13" s="466">
        <f ca="1">IFERROR(OFFSET(INDIRECT(#REF!),MATCH([2]Development_Schedule_EK!P$6,INDIRECT(#REF!),0)-1,MATCH([2]Development_Schedule_EK!$B10,INDIRECT(#REF!),0),1,1)*$D13,0)</f>
        <v>0</v>
      </c>
      <c r="N13" s="466">
        <f ca="1">IFERROR(OFFSET(INDIRECT(#REF!),MATCH([2]Development_Schedule_EK!Q$6,INDIRECT(#REF!),0)-1,MATCH([2]Development_Schedule_EK!$B10,INDIRECT(#REF!),0),1,1)*$D13,0)</f>
        <v>0</v>
      </c>
      <c r="O13" s="763">
        <f ca="1">IFERROR(OFFSET(INDIRECT(#REF!),MATCH([2]Development_Schedule_EK!R$6,INDIRECT(#REF!),0)-1,MATCH([2]Development_Schedule_EK!$B10,INDIRECT(#REF!),0),1,1)*$D13,0)</f>
        <v>0</v>
      </c>
      <c r="P13" s="183"/>
      <c r="Q13" s="184"/>
      <c r="R13" s="183"/>
    </row>
    <row r="14" spans="1:18" x14ac:dyDescent="0.25">
      <c r="A14" s="284">
        <v>2</v>
      </c>
      <c r="B14" s="772" t="s">
        <v>428</v>
      </c>
      <c r="C14" s="257"/>
      <c r="D14" s="269">
        <v>29221</v>
      </c>
      <c r="E14" s="264"/>
      <c r="F14" s="466">
        <f ca="1">IFERROR(OFFSET(INDIRECT(#REF!),MATCH([2]Development_Schedule_EK!I$6,INDIRECT(#REF!),0)-1,MATCH([2]Development_Schedule_EK!$B11,INDIRECT(#REF!),0),1,1)*$D14,0)</f>
        <v>0</v>
      </c>
      <c r="G14" s="466">
        <f ca="1">IFERROR(OFFSET(INDIRECT(#REF!),MATCH([2]Development_Schedule_EK!J$6,INDIRECT(#REF!),0)-1,MATCH([2]Development_Schedule_EK!$B11,INDIRECT(#REF!),0),1,1)*$D14,0)</f>
        <v>0</v>
      </c>
      <c r="H14" s="763">
        <f ca="1">IFERROR(OFFSET(INDIRECT(#REF!),MATCH([2]Development_Schedule_EK!K$6,INDIRECT(#REF!),0)-1,MATCH([2]Development_Schedule_EK!$B11,INDIRECT(#REF!),0),1,1)*$D14,0)</f>
        <v>0</v>
      </c>
      <c r="I14" s="466">
        <f ca="1">IFERROR(OFFSET(INDIRECT(#REF!),MATCH([2]Development_Schedule_EK!L$6,INDIRECT(#REF!),0)-1,MATCH([2]Development_Schedule_EK!$B11,INDIRECT(#REF!),0),1,1)*$D14,0)</f>
        <v>0</v>
      </c>
      <c r="J14" s="258">
        <f>D14/3</f>
        <v>9740.3333333333339</v>
      </c>
      <c r="K14" s="258">
        <f>J14</f>
        <v>9740.3333333333339</v>
      </c>
      <c r="L14" s="264">
        <f>K14</f>
        <v>9740.3333333333339</v>
      </c>
      <c r="M14" s="466">
        <f ca="1">IFERROR(OFFSET(INDIRECT(#REF!),MATCH([2]Development_Schedule_EK!P$6,INDIRECT(#REF!),0)-1,MATCH([2]Development_Schedule_EK!$B11,INDIRECT(#REF!),0),1,1)*$D14,0)</f>
        <v>0</v>
      </c>
      <c r="N14" s="466">
        <f ca="1">IFERROR(OFFSET(INDIRECT(#REF!),MATCH([2]Development_Schedule_EK!Q$6,INDIRECT(#REF!),0)-1,MATCH([2]Development_Schedule_EK!$B11,INDIRECT(#REF!),0),1,1)*$D14,0)</f>
        <v>0</v>
      </c>
      <c r="O14" s="763">
        <f ca="1">IFERROR(OFFSET(INDIRECT(#REF!),MATCH([2]Development_Schedule_EK!R$6,INDIRECT(#REF!),0)-1,MATCH([2]Development_Schedule_EK!$B11,INDIRECT(#REF!),0),1,1)*$D14,0)</f>
        <v>0</v>
      </c>
      <c r="P14" s="183"/>
      <c r="Q14" s="184"/>
      <c r="R14" s="183"/>
    </row>
    <row r="15" spans="1:18" x14ac:dyDescent="0.25">
      <c r="A15" s="284">
        <v>1</v>
      </c>
      <c r="B15" s="772" t="s">
        <v>429</v>
      </c>
      <c r="C15" s="257"/>
      <c r="D15" s="269">
        <v>22537</v>
      </c>
      <c r="E15" s="264"/>
      <c r="F15" s="258">
        <f>$D$15/3</f>
        <v>7512.333333333333</v>
      </c>
      <c r="G15" s="258">
        <f t="shared" ref="G15:H15" si="1">$D$15/3</f>
        <v>7512.333333333333</v>
      </c>
      <c r="H15" s="264">
        <f t="shared" si="1"/>
        <v>7512.333333333333</v>
      </c>
      <c r="I15" s="466">
        <f ca="1">IFERROR(OFFSET(INDIRECT(#REF!),MATCH([2]Development_Schedule_EK!L$6,INDIRECT(#REF!),0)-1,MATCH([2]Development_Schedule_EK!$B12,INDIRECT(#REF!),0),1,1)*$D15,0)</f>
        <v>0</v>
      </c>
      <c r="J15" s="466">
        <f ca="1">IFERROR(OFFSET(INDIRECT(#REF!),MATCH([2]Development_Schedule_EK!M$6,INDIRECT(#REF!),0)-1,MATCH([2]Development_Schedule_EK!$B12,INDIRECT(#REF!),0),1,1)*$D15,0)</f>
        <v>0</v>
      </c>
      <c r="K15" s="466">
        <f ca="1">IFERROR(OFFSET(INDIRECT(#REF!),MATCH([2]Development_Schedule_EK!N$6,INDIRECT(#REF!),0)-1,MATCH([2]Development_Schedule_EK!$B12,INDIRECT(#REF!),0),1,1)*$D15,0)</f>
        <v>0</v>
      </c>
      <c r="L15" s="763">
        <f ca="1">IFERROR(OFFSET(INDIRECT(#REF!),MATCH([2]Development_Schedule_EK!O$6,INDIRECT(#REF!),0)-1,MATCH([2]Development_Schedule_EK!$B12,INDIRECT(#REF!),0),1,1)*$D15,0)</f>
        <v>0</v>
      </c>
      <c r="M15" s="466">
        <f ca="1">IFERROR(OFFSET(INDIRECT(#REF!),MATCH([2]Development_Schedule_EK!P$6,INDIRECT(#REF!),0)-1,MATCH([2]Development_Schedule_EK!$B12,INDIRECT(#REF!),0),1,1)*$D15,0)</f>
        <v>0</v>
      </c>
      <c r="N15" s="466">
        <f ca="1">IFERROR(OFFSET(INDIRECT(#REF!),MATCH([2]Development_Schedule_EK!Q$6,INDIRECT(#REF!),0)-1,MATCH([2]Development_Schedule_EK!$B12,INDIRECT(#REF!),0),1,1)*$D15,0)</f>
        <v>0</v>
      </c>
      <c r="O15" s="763">
        <f ca="1">IFERROR(OFFSET(INDIRECT(#REF!),MATCH([2]Development_Schedule_EK!R$6,INDIRECT(#REF!),0)-1,MATCH([2]Development_Schedule_EK!$B12,INDIRECT(#REF!),0),1,1)*$D15,0)</f>
        <v>0</v>
      </c>
      <c r="P15" s="183"/>
      <c r="Q15" s="184"/>
      <c r="R15" s="183"/>
    </row>
    <row r="16" spans="1:18" x14ac:dyDescent="0.25">
      <c r="A16" s="284">
        <v>2</v>
      </c>
      <c r="B16" s="772" t="s">
        <v>430</v>
      </c>
      <c r="C16" s="257"/>
      <c r="D16" s="269">
        <v>14891</v>
      </c>
      <c r="E16" s="264"/>
      <c r="F16" s="466">
        <f ca="1">IFERROR(OFFSET(INDIRECT(#REF!),MATCH([2]Development_Schedule_EK!I$6,INDIRECT(#REF!),0)-1,MATCH([2]Development_Schedule_EK!$B13,INDIRECT(#REF!),0),1,1)*$D16,0)</f>
        <v>0</v>
      </c>
      <c r="G16" s="466">
        <f ca="1">IFERROR(OFFSET(INDIRECT(#REF!),MATCH([2]Development_Schedule_EK!J$6,INDIRECT(#REF!),0)-1,MATCH([2]Development_Schedule_EK!$B13,INDIRECT(#REF!),0),1,1)*$D16,0)</f>
        <v>0</v>
      </c>
      <c r="H16" s="763">
        <f ca="1">IFERROR(OFFSET(INDIRECT(#REF!),MATCH([2]Development_Schedule_EK!K$6,INDIRECT(#REF!),0)-1,MATCH([2]Development_Schedule_EK!$B13,INDIRECT(#REF!),0),1,1)*$D16,0)</f>
        <v>0</v>
      </c>
      <c r="I16" s="258">
        <f>$D$16/4</f>
        <v>3722.75</v>
      </c>
      <c r="J16" s="258">
        <f>I16</f>
        <v>3722.75</v>
      </c>
      <c r="K16" s="258">
        <f t="shared" ref="K16" si="2">J16</f>
        <v>3722.75</v>
      </c>
      <c r="L16" s="264">
        <f>K16</f>
        <v>3722.75</v>
      </c>
      <c r="M16" s="466">
        <f ca="1">IFERROR(OFFSET(INDIRECT(#REF!),MATCH([2]Development_Schedule_EK!P$6,INDIRECT(#REF!),0)-1,MATCH([2]Development_Schedule_EK!$B13,INDIRECT(#REF!),0),1,1)*$D16,0)</f>
        <v>0</v>
      </c>
      <c r="N16" s="466">
        <f ca="1">IFERROR(OFFSET(INDIRECT(#REF!),MATCH([2]Development_Schedule_EK!Q$6,INDIRECT(#REF!),0)-1,MATCH([2]Development_Schedule_EK!$B13,INDIRECT(#REF!),0),1,1)*$D16,0)</f>
        <v>0</v>
      </c>
      <c r="O16" s="763">
        <f ca="1">IFERROR(OFFSET(INDIRECT(#REF!),MATCH([2]Development_Schedule_EK!R$6,INDIRECT(#REF!),0)-1,MATCH([2]Development_Schedule_EK!$B13,INDIRECT(#REF!),0),1,1)*$D16,0)</f>
        <v>0</v>
      </c>
      <c r="P16" s="183"/>
      <c r="Q16" s="184"/>
      <c r="R16" s="183"/>
    </row>
    <row r="17" spans="1:18" x14ac:dyDescent="0.25">
      <c r="A17" s="284">
        <v>3</v>
      </c>
      <c r="B17" s="772" t="s">
        <v>431</v>
      </c>
      <c r="C17" s="257"/>
      <c r="D17" s="269">
        <v>12669</v>
      </c>
      <c r="E17" s="264"/>
      <c r="F17" s="466">
        <f ca="1">IFERROR(OFFSET(INDIRECT(#REF!),MATCH([2]Development_Schedule_EK!I$6,INDIRECT(#REF!),0)-1,MATCH([2]Development_Schedule_EK!$B14,INDIRECT(#REF!),0),1,1)*$D17,0)</f>
        <v>0</v>
      </c>
      <c r="G17" s="466">
        <f ca="1">IFERROR(OFFSET(INDIRECT(#REF!),MATCH([2]Development_Schedule_EK!J$6,INDIRECT(#REF!),0)-1,MATCH([2]Development_Schedule_EK!$B14,INDIRECT(#REF!),0),1,1)*$D17,0)</f>
        <v>0</v>
      </c>
      <c r="H17" s="763">
        <f ca="1">IFERROR(OFFSET(INDIRECT(#REF!),MATCH([2]Development_Schedule_EK!K$6,INDIRECT(#REF!),0)-1,MATCH([2]Development_Schedule_EK!$B14,INDIRECT(#REF!),0),1,1)*$D17,0)</f>
        <v>0</v>
      </c>
      <c r="I17" s="466">
        <f ca="1">IFERROR(OFFSET(INDIRECT(#REF!),MATCH([2]Development_Schedule_EK!L$6,INDIRECT(#REF!),0)-1,MATCH([2]Development_Schedule_EK!$B14,INDIRECT(#REF!),0),1,1)*$D17,0)</f>
        <v>0</v>
      </c>
      <c r="J17" s="466">
        <f ca="1">IFERROR(OFFSET(INDIRECT(#REF!),MATCH([2]Development_Schedule_EK!M$6,INDIRECT(#REF!),0)-1,MATCH([2]Development_Schedule_EK!$B14,INDIRECT(#REF!),0),1,1)*$D17,0)</f>
        <v>0</v>
      </c>
      <c r="K17" s="466">
        <f ca="1">IFERROR(OFFSET(INDIRECT(#REF!),MATCH([2]Development_Schedule_EK!N$6,INDIRECT(#REF!),0)-1,MATCH([2]Development_Schedule_EK!$B14,INDIRECT(#REF!),0),1,1)*$D17,0)</f>
        <v>0</v>
      </c>
      <c r="L17" s="763">
        <f ca="1">IFERROR(OFFSET(INDIRECT(#REF!),MATCH([2]Development_Schedule_EK!O$6,INDIRECT(#REF!),0)-1,MATCH([2]Development_Schedule_EK!$B14,INDIRECT(#REF!),0),1,1)*$D17,0)</f>
        <v>0</v>
      </c>
      <c r="M17" s="258">
        <f>D17/3</f>
        <v>4223</v>
      </c>
      <c r="N17" s="258">
        <f t="shared" ref="N17:O19" si="3">M17</f>
        <v>4223</v>
      </c>
      <c r="O17" s="264">
        <f t="shared" si="3"/>
        <v>4223</v>
      </c>
      <c r="P17" s="183"/>
      <c r="Q17" s="184"/>
      <c r="R17" s="183"/>
    </row>
    <row r="18" spans="1:18" x14ac:dyDescent="0.25">
      <c r="A18" s="284">
        <v>1</v>
      </c>
      <c r="B18" s="772" t="s">
        <v>433</v>
      </c>
      <c r="C18" s="257"/>
      <c r="D18" s="269">
        <v>93310</v>
      </c>
      <c r="E18" s="264"/>
      <c r="F18" s="258">
        <f>D18/10</f>
        <v>9331</v>
      </c>
      <c r="G18" s="258">
        <f t="shared" ref="G18:I19" si="4">F18</f>
        <v>9331</v>
      </c>
      <c r="H18" s="264">
        <f t="shared" si="4"/>
        <v>9331</v>
      </c>
      <c r="I18" s="258">
        <f t="shared" si="4"/>
        <v>9331</v>
      </c>
      <c r="J18" s="258">
        <f t="shared" ref="J18:K18" si="5">I18</f>
        <v>9331</v>
      </c>
      <c r="K18" s="258">
        <f t="shared" si="5"/>
        <v>9331</v>
      </c>
      <c r="L18" s="264">
        <f>K18</f>
        <v>9331</v>
      </c>
      <c r="M18" s="258">
        <f>L18</f>
        <v>9331</v>
      </c>
      <c r="N18" s="258">
        <f t="shared" si="3"/>
        <v>9331</v>
      </c>
      <c r="O18" s="264">
        <f t="shared" si="3"/>
        <v>9331</v>
      </c>
      <c r="P18" s="183"/>
      <c r="Q18" s="184"/>
      <c r="R18" s="183"/>
    </row>
    <row r="19" spans="1:18" x14ac:dyDescent="0.25">
      <c r="A19" s="284">
        <v>2</v>
      </c>
      <c r="B19" s="772" t="s">
        <v>434</v>
      </c>
      <c r="C19" s="257"/>
      <c r="D19" s="269">
        <v>34680</v>
      </c>
      <c r="E19" s="264"/>
      <c r="F19" s="258">
        <f>D19/10</f>
        <v>3468</v>
      </c>
      <c r="G19" s="258">
        <f t="shared" si="4"/>
        <v>3468</v>
      </c>
      <c r="H19" s="264">
        <f t="shared" si="4"/>
        <v>3468</v>
      </c>
      <c r="I19" s="258">
        <f t="shared" si="4"/>
        <v>3468</v>
      </c>
      <c r="J19" s="258">
        <f>I19</f>
        <v>3468</v>
      </c>
      <c r="K19" s="258">
        <f>J19</f>
        <v>3468</v>
      </c>
      <c r="L19" s="264">
        <f>K19</f>
        <v>3468</v>
      </c>
      <c r="M19" s="258">
        <f>L19</f>
        <v>3468</v>
      </c>
      <c r="N19" s="258">
        <f t="shared" si="3"/>
        <v>3468</v>
      </c>
      <c r="O19" s="264">
        <f t="shared" si="3"/>
        <v>3468</v>
      </c>
      <c r="P19" s="183"/>
      <c r="Q19" s="184"/>
      <c r="R19" s="183"/>
    </row>
    <row r="20" spans="1:18" x14ac:dyDescent="0.25">
      <c r="A20" s="284">
        <v>3</v>
      </c>
      <c r="B20" s="772" t="s">
        <v>435</v>
      </c>
      <c r="C20" s="257"/>
      <c r="D20" s="269">
        <v>119120</v>
      </c>
      <c r="E20" s="264"/>
      <c r="F20" s="258">
        <f>$D$20/10</f>
        <v>11912</v>
      </c>
      <c r="G20" s="258">
        <f t="shared" ref="G20:O20" si="6">$D$20/10</f>
        <v>11912</v>
      </c>
      <c r="H20" s="264">
        <f t="shared" si="6"/>
        <v>11912</v>
      </c>
      <c r="I20" s="258">
        <f t="shared" si="6"/>
        <v>11912</v>
      </c>
      <c r="J20" s="258">
        <f t="shared" si="6"/>
        <v>11912</v>
      </c>
      <c r="K20" s="258">
        <f t="shared" si="6"/>
        <v>11912</v>
      </c>
      <c r="L20" s="264">
        <f t="shared" si="6"/>
        <v>11912</v>
      </c>
      <c r="M20" s="258">
        <f t="shared" si="6"/>
        <v>11912</v>
      </c>
      <c r="N20" s="258">
        <f t="shared" si="6"/>
        <v>11912</v>
      </c>
      <c r="O20" s="264">
        <f t="shared" si="6"/>
        <v>11912</v>
      </c>
      <c r="P20" s="183"/>
      <c r="Q20" s="184"/>
      <c r="R20" s="183"/>
    </row>
    <row r="21" spans="1:18" x14ac:dyDescent="0.25">
      <c r="A21" s="284">
        <v>1</v>
      </c>
      <c r="B21" s="772" t="s">
        <v>436</v>
      </c>
      <c r="C21" s="257"/>
      <c r="D21" s="269">
        <v>142700</v>
      </c>
      <c r="E21" s="264"/>
      <c r="F21" s="258">
        <f>$D$21/10</f>
        <v>14270</v>
      </c>
      <c r="G21" s="258">
        <f t="shared" ref="G21:O21" si="7">$D$21/10</f>
        <v>14270</v>
      </c>
      <c r="H21" s="264">
        <f t="shared" si="7"/>
        <v>14270</v>
      </c>
      <c r="I21" s="258">
        <f t="shared" si="7"/>
        <v>14270</v>
      </c>
      <c r="J21" s="258">
        <f t="shared" si="7"/>
        <v>14270</v>
      </c>
      <c r="K21" s="258">
        <f t="shared" si="7"/>
        <v>14270</v>
      </c>
      <c r="L21" s="264">
        <f t="shared" si="7"/>
        <v>14270</v>
      </c>
      <c r="M21" s="258">
        <f t="shared" si="7"/>
        <v>14270</v>
      </c>
      <c r="N21" s="258">
        <f t="shared" si="7"/>
        <v>14270</v>
      </c>
      <c r="O21" s="264">
        <f t="shared" si="7"/>
        <v>14270</v>
      </c>
      <c r="P21" s="183"/>
      <c r="Q21" s="184"/>
      <c r="R21" s="183"/>
    </row>
    <row r="22" spans="1:18" x14ac:dyDescent="0.25">
      <c r="B22" s="772"/>
      <c r="C22" s="257"/>
      <c r="D22" s="269"/>
      <c r="E22" s="264"/>
      <c r="F22" s="258"/>
      <c r="G22" s="258"/>
      <c r="H22" s="264"/>
      <c r="I22" s="258"/>
      <c r="J22" s="258"/>
      <c r="K22" s="258"/>
      <c r="L22" s="264"/>
      <c r="M22" s="258"/>
      <c r="N22" s="258"/>
      <c r="O22" s="264"/>
      <c r="P22" s="183"/>
      <c r="Q22" s="184"/>
      <c r="R22" s="183"/>
    </row>
    <row r="23" spans="1:18" x14ac:dyDescent="0.25">
      <c r="B23" s="769"/>
      <c r="C23" s="255"/>
      <c r="D23" s="267"/>
      <c r="E23" s="263"/>
      <c r="F23" s="256"/>
      <c r="G23" s="256"/>
      <c r="H23" s="263"/>
      <c r="I23" s="256"/>
      <c r="J23" s="256"/>
      <c r="K23" s="256"/>
      <c r="L23" s="263"/>
      <c r="M23" s="256"/>
      <c r="N23" s="256"/>
      <c r="O23" s="263"/>
      <c r="P23" s="183"/>
      <c r="Q23" s="184"/>
      <c r="R23" s="183"/>
    </row>
    <row r="24" spans="1:18" x14ac:dyDescent="0.25">
      <c r="B24" s="773" t="s">
        <v>354</v>
      </c>
      <c r="C24" s="255"/>
      <c r="D24" s="267"/>
      <c r="E24" s="263"/>
      <c r="F24" s="256"/>
      <c r="G24" s="256"/>
      <c r="H24" s="263"/>
      <c r="I24" s="256"/>
      <c r="J24" s="256"/>
      <c r="K24" s="256"/>
      <c r="L24" s="263"/>
      <c r="M24" s="256"/>
      <c r="N24" s="256"/>
      <c r="O24" s="263"/>
      <c r="P24" s="183"/>
      <c r="Q24" s="184"/>
      <c r="R24" s="183"/>
    </row>
    <row r="25" spans="1:18" x14ac:dyDescent="0.25">
      <c r="A25" s="284">
        <v>2</v>
      </c>
      <c r="B25" s="774" t="s">
        <v>381</v>
      </c>
      <c r="C25" s="259"/>
      <c r="D25" s="270">
        <f ca="1">IFERROR(OFFSET(INDIRECT(#REF!),MATCH([2]Development_Schedule_EK!$E22,INDIRECT(#REF!),0)-1,MATCH([2]Development_Schedule_EK!$B22,INDIRECT(#REF!),0),1,1),0)</f>
        <v>0</v>
      </c>
      <c r="E25" s="263"/>
      <c r="F25" s="260">
        <f ca="1">IFERROR(OFFSET(INDIRECT(#REF!),MATCH([2]Development_Schedule_EK!I$6,INDIRECT(#REF!),0)-1,MATCH([2]Development_Schedule_EK!$B22,INDIRECT(#REF!),0),1,1)*$D25,0)</f>
        <v>0</v>
      </c>
      <c r="G25" s="260">
        <f ca="1">IFERROR(OFFSET(INDIRECT(#REF!),MATCH([2]Development_Schedule_EK!J$6,INDIRECT(#REF!),0)-1,MATCH([2]Development_Schedule_EK!$B22,INDIRECT(#REF!),0),1,1)*$D25,0)</f>
        <v>0</v>
      </c>
      <c r="H25" s="265">
        <f ca="1">IFERROR(OFFSET(INDIRECT(#REF!),MATCH([2]Development_Schedule_EK!K$6,INDIRECT(#REF!),0)-1,MATCH([2]Development_Schedule_EK!$B22,INDIRECT(#REF!),0),1,1)*$D25,0)</f>
        <v>0</v>
      </c>
      <c r="I25" s="260">
        <f ca="1">IFERROR(OFFSET(INDIRECT(#REF!),MATCH([2]Development_Schedule_EK!L$6,INDIRECT(#REF!),0)-1,MATCH([2]Development_Schedule_EK!$B22,INDIRECT(#REF!),0),1,1)*$D25,0)</f>
        <v>0</v>
      </c>
      <c r="J25" s="260">
        <f ca="1">IFERROR(OFFSET(INDIRECT(#REF!),MATCH([2]Development_Schedule_EK!M$6,INDIRECT(#REF!),0)-1,MATCH([2]Development_Schedule_EK!$B22,INDIRECT(#REF!),0),1,1)*$D25,0)</f>
        <v>0</v>
      </c>
      <c r="K25" s="260">
        <f ca="1">IFERROR(OFFSET(INDIRECT(#REF!),MATCH([2]Development_Schedule_EK!N$6,INDIRECT(#REF!),0)-1,MATCH([2]Development_Schedule_EK!$B22,INDIRECT(#REF!),0),1,1)*$D25,0)</f>
        <v>0</v>
      </c>
      <c r="L25" s="265">
        <f ca="1">IFERROR(OFFSET(INDIRECT(#REF!),MATCH([2]Development_Schedule_EK!O$6,INDIRECT(#REF!),0)-1,MATCH([2]Development_Schedule_EK!$B22,INDIRECT(#REF!),0),1,1)*$D25,0)</f>
        <v>0</v>
      </c>
      <c r="M25" s="260">
        <f ca="1">IFERROR(OFFSET(INDIRECT(#REF!),MATCH([2]Development_Schedule_EK!P$6,INDIRECT(#REF!),0)-1,MATCH([2]Development_Schedule_EK!$B22,INDIRECT(#REF!),0),1,1)*$D25,0)</f>
        <v>0</v>
      </c>
      <c r="N25" s="260">
        <f ca="1">IFERROR(OFFSET(INDIRECT(#REF!),MATCH([2]Development_Schedule_EK!Q$6,INDIRECT(#REF!),0)-1,MATCH([2]Development_Schedule_EK!$B22,INDIRECT(#REF!),0),1,1)*$D25,0)</f>
        <v>0</v>
      </c>
      <c r="O25" s="265">
        <f ca="1">IFERROR(OFFSET(INDIRECT(#REF!),MATCH([2]Development_Schedule_EK!R$6,INDIRECT(#REF!),0)-1,MATCH([2]Development_Schedule_EK!$B22,INDIRECT(#REF!),0),1,1)*$D25,0)</f>
        <v>0</v>
      </c>
      <c r="P25" s="183"/>
      <c r="Q25" s="184"/>
      <c r="R25" s="183"/>
    </row>
    <row r="26" spans="1:18" x14ac:dyDescent="0.25">
      <c r="A26" s="284">
        <v>2</v>
      </c>
      <c r="B26" s="774" t="s">
        <v>382</v>
      </c>
      <c r="C26" s="261"/>
      <c r="D26" s="270">
        <f ca="1">IFERROR(OFFSET(INDIRECT(#REF!),MATCH([2]Development_Schedule_EK!$E23,INDIRECT(#REF!),0)-1,MATCH([2]Development_Schedule_EK!$B23,INDIRECT(#REF!),0),1,1),0)</f>
        <v>0</v>
      </c>
      <c r="E26" s="263"/>
      <c r="F26" s="260">
        <f ca="1">IFERROR(OFFSET(INDIRECT(#REF!),MATCH([2]Development_Schedule_EK!I$6,INDIRECT(#REF!),0)-1,MATCH([2]Development_Schedule_EK!$B23,INDIRECT(#REF!),0),1,1)*$D26,0)</f>
        <v>0</v>
      </c>
      <c r="G26" s="260">
        <f ca="1">IFERROR(OFFSET(INDIRECT(#REF!),MATCH([2]Development_Schedule_EK!J$6,INDIRECT(#REF!),0)-1,MATCH([2]Development_Schedule_EK!$B23,INDIRECT(#REF!),0),1,1)*$D26,0)</f>
        <v>0</v>
      </c>
      <c r="H26" s="265">
        <f ca="1">IFERROR(OFFSET(INDIRECT(#REF!),MATCH([2]Development_Schedule_EK!K$6,INDIRECT(#REF!),0)-1,MATCH([2]Development_Schedule_EK!$B23,INDIRECT(#REF!),0),1,1)*$D26,0)</f>
        <v>0</v>
      </c>
      <c r="I26" s="260">
        <f ca="1">IFERROR(OFFSET(INDIRECT(#REF!),MATCH([2]Development_Schedule_EK!L$6,INDIRECT(#REF!),0)-1,MATCH([2]Development_Schedule_EK!$B23,INDIRECT(#REF!),0),1,1)*$D26,0)</f>
        <v>0</v>
      </c>
      <c r="J26" s="260">
        <f ca="1">IFERROR(OFFSET(INDIRECT(#REF!),MATCH([2]Development_Schedule_EK!M$6,INDIRECT(#REF!),0)-1,MATCH([2]Development_Schedule_EK!$B23,INDIRECT(#REF!),0),1,1)*$D26,0)</f>
        <v>0</v>
      </c>
      <c r="K26" s="260">
        <f ca="1">IFERROR(OFFSET(INDIRECT(#REF!),MATCH([2]Development_Schedule_EK!N$6,INDIRECT(#REF!),0)-1,MATCH([2]Development_Schedule_EK!$B23,INDIRECT(#REF!),0),1,1)*$D26,0)</f>
        <v>0</v>
      </c>
      <c r="L26" s="265">
        <f ca="1">IFERROR(OFFSET(INDIRECT(#REF!),MATCH([2]Development_Schedule_EK!O$6,INDIRECT(#REF!),0)-1,MATCH([2]Development_Schedule_EK!$B23,INDIRECT(#REF!),0),1,1)*$D26,0)</f>
        <v>0</v>
      </c>
      <c r="M26" s="260">
        <f ca="1">IFERROR(OFFSET(INDIRECT(#REF!),MATCH([2]Development_Schedule_EK!P$6,INDIRECT(#REF!),0)-1,MATCH([2]Development_Schedule_EK!$B23,INDIRECT(#REF!),0),1,1)*$D26,0)</f>
        <v>0</v>
      </c>
      <c r="N26" s="260">
        <f ca="1">IFERROR(OFFSET(INDIRECT(#REF!),MATCH([2]Development_Schedule_EK!Q$6,INDIRECT(#REF!),0)-1,MATCH([2]Development_Schedule_EK!$B23,INDIRECT(#REF!),0),1,1)*$D26,0)</f>
        <v>0</v>
      </c>
      <c r="O26" s="265">
        <f ca="1">IFERROR(OFFSET(INDIRECT(#REF!),MATCH([2]Development_Schedule_EK!R$6,INDIRECT(#REF!),0)-1,MATCH([2]Development_Schedule_EK!$B23,INDIRECT(#REF!),0),1,1)*$D26,0)</f>
        <v>0</v>
      </c>
      <c r="P26" s="183"/>
      <c r="Q26" s="184"/>
      <c r="R26" s="183"/>
    </row>
    <row r="27" spans="1:18" x14ac:dyDescent="0.25">
      <c r="A27" s="284">
        <v>2</v>
      </c>
      <c r="B27" s="774" t="s">
        <v>383</v>
      </c>
      <c r="C27" s="261"/>
      <c r="D27" s="270">
        <f ca="1">IFERROR(OFFSET(INDIRECT(#REF!),MATCH([2]Development_Schedule_EK!$E24,INDIRECT(#REF!),0)-1,MATCH([2]Development_Schedule_EK!$B24,INDIRECT(#REF!),0),1,1),0)</f>
        <v>0</v>
      </c>
      <c r="E27" s="263"/>
      <c r="F27" s="260">
        <f ca="1">IFERROR(OFFSET(INDIRECT(#REF!),MATCH([2]Development_Schedule_EK!I$6,INDIRECT(#REF!),0)-1,MATCH([2]Development_Schedule_EK!$B24,INDIRECT(#REF!),0),1,1)*$D27,0)</f>
        <v>0</v>
      </c>
      <c r="G27" s="260">
        <f ca="1">IFERROR(OFFSET(INDIRECT(#REF!),MATCH([2]Development_Schedule_EK!J$6,INDIRECT(#REF!),0)-1,MATCH([2]Development_Schedule_EK!$B24,INDIRECT(#REF!),0),1,1)*$D27,0)</f>
        <v>0</v>
      </c>
      <c r="H27" s="265">
        <f ca="1">IFERROR(OFFSET(INDIRECT(#REF!),MATCH([2]Development_Schedule_EK!K$6,INDIRECT(#REF!),0)-1,MATCH([2]Development_Schedule_EK!$B24,INDIRECT(#REF!),0),1,1)*$D27,0)</f>
        <v>0</v>
      </c>
      <c r="I27" s="260">
        <f ca="1">IFERROR(OFFSET(INDIRECT(#REF!),MATCH([2]Development_Schedule_EK!L$6,INDIRECT(#REF!),0)-1,MATCH([2]Development_Schedule_EK!$B24,INDIRECT(#REF!),0),1,1)*$D27,0)</f>
        <v>0</v>
      </c>
      <c r="J27" s="260">
        <f ca="1">IFERROR(OFFSET(INDIRECT(#REF!),MATCH([2]Development_Schedule_EK!M$6,INDIRECT(#REF!),0)-1,MATCH([2]Development_Schedule_EK!$B24,INDIRECT(#REF!),0),1,1)*$D27,0)</f>
        <v>0</v>
      </c>
      <c r="K27" s="260">
        <f ca="1">IFERROR(OFFSET(INDIRECT(#REF!),MATCH([2]Development_Schedule_EK!N$6,INDIRECT(#REF!),0)-1,MATCH([2]Development_Schedule_EK!$B24,INDIRECT(#REF!),0),1,1)*$D27,0)</f>
        <v>0</v>
      </c>
      <c r="L27" s="265">
        <f ca="1">IFERROR(OFFSET(INDIRECT(#REF!),MATCH([2]Development_Schedule_EK!O$6,INDIRECT(#REF!),0)-1,MATCH([2]Development_Schedule_EK!$B24,INDIRECT(#REF!),0),1,1)*$D27,0)</f>
        <v>0</v>
      </c>
      <c r="M27" s="260">
        <f ca="1">IFERROR(OFFSET(INDIRECT(#REF!),MATCH([2]Development_Schedule_EK!P$6,INDIRECT(#REF!),0)-1,MATCH([2]Development_Schedule_EK!$B24,INDIRECT(#REF!),0),1,1)*$D27,0)</f>
        <v>0</v>
      </c>
      <c r="N27" s="260">
        <f ca="1">IFERROR(OFFSET(INDIRECT(#REF!),MATCH([2]Development_Schedule_EK!Q$6,INDIRECT(#REF!),0)-1,MATCH([2]Development_Schedule_EK!$B24,INDIRECT(#REF!),0),1,1)*$D27,0)</f>
        <v>0</v>
      </c>
      <c r="O27" s="265">
        <f ca="1">IFERROR(OFFSET(INDIRECT(#REF!),MATCH([2]Development_Schedule_EK!R$6,INDIRECT(#REF!),0)-1,MATCH([2]Development_Schedule_EK!$B24,INDIRECT(#REF!),0),1,1)*$D27,0)</f>
        <v>0</v>
      </c>
      <c r="P27" s="183"/>
      <c r="Q27" s="184"/>
      <c r="R27" s="183"/>
    </row>
    <row r="28" spans="1:18" x14ac:dyDescent="0.25">
      <c r="A28" s="284">
        <v>2</v>
      </c>
      <c r="B28" s="774" t="s">
        <v>384</v>
      </c>
      <c r="C28" s="261"/>
      <c r="D28" s="270">
        <f ca="1">IFERROR(OFFSET(INDIRECT(#REF!),MATCH([2]Development_Schedule_EK!$E25,INDIRECT(#REF!),0)-1,MATCH([2]Development_Schedule_EK!$B25,INDIRECT(#REF!),0),1,1),0)</f>
        <v>0</v>
      </c>
      <c r="E28" s="263"/>
      <c r="F28" s="260">
        <f ca="1">IFERROR(OFFSET(INDIRECT(#REF!),MATCH([2]Development_Schedule_EK!I$6,INDIRECT(#REF!),0)-1,MATCH([2]Development_Schedule_EK!$B25,INDIRECT(#REF!),0),1,1)*$D28,0)</f>
        <v>0</v>
      </c>
      <c r="G28" s="260">
        <f ca="1">IFERROR(OFFSET(INDIRECT(#REF!),MATCH([2]Development_Schedule_EK!J$6,INDIRECT(#REF!),0)-1,MATCH([2]Development_Schedule_EK!$B25,INDIRECT(#REF!),0),1,1)*$D28,0)</f>
        <v>0</v>
      </c>
      <c r="H28" s="265">
        <f ca="1">IFERROR(OFFSET(INDIRECT(#REF!),MATCH([2]Development_Schedule_EK!K$6,INDIRECT(#REF!),0)-1,MATCH([2]Development_Schedule_EK!$B25,INDIRECT(#REF!),0),1,1)*$D28,0)</f>
        <v>0</v>
      </c>
      <c r="I28" s="260">
        <f ca="1">IFERROR(OFFSET(INDIRECT(#REF!),MATCH([2]Development_Schedule_EK!L$6,INDIRECT(#REF!),0)-1,MATCH([2]Development_Schedule_EK!$B25,INDIRECT(#REF!),0),1,1)*$D28,0)</f>
        <v>0</v>
      </c>
      <c r="J28" s="260">
        <f ca="1">IFERROR(OFFSET(INDIRECT(#REF!),MATCH([2]Development_Schedule_EK!M$6,INDIRECT(#REF!),0)-1,MATCH([2]Development_Schedule_EK!$B25,INDIRECT(#REF!),0),1,1)*$D28,0)</f>
        <v>0</v>
      </c>
      <c r="K28" s="260">
        <f ca="1">IFERROR(OFFSET(INDIRECT(#REF!),MATCH([2]Development_Schedule_EK!N$6,INDIRECT(#REF!),0)-1,MATCH([2]Development_Schedule_EK!$B25,INDIRECT(#REF!),0),1,1)*$D28,0)</f>
        <v>0</v>
      </c>
      <c r="L28" s="265">
        <f ca="1">IFERROR(OFFSET(INDIRECT(#REF!),MATCH([2]Development_Schedule_EK!O$6,INDIRECT(#REF!),0)-1,MATCH([2]Development_Schedule_EK!$B25,INDIRECT(#REF!),0),1,1)*$D28,0)</f>
        <v>0</v>
      </c>
      <c r="M28" s="260">
        <f ca="1">IFERROR(OFFSET(INDIRECT(#REF!),MATCH([2]Development_Schedule_EK!P$6,INDIRECT(#REF!),0)-1,MATCH([2]Development_Schedule_EK!$B25,INDIRECT(#REF!),0),1,1)*$D28,0)</f>
        <v>0</v>
      </c>
      <c r="N28" s="260">
        <f ca="1">IFERROR(OFFSET(INDIRECT(#REF!),MATCH([2]Development_Schedule_EK!Q$6,INDIRECT(#REF!),0)-1,MATCH([2]Development_Schedule_EK!$B25,INDIRECT(#REF!),0),1,1)*$D28,0)</f>
        <v>0</v>
      </c>
      <c r="O28" s="265">
        <f ca="1">IFERROR(OFFSET(INDIRECT(#REF!),MATCH([2]Development_Schedule_EK!R$6,INDIRECT(#REF!),0)-1,MATCH([2]Development_Schedule_EK!$B25,INDIRECT(#REF!),0),1,1)*$D28,0)</f>
        <v>0</v>
      </c>
      <c r="P28" s="183"/>
      <c r="Q28" s="184"/>
      <c r="R28" s="183"/>
    </row>
    <row r="29" spans="1:18" x14ac:dyDescent="0.25">
      <c r="A29" s="284">
        <v>2</v>
      </c>
      <c r="B29" s="774" t="s">
        <v>35</v>
      </c>
      <c r="C29" s="261"/>
      <c r="D29" s="270">
        <f ca="1">IFERROR(OFFSET(INDIRECT(#REF!),MATCH([2]Development_Schedule_EK!$E26,INDIRECT(#REF!),0)-1,MATCH([2]Development_Schedule_EK!$B26,INDIRECT(#REF!),0),1,1),0)</f>
        <v>0</v>
      </c>
      <c r="E29" s="263"/>
      <c r="F29" s="260">
        <f ca="1">IFERROR(OFFSET(INDIRECT(#REF!),MATCH([2]Development_Schedule_EK!I$6,INDIRECT(#REF!),0)-1,MATCH([2]Development_Schedule_EK!$B26,INDIRECT(#REF!),0),1,1)*$D29,0)</f>
        <v>0</v>
      </c>
      <c r="G29" s="260">
        <f ca="1">IFERROR(OFFSET(INDIRECT(#REF!),MATCH([2]Development_Schedule_EK!J$6,INDIRECT(#REF!),0)-1,MATCH([2]Development_Schedule_EK!$B26,INDIRECT(#REF!),0),1,1)*$D29,0)</f>
        <v>0</v>
      </c>
      <c r="H29" s="265">
        <f ca="1">IFERROR(OFFSET(INDIRECT(#REF!),MATCH([2]Development_Schedule_EK!K$6,INDIRECT(#REF!),0)-1,MATCH([2]Development_Schedule_EK!$B26,INDIRECT(#REF!),0),1,1)*$D29,0)</f>
        <v>0</v>
      </c>
      <c r="I29" s="260">
        <f ca="1">IFERROR(OFFSET(INDIRECT(#REF!),MATCH([2]Development_Schedule_EK!L$6,INDIRECT(#REF!),0)-1,MATCH([2]Development_Schedule_EK!$B26,INDIRECT(#REF!),0),1,1)*$D29,0)</f>
        <v>0</v>
      </c>
      <c r="J29" s="260">
        <f ca="1">IFERROR(OFFSET(INDIRECT(#REF!),MATCH([2]Development_Schedule_EK!M$6,INDIRECT(#REF!),0)-1,MATCH([2]Development_Schedule_EK!$B26,INDIRECT(#REF!),0),1,1)*$D29,0)</f>
        <v>0</v>
      </c>
      <c r="K29" s="260">
        <f ca="1">IFERROR(OFFSET(INDIRECT(#REF!),MATCH([2]Development_Schedule_EK!N$6,INDIRECT(#REF!),0)-1,MATCH([2]Development_Schedule_EK!$B26,INDIRECT(#REF!),0),1,1)*$D29,0)</f>
        <v>0</v>
      </c>
      <c r="L29" s="265">
        <f ca="1">IFERROR(OFFSET(INDIRECT(#REF!),MATCH([2]Development_Schedule_EK!O$6,INDIRECT(#REF!),0)-1,MATCH([2]Development_Schedule_EK!$B26,INDIRECT(#REF!),0),1,1)*$D29,0)</f>
        <v>0</v>
      </c>
      <c r="M29" s="260">
        <f ca="1">IFERROR(OFFSET(INDIRECT(#REF!),MATCH([2]Development_Schedule_EK!P$6,INDIRECT(#REF!),0)-1,MATCH([2]Development_Schedule_EK!$B26,INDIRECT(#REF!),0),1,1)*$D29,0)</f>
        <v>0</v>
      </c>
      <c r="N29" s="260">
        <f ca="1">IFERROR(OFFSET(INDIRECT(#REF!),MATCH([2]Development_Schedule_EK!Q$6,INDIRECT(#REF!),0)-1,MATCH([2]Development_Schedule_EK!$B26,INDIRECT(#REF!),0),1,1)*$D29,0)</f>
        <v>0</v>
      </c>
      <c r="O29" s="265">
        <f ca="1">IFERROR(OFFSET(INDIRECT(#REF!),MATCH([2]Development_Schedule_EK!R$6,INDIRECT(#REF!),0)-1,MATCH([2]Development_Schedule_EK!$B26,INDIRECT(#REF!),0),1,1)*$D29,0)</f>
        <v>0</v>
      </c>
      <c r="P29" s="183"/>
      <c r="Q29" s="184"/>
      <c r="R29" s="183"/>
    </row>
    <row r="30" spans="1:18" x14ac:dyDescent="0.25">
      <c r="A30" s="284">
        <v>2</v>
      </c>
      <c r="B30" s="774" t="s">
        <v>386</v>
      </c>
      <c r="C30" s="262"/>
      <c r="D30" s="270">
        <v>72025</v>
      </c>
      <c r="E30" s="263"/>
      <c r="F30" s="260">
        <f ca="1">IFERROR(OFFSET(INDIRECT(#REF!),MATCH([2]Development_Schedule_EK!I$6,INDIRECT(#REF!),0)-1,MATCH([2]Development_Schedule_EK!$B22,INDIRECT(#REF!),0),1,1)*$D30,0)</f>
        <v>0</v>
      </c>
      <c r="G30" s="260">
        <f ca="1">IFERROR(OFFSET(INDIRECT(#REF!),MATCH([2]Development_Schedule_EK!J$6,INDIRECT(#REF!),0)-1,MATCH([2]Development_Schedule_EK!$B22,INDIRECT(#REF!),0),1,1)*$D30,0)</f>
        <v>0</v>
      </c>
      <c r="H30" s="265">
        <f ca="1">IFERROR(OFFSET(INDIRECT(#REF!),MATCH([2]Development_Schedule_EK!K$6,INDIRECT(#REF!),0)-1,MATCH([2]Development_Schedule_EK!$B22,INDIRECT(#REF!),0),1,1)*$D30,0)</f>
        <v>0</v>
      </c>
      <c r="I30" s="260">
        <f>D30/2</f>
        <v>36012.5</v>
      </c>
      <c r="J30" s="260">
        <f>I30</f>
        <v>36012.5</v>
      </c>
      <c r="K30" s="260">
        <f ca="1">IFERROR(OFFSET(INDIRECT(#REF!),MATCH([2]Development_Schedule_EK!N$6,INDIRECT(#REF!),0)-1,MATCH([2]Development_Schedule_EK!$B27,INDIRECT(#REF!),0),1,1)*$D30,0)</f>
        <v>0</v>
      </c>
      <c r="L30" s="265"/>
      <c r="M30" s="260">
        <f ca="1">IFERROR(OFFSET(INDIRECT(#REF!),MATCH([2]Development_Schedule_EK!P$6,INDIRECT(#REF!),0)-1,MATCH([2]Development_Schedule_EK!$B22,INDIRECT(#REF!),0),1,1)*$D30,0)</f>
        <v>0</v>
      </c>
      <c r="N30" s="260">
        <f ca="1">IFERROR(OFFSET(INDIRECT(#REF!),MATCH([2]Development_Schedule_EK!Q$6,INDIRECT(#REF!),0)-1,MATCH([2]Development_Schedule_EK!$B22,INDIRECT(#REF!),0),1,1)*$D30,0)</f>
        <v>0</v>
      </c>
      <c r="O30" s="265">
        <f ca="1">IFERROR(OFFSET(INDIRECT(#REF!),MATCH([2]Development_Schedule_EK!R$6,INDIRECT(#REF!),0)-1,MATCH([2]Development_Schedule_EK!$B22,INDIRECT(#REF!),0),1,1)*$D30,0)</f>
        <v>0</v>
      </c>
      <c r="P30" s="183"/>
      <c r="Q30" s="184"/>
      <c r="R30" s="183"/>
    </row>
    <row r="31" spans="1:18" x14ac:dyDescent="0.25">
      <c r="A31" s="284">
        <v>2</v>
      </c>
      <c r="B31" s="774" t="s">
        <v>356</v>
      </c>
      <c r="C31" s="262"/>
      <c r="D31" s="270">
        <f ca="1">IFERROR(OFFSET(INDIRECT(#REF!),MATCH([2]Development_Schedule_EK!$E28,INDIRECT(#REF!),0)-1,MATCH([2]Development_Schedule_EK!$B28,INDIRECT(#REF!),0),1,1),0)</f>
        <v>0</v>
      </c>
      <c r="E31" s="263"/>
      <c r="F31" s="260">
        <f ca="1">IFERROR(OFFSET(INDIRECT(#REF!),MATCH([2]Development_Schedule_EK!I$6,INDIRECT(#REF!),0)-1,MATCH([2]Development_Schedule_EK!$B28,INDIRECT(#REF!),0),1,1)*$D31,0)</f>
        <v>0</v>
      </c>
      <c r="G31" s="260">
        <f ca="1">IFERROR(OFFSET(INDIRECT(#REF!),MATCH([2]Development_Schedule_EK!J$6,INDIRECT(#REF!),0)-1,MATCH([2]Development_Schedule_EK!$B28,INDIRECT(#REF!),0),1,1)*$D31,0)</f>
        <v>0</v>
      </c>
      <c r="H31" s="265">
        <f ca="1">IFERROR(OFFSET(INDIRECT(#REF!),MATCH([2]Development_Schedule_EK!K$6,INDIRECT(#REF!),0)-1,MATCH([2]Development_Schedule_EK!$B28,INDIRECT(#REF!),0),1,1)*$D31,0)</f>
        <v>0</v>
      </c>
      <c r="I31" s="260">
        <f ca="1">IFERROR(OFFSET(INDIRECT(#REF!),MATCH([2]Development_Schedule_EK!L$6,INDIRECT(#REF!),0)-1,MATCH([2]Development_Schedule_EK!$B28,INDIRECT(#REF!),0),1,1)*$D31,0)</f>
        <v>0</v>
      </c>
      <c r="J31" s="260">
        <f ca="1">IFERROR(OFFSET(INDIRECT(#REF!),MATCH([2]Development_Schedule_EK!M$6,INDIRECT(#REF!),0)-1,MATCH([2]Development_Schedule_EK!$B28,INDIRECT(#REF!),0),1,1)*$D31,0)</f>
        <v>0</v>
      </c>
      <c r="K31" s="260">
        <f ca="1">IFERROR(OFFSET(INDIRECT(#REF!),MATCH([2]Development_Schedule_EK!N$6,INDIRECT(#REF!),0)-1,MATCH([2]Development_Schedule_EK!$B28,INDIRECT(#REF!),0),1,1)*$D31,0)</f>
        <v>0</v>
      </c>
      <c r="L31" s="265">
        <f ca="1">IFERROR(OFFSET(INDIRECT(#REF!),MATCH([2]Development_Schedule_EK!O$6,INDIRECT(#REF!),0)-1,MATCH([2]Development_Schedule_EK!$B28,INDIRECT(#REF!),0),1,1)*$D31,0)</f>
        <v>0</v>
      </c>
      <c r="M31" s="260">
        <f ca="1">IFERROR(OFFSET(INDIRECT(#REF!),MATCH([2]Development_Schedule_EK!P$6,INDIRECT(#REF!),0)-1,MATCH([2]Development_Schedule_EK!$B28,INDIRECT(#REF!),0),1,1)*$D31,0)</f>
        <v>0</v>
      </c>
      <c r="N31" s="260">
        <f ca="1">IFERROR(OFFSET(INDIRECT(#REF!),MATCH([2]Development_Schedule_EK!Q$6,INDIRECT(#REF!),0)-1,MATCH([2]Development_Schedule_EK!$B28,INDIRECT(#REF!),0),1,1)*$D31,0)</f>
        <v>0</v>
      </c>
      <c r="O31" s="265">
        <f ca="1">IFERROR(OFFSET(INDIRECT(#REF!),MATCH([2]Development_Schedule_EK!R$6,INDIRECT(#REF!),0)-1,MATCH([2]Development_Schedule_EK!$B28,INDIRECT(#REF!),0),1,1)*$D31,0)</f>
        <v>0</v>
      </c>
      <c r="P31" s="183"/>
      <c r="Q31" s="184"/>
      <c r="R31" s="183"/>
    </row>
    <row r="32" spans="1:18" x14ac:dyDescent="0.25">
      <c r="A32" s="284">
        <v>2</v>
      </c>
      <c r="B32" s="774" t="s">
        <v>357</v>
      </c>
      <c r="C32" s="262"/>
      <c r="D32" s="270">
        <f ca="1">IFERROR(OFFSET(INDIRECT(#REF!),MATCH([2]Development_Schedule_EK!$E29,INDIRECT(#REF!),0)-1,MATCH([2]Development_Schedule_EK!$B29,INDIRECT(#REF!),0),1,1),0)</f>
        <v>0</v>
      </c>
      <c r="E32" s="263"/>
      <c r="F32" s="260">
        <f ca="1">IFERROR(OFFSET(INDIRECT(#REF!),MATCH([2]Development_Schedule_EK!I$6,INDIRECT(#REF!),0)-1,MATCH([2]Development_Schedule_EK!$B29,INDIRECT(#REF!),0),1,1)*$D32,0)</f>
        <v>0</v>
      </c>
      <c r="G32" s="260">
        <f ca="1">IFERROR(OFFSET(INDIRECT(#REF!),MATCH([2]Development_Schedule_EK!J$6,INDIRECT(#REF!),0)-1,MATCH([2]Development_Schedule_EK!$B29,INDIRECT(#REF!),0),1,1)*$D32,0)</f>
        <v>0</v>
      </c>
      <c r="H32" s="265">
        <f ca="1">IFERROR(OFFSET(INDIRECT(#REF!),MATCH([2]Development_Schedule_EK!K$6,INDIRECT(#REF!),0)-1,MATCH([2]Development_Schedule_EK!$B29,INDIRECT(#REF!),0),1,1)*$D32,0)</f>
        <v>0</v>
      </c>
      <c r="I32" s="260">
        <f ca="1">IFERROR(OFFSET(INDIRECT(#REF!),MATCH([2]Development_Schedule_EK!L$6,INDIRECT(#REF!),0)-1,MATCH([2]Development_Schedule_EK!$B29,INDIRECT(#REF!),0),1,1)*$D32,0)</f>
        <v>0</v>
      </c>
      <c r="J32" s="260">
        <f ca="1">IFERROR(OFFSET(INDIRECT(#REF!),MATCH([2]Development_Schedule_EK!M$6,INDIRECT(#REF!),0)-1,MATCH([2]Development_Schedule_EK!$B29,INDIRECT(#REF!),0),1,1)*$D32,0)</f>
        <v>0</v>
      </c>
      <c r="K32" s="260">
        <f ca="1">IFERROR(OFFSET(INDIRECT(#REF!),MATCH([2]Development_Schedule_EK!N$6,INDIRECT(#REF!),0)-1,MATCH([2]Development_Schedule_EK!$B29,INDIRECT(#REF!),0),1,1)*$D32,0)</f>
        <v>0</v>
      </c>
      <c r="L32" s="265">
        <f ca="1">IFERROR(OFFSET(INDIRECT(#REF!),MATCH([2]Development_Schedule_EK!O$6,INDIRECT(#REF!),0)-1,MATCH([2]Development_Schedule_EK!$B29,INDIRECT(#REF!),0),1,1)*$D32,0)</f>
        <v>0</v>
      </c>
      <c r="M32" s="260">
        <f ca="1">IFERROR(OFFSET(INDIRECT(#REF!),MATCH([2]Development_Schedule_EK!P$6,INDIRECT(#REF!),0)-1,MATCH([2]Development_Schedule_EK!$B29,INDIRECT(#REF!),0),1,1)*$D32,0)</f>
        <v>0</v>
      </c>
      <c r="N32" s="260">
        <f ca="1">IFERROR(OFFSET(INDIRECT(#REF!),MATCH([2]Development_Schedule_EK!Q$6,INDIRECT(#REF!),0)-1,MATCH([2]Development_Schedule_EK!$B29,INDIRECT(#REF!),0),1,1)*$D32,0)</f>
        <v>0</v>
      </c>
      <c r="O32" s="265">
        <f ca="1">IFERROR(OFFSET(INDIRECT(#REF!),MATCH([2]Development_Schedule_EK!R$6,INDIRECT(#REF!),0)-1,MATCH([2]Development_Schedule_EK!$B29,INDIRECT(#REF!),0),1,1)*$D32,0)</f>
        <v>0</v>
      </c>
      <c r="P32" s="183"/>
      <c r="Q32" s="184"/>
      <c r="R32" s="183"/>
    </row>
    <row r="33" spans="1:18" x14ac:dyDescent="0.25">
      <c r="A33" s="284">
        <v>2</v>
      </c>
      <c r="B33" s="774" t="s">
        <v>358</v>
      </c>
      <c r="C33" s="262"/>
      <c r="D33" s="270">
        <f ca="1">IFERROR(OFFSET(INDIRECT(#REF!),MATCH([2]Development_Schedule_EK!$E30,INDIRECT(#REF!),0)-1,MATCH([2]Development_Schedule_EK!$B30,INDIRECT(#REF!),0),1,1),0)</f>
        <v>0</v>
      </c>
      <c r="E33" s="263"/>
      <c r="F33" s="260">
        <f ca="1">IFERROR(OFFSET(INDIRECT(#REF!),MATCH([2]Development_Schedule_EK!I$6,INDIRECT(#REF!),0)-1,MATCH([2]Development_Schedule_EK!$B30,INDIRECT(#REF!),0),1,1)*$D33,0)</f>
        <v>0</v>
      </c>
      <c r="G33" s="260">
        <f ca="1">IFERROR(OFFSET(INDIRECT(#REF!),MATCH([2]Development_Schedule_EK!J$6,INDIRECT(#REF!),0)-1,MATCH([2]Development_Schedule_EK!$B30,INDIRECT(#REF!),0),1,1)*$D33,0)</f>
        <v>0</v>
      </c>
      <c r="H33" s="265">
        <f ca="1">IFERROR(OFFSET(INDIRECT(#REF!),MATCH([2]Development_Schedule_EK!K$6,INDIRECT(#REF!),0)-1,MATCH([2]Development_Schedule_EK!$B30,INDIRECT(#REF!),0),1,1)*$D33,0)</f>
        <v>0</v>
      </c>
      <c r="I33" s="260">
        <f ca="1">IFERROR(OFFSET(INDIRECT(#REF!),MATCH([2]Development_Schedule_EK!L$6,INDIRECT(#REF!),0)-1,MATCH([2]Development_Schedule_EK!$B30,INDIRECT(#REF!),0),1,1)*$D33,0)</f>
        <v>0</v>
      </c>
      <c r="J33" s="260">
        <f ca="1">IFERROR(OFFSET(INDIRECT(#REF!),MATCH([2]Development_Schedule_EK!M$6,INDIRECT(#REF!),0)-1,MATCH([2]Development_Schedule_EK!$B30,INDIRECT(#REF!),0),1,1)*$D33,0)</f>
        <v>0</v>
      </c>
      <c r="K33" s="260">
        <f ca="1">IFERROR(OFFSET(INDIRECT(#REF!),MATCH([2]Development_Schedule_EK!N$6,INDIRECT(#REF!),0)-1,MATCH([2]Development_Schedule_EK!$B30,INDIRECT(#REF!),0),1,1)*$D33,0)</f>
        <v>0</v>
      </c>
      <c r="L33" s="265">
        <f ca="1">IFERROR(OFFSET(INDIRECT(#REF!),MATCH([2]Development_Schedule_EK!O$6,INDIRECT(#REF!),0)-1,MATCH([2]Development_Schedule_EK!$B30,INDIRECT(#REF!),0),1,1)*$D33,0)</f>
        <v>0</v>
      </c>
      <c r="M33" s="260">
        <f ca="1">IFERROR(OFFSET(INDIRECT(#REF!),MATCH([2]Development_Schedule_EK!P$6,INDIRECT(#REF!),0)-1,MATCH([2]Development_Schedule_EK!$B30,INDIRECT(#REF!),0),1,1)*$D33,0)</f>
        <v>0</v>
      </c>
      <c r="N33" s="260">
        <f ca="1">IFERROR(OFFSET(INDIRECT(#REF!),MATCH([2]Development_Schedule_EK!Q$6,INDIRECT(#REF!),0)-1,MATCH([2]Development_Schedule_EK!$B30,INDIRECT(#REF!),0),1,1)*$D33,0)</f>
        <v>0</v>
      </c>
      <c r="O33" s="265">
        <f ca="1">IFERROR(OFFSET(INDIRECT(#REF!),MATCH([2]Development_Schedule_EK!R$6,INDIRECT(#REF!),0)-1,MATCH([2]Development_Schedule_EK!$B30,INDIRECT(#REF!),0),1,1)*$D33,0)</f>
        <v>0</v>
      </c>
      <c r="P33" s="183"/>
      <c r="Q33" s="184"/>
      <c r="R33" s="183"/>
    </row>
    <row r="34" spans="1:18" x14ac:dyDescent="0.25">
      <c r="A34" s="284">
        <v>2</v>
      </c>
      <c r="B34" s="774" t="s">
        <v>359</v>
      </c>
      <c r="C34" s="262"/>
      <c r="D34" s="270">
        <f ca="1">IFERROR(OFFSET(INDIRECT(#REF!),MATCH([2]Development_Schedule_EK!$E31,INDIRECT(#REF!),0)-1,MATCH([2]Development_Schedule_EK!$B31,INDIRECT(#REF!),0),1,1),0)</f>
        <v>0</v>
      </c>
      <c r="E34" s="263"/>
      <c r="F34" s="260">
        <f ca="1">IFERROR(OFFSET(INDIRECT(#REF!),MATCH([2]Development_Schedule_EK!I$6,INDIRECT(#REF!),0)-1,MATCH([2]Development_Schedule_EK!$B31,INDIRECT(#REF!),0),1,1)*$D34,0)</f>
        <v>0</v>
      </c>
      <c r="G34" s="260">
        <f ca="1">IFERROR(OFFSET(INDIRECT(#REF!),MATCH([2]Development_Schedule_EK!J$6,INDIRECT(#REF!),0)-1,MATCH([2]Development_Schedule_EK!$B31,INDIRECT(#REF!),0),1,1)*$D34,0)</f>
        <v>0</v>
      </c>
      <c r="H34" s="265">
        <f ca="1">IFERROR(OFFSET(INDIRECT(#REF!),MATCH([2]Development_Schedule_EK!K$6,INDIRECT(#REF!),0)-1,MATCH([2]Development_Schedule_EK!$B31,INDIRECT(#REF!),0),1,1)*$D34,0)</f>
        <v>0</v>
      </c>
      <c r="I34" s="260">
        <f ca="1">IFERROR(OFFSET(INDIRECT(#REF!),MATCH([2]Development_Schedule_EK!L$6,INDIRECT(#REF!),0)-1,MATCH([2]Development_Schedule_EK!$B31,INDIRECT(#REF!),0),1,1)*$D34,0)</f>
        <v>0</v>
      </c>
      <c r="J34" s="260">
        <f ca="1">IFERROR(OFFSET(INDIRECT(#REF!),MATCH([2]Development_Schedule_EK!M$6,INDIRECT(#REF!),0)-1,MATCH([2]Development_Schedule_EK!$B31,INDIRECT(#REF!),0),1,1)*$D34,0)</f>
        <v>0</v>
      </c>
      <c r="K34" s="260">
        <f ca="1">IFERROR(OFFSET(INDIRECT(#REF!),MATCH([2]Development_Schedule_EK!N$6,INDIRECT(#REF!),0)-1,MATCH([2]Development_Schedule_EK!$B31,INDIRECT(#REF!),0),1,1)*$D34,0)</f>
        <v>0</v>
      </c>
      <c r="L34" s="265">
        <f ca="1">IFERROR(OFFSET(INDIRECT(#REF!),MATCH([2]Development_Schedule_EK!O$6,INDIRECT(#REF!),0)-1,MATCH([2]Development_Schedule_EK!$B31,INDIRECT(#REF!),0),1,1)*$D34,0)</f>
        <v>0</v>
      </c>
      <c r="M34" s="260">
        <f ca="1">IFERROR(OFFSET(INDIRECT(#REF!),MATCH([2]Development_Schedule_EK!P$6,INDIRECT(#REF!),0)-1,MATCH([2]Development_Schedule_EK!$B31,INDIRECT(#REF!),0),1,1)*$D34,0)</f>
        <v>0</v>
      </c>
      <c r="N34" s="260">
        <f ca="1">IFERROR(OFFSET(INDIRECT(#REF!),MATCH([2]Development_Schedule_EK!Q$6,INDIRECT(#REF!),0)-1,MATCH([2]Development_Schedule_EK!$B31,INDIRECT(#REF!),0),1,1)*$D34,0)</f>
        <v>0</v>
      </c>
      <c r="O34" s="265">
        <f ca="1">IFERROR(OFFSET(INDIRECT(#REF!),MATCH([2]Development_Schedule_EK!R$6,INDIRECT(#REF!),0)-1,MATCH([2]Development_Schedule_EK!$B31,INDIRECT(#REF!),0),1,1)*$D34,0)</f>
        <v>0</v>
      </c>
      <c r="P34" s="183"/>
      <c r="Q34" s="184"/>
      <c r="R34" s="183"/>
    </row>
    <row r="35" spans="1:18" x14ac:dyDescent="0.25">
      <c r="A35" s="284">
        <v>2</v>
      </c>
      <c r="B35" s="774" t="s">
        <v>33</v>
      </c>
      <c r="C35" s="262"/>
      <c r="D35" s="270">
        <f ca="1">IFERROR(OFFSET(INDIRECT(#REF!),MATCH([2]Development_Schedule_EK!$E32,INDIRECT(#REF!),0)-1,MATCH([2]Development_Schedule_EK!$B32,INDIRECT(#REF!),0),1,1),0)</f>
        <v>0</v>
      </c>
      <c r="E35" s="263"/>
      <c r="F35" s="260">
        <f ca="1">IFERROR(OFFSET(INDIRECT(#REF!),MATCH([2]Development_Schedule_EK!I$6,INDIRECT(#REF!),0)-1,MATCH([2]Development_Schedule_EK!$B32,INDIRECT(#REF!),0),1,1)*$D35,0)</f>
        <v>0</v>
      </c>
      <c r="G35" s="260">
        <f ca="1">IFERROR(OFFSET(INDIRECT(#REF!),MATCH([2]Development_Schedule_EK!J$6,INDIRECT(#REF!),0)-1,MATCH([2]Development_Schedule_EK!$B32,INDIRECT(#REF!),0),1,1)*$D35,0)</f>
        <v>0</v>
      </c>
      <c r="H35" s="265">
        <f ca="1">IFERROR(OFFSET(INDIRECT(#REF!),MATCH([2]Development_Schedule_EK!K$6,INDIRECT(#REF!),0)-1,MATCH([2]Development_Schedule_EK!$B32,INDIRECT(#REF!),0),1,1)*$D35,0)</f>
        <v>0</v>
      </c>
      <c r="I35" s="260">
        <f ca="1">IFERROR(OFFSET(INDIRECT(#REF!),MATCH([2]Development_Schedule_EK!L$6,INDIRECT(#REF!),0)-1,MATCH([2]Development_Schedule_EK!$B32,INDIRECT(#REF!),0),1,1)*$D35,0)</f>
        <v>0</v>
      </c>
      <c r="J35" s="260">
        <f ca="1">IFERROR(OFFSET(INDIRECT(#REF!),MATCH([2]Development_Schedule_EK!M$6,INDIRECT(#REF!),0)-1,MATCH([2]Development_Schedule_EK!$B32,INDIRECT(#REF!),0),1,1)*$D35,0)</f>
        <v>0</v>
      </c>
      <c r="K35" s="260">
        <f ca="1">IFERROR(OFFSET(INDIRECT(#REF!),MATCH([2]Development_Schedule_EK!N$6,INDIRECT(#REF!),0)-1,MATCH([2]Development_Schedule_EK!$B32,INDIRECT(#REF!),0),1,1)*$D35,0)</f>
        <v>0</v>
      </c>
      <c r="L35" s="265">
        <f ca="1">IFERROR(OFFSET(INDIRECT(#REF!),MATCH([2]Development_Schedule_EK!O$6,INDIRECT(#REF!),0)-1,MATCH([2]Development_Schedule_EK!$B32,INDIRECT(#REF!),0),1,1)*$D35,0)</f>
        <v>0</v>
      </c>
      <c r="M35" s="260">
        <f ca="1">IFERROR(OFFSET(INDIRECT(#REF!),MATCH([2]Development_Schedule_EK!P$6,INDIRECT(#REF!),0)-1,MATCH([2]Development_Schedule_EK!$B32,INDIRECT(#REF!),0),1,1)*$D35,0)</f>
        <v>0</v>
      </c>
      <c r="N35" s="260">
        <f ca="1">IFERROR(OFFSET(INDIRECT(#REF!),MATCH([2]Development_Schedule_EK!Q$6,INDIRECT(#REF!),0)-1,MATCH([2]Development_Schedule_EK!$B32,INDIRECT(#REF!),0),1,1)*$D35,0)</f>
        <v>0</v>
      </c>
      <c r="O35" s="265">
        <f ca="1">IFERROR(OFFSET(INDIRECT(#REF!),MATCH([2]Development_Schedule_EK!R$6,INDIRECT(#REF!),0)-1,MATCH([2]Development_Schedule_EK!$B32,INDIRECT(#REF!),0),1,1)*$D35,0)</f>
        <v>0</v>
      </c>
      <c r="P35" s="183"/>
      <c r="Q35" s="184"/>
      <c r="R35" s="183"/>
    </row>
    <row r="36" spans="1:18" x14ac:dyDescent="0.25">
      <c r="A36" s="284">
        <v>2</v>
      </c>
      <c r="B36" s="774" t="s">
        <v>42</v>
      </c>
      <c r="C36" s="262"/>
      <c r="D36" s="270">
        <v>9003</v>
      </c>
      <c r="E36" s="263"/>
      <c r="F36" s="260">
        <f ca="1">IFERROR(OFFSET(INDIRECT(#REF!),MATCH([2]Development_Schedule_EK!I$6,INDIRECT(#REF!),0)-1,MATCH([2]Development_Schedule_EK!$B33,INDIRECT(#REF!),0),1,1)*$D36,0)</f>
        <v>0</v>
      </c>
      <c r="G36" s="260">
        <f ca="1">IFERROR(OFFSET(INDIRECT(#REF!),MATCH([2]Development_Schedule_EK!J$6,INDIRECT(#REF!),0)-1,MATCH([2]Development_Schedule_EK!$B33,INDIRECT(#REF!),0),1,1)*$D36,0)</f>
        <v>0</v>
      </c>
      <c r="H36" s="265">
        <f ca="1">IFERROR(OFFSET(INDIRECT(#REF!),MATCH([2]Development_Schedule_EK!K$6,INDIRECT(#REF!),0)-1,MATCH([2]Development_Schedule_EK!$B33,INDIRECT(#REF!),0),1,1)*$D36,0)</f>
        <v>0</v>
      </c>
      <c r="I36" s="260">
        <f>D36</f>
        <v>9003</v>
      </c>
      <c r="J36" s="260">
        <f ca="1">IFERROR(OFFSET(INDIRECT(#REF!),MATCH([2]Development_Schedule_EK!M$6,INDIRECT(#REF!),0)-1,MATCH([2]Development_Schedule_EK!$B33,INDIRECT(#REF!),0),1,1)*$D36,0)</f>
        <v>0</v>
      </c>
      <c r="K36" s="260">
        <f ca="1">IFERROR(OFFSET(INDIRECT(#REF!),MATCH([2]Development_Schedule_EK!N$6,INDIRECT(#REF!),0)-1,MATCH([2]Development_Schedule_EK!$B33,INDIRECT(#REF!),0),1,1)*$D36,0)</f>
        <v>0</v>
      </c>
      <c r="L36" s="265">
        <f ca="1">IFERROR(OFFSET(INDIRECT(#REF!),MATCH([2]Development_Schedule_EK!O$6,INDIRECT(#REF!),0)-1,MATCH([2]Development_Schedule_EK!$B33,INDIRECT(#REF!),0),1,1)*$D36,0)</f>
        <v>0</v>
      </c>
      <c r="M36" s="260">
        <f ca="1">IFERROR(OFFSET(INDIRECT(#REF!),MATCH([2]Development_Schedule_EK!P$6,INDIRECT(#REF!),0)-1,MATCH([2]Development_Schedule_EK!$B33,INDIRECT(#REF!),0),1,1)*$D36,0)</f>
        <v>0</v>
      </c>
      <c r="N36" s="260">
        <f ca="1">IFERROR(OFFSET(INDIRECT(#REF!),MATCH([2]Development_Schedule_EK!Q$6,INDIRECT(#REF!),0)-1,MATCH([2]Development_Schedule_EK!$B33,INDIRECT(#REF!),0),1,1)*$D36,0)</f>
        <v>0</v>
      </c>
      <c r="O36" s="265">
        <f ca="1">IFERROR(OFFSET(INDIRECT(#REF!),MATCH([2]Development_Schedule_EK!R$6,INDIRECT(#REF!),0)-1,MATCH([2]Development_Schedule_EK!$B33,INDIRECT(#REF!),0),1,1)*$D36,0)</f>
        <v>0</v>
      </c>
      <c r="P36" s="183"/>
      <c r="Q36" s="184"/>
      <c r="R36" s="183"/>
    </row>
    <row r="37" spans="1:18" x14ac:dyDescent="0.25">
      <c r="B37" s="774"/>
      <c r="C37" s="262"/>
      <c r="D37" s="270"/>
      <c r="E37" s="263"/>
      <c r="F37" s="256"/>
      <c r="G37" s="256"/>
      <c r="H37" s="263"/>
      <c r="I37" s="256"/>
      <c r="J37" s="256"/>
      <c r="K37" s="256"/>
      <c r="L37" s="263"/>
      <c r="M37" s="256"/>
      <c r="N37" s="256"/>
      <c r="O37" s="263"/>
      <c r="P37" s="183"/>
      <c r="Q37" s="184"/>
      <c r="R37" s="183"/>
    </row>
    <row r="38" spans="1:18" x14ac:dyDescent="0.25">
      <c r="B38" s="775" t="s">
        <v>360</v>
      </c>
      <c r="C38" s="262"/>
      <c r="D38" s="270"/>
      <c r="E38" s="263"/>
      <c r="F38" s="256"/>
      <c r="G38" s="256"/>
      <c r="H38" s="263"/>
      <c r="I38" s="256"/>
      <c r="J38" s="256"/>
      <c r="K38" s="256"/>
      <c r="L38" s="263"/>
      <c r="M38" s="256"/>
      <c r="N38" s="256"/>
      <c r="O38" s="263"/>
      <c r="P38" s="183"/>
      <c r="Q38" s="184"/>
      <c r="R38" s="183"/>
    </row>
    <row r="39" spans="1:18" x14ac:dyDescent="0.25">
      <c r="B39" s="773" t="s">
        <v>361</v>
      </c>
      <c r="C39" s="262"/>
      <c r="D39" s="270"/>
      <c r="E39" s="263"/>
      <c r="F39" s="256"/>
      <c r="G39" s="256"/>
      <c r="H39" s="263"/>
      <c r="I39" s="256"/>
      <c r="J39" s="256"/>
      <c r="K39" s="256"/>
      <c r="L39" s="263"/>
      <c r="M39" s="256"/>
      <c r="N39" s="256"/>
      <c r="O39" s="263"/>
      <c r="P39" s="183"/>
      <c r="Q39" s="184"/>
      <c r="R39" s="183"/>
    </row>
    <row r="40" spans="1:18" x14ac:dyDescent="0.25">
      <c r="A40" s="284">
        <v>2</v>
      </c>
      <c r="B40" s="774" t="s">
        <v>381</v>
      </c>
      <c r="C40" s="262"/>
      <c r="D40" s="270">
        <f ca="1">IFERROR(OFFSET(INDIRECT(#REF!),MATCH([2]Development_Schedule_EK!$E37,INDIRECT(#REF!),0)-1,MATCH([2]Development_Schedule_EK!$B37,INDIRECT(#REF!),0),1,1),0)</f>
        <v>0</v>
      </c>
      <c r="E40" s="263"/>
      <c r="F40" s="260">
        <f ca="1">IFERROR(OFFSET(INDIRECT(#REF!),MATCH([2]Development_Schedule_EK!I$6,INDIRECT(#REF!),0)-1,MATCH([2]Development_Schedule_EK!$B37,INDIRECT(#REF!),0),1,1)*$D40,0)</f>
        <v>0</v>
      </c>
      <c r="G40" s="260">
        <f ca="1">IFERROR(OFFSET(INDIRECT(#REF!),MATCH([2]Development_Schedule_EK!J$6,INDIRECT(#REF!),0)-1,MATCH([2]Development_Schedule_EK!$B37,INDIRECT(#REF!),0),1,1)*$D40,0)</f>
        <v>0</v>
      </c>
      <c r="H40" s="265">
        <f ca="1">IFERROR(OFFSET(INDIRECT(#REF!),MATCH([2]Development_Schedule_EK!K$6,INDIRECT(#REF!),0)-1,MATCH([2]Development_Schedule_EK!$B37,INDIRECT(#REF!),0),1,1)*$D40,0)</f>
        <v>0</v>
      </c>
      <c r="I40" s="260">
        <f ca="1">IFERROR(OFFSET(INDIRECT(#REF!),MATCH([2]Development_Schedule_EK!L$6,INDIRECT(#REF!),0)-1,MATCH([2]Development_Schedule_EK!$B37,INDIRECT(#REF!),0),1,1)*$D40,0)</f>
        <v>0</v>
      </c>
      <c r="J40" s="260">
        <f ca="1">IFERROR(OFFSET(INDIRECT(#REF!),MATCH([2]Development_Schedule_EK!M$6,INDIRECT(#REF!),0)-1,MATCH([2]Development_Schedule_EK!$B37,INDIRECT(#REF!),0),1,1)*$D40,0)</f>
        <v>0</v>
      </c>
      <c r="K40" s="260">
        <f ca="1">IFERROR(OFFSET(INDIRECT(#REF!),MATCH([2]Development_Schedule_EK!N$6,INDIRECT(#REF!),0)-1,MATCH([2]Development_Schedule_EK!$B37,INDIRECT(#REF!),0),1,1)*$D40,0)</f>
        <v>0</v>
      </c>
      <c r="L40" s="265">
        <f ca="1">IFERROR(OFFSET(INDIRECT(#REF!),MATCH([2]Development_Schedule_EK!O$6,INDIRECT(#REF!),0)-1,MATCH([2]Development_Schedule_EK!$B37,INDIRECT(#REF!),0),1,1)*$D40,0)</f>
        <v>0</v>
      </c>
      <c r="M40" s="260">
        <f ca="1">IFERROR(OFFSET(INDIRECT(#REF!),MATCH([2]Development_Schedule_EK!P$6,INDIRECT(#REF!),0)-1,MATCH([2]Development_Schedule_EK!$B37,INDIRECT(#REF!),0),1,1)*$D40,0)</f>
        <v>0</v>
      </c>
      <c r="N40" s="260">
        <f ca="1">IFERROR(OFFSET(INDIRECT(#REF!),MATCH([2]Development_Schedule_EK!Q$6,INDIRECT(#REF!),0)-1,MATCH([2]Development_Schedule_EK!$B37,INDIRECT(#REF!),0),1,1)*$D40,0)</f>
        <v>0</v>
      </c>
      <c r="O40" s="265">
        <f ca="1">IFERROR(OFFSET(INDIRECT(#REF!),MATCH([2]Development_Schedule_EK!R$6,INDIRECT(#REF!),0)-1,MATCH([2]Development_Schedule_EK!$B37,INDIRECT(#REF!),0),1,1)*$D40,0)</f>
        <v>0</v>
      </c>
      <c r="P40" s="183"/>
      <c r="Q40" s="184"/>
      <c r="R40" s="183"/>
    </row>
    <row r="41" spans="1:18" x14ac:dyDescent="0.25">
      <c r="A41" s="284">
        <v>2</v>
      </c>
      <c r="B41" s="774" t="s">
        <v>382</v>
      </c>
      <c r="C41" s="262"/>
      <c r="D41" s="270">
        <f ca="1">IFERROR(OFFSET(INDIRECT(#REF!),MATCH([2]Development_Schedule_EK!$E38,INDIRECT(#REF!),0)-1,MATCH([2]Development_Schedule_EK!$B38,INDIRECT(#REF!),0),1,1),0)</f>
        <v>0</v>
      </c>
      <c r="E41" s="263"/>
      <c r="F41" s="260">
        <f ca="1">IFERROR(OFFSET(INDIRECT(#REF!),MATCH([2]Development_Schedule_EK!I$6,INDIRECT(#REF!),0)-1,MATCH([2]Development_Schedule_EK!$B38,INDIRECT(#REF!),0),1,1)*$D41,0)</f>
        <v>0</v>
      </c>
      <c r="G41" s="260">
        <f ca="1">IFERROR(OFFSET(INDIRECT(#REF!),MATCH([2]Development_Schedule_EK!J$6,INDIRECT(#REF!),0)-1,MATCH([2]Development_Schedule_EK!$B38,INDIRECT(#REF!),0),1,1)*$D41,0)</f>
        <v>0</v>
      </c>
      <c r="H41" s="265">
        <f ca="1">IFERROR(OFFSET(INDIRECT(#REF!),MATCH([2]Development_Schedule_EK!K$6,INDIRECT(#REF!),0)-1,MATCH([2]Development_Schedule_EK!$B38,INDIRECT(#REF!),0),1,1)*$D41,0)</f>
        <v>0</v>
      </c>
      <c r="I41" s="260">
        <f ca="1">IFERROR(OFFSET(INDIRECT(#REF!),MATCH([2]Development_Schedule_EK!L$6,INDIRECT(#REF!),0)-1,MATCH([2]Development_Schedule_EK!$B38,INDIRECT(#REF!),0),1,1)*$D41,0)</f>
        <v>0</v>
      </c>
      <c r="J41" s="260">
        <f ca="1">IFERROR(OFFSET(INDIRECT(#REF!),MATCH([2]Development_Schedule_EK!M$6,INDIRECT(#REF!),0)-1,MATCH([2]Development_Schedule_EK!$B38,INDIRECT(#REF!),0),1,1)*$D41,0)</f>
        <v>0</v>
      </c>
      <c r="K41" s="260">
        <f ca="1">IFERROR(OFFSET(INDIRECT(#REF!),MATCH([2]Development_Schedule_EK!N$6,INDIRECT(#REF!),0)-1,MATCH([2]Development_Schedule_EK!$B38,INDIRECT(#REF!),0),1,1)*$D41,0)</f>
        <v>0</v>
      </c>
      <c r="L41" s="265">
        <f ca="1">IFERROR(OFFSET(INDIRECT(#REF!),MATCH([2]Development_Schedule_EK!O$6,INDIRECT(#REF!),0)-1,MATCH([2]Development_Schedule_EK!$B38,INDIRECT(#REF!),0),1,1)*$D41,0)</f>
        <v>0</v>
      </c>
      <c r="M41" s="260">
        <f ca="1">IFERROR(OFFSET(INDIRECT(#REF!),MATCH([2]Development_Schedule_EK!P$6,INDIRECT(#REF!),0)-1,MATCH([2]Development_Schedule_EK!$B38,INDIRECT(#REF!),0),1,1)*$D41,0)</f>
        <v>0</v>
      </c>
      <c r="N41" s="260">
        <f ca="1">IFERROR(OFFSET(INDIRECT(#REF!),MATCH([2]Development_Schedule_EK!Q$6,INDIRECT(#REF!),0)-1,MATCH([2]Development_Schedule_EK!$B38,INDIRECT(#REF!),0),1,1)*$D41,0)</f>
        <v>0</v>
      </c>
      <c r="O41" s="265">
        <f ca="1">IFERROR(OFFSET(INDIRECT(#REF!),MATCH([2]Development_Schedule_EK!R$6,INDIRECT(#REF!),0)-1,MATCH([2]Development_Schedule_EK!$B38,INDIRECT(#REF!),0),1,1)*$D41,0)</f>
        <v>0</v>
      </c>
      <c r="P41" s="183"/>
      <c r="Q41" s="184"/>
      <c r="R41" s="183"/>
    </row>
    <row r="42" spans="1:18" x14ac:dyDescent="0.25">
      <c r="A42" s="284">
        <v>2</v>
      </c>
      <c r="B42" s="774" t="s">
        <v>383</v>
      </c>
      <c r="C42" s="262"/>
      <c r="D42" s="270">
        <f ca="1">IFERROR(OFFSET(INDIRECT(#REF!),MATCH([2]Development_Schedule_EK!$E39,INDIRECT(#REF!),0)-1,MATCH([2]Development_Schedule_EK!$B39,INDIRECT(#REF!),0),1,1),0)</f>
        <v>0</v>
      </c>
      <c r="E42" s="263"/>
      <c r="F42" s="260">
        <f ca="1">IFERROR(OFFSET(INDIRECT(#REF!),MATCH([2]Development_Schedule_EK!I$6,INDIRECT(#REF!),0)-1,MATCH([2]Development_Schedule_EK!$B39,INDIRECT(#REF!),0),1,1)*$D42,0)</f>
        <v>0</v>
      </c>
      <c r="G42" s="260">
        <f ca="1">IFERROR(OFFSET(INDIRECT(#REF!),MATCH([2]Development_Schedule_EK!J$6,INDIRECT(#REF!),0)-1,MATCH([2]Development_Schedule_EK!$B39,INDIRECT(#REF!),0),1,1)*$D42,0)</f>
        <v>0</v>
      </c>
      <c r="H42" s="265">
        <f ca="1">IFERROR(OFFSET(INDIRECT(#REF!),MATCH([2]Development_Schedule_EK!K$6,INDIRECT(#REF!),0)-1,MATCH([2]Development_Schedule_EK!$B39,INDIRECT(#REF!),0),1,1)*$D42,0)</f>
        <v>0</v>
      </c>
      <c r="I42" s="260">
        <f ca="1">IFERROR(OFFSET(INDIRECT(#REF!),MATCH([2]Development_Schedule_EK!L$6,INDIRECT(#REF!),0)-1,MATCH([2]Development_Schedule_EK!$B39,INDIRECT(#REF!),0),1,1)*$D42,0)</f>
        <v>0</v>
      </c>
      <c r="J42" s="260">
        <f ca="1">IFERROR(OFFSET(INDIRECT(#REF!),MATCH([2]Development_Schedule_EK!M$6,INDIRECT(#REF!),0)-1,MATCH([2]Development_Schedule_EK!$B39,INDIRECT(#REF!),0),1,1)*$D42,0)</f>
        <v>0</v>
      </c>
      <c r="K42" s="260">
        <f ca="1">IFERROR(OFFSET(INDIRECT(#REF!),MATCH([2]Development_Schedule_EK!N$6,INDIRECT(#REF!),0)-1,MATCH([2]Development_Schedule_EK!$B39,INDIRECT(#REF!),0),1,1)*$D42,0)</f>
        <v>0</v>
      </c>
      <c r="L42" s="265">
        <f ca="1">IFERROR(OFFSET(INDIRECT(#REF!),MATCH([2]Development_Schedule_EK!O$6,INDIRECT(#REF!),0)-1,MATCH([2]Development_Schedule_EK!$B39,INDIRECT(#REF!),0),1,1)*$D42,0)</f>
        <v>0</v>
      </c>
      <c r="M42" s="260">
        <f ca="1">IFERROR(OFFSET(INDIRECT(#REF!),MATCH([2]Development_Schedule_EK!P$6,INDIRECT(#REF!),0)-1,MATCH([2]Development_Schedule_EK!$B39,INDIRECT(#REF!),0),1,1)*$D42,0)</f>
        <v>0</v>
      </c>
      <c r="N42" s="260">
        <f ca="1">IFERROR(OFFSET(INDIRECT(#REF!),MATCH([2]Development_Schedule_EK!Q$6,INDIRECT(#REF!),0)-1,MATCH([2]Development_Schedule_EK!$B39,INDIRECT(#REF!),0),1,1)*$D42,0)</f>
        <v>0</v>
      </c>
      <c r="O42" s="265">
        <f ca="1">IFERROR(OFFSET(INDIRECT(#REF!),MATCH([2]Development_Schedule_EK!R$6,INDIRECT(#REF!),0)-1,MATCH([2]Development_Schedule_EK!$B39,INDIRECT(#REF!),0),1,1)*$D42,0)</f>
        <v>0</v>
      </c>
      <c r="P42" s="183"/>
      <c r="Q42" s="184"/>
      <c r="R42" s="183"/>
    </row>
    <row r="43" spans="1:18" x14ac:dyDescent="0.25">
      <c r="A43" s="284">
        <v>2</v>
      </c>
      <c r="B43" s="774" t="s">
        <v>384</v>
      </c>
      <c r="C43" s="262"/>
      <c r="D43" s="270">
        <f ca="1">IFERROR(OFFSET(INDIRECT(#REF!),MATCH([2]Development_Schedule_EK!$E40,INDIRECT(#REF!),0)-1,MATCH([2]Development_Schedule_EK!$B40,INDIRECT(#REF!),0),1,1),0)</f>
        <v>0</v>
      </c>
      <c r="E43" s="263"/>
      <c r="F43" s="260">
        <f ca="1">IFERROR(OFFSET(INDIRECT(#REF!),MATCH([2]Development_Schedule_EK!I$6,INDIRECT(#REF!),0)-1,MATCH([2]Development_Schedule_EK!$B40,INDIRECT(#REF!),0),1,1)*$D43,0)</f>
        <v>0</v>
      </c>
      <c r="G43" s="260">
        <f ca="1">IFERROR(OFFSET(INDIRECT(#REF!),MATCH([2]Development_Schedule_EK!J$6,INDIRECT(#REF!),0)-1,MATCH([2]Development_Schedule_EK!$B40,INDIRECT(#REF!),0),1,1)*$D43,0)</f>
        <v>0</v>
      </c>
      <c r="H43" s="265">
        <f ca="1">IFERROR(OFFSET(INDIRECT(#REF!),MATCH([2]Development_Schedule_EK!K$6,INDIRECT(#REF!),0)-1,MATCH([2]Development_Schedule_EK!$B40,INDIRECT(#REF!),0),1,1)*$D43,0)</f>
        <v>0</v>
      </c>
      <c r="I43" s="260">
        <f ca="1">IFERROR(OFFSET(INDIRECT(#REF!),MATCH([2]Development_Schedule_EK!L$6,INDIRECT(#REF!),0)-1,MATCH([2]Development_Schedule_EK!$B40,INDIRECT(#REF!),0),1,1)*$D43,0)</f>
        <v>0</v>
      </c>
      <c r="J43" s="260">
        <f ca="1">IFERROR(OFFSET(INDIRECT(#REF!),MATCH([2]Development_Schedule_EK!M$6,INDIRECT(#REF!),0)-1,MATCH([2]Development_Schedule_EK!$B40,INDIRECT(#REF!),0),1,1)*$D43,0)</f>
        <v>0</v>
      </c>
      <c r="K43" s="260">
        <f ca="1">IFERROR(OFFSET(INDIRECT(#REF!),MATCH([2]Development_Schedule_EK!N$6,INDIRECT(#REF!),0)-1,MATCH([2]Development_Schedule_EK!$B40,INDIRECT(#REF!),0),1,1)*$D43,0)</f>
        <v>0</v>
      </c>
      <c r="L43" s="265">
        <f ca="1">IFERROR(OFFSET(INDIRECT(#REF!),MATCH([2]Development_Schedule_EK!O$6,INDIRECT(#REF!),0)-1,MATCH([2]Development_Schedule_EK!$B40,INDIRECT(#REF!),0),1,1)*$D43,0)</f>
        <v>0</v>
      </c>
      <c r="M43" s="260">
        <f ca="1">IFERROR(OFFSET(INDIRECT(#REF!),MATCH([2]Development_Schedule_EK!P$6,INDIRECT(#REF!),0)-1,MATCH([2]Development_Schedule_EK!$B40,INDIRECT(#REF!),0),1,1)*$D43,0)</f>
        <v>0</v>
      </c>
      <c r="N43" s="260">
        <f ca="1">IFERROR(OFFSET(INDIRECT(#REF!),MATCH([2]Development_Schedule_EK!Q$6,INDIRECT(#REF!),0)-1,MATCH([2]Development_Schedule_EK!$B40,INDIRECT(#REF!),0),1,1)*$D43,0)</f>
        <v>0</v>
      </c>
      <c r="O43" s="265">
        <f ca="1">IFERROR(OFFSET(INDIRECT(#REF!),MATCH([2]Development_Schedule_EK!R$6,INDIRECT(#REF!),0)-1,MATCH([2]Development_Schedule_EK!$B40,INDIRECT(#REF!),0),1,1)*$D43,0)</f>
        <v>0</v>
      </c>
      <c r="P43" s="183"/>
      <c r="Q43" s="184"/>
      <c r="R43" s="183"/>
    </row>
    <row r="44" spans="1:18" x14ac:dyDescent="0.25">
      <c r="A44" s="284">
        <v>2</v>
      </c>
      <c r="B44" s="774" t="s">
        <v>35</v>
      </c>
      <c r="C44" s="262"/>
      <c r="D44" s="270">
        <f ca="1">IFERROR(OFFSET(INDIRECT(#REF!),MATCH([2]Development_Schedule_EK!$E41,INDIRECT(#REF!),0)-1,MATCH([2]Development_Schedule_EK!$B41,INDIRECT(#REF!),0),1,1),0)</f>
        <v>0</v>
      </c>
      <c r="E44" s="263"/>
      <c r="F44" s="260">
        <f ca="1">IFERROR(OFFSET(INDIRECT(#REF!),MATCH([2]Development_Schedule_EK!I$6,INDIRECT(#REF!),0)-1,MATCH([2]Development_Schedule_EK!$B41,INDIRECT(#REF!),0),1,1)*$D44,0)</f>
        <v>0</v>
      </c>
      <c r="G44" s="260">
        <f ca="1">IFERROR(OFFSET(INDIRECT(#REF!),MATCH([2]Development_Schedule_EK!J$6,INDIRECT(#REF!),0)-1,MATCH([2]Development_Schedule_EK!$B41,INDIRECT(#REF!),0),1,1)*$D44,0)</f>
        <v>0</v>
      </c>
      <c r="H44" s="265">
        <f ca="1">IFERROR(OFFSET(INDIRECT(#REF!),MATCH([2]Development_Schedule_EK!K$6,INDIRECT(#REF!),0)-1,MATCH([2]Development_Schedule_EK!$B41,INDIRECT(#REF!),0),1,1)*$D44,0)</f>
        <v>0</v>
      </c>
      <c r="I44" s="260">
        <f ca="1">IFERROR(OFFSET(INDIRECT(#REF!),MATCH([2]Development_Schedule_EK!L$6,INDIRECT(#REF!),0)-1,MATCH([2]Development_Schedule_EK!$B41,INDIRECT(#REF!),0),1,1)*$D44,0)</f>
        <v>0</v>
      </c>
      <c r="J44" s="260">
        <f ca="1">IFERROR(OFFSET(INDIRECT(#REF!),MATCH([2]Development_Schedule_EK!M$6,INDIRECT(#REF!),0)-1,MATCH([2]Development_Schedule_EK!$B41,INDIRECT(#REF!),0),1,1)*$D44,0)</f>
        <v>0</v>
      </c>
      <c r="K44" s="260">
        <f ca="1">IFERROR(OFFSET(INDIRECT(#REF!),MATCH([2]Development_Schedule_EK!N$6,INDIRECT(#REF!),0)-1,MATCH([2]Development_Schedule_EK!$B41,INDIRECT(#REF!),0),1,1)*$D44,0)</f>
        <v>0</v>
      </c>
      <c r="L44" s="265">
        <f ca="1">IFERROR(OFFSET(INDIRECT(#REF!),MATCH([2]Development_Schedule_EK!O$6,INDIRECT(#REF!),0)-1,MATCH([2]Development_Schedule_EK!$B41,INDIRECT(#REF!),0),1,1)*$D44,0)</f>
        <v>0</v>
      </c>
      <c r="M44" s="260">
        <f ca="1">IFERROR(OFFSET(INDIRECT(#REF!),MATCH([2]Development_Schedule_EK!P$6,INDIRECT(#REF!),0)-1,MATCH([2]Development_Schedule_EK!$B41,INDIRECT(#REF!),0),1,1)*$D44,0)</f>
        <v>0</v>
      </c>
      <c r="N44" s="260">
        <f ca="1">IFERROR(OFFSET(INDIRECT(#REF!),MATCH([2]Development_Schedule_EK!Q$6,INDIRECT(#REF!),0)-1,MATCH([2]Development_Schedule_EK!$B41,INDIRECT(#REF!),0),1,1)*$D44,0)</f>
        <v>0</v>
      </c>
      <c r="O44" s="265">
        <f ca="1">IFERROR(OFFSET(INDIRECT(#REF!),MATCH([2]Development_Schedule_EK!R$6,INDIRECT(#REF!),0)-1,MATCH([2]Development_Schedule_EK!$B41,INDIRECT(#REF!),0),1,1)*$D44,0)</f>
        <v>0</v>
      </c>
      <c r="P44" s="183"/>
      <c r="Q44" s="184"/>
      <c r="R44" s="183"/>
    </row>
    <row r="45" spans="1:18" x14ac:dyDescent="0.25">
      <c r="A45" s="284">
        <v>2</v>
      </c>
      <c r="B45" s="774" t="s">
        <v>355</v>
      </c>
      <c r="C45" s="262"/>
      <c r="D45" s="270">
        <f ca="1">IFERROR(OFFSET(INDIRECT(#REF!),MATCH([2]Development_Schedule_EK!$E42,INDIRECT(#REF!),0)-1,MATCH([2]Development_Schedule_EK!$B42,INDIRECT(#REF!),0),1,1),0)</f>
        <v>0</v>
      </c>
      <c r="E45" s="263"/>
      <c r="F45" s="260">
        <f ca="1">IFERROR(OFFSET(INDIRECT(#REF!),MATCH([2]Development_Schedule_EK!I$6,INDIRECT(#REF!),0)-1,MATCH([2]Development_Schedule_EK!$B42,INDIRECT(#REF!),0),1,1)*$D45,0)</f>
        <v>0</v>
      </c>
      <c r="G45" s="260">
        <f ca="1">IFERROR(OFFSET(INDIRECT(#REF!),MATCH([2]Development_Schedule_EK!J$6,INDIRECT(#REF!),0)-1,MATCH([2]Development_Schedule_EK!$B42,INDIRECT(#REF!),0),1,1)*$D45,0)</f>
        <v>0</v>
      </c>
      <c r="H45" s="265">
        <f ca="1">IFERROR(OFFSET(INDIRECT(#REF!),MATCH([2]Development_Schedule_EK!K$6,INDIRECT(#REF!),0)-1,MATCH([2]Development_Schedule_EK!$B42,INDIRECT(#REF!),0),1,1)*$D45,0)</f>
        <v>0</v>
      </c>
      <c r="I45" s="260">
        <f ca="1">IFERROR(OFFSET(INDIRECT(#REF!),MATCH([2]Development_Schedule_EK!L$6,INDIRECT(#REF!),0)-1,MATCH([2]Development_Schedule_EK!$B42,INDIRECT(#REF!),0),1,1)*$D45,0)</f>
        <v>0</v>
      </c>
      <c r="J45" s="260">
        <f ca="1">IFERROR(OFFSET(INDIRECT(#REF!),MATCH([2]Development_Schedule_EK!M$6,INDIRECT(#REF!),0)-1,MATCH([2]Development_Schedule_EK!$B42,INDIRECT(#REF!),0),1,1)*$D45,0)</f>
        <v>0</v>
      </c>
      <c r="K45" s="260">
        <f ca="1">IFERROR(OFFSET(INDIRECT(#REF!),MATCH([2]Development_Schedule_EK!N$6,INDIRECT(#REF!),0)-1,MATCH([2]Development_Schedule_EK!$B42,INDIRECT(#REF!),0),1,1)*$D45,0)</f>
        <v>0</v>
      </c>
      <c r="L45" s="265">
        <f ca="1">IFERROR(OFFSET(INDIRECT(#REF!),MATCH([2]Development_Schedule_EK!O$6,INDIRECT(#REF!),0)-1,MATCH([2]Development_Schedule_EK!$B42,INDIRECT(#REF!),0),1,1)*$D45,0)</f>
        <v>0</v>
      </c>
      <c r="M45" s="260">
        <f ca="1">IFERROR(OFFSET(INDIRECT(#REF!),MATCH([2]Development_Schedule_EK!P$6,INDIRECT(#REF!),0)-1,MATCH([2]Development_Schedule_EK!$B42,INDIRECT(#REF!),0),1,1)*$D45,0)</f>
        <v>0</v>
      </c>
      <c r="N45" s="260">
        <f ca="1">IFERROR(OFFSET(INDIRECT(#REF!),MATCH([2]Development_Schedule_EK!Q$6,INDIRECT(#REF!),0)-1,MATCH([2]Development_Schedule_EK!$B42,INDIRECT(#REF!),0),1,1)*$D45,0)</f>
        <v>0</v>
      </c>
      <c r="O45" s="265">
        <f ca="1">IFERROR(OFFSET(INDIRECT(#REF!),MATCH([2]Development_Schedule_EK!R$6,INDIRECT(#REF!),0)-1,MATCH([2]Development_Schedule_EK!$B42,INDIRECT(#REF!),0),1,1)*$D45,0)</f>
        <v>0</v>
      </c>
      <c r="P45" s="183"/>
      <c r="Q45" s="184"/>
      <c r="R45" s="183"/>
    </row>
    <row r="46" spans="1:18" x14ac:dyDescent="0.25">
      <c r="A46" s="284">
        <v>2</v>
      </c>
      <c r="B46" s="774" t="s">
        <v>356</v>
      </c>
      <c r="C46" s="262"/>
      <c r="D46" s="270">
        <f ca="1">IFERROR(OFFSET(INDIRECT(#REF!),MATCH([2]Development_Schedule_EK!$E43,INDIRECT(#REF!),0)-1,MATCH([2]Development_Schedule_EK!$B43,INDIRECT(#REF!),0),1,1),0)</f>
        <v>0</v>
      </c>
      <c r="E46" s="263"/>
      <c r="F46" s="260">
        <f ca="1">IFERROR(OFFSET(INDIRECT(#REF!),MATCH([2]Development_Schedule_EK!I$6,INDIRECT(#REF!),0)-1,MATCH([2]Development_Schedule_EK!$B43,INDIRECT(#REF!),0),1,1)*$D46,0)</f>
        <v>0</v>
      </c>
      <c r="G46" s="260">
        <f ca="1">IFERROR(OFFSET(INDIRECT(#REF!),MATCH([2]Development_Schedule_EK!J$6,INDIRECT(#REF!),0)-1,MATCH([2]Development_Schedule_EK!$B43,INDIRECT(#REF!),0),1,1)*$D46,0)</f>
        <v>0</v>
      </c>
      <c r="H46" s="265">
        <f ca="1">IFERROR(OFFSET(INDIRECT(#REF!),MATCH([2]Development_Schedule_EK!K$6,INDIRECT(#REF!),0)-1,MATCH([2]Development_Schedule_EK!$B43,INDIRECT(#REF!),0),1,1)*$D46,0)</f>
        <v>0</v>
      </c>
      <c r="I46" s="260">
        <f ca="1">IFERROR(OFFSET(INDIRECT(#REF!),MATCH([2]Development_Schedule_EK!L$6,INDIRECT(#REF!),0)-1,MATCH([2]Development_Schedule_EK!$B43,INDIRECT(#REF!),0),1,1)*$D46,0)</f>
        <v>0</v>
      </c>
      <c r="J46" s="260">
        <f ca="1">IFERROR(OFFSET(INDIRECT(#REF!),MATCH([2]Development_Schedule_EK!M$6,INDIRECT(#REF!),0)-1,MATCH([2]Development_Schedule_EK!$B43,INDIRECT(#REF!),0),1,1)*$D46,0)</f>
        <v>0</v>
      </c>
      <c r="K46" s="260">
        <f ca="1">IFERROR(OFFSET(INDIRECT(#REF!),MATCH([2]Development_Schedule_EK!N$6,INDIRECT(#REF!),0)-1,MATCH([2]Development_Schedule_EK!$B43,INDIRECT(#REF!),0),1,1)*$D46,0)</f>
        <v>0</v>
      </c>
      <c r="L46" s="265">
        <f ca="1">IFERROR(OFFSET(INDIRECT(#REF!),MATCH([2]Development_Schedule_EK!O$6,INDIRECT(#REF!),0)-1,MATCH([2]Development_Schedule_EK!$B43,INDIRECT(#REF!),0),1,1)*$D46,0)</f>
        <v>0</v>
      </c>
      <c r="M46" s="260">
        <f ca="1">IFERROR(OFFSET(INDIRECT(#REF!),MATCH([2]Development_Schedule_EK!P$6,INDIRECT(#REF!),0)-1,MATCH([2]Development_Schedule_EK!$B43,INDIRECT(#REF!),0),1,1)*$D46,0)</f>
        <v>0</v>
      </c>
      <c r="N46" s="260">
        <f ca="1">IFERROR(OFFSET(INDIRECT(#REF!),MATCH([2]Development_Schedule_EK!Q$6,INDIRECT(#REF!),0)-1,MATCH([2]Development_Schedule_EK!$B43,INDIRECT(#REF!),0),1,1)*$D46,0)</f>
        <v>0</v>
      </c>
      <c r="O46" s="265">
        <f ca="1">IFERROR(OFFSET(INDIRECT(#REF!),MATCH([2]Development_Schedule_EK!R$6,INDIRECT(#REF!),0)-1,MATCH([2]Development_Schedule_EK!$B43,INDIRECT(#REF!),0),1,1)*$D46,0)</f>
        <v>0</v>
      </c>
      <c r="P46" s="183"/>
      <c r="Q46" s="184"/>
      <c r="R46" s="183"/>
    </row>
    <row r="47" spans="1:18" x14ac:dyDescent="0.25">
      <c r="A47" s="284">
        <v>2</v>
      </c>
      <c r="B47" s="774" t="s">
        <v>357</v>
      </c>
      <c r="C47" s="262"/>
      <c r="D47" s="270">
        <f ca="1">IFERROR(OFFSET(INDIRECT(#REF!),MATCH([2]Development_Schedule_EK!$E44,INDIRECT(#REF!),0)-1,MATCH([2]Development_Schedule_EK!$B44,INDIRECT(#REF!),0),1,1),0)</f>
        <v>0</v>
      </c>
      <c r="E47" s="263"/>
      <c r="F47" s="260">
        <f ca="1">IFERROR(OFFSET(INDIRECT(#REF!),MATCH([2]Development_Schedule_EK!I$6,INDIRECT(#REF!),0)-1,MATCH([2]Development_Schedule_EK!$B44,INDIRECT(#REF!),0),1,1)*$D47,0)</f>
        <v>0</v>
      </c>
      <c r="G47" s="260">
        <f ca="1">IFERROR(OFFSET(INDIRECT(#REF!),MATCH([2]Development_Schedule_EK!J$6,INDIRECT(#REF!),0)-1,MATCH([2]Development_Schedule_EK!$B44,INDIRECT(#REF!),0),1,1)*$D47,0)</f>
        <v>0</v>
      </c>
      <c r="H47" s="265">
        <f ca="1">IFERROR(OFFSET(INDIRECT(#REF!),MATCH([2]Development_Schedule_EK!K$6,INDIRECT(#REF!),0)-1,MATCH([2]Development_Schedule_EK!$B44,INDIRECT(#REF!),0),1,1)*$D47,0)</f>
        <v>0</v>
      </c>
      <c r="I47" s="260">
        <f ca="1">IFERROR(OFFSET(INDIRECT(#REF!),MATCH([2]Development_Schedule_EK!L$6,INDIRECT(#REF!),0)-1,MATCH([2]Development_Schedule_EK!$B44,INDIRECT(#REF!),0),1,1)*$D47,0)</f>
        <v>0</v>
      </c>
      <c r="J47" s="260">
        <f ca="1">IFERROR(OFFSET(INDIRECT(#REF!),MATCH([2]Development_Schedule_EK!M$6,INDIRECT(#REF!),0)-1,MATCH([2]Development_Schedule_EK!$B44,INDIRECT(#REF!),0),1,1)*$D47,0)</f>
        <v>0</v>
      </c>
      <c r="K47" s="260">
        <f ca="1">IFERROR(OFFSET(INDIRECT(#REF!),MATCH([2]Development_Schedule_EK!N$6,INDIRECT(#REF!),0)-1,MATCH([2]Development_Schedule_EK!$B44,INDIRECT(#REF!),0),1,1)*$D47,0)</f>
        <v>0</v>
      </c>
      <c r="L47" s="265">
        <f ca="1">IFERROR(OFFSET(INDIRECT(#REF!),MATCH([2]Development_Schedule_EK!O$6,INDIRECT(#REF!),0)-1,MATCH([2]Development_Schedule_EK!$B44,INDIRECT(#REF!),0),1,1)*$D47,0)</f>
        <v>0</v>
      </c>
      <c r="M47" s="260">
        <f ca="1">IFERROR(OFFSET(INDIRECT(#REF!),MATCH([2]Development_Schedule_EK!P$6,INDIRECT(#REF!),0)-1,MATCH([2]Development_Schedule_EK!$B44,INDIRECT(#REF!),0),1,1)*$D47,0)</f>
        <v>0</v>
      </c>
      <c r="N47" s="260">
        <f ca="1">IFERROR(OFFSET(INDIRECT(#REF!),MATCH([2]Development_Schedule_EK!Q$6,INDIRECT(#REF!),0)-1,MATCH([2]Development_Schedule_EK!$B44,INDIRECT(#REF!),0),1,1)*$D47,0)</f>
        <v>0</v>
      </c>
      <c r="O47" s="265">
        <f ca="1">IFERROR(OFFSET(INDIRECT(#REF!),MATCH([2]Development_Schedule_EK!R$6,INDIRECT(#REF!),0)-1,MATCH([2]Development_Schedule_EK!$B44,INDIRECT(#REF!),0),1,1)*$D47,0)</f>
        <v>0</v>
      </c>
      <c r="P47" s="183"/>
      <c r="Q47" s="184"/>
      <c r="R47" s="183"/>
    </row>
    <row r="48" spans="1:18" x14ac:dyDescent="0.25">
      <c r="A48" s="284">
        <v>2</v>
      </c>
      <c r="B48" s="774" t="s">
        <v>358</v>
      </c>
      <c r="C48" s="262"/>
      <c r="D48" s="270">
        <f ca="1">IFERROR(OFFSET(INDIRECT(#REF!),MATCH([2]Development_Schedule_EK!$E45,INDIRECT(#REF!),0)-1,MATCH([2]Development_Schedule_EK!$B45,INDIRECT(#REF!),0),1,1),0)</f>
        <v>0</v>
      </c>
      <c r="E48" s="263"/>
      <c r="F48" s="260">
        <f ca="1">IFERROR(OFFSET(INDIRECT(#REF!),MATCH([2]Development_Schedule_EK!I$6,INDIRECT(#REF!),0)-1,MATCH([2]Development_Schedule_EK!$B45,INDIRECT(#REF!),0),1,1)*$D48,0)</f>
        <v>0</v>
      </c>
      <c r="G48" s="260">
        <f ca="1">IFERROR(OFFSET(INDIRECT(#REF!),MATCH([2]Development_Schedule_EK!J$6,INDIRECT(#REF!),0)-1,MATCH([2]Development_Schedule_EK!$B45,INDIRECT(#REF!),0),1,1)*$D48,0)</f>
        <v>0</v>
      </c>
      <c r="H48" s="265">
        <f ca="1">IFERROR(OFFSET(INDIRECT(#REF!),MATCH([2]Development_Schedule_EK!K$6,INDIRECT(#REF!),0)-1,MATCH([2]Development_Schedule_EK!$B45,INDIRECT(#REF!),0),1,1)*$D48,0)</f>
        <v>0</v>
      </c>
      <c r="I48" s="260">
        <f ca="1">IFERROR(OFFSET(INDIRECT(#REF!),MATCH([2]Development_Schedule_EK!L$6,INDIRECT(#REF!),0)-1,MATCH([2]Development_Schedule_EK!$B45,INDIRECT(#REF!),0),1,1)*$D48,0)</f>
        <v>0</v>
      </c>
      <c r="J48" s="260">
        <f ca="1">IFERROR(OFFSET(INDIRECT(#REF!),MATCH([2]Development_Schedule_EK!M$6,INDIRECT(#REF!),0)-1,MATCH([2]Development_Schedule_EK!$B45,INDIRECT(#REF!),0),1,1)*$D48,0)</f>
        <v>0</v>
      </c>
      <c r="K48" s="260">
        <f ca="1">IFERROR(OFFSET(INDIRECT(#REF!),MATCH([2]Development_Schedule_EK!N$6,INDIRECT(#REF!),0)-1,MATCH([2]Development_Schedule_EK!$B45,INDIRECT(#REF!),0),1,1)*$D48,0)</f>
        <v>0</v>
      </c>
      <c r="L48" s="265">
        <f ca="1">IFERROR(OFFSET(INDIRECT(#REF!),MATCH([2]Development_Schedule_EK!O$6,INDIRECT(#REF!),0)-1,MATCH([2]Development_Schedule_EK!$B45,INDIRECT(#REF!),0),1,1)*$D48,0)</f>
        <v>0</v>
      </c>
      <c r="M48" s="260">
        <f ca="1">IFERROR(OFFSET(INDIRECT(#REF!),MATCH([2]Development_Schedule_EK!P$6,INDIRECT(#REF!),0)-1,MATCH([2]Development_Schedule_EK!$B45,INDIRECT(#REF!),0),1,1)*$D48,0)</f>
        <v>0</v>
      </c>
      <c r="N48" s="260">
        <f ca="1">IFERROR(OFFSET(INDIRECT(#REF!),MATCH([2]Development_Schedule_EK!Q$6,INDIRECT(#REF!),0)-1,MATCH([2]Development_Schedule_EK!$B45,INDIRECT(#REF!),0),1,1)*$D48,0)</f>
        <v>0</v>
      </c>
      <c r="O48" s="265">
        <f ca="1">IFERROR(OFFSET(INDIRECT(#REF!),MATCH([2]Development_Schedule_EK!R$6,INDIRECT(#REF!),0)-1,MATCH([2]Development_Schedule_EK!$B45,INDIRECT(#REF!),0),1,1)*$D48,0)</f>
        <v>0</v>
      </c>
      <c r="P48" s="183"/>
      <c r="Q48" s="184"/>
      <c r="R48" s="183"/>
    </row>
    <row r="49" spans="1:18" x14ac:dyDescent="0.25">
      <c r="A49" s="284">
        <v>2</v>
      </c>
      <c r="B49" s="774" t="s">
        <v>359</v>
      </c>
      <c r="C49" s="262"/>
      <c r="D49" s="270">
        <f ca="1">IFERROR(OFFSET(INDIRECT(#REF!),MATCH([2]Development_Schedule_EK!$E46,INDIRECT(#REF!),0)-1,MATCH([2]Development_Schedule_EK!$B46,INDIRECT(#REF!),0),1,1),0)</f>
        <v>0</v>
      </c>
      <c r="E49" s="263"/>
      <c r="F49" s="260">
        <f ca="1">IFERROR(OFFSET(INDIRECT(#REF!),MATCH([2]Development_Schedule_EK!I$6,INDIRECT(#REF!),0)-1,MATCH([2]Development_Schedule_EK!$B46,INDIRECT(#REF!),0),1,1)*$D49,0)</f>
        <v>0</v>
      </c>
      <c r="G49" s="260">
        <f ca="1">IFERROR(OFFSET(INDIRECT(#REF!),MATCH([2]Development_Schedule_EK!J$6,INDIRECT(#REF!),0)-1,MATCH([2]Development_Schedule_EK!$B46,INDIRECT(#REF!),0),1,1)*$D49,0)</f>
        <v>0</v>
      </c>
      <c r="H49" s="265">
        <f ca="1">IFERROR(OFFSET(INDIRECT(#REF!),MATCH([2]Development_Schedule_EK!K$6,INDIRECT(#REF!),0)-1,MATCH([2]Development_Schedule_EK!$B46,INDIRECT(#REF!),0),1,1)*$D49,0)</f>
        <v>0</v>
      </c>
      <c r="I49" s="260">
        <f ca="1">IFERROR(OFFSET(INDIRECT(#REF!),MATCH([2]Development_Schedule_EK!L$6,INDIRECT(#REF!),0)-1,MATCH([2]Development_Schedule_EK!$B46,INDIRECT(#REF!),0),1,1)*$D49,0)</f>
        <v>0</v>
      </c>
      <c r="J49" s="260">
        <f ca="1">IFERROR(OFFSET(INDIRECT(#REF!),MATCH([2]Development_Schedule_EK!M$6,INDIRECT(#REF!),0)-1,MATCH([2]Development_Schedule_EK!$B46,INDIRECT(#REF!),0),1,1)*$D49,0)</f>
        <v>0</v>
      </c>
      <c r="K49" s="260">
        <f ca="1">IFERROR(OFFSET(INDIRECT(#REF!),MATCH([2]Development_Schedule_EK!N$6,INDIRECT(#REF!),0)-1,MATCH([2]Development_Schedule_EK!$B46,INDIRECT(#REF!),0),1,1)*$D49,0)</f>
        <v>0</v>
      </c>
      <c r="L49" s="265">
        <f ca="1">IFERROR(OFFSET(INDIRECT(#REF!),MATCH([2]Development_Schedule_EK!O$6,INDIRECT(#REF!),0)-1,MATCH([2]Development_Schedule_EK!$B46,INDIRECT(#REF!),0),1,1)*$D49,0)</f>
        <v>0</v>
      </c>
      <c r="M49" s="260">
        <f ca="1">IFERROR(OFFSET(INDIRECT(#REF!),MATCH([2]Development_Schedule_EK!P$6,INDIRECT(#REF!),0)-1,MATCH([2]Development_Schedule_EK!$B46,INDIRECT(#REF!),0),1,1)*$D49,0)</f>
        <v>0</v>
      </c>
      <c r="N49" s="260">
        <f ca="1">IFERROR(OFFSET(INDIRECT(#REF!),MATCH([2]Development_Schedule_EK!Q$6,INDIRECT(#REF!),0)-1,MATCH([2]Development_Schedule_EK!$B46,INDIRECT(#REF!),0),1,1)*$D49,0)</f>
        <v>0</v>
      </c>
      <c r="O49" s="265">
        <f ca="1">IFERROR(OFFSET(INDIRECT(#REF!),MATCH([2]Development_Schedule_EK!R$6,INDIRECT(#REF!),0)-1,MATCH([2]Development_Schedule_EK!$B46,INDIRECT(#REF!),0),1,1)*$D49,0)</f>
        <v>0</v>
      </c>
      <c r="P49" s="183"/>
      <c r="Q49" s="184"/>
      <c r="R49" s="183"/>
    </row>
    <row r="50" spans="1:18" x14ac:dyDescent="0.25">
      <c r="A50" s="284">
        <v>2</v>
      </c>
      <c r="B50" s="774" t="s">
        <v>33</v>
      </c>
      <c r="C50" s="262"/>
      <c r="D50" s="270">
        <f ca="1">IFERROR(OFFSET(INDIRECT(#REF!),MATCH([2]Development_Schedule_EK!$E47,INDIRECT(#REF!),0)-1,MATCH([2]Development_Schedule_EK!$B47,INDIRECT(#REF!),0),1,1),0)</f>
        <v>0</v>
      </c>
      <c r="E50" s="263"/>
      <c r="F50" s="260">
        <f ca="1">IFERROR(OFFSET(INDIRECT(#REF!),MATCH([2]Development_Schedule_EK!I$6,INDIRECT(#REF!),0)-1,MATCH([2]Development_Schedule_EK!$B47,INDIRECT(#REF!),0),1,1)*$D50,0)</f>
        <v>0</v>
      </c>
      <c r="G50" s="260">
        <f ca="1">IFERROR(OFFSET(INDIRECT(#REF!),MATCH([2]Development_Schedule_EK!J$6,INDIRECT(#REF!),0)-1,MATCH([2]Development_Schedule_EK!$B47,INDIRECT(#REF!),0),1,1)*$D50,0)</f>
        <v>0</v>
      </c>
      <c r="H50" s="265">
        <f ca="1">IFERROR(OFFSET(INDIRECT(#REF!),MATCH([2]Development_Schedule_EK!K$6,INDIRECT(#REF!),0)-1,MATCH([2]Development_Schedule_EK!$B47,INDIRECT(#REF!),0),1,1)*$D50,0)</f>
        <v>0</v>
      </c>
      <c r="I50" s="260">
        <f ca="1">IFERROR(OFFSET(INDIRECT(#REF!),MATCH([2]Development_Schedule_EK!L$6,INDIRECT(#REF!),0)-1,MATCH([2]Development_Schedule_EK!$B47,INDIRECT(#REF!),0),1,1)*$D50,0)</f>
        <v>0</v>
      </c>
      <c r="J50" s="260">
        <f ca="1">IFERROR(OFFSET(INDIRECT(#REF!),MATCH([2]Development_Schedule_EK!M$6,INDIRECT(#REF!),0)-1,MATCH([2]Development_Schedule_EK!$B47,INDIRECT(#REF!),0),1,1)*$D50,0)</f>
        <v>0</v>
      </c>
      <c r="K50" s="260">
        <f ca="1">IFERROR(OFFSET(INDIRECT(#REF!),MATCH([2]Development_Schedule_EK!N$6,INDIRECT(#REF!),0)-1,MATCH([2]Development_Schedule_EK!$B47,INDIRECT(#REF!),0),1,1)*$D50,0)</f>
        <v>0</v>
      </c>
      <c r="L50" s="265">
        <f ca="1">IFERROR(OFFSET(INDIRECT(#REF!),MATCH([2]Development_Schedule_EK!O$6,INDIRECT(#REF!),0)-1,MATCH([2]Development_Schedule_EK!$B47,INDIRECT(#REF!),0),1,1)*$D50,0)</f>
        <v>0</v>
      </c>
      <c r="M50" s="260">
        <f ca="1">IFERROR(OFFSET(INDIRECT(#REF!),MATCH([2]Development_Schedule_EK!P$6,INDIRECT(#REF!),0)-1,MATCH([2]Development_Schedule_EK!$B47,INDIRECT(#REF!),0),1,1)*$D50,0)</f>
        <v>0</v>
      </c>
      <c r="N50" s="260">
        <f ca="1">IFERROR(OFFSET(INDIRECT(#REF!),MATCH([2]Development_Schedule_EK!Q$6,INDIRECT(#REF!),0)-1,MATCH([2]Development_Schedule_EK!$B47,INDIRECT(#REF!),0),1,1)*$D50,0)</f>
        <v>0</v>
      </c>
      <c r="O50" s="265">
        <f ca="1">IFERROR(OFFSET(INDIRECT(#REF!),MATCH([2]Development_Schedule_EK!R$6,INDIRECT(#REF!),0)-1,MATCH([2]Development_Schedule_EK!$B47,INDIRECT(#REF!),0),1,1)*$D50,0)</f>
        <v>0</v>
      </c>
      <c r="P50" s="183"/>
      <c r="Q50" s="184"/>
      <c r="R50" s="183"/>
    </row>
    <row r="51" spans="1:18" x14ac:dyDescent="0.25">
      <c r="A51" s="284">
        <v>2</v>
      </c>
      <c r="B51" s="774" t="s">
        <v>42</v>
      </c>
      <c r="C51" s="262"/>
      <c r="D51" s="270">
        <v>35269.58</v>
      </c>
      <c r="E51" s="263"/>
      <c r="F51" s="260">
        <f ca="1">IFERROR(OFFSET(INDIRECT(#REF!),MATCH([2]Development_Schedule_EK!I$6,INDIRECT(#REF!),0)-1,MATCH([2]Development_Schedule_EK!$B48,INDIRECT(#REF!),0),1,1)*$D51,0)</f>
        <v>0</v>
      </c>
      <c r="G51" s="260">
        <f ca="1">IFERROR(OFFSET(INDIRECT(#REF!),MATCH([2]Development_Schedule_EK!J$6,INDIRECT(#REF!),0)-1,MATCH([2]Development_Schedule_EK!$B48,INDIRECT(#REF!),0),1,1)*$D51,0)</f>
        <v>0</v>
      </c>
      <c r="H51" s="265">
        <f ca="1">IFERROR(OFFSET(INDIRECT(#REF!),MATCH([2]Development_Schedule_EK!K$6,INDIRECT(#REF!),0)-1,MATCH([2]Development_Schedule_EK!$B48,INDIRECT(#REF!),0),1,1)*$D51,0)</f>
        <v>0</v>
      </c>
      <c r="I51" s="260">
        <f>D51/2</f>
        <v>17634.79</v>
      </c>
      <c r="J51" s="260">
        <f>I51</f>
        <v>17634.79</v>
      </c>
      <c r="K51" s="260">
        <f ca="1">IFERROR(OFFSET(INDIRECT(#REF!),MATCH([2]Development_Schedule_EK!N$6,INDIRECT(#REF!),0)-1,MATCH([2]Development_Schedule_EK!$B48,INDIRECT(#REF!),0),1,1)*$D51,0)</f>
        <v>0</v>
      </c>
      <c r="L51" s="265">
        <f ca="1">IFERROR(OFFSET(INDIRECT(#REF!),MATCH([2]Development_Schedule_EK!O$6,INDIRECT(#REF!),0)-1,MATCH([2]Development_Schedule_EK!$B48,INDIRECT(#REF!),0),1,1)*$D51,0)</f>
        <v>0</v>
      </c>
      <c r="M51" s="260">
        <f ca="1">IFERROR(OFFSET(INDIRECT(#REF!),MATCH([2]Development_Schedule_EK!P$6,INDIRECT(#REF!),0)-1,MATCH([2]Development_Schedule_EK!$B48,INDIRECT(#REF!),0),1,1)*$D51,0)</f>
        <v>0</v>
      </c>
      <c r="N51" s="260">
        <f ca="1">IFERROR(OFFSET(INDIRECT(#REF!),MATCH([2]Development_Schedule_EK!Q$6,INDIRECT(#REF!),0)-1,MATCH([2]Development_Schedule_EK!$B48,INDIRECT(#REF!),0),1,1)*$D51,0)</f>
        <v>0</v>
      </c>
      <c r="O51" s="265">
        <f ca="1">IFERROR(OFFSET(INDIRECT(#REF!),MATCH([2]Development_Schedule_EK!R$6,INDIRECT(#REF!),0)-1,MATCH([2]Development_Schedule_EK!$B48,INDIRECT(#REF!),0),1,1)*$D51,0)</f>
        <v>0</v>
      </c>
      <c r="P51" s="183"/>
      <c r="Q51" s="184"/>
      <c r="R51" s="183"/>
    </row>
    <row r="52" spans="1:18" x14ac:dyDescent="0.25">
      <c r="B52" s="774"/>
      <c r="C52" s="261"/>
      <c r="D52" s="270"/>
      <c r="E52" s="263"/>
      <c r="F52" s="256"/>
      <c r="G52" s="256"/>
      <c r="H52" s="263"/>
      <c r="I52" s="256"/>
      <c r="J52" s="256"/>
      <c r="K52" s="256"/>
      <c r="L52" s="263"/>
      <c r="M52" s="256"/>
      <c r="N52" s="256"/>
      <c r="O52" s="263"/>
      <c r="P52" s="183"/>
      <c r="Q52" s="184"/>
      <c r="R52" s="183"/>
    </row>
    <row r="53" spans="1:18" x14ac:dyDescent="0.25">
      <c r="B53" s="774"/>
      <c r="C53" s="261"/>
      <c r="D53" s="270"/>
      <c r="E53" s="263"/>
      <c r="F53" s="256"/>
      <c r="G53" s="256"/>
      <c r="H53" s="263"/>
      <c r="I53" s="256"/>
      <c r="J53" s="256"/>
      <c r="K53" s="256"/>
      <c r="L53" s="263"/>
      <c r="M53" s="256"/>
      <c r="N53" s="256"/>
      <c r="O53" s="263"/>
      <c r="P53" s="183"/>
      <c r="Q53" s="184"/>
      <c r="R53" s="183"/>
    </row>
    <row r="54" spans="1:18" x14ac:dyDescent="0.25">
      <c r="B54" s="773" t="s">
        <v>362</v>
      </c>
      <c r="C54" s="261"/>
      <c r="D54" s="270"/>
      <c r="E54" s="263"/>
      <c r="F54" s="256"/>
      <c r="G54" s="256"/>
      <c r="H54" s="263"/>
      <c r="I54" s="256"/>
      <c r="J54" s="256"/>
      <c r="K54" s="256"/>
      <c r="L54" s="263"/>
      <c r="M54" s="256"/>
      <c r="N54" s="256"/>
      <c r="O54" s="263"/>
      <c r="P54" s="183"/>
      <c r="Q54" s="184"/>
      <c r="R54" s="183"/>
    </row>
    <row r="55" spans="1:18" x14ac:dyDescent="0.25">
      <c r="A55" s="284">
        <v>2</v>
      </c>
      <c r="B55" s="774" t="s">
        <v>381</v>
      </c>
      <c r="C55" s="261"/>
      <c r="D55" s="270">
        <f ca="1">IFERROR(OFFSET(INDIRECT(#REF!),MATCH([2]Development_Schedule_EK!$E52,INDIRECT(#REF!),0)-1,MATCH([2]Development_Schedule_EK!$B52,INDIRECT(#REF!),0),1,1),0)</f>
        <v>0</v>
      </c>
      <c r="E55" s="263"/>
      <c r="F55" s="260">
        <v>0</v>
      </c>
      <c r="G55" s="260">
        <f ca="1">IFERROR(OFFSET(INDIRECT(#REF!),MATCH([2]Development_Schedule_EK!J$6,INDIRECT(#REF!),0)-1,MATCH([2]Development_Schedule_EK!$B52,INDIRECT(#REF!),0),1,1)*$D55,0)</f>
        <v>0</v>
      </c>
      <c r="H55" s="265">
        <f ca="1">IFERROR(OFFSET(INDIRECT(#REF!),MATCH([2]Development_Schedule_EK!K$6,INDIRECT(#REF!),0)-1,MATCH([2]Development_Schedule_EK!$B52,INDIRECT(#REF!),0),1,1)*$D55,0)</f>
        <v>0</v>
      </c>
      <c r="I55" s="260">
        <f ca="1">IFERROR(OFFSET(INDIRECT(#REF!),MATCH([2]Development_Schedule_EK!L$6,INDIRECT(#REF!),0)-1,MATCH([2]Development_Schedule_EK!$B52,INDIRECT(#REF!),0),1,1)*$D55,0)</f>
        <v>0</v>
      </c>
      <c r="J55" s="260">
        <f ca="1">IFERROR(OFFSET(INDIRECT(#REF!),MATCH([2]Development_Schedule_EK!M$6,INDIRECT(#REF!),0)-1,MATCH([2]Development_Schedule_EK!$B52,INDIRECT(#REF!),0),1,1)*$D55,0)</f>
        <v>0</v>
      </c>
      <c r="K55" s="260">
        <f ca="1">IFERROR(OFFSET(INDIRECT(#REF!),MATCH([2]Development_Schedule_EK!N$6,INDIRECT(#REF!),0)-1,MATCH([2]Development_Schedule_EK!$B52,INDIRECT(#REF!),0),1,1)*$D55,0)</f>
        <v>0</v>
      </c>
      <c r="L55" s="265">
        <f ca="1">IFERROR(OFFSET(INDIRECT(#REF!),MATCH([2]Development_Schedule_EK!O$6,INDIRECT(#REF!),0)-1,MATCH([2]Development_Schedule_EK!$B52,INDIRECT(#REF!),0),1,1)*$D55,0)</f>
        <v>0</v>
      </c>
      <c r="M55" s="260">
        <f ca="1">IFERROR(OFFSET(INDIRECT(#REF!),MATCH([2]Development_Schedule_EK!P$6,INDIRECT(#REF!),0)-1,MATCH([2]Development_Schedule_EK!$B52,INDIRECT(#REF!),0),1,1)*$D55,0)</f>
        <v>0</v>
      </c>
      <c r="N55" s="260">
        <f ca="1">IFERROR(OFFSET(INDIRECT(#REF!),MATCH([2]Development_Schedule_EK!Q$6,INDIRECT(#REF!),0)-1,MATCH([2]Development_Schedule_EK!$B52,INDIRECT(#REF!),0),1,1)*$D55,0)</f>
        <v>0</v>
      </c>
      <c r="O55" s="265">
        <f ca="1">IFERROR(OFFSET(INDIRECT(#REF!),MATCH([2]Development_Schedule_EK!R$6,INDIRECT(#REF!),0)-1,MATCH([2]Development_Schedule_EK!$B52,INDIRECT(#REF!),0),1,1)*$D55,0)</f>
        <v>0</v>
      </c>
      <c r="P55" s="183"/>
      <c r="Q55" s="184"/>
      <c r="R55" s="183"/>
    </row>
    <row r="56" spans="1:18" x14ac:dyDescent="0.25">
      <c r="A56" s="284">
        <v>2</v>
      </c>
      <c r="B56" s="774" t="s">
        <v>382</v>
      </c>
      <c r="C56" s="261"/>
      <c r="D56" s="270">
        <f ca="1">IFERROR(OFFSET(INDIRECT(#REF!),MATCH([2]Development_Schedule_EK!$E53,INDIRECT(#REF!),0)-1,MATCH([2]Development_Schedule_EK!$B53,INDIRECT(#REF!),0),1,1),0)</f>
        <v>0</v>
      </c>
      <c r="E56" s="263"/>
      <c r="F56" s="260">
        <f ca="1">IFERROR(OFFSET(INDIRECT(#REF!),MATCH([2]Development_Schedule_EK!I$6,INDIRECT(#REF!),0)-1,MATCH([2]Development_Schedule_EK!$B53,INDIRECT(#REF!),0),1,1)*$D56,0)</f>
        <v>0</v>
      </c>
      <c r="G56" s="260">
        <f ca="1">IFERROR(OFFSET(INDIRECT(#REF!),MATCH([2]Development_Schedule_EK!J$6,INDIRECT(#REF!),0)-1,MATCH([2]Development_Schedule_EK!$B53,INDIRECT(#REF!),0),1,1)*$D56,0)</f>
        <v>0</v>
      </c>
      <c r="H56" s="265">
        <f ca="1">IFERROR(OFFSET(INDIRECT(#REF!),MATCH([2]Development_Schedule_EK!K$6,INDIRECT(#REF!),0)-1,MATCH([2]Development_Schedule_EK!$B53,INDIRECT(#REF!),0),1,1)*$D56,0)</f>
        <v>0</v>
      </c>
      <c r="I56" s="260">
        <f ca="1">IFERROR(OFFSET(INDIRECT(#REF!),MATCH([2]Development_Schedule_EK!L$6,INDIRECT(#REF!),0)-1,MATCH([2]Development_Schedule_EK!$B53,INDIRECT(#REF!),0),1,1)*$D56,0)</f>
        <v>0</v>
      </c>
      <c r="J56" s="260">
        <f ca="1">IFERROR(OFFSET(INDIRECT(#REF!),MATCH([2]Development_Schedule_EK!M$6,INDIRECT(#REF!),0)-1,MATCH([2]Development_Schedule_EK!$B53,INDIRECT(#REF!),0),1,1)*$D56,0)</f>
        <v>0</v>
      </c>
      <c r="K56" s="260">
        <f ca="1">IFERROR(OFFSET(INDIRECT(#REF!),MATCH([2]Development_Schedule_EK!N$6,INDIRECT(#REF!),0)-1,MATCH([2]Development_Schedule_EK!$B53,INDIRECT(#REF!),0),1,1)*$D56,0)</f>
        <v>0</v>
      </c>
      <c r="L56" s="265">
        <f ca="1">IFERROR(OFFSET(INDIRECT(#REF!),MATCH([2]Development_Schedule_EK!O$6,INDIRECT(#REF!),0)-1,MATCH([2]Development_Schedule_EK!$B53,INDIRECT(#REF!),0),1,1)*$D56,0)</f>
        <v>0</v>
      </c>
      <c r="M56" s="260">
        <f ca="1">IFERROR(OFFSET(INDIRECT(#REF!),MATCH([2]Development_Schedule_EK!P$6,INDIRECT(#REF!),0)-1,MATCH([2]Development_Schedule_EK!$B53,INDIRECT(#REF!),0),1,1)*$D56,0)</f>
        <v>0</v>
      </c>
      <c r="N56" s="260">
        <f ca="1">IFERROR(OFFSET(INDIRECT(#REF!),MATCH([2]Development_Schedule_EK!Q$6,INDIRECT(#REF!),0)-1,MATCH([2]Development_Schedule_EK!$B53,INDIRECT(#REF!),0),1,1)*$D56,0)</f>
        <v>0</v>
      </c>
      <c r="O56" s="265">
        <f ca="1">IFERROR(OFFSET(INDIRECT(#REF!),MATCH([2]Development_Schedule_EK!R$6,INDIRECT(#REF!),0)-1,MATCH([2]Development_Schedule_EK!$B53,INDIRECT(#REF!),0),1,1)*$D56,0)</f>
        <v>0</v>
      </c>
      <c r="P56" s="183"/>
      <c r="Q56" s="184"/>
      <c r="R56" s="183"/>
    </row>
    <row r="57" spans="1:18" x14ac:dyDescent="0.25">
      <c r="A57" s="284">
        <v>2</v>
      </c>
      <c r="B57" s="774" t="s">
        <v>383</v>
      </c>
      <c r="C57" s="261"/>
      <c r="D57" s="270">
        <f ca="1">IFERROR(OFFSET(INDIRECT(#REF!),MATCH([2]Development_Schedule_EK!$E54,INDIRECT(#REF!),0)-1,MATCH([2]Development_Schedule_EK!$B54,INDIRECT(#REF!),0),1,1),0)</f>
        <v>0</v>
      </c>
      <c r="E57" s="263"/>
      <c r="F57" s="260">
        <f ca="1">IFERROR(OFFSET(INDIRECT(#REF!),MATCH([2]Development_Schedule_EK!I$6,INDIRECT(#REF!),0)-1,MATCH([2]Development_Schedule_EK!$B54,INDIRECT(#REF!),0),1,1)*$D57,0)</f>
        <v>0</v>
      </c>
      <c r="G57" s="260">
        <f ca="1">IFERROR(OFFSET(INDIRECT(#REF!),MATCH([2]Development_Schedule_EK!J$6,INDIRECT(#REF!),0)-1,MATCH([2]Development_Schedule_EK!$B54,INDIRECT(#REF!),0),1,1)*$D57,0)</f>
        <v>0</v>
      </c>
      <c r="H57" s="265">
        <f ca="1">IFERROR(OFFSET(INDIRECT(#REF!),MATCH([2]Development_Schedule_EK!K$6,INDIRECT(#REF!),0)-1,MATCH([2]Development_Schedule_EK!$B54,INDIRECT(#REF!),0),1,1)*$D57,0)</f>
        <v>0</v>
      </c>
      <c r="I57" s="260">
        <f ca="1">IFERROR(OFFSET(INDIRECT(#REF!),MATCH([2]Development_Schedule_EK!L$6,INDIRECT(#REF!),0)-1,MATCH([2]Development_Schedule_EK!$B54,INDIRECT(#REF!),0),1,1)*$D57,0)</f>
        <v>0</v>
      </c>
      <c r="J57" s="260">
        <f ca="1">IFERROR(OFFSET(INDIRECT(#REF!),MATCH([2]Development_Schedule_EK!M$6,INDIRECT(#REF!),0)-1,MATCH([2]Development_Schedule_EK!$B54,INDIRECT(#REF!),0),1,1)*$D57,0)</f>
        <v>0</v>
      </c>
      <c r="K57" s="260">
        <f ca="1">IFERROR(OFFSET(INDIRECT(#REF!),MATCH([2]Development_Schedule_EK!N$6,INDIRECT(#REF!),0)-1,MATCH([2]Development_Schedule_EK!$B54,INDIRECT(#REF!),0),1,1)*$D57,0)</f>
        <v>0</v>
      </c>
      <c r="L57" s="265">
        <f ca="1">IFERROR(OFFSET(INDIRECT(#REF!),MATCH([2]Development_Schedule_EK!O$6,INDIRECT(#REF!),0)-1,MATCH([2]Development_Schedule_EK!$B54,INDIRECT(#REF!),0),1,1)*$D57,0)</f>
        <v>0</v>
      </c>
      <c r="M57" s="260">
        <f ca="1">IFERROR(OFFSET(INDIRECT(#REF!),MATCH([2]Development_Schedule_EK!P$6,INDIRECT(#REF!),0)-1,MATCH([2]Development_Schedule_EK!$B54,INDIRECT(#REF!),0),1,1)*$D57,0)</f>
        <v>0</v>
      </c>
      <c r="N57" s="260">
        <f ca="1">IFERROR(OFFSET(INDIRECT(#REF!),MATCH([2]Development_Schedule_EK!Q$6,INDIRECT(#REF!),0)-1,MATCH([2]Development_Schedule_EK!$B54,INDIRECT(#REF!),0),1,1)*$D57,0)</f>
        <v>0</v>
      </c>
      <c r="O57" s="265">
        <f ca="1">IFERROR(OFFSET(INDIRECT(#REF!),MATCH([2]Development_Schedule_EK!R$6,INDIRECT(#REF!),0)-1,MATCH([2]Development_Schedule_EK!$B54,INDIRECT(#REF!),0),1,1)*$D57,0)</f>
        <v>0</v>
      </c>
      <c r="P57" s="183"/>
      <c r="Q57" s="184"/>
      <c r="R57" s="183"/>
    </row>
    <row r="58" spans="1:18" x14ac:dyDescent="0.25">
      <c r="A58" s="284">
        <v>2</v>
      </c>
      <c r="B58" s="774" t="s">
        <v>384</v>
      </c>
      <c r="C58" s="261"/>
      <c r="D58" s="270">
        <f ca="1">IFERROR(OFFSET(INDIRECT(#REF!),MATCH([2]Development_Schedule_EK!$E55,INDIRECT(#REF!),0)-1,MATCH([2]Development_Schedule_EK!$B55,INDIRECT(#REF!),0),1,1),0)</f>
        <v>0</v>
      </c>
      <c r="E58" s="263"/>
      <c r="F58" s="260">
        <f ca="1">IFERROR(OFFSET(INDIRECT(#REF!),MATCH([2]Development_Schedule_EK!I$6,INDIRECT(#REF!),0)-1,MATCH([2]Development_Schedule_EK!$B55,INDIRECT(#REF!),0),1,1)*$D58,0)</f>
        <v>0</v>
      </c>
      <c r="G58" s="260">
        <f ca="1">IFERROR(OFFSET(INDIRECT(#REF!),MATCH([2]Development_Schedule_EK!J$6,INDIRECT(#REF!),0)-1,MATCH([2]Development_Schedule_EK!$B55,INDIRECT(#REF!),0),1,1)*$D58,0)</f>
        <v>0</v>
      </c>
      <c r="H58" s="265">
        <f ca="1">IFERROR(OFFSET(INDIRECT(#REF!),MATCH([2]Development_Schedule_EK!K$6,INDIRECT(#REF!),0)-1,MATCH([2]Development_Schedule_EK!$B55,INDIRECT(#REF!),0),1,1)*$D58,0)</f>
        <v>0</v>
      </c>
      <c r="I58" s="260">
        <f ca="1">IFERROR(OFFSET(INDIRECT(#REF!),MATCH([2]Development_Schedule_EK!L$6,INDIRECT(#REF!),0)-1,MATCH([2]Development_Schedule_EK!$B55,INDIRECT(#REF!),0),1,1)*$D58,0)</f>
        <v>0</v>
      </c>
      <c r="J58" s="260">
        <f ca="1">IFERROR(OFFSET(INDIRECT(#REF!),MATCH([2]Development_Schedule_EK!M$6,INDIRECT(#REF!),0)-1,MATCH([2]Development_Schedule_EK!$B55,INDIRECT(#REF!),0),1,1)*$D58,0)</f>
        <v>0</v>
      </c>
      <c r="K58" s="260">
        <f ca="1">IFERROR(OFFSET(INDIRECT(#REF!),MATCH([2]Development_Schedule_EK!N$6,INDIRECT(#REF!),0)-1,MATCH([2]Development_Schedule_EK!$B55,INDIRECT(#REF!),0),1,1)*$D58,0)</f>
        <v>0</v>
      </c>
      <c r="L58" s="265">
        <f ca="1">IFERROR(OFFSET(INDIRECT(#REF!),MATCH([2]Development_Schedule_EK!O$6,INDIRECT(#REF!),0)-1,MATCH([2]Development_Schedule_EK!$B55,INDIRECT(#REF!),0),1,1)*$D58,0)</f>
        <v>0</v>
      </c>
      <c r="M58" s="260">
        <f ca="1">IFERROR(OFFSET(INDIRECT(#REF!),MATCH([2]Development_Schedule_EK!P$6,INDIRECT(#REF!),0)-1,MATCH([2]Development_Schedule_EK!$B55,INDIRECT(#REF!),0),1,1)*$D58,0)</f>
        <v>0</v>
      </c>
      <c r="N58" s="260">
        <f ca="1">IFERROR(OFFSET(INDIRECT(#REF!),MATCH([2]Development_Schedule_EK!Q$6,INDIRECT(#REF!),0)-1,MATCH([2]Development_Schedule_EK!$B55,INDIRECT(#REF!),0),1,1)*$D58,0)</f>
        <v>0</v>
      </c>
      <c r="O58" s="265">
        <f ca="1">IFERROR(OFFSET(INDIRECT(#REF!),MATCH([2]Development_Schedule_EK!R$6,INDIRECT(#REF!),0)-1,MATCH([2]Development_Schedule_EK!$B55,INDIRECT(#REF!),0),1,1)*$D58,0)</f>
        <v>0</v>
      </c>
      <c r="P58" s="183"/>
      <c r="Q58" s="184"/>
      <c r="R58" s="183"/>
    </row>
    <row r="59" spans="1:18" x14ac:dyDescent="0.25">
      <c r="A59" s="284">
        <v>2</v>
      </c>
      <c r="B59" s="774" t="s">
        <v>35</v>
      </c>
      <c r="C59" s="261"/>
      <c r="D59" s="270">
        <f ca="1">IFERROR(OFFSET(INDIRECT(#REF!),MATCH([2]Development_Schedule_EK!$E56,INDIRECT(#REF!),0)-1,MATCH([2]Development_Schedule_EK!$B56,INDIRECT(#REF!),0),1,1),0)</f>
        <v>0</v>
      </c>
      <c r="E59" s="263"/>
      <c r="F59" s="260">
        <f ca="1">IFERROR(OFFSET(INDIRECT(#REF!),MATCH([2]Development_Schedule_EK!I$6,INDIRECT(#REF!),0)-1,MATCH([2]Development_Schedule_EK!$B56,INDIRECT(#REF!),0),1,1)*$D59,0)</f>
        <v>0</v>
      </c>
      <c r="G59" s="260">
        <f ca="1">IFERROR(OFFSET(INDIRECT(#REF!),MATCH([2]Development_Schedule_EK!J$6,INDIRECT(#REF!),0)-1,MATCH([2]Development_Schedule_EK!$B56,INDIRECT(#REF!),0),1,1)*$D59,0)</f>
        <v>0</v>
      </c>
      <c r="H59" s="265">
        <f ca="1">IFERROR(OFFSET(INDIRECT(#REF!),MATCH([2]Development_Schedule_EK!K$6,INDIRECT(#REF!),0)-1,MATCH([2]Development_Schedule_EK!$B56,INDIRECT(#REF!),0),1,1)*$D59,0)</f>
        <v>0</v>
      </c>
      <c r="I59" s="260">
        <f ca="1">IFERROR(OFFSET(INDIRECT(#REF!),MATCH([2]Development_Schedule_EK!L$6,INDIRECT(#REF!),0)-1,MATCH([2]Development_Schedule_EK!$B56,INDIRECT(#REF!),0),1,1)*$D59,0)</f>
        <v>0</v>
      </c>
      <c r="J59" s="260">
        <f ca="1">IFERROR(OFFSET(INDIRECT(#REF!),MATCH([2]Development_Schedule_EK!M$6,INDIRECT(#REF!),0)-1,MATCH([2]Development_Schedule_EK!$B56,INDIRECT(#REF!),0),1,1)*$D59,0)</f>
        <v>0</v>
      </c>
      <c r="K59" s="260">
        <f ca="1">IFERROR(OFFSET(INDIRECT(#REF!),MATCH([2]Development_Schedule_EK!N$6,INDIRECT(#REF!),0)-1,MATCH([2]Development_Schedule_EK!$B56,INDIRECT(#REF!),0),1,1)*$D59,0)</f>
        <v>0</v>
      </c>
      <c r="L59" s="265">
        <f ca="1">IFERROR(OFFSET(INDIRECT(#REF!),MATCH([2]Development_Schedule_EK!O$6,INDIRECT(#REF!),0)-1,MATCH([2]Development_Schedule_EK!$B56,INDIRECT(#REF!),0),1,1)*$D59,0)</f>
        <v>0</v>
      </c>
      <c r="M59" s="260">
        <f ca="1">IFERROR(OFFSET(INDIRECT(#REF!),MATCH([2]Development_Schedule_EK!P$6,INDIRECT(#REF!),0)-1,MATCH([2]Development_Schedule_EK!$B56,INDIRECT(#REF!),0),1,1)*$D59,0)</f>
        <v>0</v>
      </c>
      <c r="N59" s="260">
        <f ca="1">IFERROR(OFFSET(INDIRECT(#REF!),MATCH([2]Development_Schedule_EK!Q$6,INDIRECT(#REF!),0)-1,MATCH([2]Development_Schedule_EK!$B56,INDIRECT(#REF!),0),1,1)*$D59,0)</f>
        <v>0</v>
      </c>
      <c r="O59" s="265">
        <f ca="1">IFERROR(OFFSET(INDIRECT(#REF!),MATCH([2]Development_Schedule_EK!R$6,INDIRECT(#REF!),0)-1,MATCH([2]Development_Schedule_EK!$B56,INDIRECT(#REF!),0),1,1)*$D59,0)</f>
        <v>0</v>
      </c>
      <c r="P59" s="183"/>
      <c r="Q59" s="184"/>
      <c r="R59" s="183"/>
    </row>
    <row r="60" spans="1:18" x14ac:dyDescent="0.25">
      <c r="A60" s="284">
        <v>2</v>
      </c>
      <c r="B60" s="774" t="s">
        <v>355</v>
      </c>
      <c r="C60" s="261"/>
      <c r="D60" s="270">
        <f ca="1">IFERROR(OFFSET(INDIRECT(#REF!),MATCH([2]Development_Schedule_EK!$E57,INDIRECT(#REF!),0)-1,MATCH([2]Development_Schedule_EK!$B57,INDIRECT(#REF!),0),1,1),0)</f>
        <v>0</v>
      </c>
      <c r="E60" s="263"/>
      <c r="F60" s="260">
        <f ca="1">IFERROR(OFFSET(INDIRECT(#REF!),MATCH([2]Development_Schedule_EK!I$6,INDIRECT(#REF!),0)-1,MATCH([2]Development_Schedule_EK!$B57,INDIRECT(#REF!),0),1,1)*$D60,0)</f>
        <v>0</v>
      </c>
      <c r="G60" s="260">
        <f ca="1">IFERROR(OFFSET(INDIRECT(#REF!),MATCH([2]Development_Schedule_EK!J$6,INDIRECT(#REF!),0)-1,MATCH([2]Development_Schedule_EK!$B57,INDIRECT(#REF!),0),1,1)*$D60,0)</f>
        <v>0</v>
      </c>
      <c r="H60" s="265">
        <f ca="1">IFERROR(OFFSET(INDIRECT(#REF!),MATCH([2]Development_Schedule_EK!K$6,INDIRECT(#REF!),0)-1,MATCH([2]Development_Schedule_EK!$B57,INDIRECT(#REF!),0),1,1)*$D60,0)</f>
        <v>0</v>
      </c>
      <c r="I60" s="260">
        <f ca="1">IFERROR(OFFSET(INDIRECT(#REF!),MATCH([2]Development_Schedule_EK!L$6,INDIRECT(#REF!),0)-1,MATCH([2]Development_Schedule_EK!$B57,INDIRECT(#REF!),0),1,1)*$D60,0)</f>
        <v>0</v>
      </c>
      <c r="J60" s="260">
        <f ca="1">IFERROR(OFFSET(INDIRECT(#REF!),MATCH([2]Development_Schedule_EK!M$6,INDIRECT(#REF!),0)-1,MATCH([2]Development_Schedule_EK!$B57,INDIRECT(#REF!),0),1,1)*$D60,0)</f>
        <v>0</v>
      </c>
      <c r="K60" s="260">
        <f ca="1">IFERROR(OFFSET(INDIRECT(#REF!),MATCH([2]Development_Schedule_EK!N$6,INDIRECT(#REF!),0)-1,MATCH([2]Development_Schedule_EK!$B57,INDIRECT(#REF!),0),1,1)*$D60,0)</f>
        <v>0</v>
      </c>
      <c r="L60" s="265">
        <f ca="1">IFERROR(OFFSET(INDIRECT(#REF!),MATCH([2]Development_Schedule_EK!O$6,INDIRECT(#REF!),0)-1,MATCH([2]Development_Schedule_EK!$B57,INDIRECT(#REF!),0),1,1)*$D60,0)</f>
        <v>0</v>
      </c>
      <c r="M60" s="260">
        <f ca="1">IFERROR(OFFSET(INDIRECT(#REF!),MATCH([2]Development_Schedule_EK!P$6,INDIRECT(#REF!),0)-1,MATCH([2]Development_Schedule_EK!$B57,INDIRECT(#REF!),0),1,1)*$D60,0)</f>
        <v>0</v>
      </c>
      <c r="N60" s="260">
        <f ca="1">IFERROR(OFFSET(INDIRECT(#REF!),MATCH([2]Development_Schedule_EK!Q$6,INDIRECT(#REF!),0)-1,MATCH([2]Development_Schedule_EK!$B57,INDIRECT(#REF!),0),1,1)*$D60,0)</f>
        <v>0</v>
      </c>
      <c r="O60" s="265">
        <f ca="1">IFERROR(OFFSET(INDIRECT(#REF!),MATCH([2]Development_Schedule_EK!R$6,INDIRECT(#REF!),0)-1,MATCH([2]Development_Schedule_EK!$B57,INDIRECT(#REF!),0),1,1)*$D60,0)</f>
        <v>0</v>
      </c>
      <c r="P60" s="183"/>
      <c r="Q60" s="184"/>
      <c r="R60" s="183"/>
    </row>
    <row r="61" spans="1:18" x14ac:dyDescent="0.25">
      <c r="A61" s="284">
        <v>2</v>
      </c>
      <c r="B61" s="774" t="s">
        <v>356</v>
      </c>
      <c r="C61" s="261"/>
      <c r="D61" s="270">
        <f ca="1">IFERROR(OFFSET(INDIRECT(#REF!),MATCH([2]Development_Schedule_EK!$E58,INDIRECT(#REF!),0)-1,MATCH([2]Development_Schedule_EK!$B58,INDIRECT(#REF!),0),1,1),0)</f>
        <v>0</v>
      </c>
      <c r="E61" s="263"/>
      <c r="F61" s="260">
        <f ca="1">IFERROR(OFFSET(INDIRECT(#REF!),MATCH([2]Development_Schedule_EK!I$6,INDIRECT(#REF!),0)-1,MATCH([2]Development_Schedule_EK!$B58,INDIRECT(#REF!),0),1,1)*$D61,0)</f>
        <v>0</v>
      </c>
      <c r="G61" s="260">
        <f ca="1">IFERROR(OFFSET(INDIRECT(#REF!),MATCH([2]Development_Schedule_EK!J$6,INDIRECT(#REF!),0)-1,MATCH([2]Development_Schedule_EK!$B58,INDIRECT(#REF!),0),1,1)*$D61,0)</f>
        <v>0</v>
      </c>
      <c r="H61" s="265">
        <f ca="1">IFERROR(OFFSET(INDIRECT(#REF!),MATCH([2]Development_Schedule_EK!K$6,INDIRECT(#REF!),0)-1,MATCH([2]Development_Schedule_EK!$B58,INDIRECT(#REF!),0),1,1)*$D61,0)</f>
        <v>0</v>
      </c>
      <c r="I61" s="260">
        <f ca="1">IFERROR(OFFSET(INDIRECT(#REF!),MATCH([2]Development_Schedule_EK!L$6,INDIRECT(#REF!),0)-1,MATCH([2]Development_Schedule_EK!$B58,INDIRECT(#REF!),0),1,1)*$D61,0)</f>
        <v>0</v>
      </c>
      <c r="J61" s="260">
        <f ca="1">IFERROR(OFFSET(INDIRECT(#REF!),MATCH([2]Development_Schedule_EK!M$6,INDIRECT(#REF!),0)-1,MATCH([2]Development_Schedule_EK!$B58,INDIRECT(#REF!),0),1,1)*$D61,0)</f>
        <v>0</v>
      </c>
      <c r="K61" s="260">
        <f ca="1">IFERROR(OFFSET(INDIRECT(#REF!),MATCH([2]Development_Schedule_EK!N$6,INDIRECT(#REF!),0)-1,MATCH([2]Development_Schedule_EK!$B58,INDIRECT(#REF!),0),1,1)*$D61,0)</f>
        <v>0</v>
      </c>
      <c r="L61" s="265">
        <f ca="1">IFERROR(OFFSET(INDIRECT(#REF!),MATCH([2]Development_Schedule_EK!O$6,INDIRECT(#REF!),0)-1,MATCH([2]Development_Schedule_EK!$B58,INDIRECT(#REF!),0),1,1)*$D61,0)</f>
        <v>0</v>
      </c>
      <c r="M61" s="260">
        <f ca="1">IFERROR(OFFSET(INDIRECT(#REF!),MATCH([2]Development_Schedule_EK!P$6,INDIRECT(#REF!),0)-1,MATCH([2]Development_Schedule_EK!$B58,INDIRECT(#REF!),0),1,1)*$D61,0)</f>
        <v>0</v>
      </c>
      <c r="N61" s="260">
        <f ca="1">IFERROR(OFFSET(INDIRECT(#REF!),MATCH([2]Development_Schedule_EK!Q$6,INDIRECT(#REF!),0)-1,MATCH([2]Development_Schedule_EK!$B58,INDIRECT(#REF!),0),1,1)*$D61,0)</f>
        <v>0</v>
      </c>
      <c r="O61" s="265">
        <f ca="1">IFERROR(OFFSET(INDIRECT(#REF!),MATCH([2]Development_Schedule_EK!R$6,INDIRECT(#REF!),0)-1,MATCH([2]Development_Schedule_EK!$B58,INDIRECT(#REF!),0),1,1)*$D61,0)</f>
        <v>0</v>
      </c>
      <c r="P61" s="183"/>
      <c r="Q61" s="184"/>
      <c r="R61" s="183"/>
    </row>
    <row r="62" spans="1:18" x14ac:dyDescent="0.25">
      <c r="A62" s="284">
        <v>2</v>
      </c>
      <c r="B62" s="774" t="s">
        <v>357</v>
      </c>
      <c r="C62" s="261"/>
      <c r="D62" s="270">
        <f ca="1">IFERROR(OFFSET(INDIRECT(#REF!),MATCH([2]Development_Schedule_EK!$E59,INDIRECT(#REF!),0)-1,MATCH([2]Development_Schedule_EK!$B59,INDIRECT(#REF!),0),1,1),0)</f>
        <v>0</v>
      </c>
      <c r="E62" s="263"/>
      <c r="F62" s="260">
        <f ca="1">IFERROR(OFFSET(INDIRECT(#REF!),MATCH([2]Development_Schedule_EK!I$6,INDIRECT(#REF!),0)-1,MATCH([2]Development_Schedule_EK!$B59,INDIRECT(#REF!),0),1,1)*$D62,0)</f>
        <v>0</v>
      </c>
      <c r="G62" s="260">
        <f ca="1">IFERROR(OFFSET(INDIRECT(#REF!),MATCH([2]Development_Schedule_EK!J$6,INDIRECT(#REF!),0)-1,MATCH([2]Development_Schedule_EK!$B59,INDIRECT(#REF!),0),1,1)*$D62,0)</f>
        <v>0</v>
      </c>
      <c r="H62" s="265">
        <f ca="1">IFERROR(OFFSET(INDIRECT(#REF!),MATCH([2]Development_Schedule_EK!K$6,INDIRECT(#REF!),0)-1,MATCH([2]Development_Schedule_EK!$B59,INDIRECT(#REF!),0),1,1)*$D62,0)</f>
        <v>0</v>
      </c>
      <c r="I62" s="260">
        <f ca="1">IFERROR(OFFSET(INDIRECT(#REF!),MATCH([2]Development_Schedule_EK!L$6,INDIRECT(#REF!),0)-1,MATCH([2]Development_Schedule_EK!$B59,INDIRECT(#REF!),0),1,1)*$D62,0)</f>
        <v>0</v>
      </c>
      <c r="J62" s="260">
        <f ca="1">IFERROR(OFFSET(INDIRECT(#REF!),MATCH([2]Development_Schedule_EK!M$6,INDIRECT(#REF!),0)-1,MATCH([2]Development_Schedule_EK!$B59,INDIRECT(#REF!),0),1,1)*$D62,0)</f>
        <v>0</v>
      </c>
      <c r="K62" s="260">
        <f ca="1">IFERROR(OFFSET(INDIRECT(#REF!),MATCH([2]Development_Schedule_EK!N$6,INDIRECT(#REF!),0)-1,MATCH([2]Development_Schedule_EK!$B59,INDIRECT(#REF!),0),1,1)*$D62,0)</f>
        <v>0</v>
      </c>
      <c r="L62" s="265">
        <f ca="1">IFERROR(OFFSET(INDIRECT(#REF!),MATCH([2]Development_Schedule_EK!O$6,INDIRECT(#REF!),0)-1,MATCH([2]Development_Schedule_EK!$B59,INDIRECT(#REF!),0),1,1)*$D62,0)</f>
        <v>0</v>
      </c>
      <c r="M62" s="260">
        <f ca="1">IFERROR(OFFSET(INDIRECT(#REF!),MATCH([2]Development_Schedule_EK!P$6,INDIRECT(#REF!),0)-1,MATCH([2]Development_Schedule_EK!$B59,INDIRECT(#REF!),0),1,1)*$D62,0)</f>
        <v>0</v>
      </c>
      <c r="N62" s="260">
        <f ca="1">IFERROR(OFFSET(INDIRECT(#REF!),MATCH([2]Development_Schedule_EK!Q$6,INDIRECT(#REF!),0)-1,MATCH([2]Development_Schedule_EK!$B59,INDIRECT(#REF!),0),1,1)*$D62,0)</f>
        <v>0</v>
      </c>
      <c r="O62" s="265">
        <f ca="1">IFERROR(OFFSET(INDIRECT(#REF!),MATCH([2]Development_Schedule_EK!R$6,INDIRECT(#REF!),0)-1,MATCH([2]Development_Schedule_EK!$B59,INDIRECT(#REF!),0),1,1)*$D62,0)</f>
        <v>0</v>
      </c>
      <c r="P62" s="183"/>
      <c r="Q62" s="184"/>
      <c r="R62" s="183"/>
    </row>
    <row r="63" spans="1:18" x14ac:dyDescent="0.25">
      <c r="A63" s="284">
        <v>2</v>
      </c>
      <c r="B63" s="774" t="s">
        <v>358</v>
      </c>
      <c r="C63" s="261"/>
      <c r="D63" s="270">
        <f ca="1">IFERROR(OFFSET(INDIRECT(#REF!),MATCH([2]Development_Schedule_EK!$E60,INDIRECT(#REF!),0)-1,MATCH([2]Development_Schedule_EK!$B60,INDIRECT(#REF!),0),1,1),0)</f>
        <v>0</v>
      </c>
      <c r="E63" s="263"/>
      <c r="F63" s="260">
        <f ca="1">IFERROR(OFFSET(INDIRECT(#REF!),MATCH([2]Development_Schedule_EK!I$6,INDIRECT(#REF!),0)-1,MATCH([2]Development_Schedule_EK!$B60,INDIRECT(#REF!),0),1,1)*$D63,0)</f>
        <v>0</v>
      </c>
      <c r="G63" s="260">
        <f ca="1">IFERROR(OFFSET(INDIRECT(#REF!),MATCH([2]Development_Schedule_EK!J$6,INDIRECT(#REF!),0)-1,MATCH([2]Development_Schedule_EK!$B60,INDIRECT(#REF!),0),1,1)*$D63,0)</f>
        <v>0</v>
      </c>
      <c r="H63" s="265">
        <f ca="1">IFERROR(OFFSET(INDIRECT(#REF!),MATCH([2]Development_Schedule_EK!K$6,INDIRECT(#REF!),0)-1,MATCH([2]Development_Schedule_EK!$B60,INDIRECT(#REF!),0),1,1)*$D63,0)</f>
        <v>0</v>
      </c>
      <c r="I63" s="260">
        <f ca="1">IFERROR(OFFSET(INDIRECT(#REF!),MATCH([2]Development_Schedule_EK!L$6,INDIRECT(#REF!),0)-1,MATCH([2]Development_Schedule_EK!$B60,INDIRECT(#REF!),0),1,1)*$D63,0)</f>
        <v>0</v>
      </c>
      <c r="J63" s="260">
        <f ca="1">IFERROR(OFFSET(INDIRECT(#REF!),MATCH([2]Development_Schedule_EK!M$6,INDIRECT(#REF!),0)-1,MATCH([2]Development_Schedule_EK!$B60,INDIRECT(#REF!),0),1,1)*$D63,0)</f>
        <v>0</v>
      </c>
      <c r="K63" s="260">
        <f ca="1">IFERROR(OFFSET(INDIRECT(#REF!),MATCH([2]Development_Schedule_EK!N$6,INDIRECT(#REF!),0)-1,MATCH([2]Development_Schedule_EK!$B60,INDIRECT(#REF!),0),1,1)*$D63,0)</f>
        <v>0</v>
      </c>
      <c r="L63" s="265">
        <f ca="1">IFERROR(OFFSET(INDIRECT(#REF!),MATCH([2]Development_Schedule_EK!O$6,INDIRECT(#REF!),0)-1,MATCH([2]Development_Schedule_EK!$B60,INDIRECT(#REF!),0),1,1)*$D63,0)</f>
        <v>0</v>
      </c>
      <c r="M63" s="260">
        <f ca="1">IFERROR(OFFSET(INDIRECT(#REF!),MATCH([2]Development_Schedule_EK!P$6,INDIRECT(#REF!),0)-1,MATCH([2]Development_Schedule_EK!$B60,INDIRECT(#REF!),0),1,1)*$D63,0)</f>
        <v>0</v>
      </c>
      <c r="N63" s="260">
        <f ca="1">IFERROR(OFFSET(INDIRECT(#REF!),MATCH([2]Development_Schedule_EK!Q$6,INDIRECT(#REF!),0)-1,MATCH([2]Development_Schedule_EK!$B60,INDIRECT(#REF!),0),1,1)*$D63,0)</f>
        <v>0</v>
      </c>
      <c r="O63" s="265">
        <f ca="1">IFERROR(OFFSET(INDIRECT(#REF!),MATCH([2]Development_Schedule_EK!R$6,INDIRECT(#REF!),0)-1,MATCH([2]Development_Schedule_EK!$B60,INDIRECT(#REF!),0),1,1)*$D63,0)</f>
        <v>0</v>
      </c>
      <c r="P63" s="183"/>
      <c r="Q63" s="184"/>
      <c r="R63" s="183"/>
    </row>
    <row r="64" spans="1:18" x14ac:dyDescent="0.25">
      <c r="A64" s="284">
        <v>2</v>
      </c>
      <c r="B64" s="774" t="s">
        <v>359</v>
      </c>
      <c r="C64" s="261"/>
      <c r="D64" s="270">
        <f ca="1">IFERROR(OFFSET(INDIRECT(#REF!),MATCH([2]Development_Schedule_EK!$E61,INDIRECT(#REF!),0)-1,MATCH([2]Development_Schedule_EK!$B61,INDIRECT(#REF!),0),1,1),0)</f>
        <v>0</v>
      </c>
      <c r="E64" s="263"/>
      <c r="F64" s="260">
        <f ca="1">IFERROR(OFFSET(INDIRECT(#REF!),MATCH([2]Development_Schedule_EK!I$6,INDIRECT(#REF!),0)-1,MATCH([2]Development_Schedule_EK!$B61,INDIRECT(#REF!),0),1,1)*$D64,0)</f>
        <v>0</v>
      </c>
      <c r="G64" s="260">
        <f ca="1">IFERROR(OFFSET(INDIRECT(#REF!),MATCH([2]Development_Schedule_EK!J$6,INDIRECT(#REF!),0)-1,MATCH([2]Development_Schedule_EK!$B61,INDIRECT(#REF!),0),1,1)*$D64,0)</f>
        <v>0</v>
      </c>
      <c r="H64" s="265">
        <f ca="1">IFERROR(OFFSET(INDIRECT(#REF!),MATCH([2]Development_Schedule_EK!K$6,INDIRECT(#REF!),0)-1,MATCH([2]Development_Schedule_EK!$B61,INDIRECT(#REF!),0),1,1)*$D64,0)</f>
        <v>0</v>
      </c>
      <c r="I64" s="260">
        <f ca="1">IFERROR(OFFSET(INDIRECT(#REF!),MATCH([2]Development_Schedule_EK!L$6,INDIRECT(#REF!),0)-1,MATCH([2]Development_Schedule_EK!$B61,INDIRECT(#REF!),0),1,1)*$D64,0)</f>
        <v>0</v>
      </c>
      <c r="J64" s="260">
        <f ca="1">IFERROR(OFFSET(INDIRECT(#REF!),MATCH([2]Development_Schedule_EK!M$6,INDIRECT(#REF!),0)-1,MATCH([2]Development_Schedule_EK!$B61,INDIRECT(#REF!),0),1,1)*$D64,0)</f>
        <v>0</v>
      </c>
      <c r="K64" s="260">
        <f ca="1">IFERROR(OFFSET(INDIRECT(#REF!),MATCH([2]Development_Schedule_EK!N$6,INDIRECT(#REF!),0)-1,MATCH([2]Development_Schedule_EK!$B61,INDIRECT(#REF!),0),1,1)*$D64,0)</f>
        <v>0</v>
      </c>
      <c r="L64" s="265">
        <f ca="1">IFERROR(OFFSET(INDIRECT(#REF!),MATCH([2]Development_Schedule_EK!O$6,INDIRECT(#REF!),0)-1,MATCH([2]Development_Schedule_EK!$B61,INDIRECT(#REF!),0),1,1)*$D64,0)</f>
        <v>0</v>
      </c>
      <c r="M64" s="260">
        <f ca="1">IFERROR(OFFSET(INDIRECT(#REF!),MATCH([2]Development_Schedule_EK!P$6,INDIRECT(#REF!),0)-1,MATCH([2]Development_Schedule_EK!$B61,INDIRECT(#REF!),0),1,1)*$D64,0)</f>
        <v>0</v>
      </c>
      <c r="N64" s="260">
        <f ca="1">IFERROR(OFFSET(INDIRECT(#REF!),MATCH([2]Development_Schedule_EK!Q$6,INDIRECT(#REF!),0)-1,MATCH([2]Development_Schedule_EK!$B61,INDIRECT(#REF!),0),1,1)*$D64,0)</f>
        <v>0</v>
      </c>
      <c r="O64" s="265">
        <f ca="1">IFERROR(OFFSET(INDIRECT(#REF!),MATCH([2]Development_Schedule_EK!R$6,INDIRECT(#REF!),0)-1,MATCH([2]Development_Schedule_EK!$B61,INDIRECT(#REF!),0),1,1)*$D64,0)</f>
        <v>0</v>
      </c>
      <c r="P64" s="183"/>
      <c r="Q64" s="184"/>
      <c r="R64" s="183"/>
    </row>
    <row r="65" spans="1:18" x14ac:dyDescent="0.25">
      <c r="A65" s="284">
        <v>2</v>
      </c>
      <c r="B65" s="774" t="s">
        <v>33</v>
      </c>
      <c r="C65" s="261"/>
      <c r="D65" s="270">
        <v>48600</v>
      </c>
      <c r="E65" s="263"/>
      <c r="F65" s="260">
        <f ca="1">IFERROR(OFFSET(INDIRECT(#REF!),MATCH([2]Development_Schedule_EK!I$6,INDIRECT(#REF!),0)-1,MATCH([2]Development_Schedule_EK!$B63,INDIRECT(#REF!),0),1,1)*$D65,0)</f>
        <v>0</v>
      </c>
      <c r="G65" s="260">
        <f ca="1">IFERROR(OFFSET(INDIRECT(#REF!),MATCH([2]Development_Schedule_EK!J$6,INDIRECT(#REF!),0)-1,MATCH([2]Development_Schedule_EK!$B63,INDIRECT(#REF!),0),1,1)*$D65,0)</f>
        <v>0</v>
      </c>
      <c r="H65" s="265">
        <f ca="1">IFERROR(OFFSET(INDIRECT(#REF!),MATCH([2]Development_Schedule_EK!K$6,INDIRECT(#REF!),0)-1,MATCH([2]Development_Schedule_EK!$B63,INDIRECT(#REF!),0),1,1)*$D65,0)</f>
        <v>0</v>
      </c>
      <c r="I65" s="260">
        <f ca="1">IFERROR(OFFSET(INDIRECT(#REF!),MATCH([2]Development_Schedule_EK!L$6,INDIRECT(#REF!),0)-1,MATCH([2]Development_Schedule_EK!$B62,INDIRECT(#REF!),0),1,1)*$D65,0)</f>
        <v>0</v>
      </c>
      <c r="J65" s="260">
        <f>D65/2</f>
        <v>24300</v>
      </c>
      <c r="K65" s="260">
        <f>J65</f>
        <v>24300</v>
      </c>
      <c r="L65" s="265">
        <f ca="1">IFERROR(OFFSET(INDIRECT(#REF!),MATCH([2]Development_Schedule_EK!O$6,INDIRECT(#REF!),0)-1,MATCH([2]Development_Schedule_EK!$B62,INDIRECT(#REF!),0),1,1)*$D65,0)</f>
        <v>0</v>
      </c>
      <c r="M65" s="260">
        <f ca="1">IFERROR(OFFSET(INDIRECT(#REF!),MATCH([2]Development_Schedule_EK!P$6,INDIRECT(#REF!),0)-1,MATCH([2]Development_Schedule_EK!$B63,INDIRECT(#REF!),0),1,1)*$D65,0)</f>
        <v>0</v>
      </c>
      <c r="N65" s="260">
        <f ca="1">IFERROR(OFFSET(INDIRECT(#REF!),MATCH([2]Development_Schedule_EK!Q$6,INDIRECT(#REF!),0)-1,MATCH([2]Development_Schedule_EK!$B63,INDIRECT(#REF!),0),1,1)*$D65,0)</f>
        <v>0</v>
      </c>
      <c r="O65" s="265">
        <f ca="1">IFERROR(OFFSET(INDIRECT(#REF!),MATCH([2]Development_Schedule_EK!R$6,INDIRECT(#REF!),0)-1,MATCH([2]Development_Schedule_EK!$B63,INDIRECT(#REF!),0),1,1)*$D65,0)</f>
        <v>0</v>
      </c>
      <c r="P65" s="183"/>
      <c r="Q65" s="184"/>
      <c r="R65" s="183"/>
    </row>
    <row r="66" spans="1:18" x14ac:dyDescent="0.25">
      <c r="A66" s="284">
        <v>2</v>
      </c>
      <c r="B66" s="774" t="s">
        <v>42</v>
      </c>
      <c r="C66" s="261"/>
      <c r="D66" s="270">
        <v>6075</v>
      </c>
      <c r="E66" s="263"/>
      <c r="F66" s="260">
        <f ca="1">IFERROR(OFFSET(INDIRECT(#REF!),MATCH([2]Development_Schedule_EK!I$6,INDIRECT(#REF!),0)-1,MATCH([2]Development_Schedule_EK!$B63,INDIRECT(#REF!),0),1,1)*$D66,0)</f>
        <v>0</v>
      </c>
      <c r="G66" s="260">
        <f ca="1">IFERROR(OFFSET(INDIRECT(#REF!),MATCH([2]Development_Schedule_EK!J$6,INDIRECT(#REF!),0)-1,MATCH([2]Development_Schedule_EK!$B63,INDIRECT(#REF!),0),1,1)*$D66,0)</f>
        <v>0</v>
      </c>
      <c r="H66" s="265">
        <f ca="1">IFERROR(OFFSET(INDIRECT(#REF!),MATCH([2]Development_Schedule_EK!K$6,INDIRECT(#REF!),0)-1,MATCH([2]Development_Schedule_EK!$B63,INDIRECT(#REF!),0),1,1)*$D66,0)</f>
        <v>0</v>
      </c>
      <c r="I66" s="260">
        <f ca="1">IFERROR(OFFSET(INDIRECT(#REF!),MATCH([2]Development_Schedule_EK!L$6,INDIRECT(#REF!),0)-1,MATCH([2]Development_Schedule_EK!$B63,INDIRECT(#REF!),0),1,1)*$D66,0)</f>
        <v>0</v>
      </c>
      <c r="J66" s="260">
        <f>D66</f>
        <v>6075</v>
      </c>
      <c r="K66" s="260">
        <v>0</v>
      </c>
      <c r="L66" s="265">
        <f ca="1">IFERROR(OFFSET(INDIRECT(#REF!),MATCH([2]Development_Schedule_EK!O$6,INDIRECT(#REF!),0)-1,MATCH([2]Development_Schedule_EK!$B63,INDIRECT(#REF!),0),1,1)*$D66,0)</f>
        <v>0</v>
      </c>
      <c r="M66" s="260">
        <f ca="1">IFERROR(OFFSET(INDIRECT(#REF!),MATCH([2]Development_Schedule_EK!P$6,INDIRECT(#REF!),0)-1,MATCH([2]Development_Schedule_EK!$B63,INDIRECT(#REF!),0),1,1)*$D66,0)</f>
        <v>0</v>
      </c>
      <c r="N66" s="260">
        <f ca="1">IFERROR(OFFSET(INDIRECT(#REF!),MATCH([2]Development_Schedule_EK!Q$6,INDIRECT(#REF!),0)-1,MATCH([2]Development_Schedule_EK!$B63,INDIRECT(#REF!),0),1,1)*$D66,0)</f>
        <v>0</v>
      </c>
      <c r="O66" s="265">
        <f ca="1">IFERROR(OFFSET(INDIRECT(#REF!),MATCH([2]Development_Schedule_EK!R$6,INDIRECT(#REF!),0)-1,MATCH([2]Development_Schedule_EK!$B63,INDIRECT(#REF!),0),1,1)*$D66,0)</f>
        <v>0</v>
      </c>
      <c r="P66" s="183"/>
      <c r="Q66" s="184"/>
      <c r="R66" s="183"/>
    </row>
    <row r="67" spans="1:18" x14ac:dyDescent="0.25">
      <c r="B67" s="775" t="s">
        <v>360</v>
      </c>
      <c r="C67" s="261"/>
      <c r="D67" s="270"/>
      <c r="E67" s="263"/>
      <c r="F67" s="256"/>
      <c r="G67" s="256"/>
      <c r="H67" s="263"/>
      <c r="I67" s="256"/>
      <c r="J67" s="256"/>
      <c r="K67" s="256"/>
      <c r="L67" s="263"/>
      <c r="M67" s="256"/>
      <c r="N67" s="256"/>
      <c r="O67" s="263"/>
      <c r="P67" s="183"/>
      <c r="Q67" s="184"/>
      <c r="R67" s="183"/>
    </row>
    <row r="68" spans="1:18" x14ac:dyDescent="0.25">
      <c r="B68" s="769"/>
      <c r="C68" s="262"/>
      <c r="D68" s="270"/>
      <c r="E68" s="266"/>
      <c r="F68" s="256"/>
      <c r="G68" s="256"/>
      <c r="H68" s="263"/>
      <c r="I68" s="256"/>
      <c r="J68" s="256"/>
      <c r="K68" s="256"/>
      <c r="L68" s="263"/>
      <c r="M68" s="256"/>
      <c r="N68" s="256"/>
      <c r="O68" s="263"/>
      <c r="P68" s="183"/>
      <c r="Q68" s="184"/>
      <c r="R68" s="183"/>
    </row>
    <row r="69" spans="1:18" x14ac:dyDescent="0.25">
      <c r="B69" s="773" t="s">
        <v>363</v>
      </c>
      <c r="C69" s="262"/>
      <c r="D69" s="270"/>
      <c r="E69" s="266"/>
      <c r="F69" s="256"/>
      <c r="G69" s="256"/>
      <c r="H69" s="263"/>
      <c r="I69" s="256"/>
      <c r="J69" s="256"/>
      <c r="K69" s="256"/>
      <c r="L69" s="263"/>
      <c r="M69" s="256"/>
      <c r="N69" s="256"/>
      <c r="O69" s="263"/>
      <c r="P69" s="183"/>
      <c r="Q69" s="184"/>
      <c r="R69" s="183"/>
    </row>
    <row r="70" spans="1:18" x14ac:dyDescent="0.25">
      <c r="A70" s="284">
        <v>2</v>
      </c>
      <c r="B70" s="774" t="s">
        <v>381</v>
      </c>
      <c r="C70" s="262"/>
      <c r="D70" s="270">
        <f>(68767-D74)*0.8</f>
        <v>50612</v>
      </c>
      <c r="E70" s="266"/>
      <c r="F70" s="260">
        <f ca="1">IFERROR(OFFSET(INDIRECT(#REF!),MATCH([2]Development_Schedule_EK!I$6,INDIRECT(#REF!),0)-1,MATCH([2]Development_Schedule_EK!$B67,INDIRECT(#REF!),0),1,1)*$D70,0)</f>
        <v>0</v>
      </c>
      <c r="G70" s="260">
        <f ca="1">IFERROR(OFFSET(INDIRECT(#REF!),MATCH([2]Development_Schedule_EK!J$6,INDIRECT(#REF!),0)-1,MATCH([2]Development_Schedule_EK!$B67,INDIRECT(#REF!),0),1,1)*$D70,0)</f>
        <v>0</v>
      </c>
      <c r="H70" s="265">
        <f ca="1">IFERROR(OFFSET(INDIRECT(#REF!),MATCH([2]Development_Schedule_EK!K$6,INDIRECT(#REF!),0)-1,MATCH([2]Development_Schedule_EK!$B67,INDIRECT(#REF!),0),1,1)*$D70,0)</f>
        <v>0</v>
      </c>
      <c r="I70" s="260">
        <f>D70/2</f>
        <v>25306</v>
      </c>
      <c r="J70" s="260">
        <f>I70</f>
        <v>25306</v>
      </c>
      <c r="K70" s="260">
        <f ca="1">IFERROR(OFFSET(INDIRECT(#REF!),MATCH([2]Development_Schedule_EK!N$6,INDIRECT(#REF!),0)-1,MATCH([2]Development_Schedule_EK!$B67,INDIRECT(#REF!),0),1,1)*$D70,0)</f>
        <v>0</v>
      </c>
      <c r="L70" s="265">
        <f ca="1">IFERROR(OFFSET(INDIRECT(#REF!),MATCH([2]Development_Schedule_EK!O$6,INDIRECT(#REF!),0)-1,MATCH([2]Development_Schedule_EK!$B67,INDIRECT(#REF!),0),1,1)*$D70,0)</f>
        <v>0</v>
      </c>
      <c r="M70" s="260">
        <f ca="1">IFERROR(OFFSET(INDIRECT(#REF!),MATCH([2]Development_Schedule_EK!P$6,INDIRECT(#REF!),0)-1,MATCH([2]Development_Schedule_EK!$B67,INDIRECT(#REF!),0),1,1)*$D70,0)</f>
        <v>0</v>
      </c>
      <c r="N70" s="260">
        <f ca="1">IFERROR(OFFSET(INDIRECT(#REF!),MATCH([2]Development_Schedule_EK!Q$6,INDIRECT(#REF!),0)-1,MATCH([2]Development_Schedule_EK!$B67,INDIRECT(#REF!),0),1,1)*$D70,0)</f>
        <v>0</v>
      </c>
      <c r="O70" s="265">
        <f ca="1">IFERROR(OFFSET(INDIRECT(#REF!),MATCH([2]Development_Schedule_EK!R$6,INDIRECT(#REF!),0)-1,MATCH([2]Development_Schedule_EK!$B67,INDIRECT(#REF!),0),1,1)*$D70,0)</f>
        <v>0</v>
      </c>
      <c r="P70" s="183"/>
      <c r="Q70" s="184"/>
      <c r="R70" s="183"/>
    </row>
    <row r="71" spans="1:18" x14ac:dyDescent="0.25">
      <c r="A71" s="284">
        <v>2</v>
      </c>
      <c r="B71" s="774" t="s">
        <v>382</v>
      </c>
      <c r="C71" s="262"/>
      <c r="D71" s="270">
        <f ca="1">IFERROR(OFFSET(INDIRECT(#REF!),MATCH([2]Development_Schedule_EK!$E68,INDIRECT(#REF!),0)-1,MATCH([2]Development_Schedule_EK!$B68,INDIRECT(#REF!),0),1,1),0)</f>
        <v>0</v>
      </c>
      <c r="E71" s="266"/>
      <c r="F71" s="260">
        <f ca="1">IFERROR(OFFSET(INDIRECT(#REF!),MATCH([2]Development_Schedule_EK!I$6,INDIRECT(#REF!),0)-1,MATCH([2]Development_Schedule_EK!$B68,INDIRECT(#REF!),0),1,1)*$D71,0)</f>
        <v>0</v>
      </c>
      <c r="G71" s="260">
        <f ca="1">IFERROR(OFFSET(INDIRECT(#REF!),MATCH([2]Development_Schedule_EK!J$6,INDIRECT(#REF!),0)-1,MATCH([2]Development_Schedule_EK!$B68,INDIRECT(#REF!),0),1,1)*$D71,0)</f>
        <v>0</v>
      </c>
      <c r="H71" s="265">
        <f ca="1">IFERROR(OFFSET(INDIRECT(#REF!),MATCH([2]Development_Schedule_EK!K$6,INDIRECT(#REF!),0)-1,MATCH([2]Development_Schedule_EK!$B68,INDIRECT(#REF!),0),1,1)*$D71,0)</f>
        <v>0</v>
      </c>
      <c r="I71" s="260">
        <f ca="1">IFERROR(OFFSET(INDIRECT(#REF!),MATCH([2]Development_Schedule_EK!L$6,INDIRECT(#REF!),0)-1,MATCH([2]Development_Schedule_EK!$B68,INDIRECT(#REF!),0),1,1)*$D71,0)</f>
        <v>0</v>
      </c>
      <c r="J71" s="260">
        <f ca="1">IFERROR(OFFSET(INDIRECT(#REF!),MATCH([2]Development_Schedule_EK!M$6,INDIRECT(#REF!),0)-1,MATCH([2]Development_Schedule_EK!$B68,INDIRECT(#REF!),0),1,1)*$D71,0)</f>
        <v>0</v>
      </c>
      <c r="K71" s="260">
        <f ca="1">IFERROR(OFFSET(INDIRECT(#REF!),MATCH([2]Development_Schedule_EK!N$6,INDIRECT(#REF!),0)-1,MATCH([2]Development_Schedule_EK!$B68,INDIRECT(#REF!),0),1,1)*$D71,0)</f>
        <v>0</v>
      </c>
      <c r="L71" s="265">
        <f ca="1">IFERROR(OFFSET(INDIRECT(#REF!),MATCH([2]Development_Schedule_EK!O$6,INDIRECT(#REF!),0)-1,MATCH([2]Development_Schedule_EK!$B68,INDIRECT(#REF!),0),1,1)*$D71,0)</f>
        <v>0</v>
      </c>
      <c r="M71" s="260">
        <f ca="1">IFERROR(OFFSET(INDIRECT(#REF!),MATCH([2]Development_Schedule_EK!P$6,INDIRECT(#REF!),0)-1,MATCH([2]Development_Schedule_EK!$B68,INDIRECT(#REF!),0),1,1)*$D71,0)</f>
        <v>0</v>
      </c>
      <c r="N71" s="260">
        <f ca="1">IFERROR(OFFSET(INDIRECT(#REF!),MATCH([2]Development_Schedule_EK!Q$6,INDIRECT(#REF!),0)-1,MATCH([2]Development_Schedule_EK!$B68,INDIRECT(#REF!),0),1,1)*$D71,0)</f>
        <v>0</v>
      </c>
      <c r="O71" s="265">
        <f ca="1">IFERROR(OFFSET(INDIRECT(#REF!),MATCH([2]Development_Schedule_EK!R$6,INDIRECT(#REF!),0)-1,MATCH([2]Development_Schedule_EK!$B68,INDIRECT(#REF!),0),1,1)*$D71,0)</f>
        <v>0</v>
      </c>
      <c r="P71" s="183"/>
      <c r="Q71" s="184"/>
      <c r="R71" s="183"/>
    </row>
    <row r="72" spans="1:18" x14ac:dyDescent="0.25">
      <c r="A72" s="284">
        <v>2</v>
      </c>
      <c r="B72" s="774" t="s">
        <v>383</v>
      </c>
      <c r="C72" s="262"/>
      <c r="D72" s="270">
        <f>D70/4</f>
        <v>12653</v>
      </c>
      <c r="E72" s="266"/>
      <c r="F72" s="260">
        <f ca="1">IFERROR(OFFSET(INDIRECT(#REF!),MATCH([2]Development_Schedule_EK!I$6,INDIRECT(#REF!),0)-1,MATCH([2]Development_Schedule_EK!$B69,INDIRECT(#REF!),0),1,1)*$D72,0)</f>
        <v>0</v>
      </c>
      <c r="G72" s="260">
        <f ca="1">IFERROR(OFFSET(INDIRECT(#REF!),MATCH([2]Development_Schedule_EK!J$6,INDIRECT(#REF!),0)-1,MATCH([2]Development_Schedule_EK!$B69,INDIRECT(#REF!),0),1,1)*$D72,0)</f>
        <v>0</v>
      </c>
      <c r="H72" s="265">
        <f ca="1">IFERROR(OFFSET(INDIRECT(#REF!),MATCH([2]Development_Schedule_EK!K$6,INDIRECT(#REF!),0)-1,MATCH([2]Development_Schedule_EK!$B69,INDIRECT(#REF!),0),1,1)*$D72,0)</f>
        <v>0</v>
      </c>
      <c r="I72" s="260">
        <f>I70/4</f>
        <v>6326.5</v>
      </c>
      <c r="J72" s="260">
        <f t="shared" ref="J72:L72" si="8">J70/4</f>
        <v>6326.5</v>
      </c>
      <c r="K72" s="260">
        <f t="shared" ca="1" si="8"/>
        <v>0</v>
      </c>
      <c r="L72" s="265">
        <f t="shared" ca="1" si="8"/>
        <v>0</v>
      </c>
      <c r="M72" s="260">
        <f ca="1">IFERROR(OFFSET(INDIRECT(#REF!),MATCH([2]Development_Schedule_EK!P$6,INDIRECT(#REF!),0)-1,MATCH([2]Development_Schedule_EK!$B69,INDIRECT(#REF!),0),1,1)*$D72,0)</f>
        <v>0</v>
      </c>
      <c r="N72" s="260">
        <f ca="1">IFERROR(OFFSET(INDIRECT(#REF!),MATCH([2]Development_Schedule_EK!Q$6,INDIRECT(#REF!),0)-1,MATCH([2]Development_Schedule_EK!$B69,INDIRECT(#REF!),0),1,1)*$D72,0)</f>
        <v>0</v>
      </c>
      <c r="O72" s="265">
        <f ca="1">IFERROR(OFFSET(INDIRECT(#REF!),MATCH([2]Development_Schedule_EK!R$6,INDIRECT(#REF!),0)-1,MATCH([2]Development_Schedule_EK!$B69,INDIRECT(#REF!),0),1,1)*$D72,0)</f>
        <v>0</v>
      </c>
      <c r="P72" s="183"/>
      <c r="Q72" s="184"/>
      <c r="R72" s="183"/>
    </row>
    <row r="73" spans="1:18" x14ac:dyDescent="0.25">
      <c r="A73" s="284">
        <v>2</v>
      </c>
      <c r="B73" s="774" t="s">
        <v>384</v>
      </c>
      <c r="C73" s="262"/>
      <c r="D73" s="270">
        <f ca="1">IFERROR(OFFSET(INDIRECT(#REF!),MATCH([2]Development_Schedule_EK!$E70,INDIRECT(#REF!),0)-1,MATCH([2]Development_Schedule_EK!$B70,INDIRECT(#REF!),0),1,1),0)</f>
        <v>0</v>
      </c>
      <c r="E73" s="266"/>
      <c r="F73" s="260">
        <f ca="1">IFERROR(OFFSET(INDIRECT(#REF!),MATCH([2]Development_Schedule_EK!I$6,INDIRECT(#REF!),0)-1,MATCH([2]Development_Schedule_EK!$B70,INDIRECT(#REF!),0),1,1)*$D73,0)</f>
        <v>0</v>
      </c>
      <c r="G73" s="260">
        <f ca="1">IFERROR(OFFSET(INDIRECT(#REF!),MATCH([2]Development_Schedule_EK!J$6,INDIRECT(#REF!),0)-1,MATCH([2]Development_Schedule_EK!$B70,INDIRECT(#REF!),0),1,1)*$D73,0)</f>
        <v>0</v>
      </c>
      <c r="H73" s="265">
        <f ca="1">IFERROR(OFFSET(INDIRECT(#REF!),MATCH([2]Development_Schedule_EK!K$6,INDIRECT(#REF!),0)-1,MATCH([2]Development_Schedule_EK!$B70,INDIRECT(#REF!),0),1,1)*$D73,0)</f>
        <v>0</v>
      </c>
      <c r="I73" s="260">
        <f ca="1">IFERROR(OFFSET(INDIRECT(#REF!),MATCH([2]Development_Schedule_EK!L$6,INDIRECT(#REF!),0)-1,MATCH([2]Development_Schedule_EK!$B70,INDIRECT(#REF!),0),1,1)*$D73,0)</f>
        <v>0</v>
      </c>
      <c r="J73" s="260">
        <f ca="1">IFERROR(OFFSET(INDIRECT(#REF!),MATCH([2]Development_Schedule_EK!M$6,INDIRECT(#REF!),0)-1,MATCH([2]Development_Schedule_EK!$B70,INDIRECT(#REF!),0),1,1)*$D73,0)</f>
        <v>0</v>
      </c>
      <c r="K73" s="260">
        <f ca="1">IFERROR(OFFSET(INDIRECT(#REF!),MATCH([2]Development_Schedule_EK!N$6,INDIRECT(#REF!),0)-1,MATCH([2]Development_Schedule_EK!$B70,INDIRECT(#REF!),0),1,1)*$D73,0)</f>
        <v>0</v>
      </c>
      <c r="L73" s="265">
        <f ca="1">IFERROR(OFFSET(INDIRECT(#REF!),MATCH([2]Development_Schedule_EK!O$6,INDIRECT(#REF!),0)-1,MATCH([2]Development_Schedule_EK!$B70,INDIRECT(#REF!),0),1,1)*$D73,0)</f>
        <v>0</v>
      </c>
      <c r="M73" s="260">
        <f ca="1">IFERROR(OFFSET(INDIRECT(#REF!),MATCH([2]Development_Schedule_EK!P$6,INDIRECT(#REF!),0)-1,MATCH([2]Development_Schedule_EK!$B70,INDIRECT(#REF!),0),1,1)*$D73,0)</f>
        <v>0</v>
      </c>
      <c r="N73" s="260">
        <f ca="1">IFERROR(OFFSET(INDIRECT(#REF!),MATCH([2]Development_Schedule_EK!Q$6,INDIRECT(#REF!),0)-1,MATCH([2]Development_Schedule_EK!$B70,INDIRECT(#REF!),0),1,1)*$D73,0)</f>
        <v>0</v>
      </c>
      <c r="O73" s="265">
        <f ca="1">IFERROR(OFFSET(INDIRECT(#REF!),MATCH([2]Development_Schedule_EK!R$6,INDIRECT(#REF!),0)-1,MATCH([2]Development_Schedule_EK!$B70,INDIRECT(#REF!),0),1,1)*$D73,0)</f>
        <v>0</v>
      </c>
      <c r="P73" s="183"/>
      <c r="Q73" s="184"/>
      <c r="R73" s="183"/>
    </row>
    <row r="74" spans="1:18" x14ac:dyDescent="0.25">
      <c r="A74" s="284">
        <v>2</v>
      </c>
      <c r="B74" s="774" t="s">
        <v>35</v>
      </c>
      <c r="C74" s="262"/>
      <c r="D74" s="270">
        <v>5502</v>
      </c>
      <c r="E74" s="266"/>
      <c r="F74" s="260">
        <f ca="1">IFERROR(OFFSET(INDIRECT(#REF!),MATCH([2]Development_Schedule_EK!I$6,INDIRECT(#REF!),0)-1,MATCH([2]Development_Schedule_EK!$B71,INDIRECT(#REF!),0),1,1)*$D74,0)</f>
        <v>0</v>
      </c>
      <c r="G74" s="260">
        <f ca="1">IFERROR(OFFSET(INDIRECT(#REF!),MATCH([2]Development_Schedule_EK!J$6,INDIRECT(#REF!),0)-1,MATCH([2]Development_Schedule_EK!$B71,INDIRECT(#REF!),0),1,1)*$D74,0)</f>
        <v>0</v>
      </c>
      <c r="H74" s="265">
        <f ca="1">IFERROR(OFFSET(INDIRECT(#REF!),MATCH([2]Development_Schedule_EK!K$6,INDIRECT(#REF!),0)-1,MATCH([2]Development_Schedule_EK!$B71,INDIRECT(#REF!),0),1,1)*$D74,0)</f>
        <v>0</v>
      </c>
      <c r="I74" s="260">
        <f>D74</f>
        <v>5502</v>
      </c>
      <c r="J74" s="260">
        <f ca="1">IFERROR(OFFSET(INDIRECT(#REF!),MATCH([2]Development_Schedule_EK!M$6,INDIRECT(#REF!),0)-1,MATCH([2]Development_Schedule_EK!$B71,INDIRECT(#REF!),0),1,1)*$D74,0)</f>
        <v>0</v>
      </c>
      <c r="K74" s="260">
        <f ca="1">IFERROR(OFFSET(INDIRECT(#REF!),MATCH([2]Development_Schedule_EK!N$6,INDIRECT(#REF!),0)-1,MATCH([2]Development_Schedule_EK!$B71,INDIRECT(#REF!),0),1,1)*$D74,0)</f>
        <v>0</v>
      </c>
      <c r="L74" s="265">
        <f ca="1">IFERROR(OFFSET(INDIRECT(#REF!),MATCH([2]Development_Schedule_EK!O$6,INDIRECT(#REF!),0)-1,MATCH([2]Development_Schedule_EK!$B71,INDIRECT(#REF!),0),1,1)*$D74,0)</f>
        <v>0</v>
      </c>
      <c r="M74" s="260">
        <f ca="1">IFERROR(OFFSET(INDIRECT(#REF!),MATCH([2]Development_Schedule_EK!P$6,INDIRECT(#REF!),0)-1,MATCH([2]Development_Schedule_EK!$B71,INDIRECT(#REF!),0),1,1)*$D74,0)</f>
        <v>0</v>
      </c>
      <c r="N74" s="260">
        <f ca="1">IFERROR(OFFSET(INDIRECT(#REF!),MATCH([2]Development_Schedule_EK!Q$6,INDIRECT(#REF!),0)-1,MATCH([2]Development_Schedule_EK!$B71,INDIRECT(#REF!),0),1,1)*$D74,0)</f>
        <v>0</v>
      </c>
      <c r="O74" s="265">
        <f ca="1">IFERROR(OFFSET(INDIRECT(#REF!),MATCH([2]Development_Schedule_EK!R$6,INDIRECT(#REF!),0)-1,MATCH([2]Development_Schedule_EK!$B71,INDIRECT(#REF!),0),1,1)*$D74,0)</f>
        <v>0</v>
      </c>
      <c r="P74" s="183"/>
      <c r="Q74" s="184"/>
      <c r="R74" s="183"/>
    </row>
    <row r="75" spans="1:18" x14ac:dyDescent="0.25">
      <c r="A75" s="284">
        <v>2</v>
      </c>
      <c r="B75" s="774" t="s">
        <v>355</v>
      </c>
      <c r="C75" s="262"/>
      <c r="D75" s="270">
        <f ca="1">IFERROR(OFFSET(INDIRECT(#REF!),MATCH([2]Development_Schedule_EK!$E72,INDIRECT(#REF!),0)-1,MATCH([2]Development_Schedule_EK!$B72,INDIRECT(#REF!),0),1,1),0)</f>
        <v>0</v>
      </c>
      <c r="E75" s="266"/>
      <c r="F75" s="260">
        <f ca="1">IFERROR(OFFSET(INDIRECT(#REF!),MATCH([2]Development_Schedule_EK!I$6,INDIRECT(#REF!),0)-1,MATCH([2]Development_Schedule_EK!$B72,INDIRECT(#REF!),0),1,1)*$D75,0)</f>
        <v>0</v>
      </c>
      <c r="G75" s="260">
        <f ca="1">IFERROR(OFFSET(INDIRECT(#REF!),MATCH([2]Development_Schedule_EK!J$6,INDIRECT(#REF!),0)-1,MATCH([2]Development_Schedule_EK!$B72,INDIRECT(#REF!),0),1,1)*$D75,0)</f>
        <v>0</v>
      </c>
      <c r="H75" s="265">
        <f ca="1">IFERROR(OFFSET(INDIRECT(#REF!),MATCH([2]Development_Schedule_EK!K$6,INDIRECT(#REF!),0)-1,MATCH([2]Development_Schedule_EK!$B72,INDIRECT(#REF!),0),1,1)*$D75,0)</f>
        <v>0</v>
      </c>
      <c r="I75" s="260">
        <f ca="1">IFERROR(OFFSET(INDIRECT(#REF!),MATCH([2]Development_Schedule_EK!L$6,INDIRECT(#REF!),0)-1,MATCH([2]Development_Schedule_EK!$B72,INDIRECT(#REF!),0),1,1)*$D75,0)</f>
        <v>0</v>
      </c>
      <c r="J75" s="260">
        <f ca="1">IFERROR(OFFSET(INDIRECT(#REF!),MATCH([2]Development_Schedule_EK!M$6,INDIRECT(#REF!),0)-1,MATCH([2]Development_Schedule_EK!$B72,INDIRECT(#REF!),0),1,1)*$D75,0)</f>
        <v>0</v>
      </c>
      <c r="K75" s="260">
        <f ca="1">IFERROR(OFFSET(INDIRECT(#REF!),MATCH([2]Development_Schedule_EK!N$6,INDIRECT(#REF!),0)-1,MATCH([2]Development_Schedule_EK!$B72,INDIRECT(#REF!),0),1,1)*$D75,0)</f>
        <v>0</v>
      </c>
      <c r="L75" s="265">
        <f ca="1">IFERROR(OFFSET(INDIRECT(#REF!),MATCH([2]Development_Schedule_EK!O$6,INDIRECT(#REF!),0)-1,MATCH([2]Development_Schedule_EK!$B72,INDIRECT(#REF!),0),1,1)*$D75,0)</f>
        <v>0</v>
      </c>
      <c r="M75" s="260">
        <f ca="1">IFERROR(OFFSET(INDIRECT(#REF!),MATCH([2]Development_Schedule_EK!P$6,INDIRECT(#REF!),0)-1,MATCH([2]Development_Schedule_EK!$B72,INDIRECT(#REF!),0),1,1)*$D75,0)</f>
        <v>0</v>
      </c>
      <c r="N75" s="260">
        <f ca="1">IFERROR(OFFSET(INDIRECT(#REF!),MATCH([2]Development_Schedule_EK!Q$6,INDIRECT(#REF!),0)-1,MATCH([2]Development_Schedule_EK!$B72,INDIRECT(#REF!),0),1,1)*$D75,0)</f>
        <v>0</v>
      </c>
      <c r="O75" s="265">
        <f ca="1">IFERROR(OFFSET(INDIRECT(#REF!),MATCH([2]Development_Schedule_EK!R$6,INDIRECT(#REF!),0)-1,MATCH([2]Development_Schedule_EK!$B72,INDIRECT(#REF!),0),1,1)*$D75,0)</f>
        <v>0</v>
      </c>
      <c r="P75" s="183"/>
      <c r="Q75" s="184"/>
      <c r="R75" s="183"/>
    </row>
    <row r="76" spans="1:18" x14ac:dyDescent="0.25">
      <c r="A76" s="284">
        <v>2</v>
      </c>
      <c r="B76" s="774" t="s">
        <v>356</v>
      </c>
      <c r="C76" s="262"/>
      <c r="D76" s="270">
        <f ca="1">IFERROR(OFFSET(INDIRECT(#REF!),MATCH([2]Development_Schedule_EK!$E73,INDIRECT(#REF!),0)-1,MATCH([2]Development_Schedule_EK!$B73,INDIRECT(#REF!),0),1,1),0)</f>
        <v>0</v>
      </c>
      <c r="E76" s="266"/>
      <c r="F76" s="260">
        <f ca="1">IFERROR(OFFSET(INDIRECT(#REF!),MATCH([2]Development_Schedule_EK!I$6,INDIRECT(#REF!),0)-1,MATCH([2]Development_Schedule_EK!$B73,INDIRECT(#REF!),0),1,1)*$D76,0)</f>
        <v>0</v>
      </c>
      <c r="G76" s="260">
        <f ca="1">IFERROR(OFFSET(INDIRECT(#REF!),MATCH([2]Development_Schedule_EK!J$6,INDIRECT(#REF!),0)-1,MATCH([2]Development_Schedule_EK!$B73,INDIRECT(#REF!),0),1,1)*$D76,0)</f>
        <v>0</v>
      </c>
      <c r="H76" s="265">
        <f ca="1">IFERROR(OFFSET(INDIRECT(#REF!),MATCH([2]Development_Schedule_EK!K$6,INDIRECT(#REF!),0)-1,MATCH([2]Development_Schedule_EK!$B73,INDIRECT(#REF!),0),1,1)*$D76,0)</f>
        <v>0</v>
      </c>
      <c r="I76" s="260">
        <f ca="1">IFERROR(OFFSET(INDIRECT(#REF!),MATCH([2]Development_Schedule_EK!L$6,INDIRECT(#REF!),0)-1,MATCH([2]Development_Schedule_EK!$B73,INDIRECT(#REF!),0),1,1)*$D76,0)</f>
        <v>0</v>
      </c>
      <c r="J76" s="260">
        <f ca="1">IFERROR(OFFSET(INDIRECT(#REF!),MATCH([2]Development_Schedule_EK!M$6,INDIRECT(#REF!),0)-1,MATCH([2]Development_Schedule_EK!$B73,INDIRECT(#REF!),0),1,1)*$D76,0)</f>
        <v>0</v>
      </c>
      <c r="K76" s="260">
        <f ca="1">IFERROR(OFFSET(INDIRECT(#REF!),MATCH([2]Development_Schedule_EK!N$6,INDIRECT(#REF!),0)-1,MATCH([2]Development_Schedule_EK!$B73,INDIRECT(#REF!),0),1,1)*$D76,0)</f>
        <v>0</v>
      </c>
      <c r="L76" s="265">
        <f ca="1">IFERROR(OFFSET(INDIRECT(#REF!),MATCH([2]Development_Schedule_EK!O$6,INDIRECT(#REF!),0)-1,MATCH([2]Development_Schedule_EK!$B73,INDIRECT(#REF!),0),1,1)*$D76,0)</f>
        <v>0</v>
      </c>
      <c r="M76" s="260">
        <f ca="1">IFERROR(OFFSET(INDIRECT(#REF!),MATCH([2]Development_Schedule_EK!P$6,INDIRECT(#REF!),0)-1,MATCH([2]Development_Schedule_EK!$B73,INDIRECT(#REF!),0),1,1)*$D76,0)</f>
        <v>0</v>
      </c>
      <c r="N76" s="260">
        <f ca="1">IFERROR(OFFSET(INDIRECT(#REF!),MATCH([2]Development_Schedule_EK!Q$6,INDIRECT(#REF!),0)-1,MATCH([2]Development_Schedule_EK!$B73,INDIRECT(#REF!),0),1,1)*$D76,0)</f>
        <v>0</v>
      </c>
      <c r="O76" s="265">
        <f ca="1">IFERROR(OFFSET(INDIRECT(#REF!),MATCH([2]Development_Schedule_EK!R$6,INDIRECT(#REF!),0)-1,MATCH([2]Development_Schedule_EK!$B73,INDIRECT(#REF!),0),1,1)*$D76,0)</f>
        <v>0</v>
      </c>
      <c r="P76" s="183"/>
      <c r="Q76" s="184"/>
      <c r="R76" s="183"/>
    </row>
    <row r="77" spans="1:18" x14ac:dyDescent="0.25">
      <c r="A77" s="284">
        <v>2</v>
      </c>
      <c r="B77" s="774" t="s">
        <v>357</v>
      </c>
      <c r="C77" s="262"/>
      <c r="D77" s="270">
        <f ca="1">IFERROR(OFFSET(INDIRECT(#REF!),MATCH([2]Development_Schedule_EK!$E74,INDIRECT(#REF!),0)-1,MATCH([2]Development_Schedule_EK!$B74,INDIRECT(#REF!),0),1,1),0)</f>
        <v>0</v>
      </c>
      <c r="E77" s="266"/>
      <c r="F77" s="260">
        <f ca="1">IFERROR(OFFSET(INDIRECT(#REF!),MATCH([2]Development_Schedule_EK!I$6,INDIRECT(#REF!),0)-1,MATCH([2]Development_Schedule_EK!$B74,INDIRECT(#REF!),0),1,1)*$D77,0)</f>
        <v>0</v>
      </c>
      <c r="G77" s="260">
        <f ca="1">IFERROR(OFFSET(INDIRECT(#REF!),MATCH([2]Development_Schedule_EK!J$6,INDIRECT(#REF!),0)-1,MATCH([2]Development_Schedule_EK!$B74,INDIRECT(#REF!),0),1,1)*$D77,0)</f>
        <v>0</v>
      </c>
      <c r="H77" s="265">
        <f ca="1">IFERROR(OFFSET(INDIRECT(#REF!),MATCH([2]Development_Schedule_EK!K$6,INDIRECT(#REF!),0)-1,MATCH([2]Development_Schedule_EK!$B74,INDIRECT(#REF!),0),1,1)*$D77,0)</f>
        <v>0</v>
      </c>
      <c r="I77" s="260">
        <f ca="1">IFERROR(OFFSET(INDIRECT(#REF!),MATCH([2]Development_Schedule_EK!L$6,INDIRECT(#REF!),0)-1,MATCH([2]Development_Schedule_EK!$B74,INDIRECT(#REF!),0),1,1)*$D77,0)</f>
        <v>0</v>
      </c>
      <c r="J77" s="260">
        <f ca="1">IFERROR(OFFSET(INDIRECT(#REF!),MATCH([2]Development_Schedule_EK!M$6,INDIRECT(#REF!),0)-1,MATCH([2]Development_Schedule_EK!$B74,INDIRECT(#REF!),0),1,1)*$D77,0)</f>
        <v>0</v>
      </c>
      <c r="K77" s="260">
        <f ca="1">IFERROR(OFFSET(INDIRECT(#REF!),MATCH([2]Development_Schedule_EK!N$6,INDIRECT(#REF!),0)-1,MATCH([2]Development_Schedule_EK!$B74,INDIRECT(#REF!),0),1,1)*$D77,0)</f>
        <v>0</v>
      </c>
      <c r="L77" s="265">
        <f ca="1">IFERROR(OFFSET(INDIRECT(#REF!),MATCH([2]Development_Schedule_EK!O$6,INDIRECT(#REF!),0)-1,MATCH([2]Development_Schedule_EK!$B74,INDIRECT(#REF!),0),1,1)*$D77,0)</f>
        <v>0</v>
      </c>
      <c r="M77" s="260">
        <f ca="1">IFERROR(OFFSET(INDIRECT(#REF!),MATCH([2]Development_Schedule_EK!P$6,INDIRECT(#REF!),0)-1,MATCH([2]Development_Schedule_EK!$B74,INDIRECT(#REF!),0),1,1)*$D77,0)</f>
        <v>0</v>
      </c>
      <c r="N77" s="260">
        <f ca="1">IFERROR(OFFSET(INDIRECT(#REF!),MATCH([2]Development_Schedule_EK!Q$6,INDIRECT(#REF!),0)-1,MATCH([2]Development_Schedule_EK!$B74,INDIRECT(#REF!),0),1,1)*$D77,0)</f>
        <v>0</v>
      </c>
      <c r="O77" s="265">
        <f ca="1">IFERROR(OFFSET(INDIRECT(#REF!),MATCH([2]Development_Schedule_EK!R$6,INDIRECT(#REF!),0)-1,MATCH([2]Development_Schedule_EK!$B74,INDIRECT(#REF!),0),1,1)*$D77,0)</f>
        <v>0</v>
      </c>
      <c r="P77" s="183"/>
      <c r="Q77" s="184"/>
      <c r="R77" s="183"/>
    </row>
    <row r="78" spans="1:18" x14ac:dyDescent="0.25">
      <c r="A78" s="284">
        <v>2</v>
      </c>
      <c r="B78" s="774" t="s">
        <v>358</v>
      </c>
      <c r="C78" s="262"/>
      <c r="D78" s="270">
        <f ca="1">IFERROR(OFFSET(INDIRECT(#REF!),MATCH([2]Development_Schedule_EK!$E75,INDIRECT(#REF!),0)-1,MATCH([2]Development_Schedule_EK!$B75,INDIRECT(#REF!),0),1,1),0)</f>
        <v>0</v>
      </c>
      <c r="E78" s="266"/>
      <c r="F78" s="260">
        <f ca="1">IFERROR(OFFSET(INDIRECT(#REF!),MATCH([2]Development_Schedule_EK!I$6,INDIRECT(#REF!),0)-1,MATCH([2]Development_Schedule_EK!$B75,INDIRECT(#REF!),0),1,1)*$D78,0)</f>
        <v>0</v>
      </c>
      <c r="G78" s="260">
        <f ca="1">IFERROR(OFFSET(INDIRECT(#REF!),MATCH([2]Development_Schedule_EK!J$6,INDIRECT(#REF!),0)-1,MATCH([2]Development_Schedule_EK!$B75,INDIRECT(#REF!),0),1,1)*$D78,0)</f>
        <v>0</v>
      </c>
      <c r="H78" s="265">
        <f ca="1">IFERROR(OFFSET(INDIRECT(#REF!),MATCH([2]Development_Schedule_EK!K$6,INDIRECT(#REF!),0)-1,MATCH([2]Development_Schedule_EK!$B75,INDIRECT(#REF!),0),1,1)*$D78,0)</f>
        <v>0</v>
      </c>
      <c r="I78" s="260">
        <f ca="1">IFERROR(OFFSET(INDIRECT(#REF!),MATCH([2]Development_Schedule_EK!L$6,INDIRECT(#REF!),0)-1,MATCH([2]Development_Schedule_EK!$B75,INDIRECT(#REF!),0),1,1)*$D78,0)</f>
        <v>0</v>
      </c>
      <c r="J78" s="260">
        <f ca="1">IFERROR(OFFSET(INDIRECT(#REF!),MATCH([2]Development_Schedule_EK!M$6,INDIRECT(#REF!),0)-1,MATCH([2]Development_Schedule_EK!$B75,INDIRECT(#REF!),0),1,1)*$D78,0)</f>
        <v>0</v>
      </c>
      <c r="K78" s="260">
        <f ca="1">IFERROR(OFFSET(INDIRECT(#REF!),MATCH([2]Development_Schedule_EK!N$6,INDIRECT(#REF!),0)-1,MATCH([2]Development_Schedule_EK!$B75,INDIRECT(#REF!),0),1,1)*$D78,0)</f>
        <v>0</v>
      </c>
      <c r="L78" s="265">
        <f ca="1">IFERROR(OFFSET(INDIRECT(#REF!),MATCH([2]Development_Schedule_EK!O$6,INDIRECT(#REF!),0)-1,MATCH([2]Development_Schedule_EK!$B75,INDIRECT(#REF!),0),1,1)*$D78,0)</f>
        <v>0</v>
      </c>
      <c r="M78" s="260">
        <f ca="1">IFERROR(OFFSET(INDIRECT(#REF!),MATCH([2]Development_Schedule_EK!P$6,INDIRECT(#REF!),0)-1,MATCH([2]Development_Schedule_EK!$B75,INDIRECT(#REF!),0),1,1)*$D78,0)</f>
        <v>0</v>
      </c>
      <c r="N78" s="260">
        <f ca="1">IFERROR(OFFSET(INDIRECT(#REF!),MATCH([2]Development_Schedule_EK!Q$6,INDIRECT(#REF!),0)-1,MATCH([2]Development_Schedule_EK!$B75,INDIRECT(#REF!),0),1,1)*$D78,0)</f>
        <v>0</v>
      </c>
      <c r="O78" s="265">
        <f ca="1">IFERROR(OFFSET(INDIRECT(#REF!),MATCH([2]Development_Schedule_EK!R$6,INDIRECT(#REF!),0)-1,MATCH([2]Development_Schedule_EK!$B75,INDIRECT(#REF!),0),1,1)*$D78,0)</f>
        <v>0</v>
      </c>
      <c r="P78" s="183"/>
      <c r="Q78" s="184"/>
      <c r="R78" s="183"/>
    </row>
    <row r="79" spans="1:18" x14ac:dyDescent="0.25">
      <c r="A79" s="284">
        <v>2</v>
      </c>
      <c r="B79" s="774" t="s">
        <v>359</v>
      </c>
      <c r="C79" s="262"/>
      <c r="D79" s="270">
        <f ca="1">IFERROR(OFFSET(INDIRECT(#REF!),MATCH([2]Development_Schedule_EK!$E76,INDIRECT(#REF!),0)-1,MATCH([2]Development_Schedule_EK!$B76,INDIRECT(#REF!),0),1,1),0)</f>
        <v>0</v>
      </c>
      <c r="E79" s="266"/>
      <c r="F79" s="260">
        <f ca="1">IFERROR(OFFSET(INDIRECT(#REF!),MATCH([2]Development_Schedule_EK!I$6,INDIRECT(#REF!),0)-1,MATCH([2]Development_Schedule_EK!$B76,INDIRECT(#REF!),0),1,1)*$D79,0)</f>
        <v>0</v>
      </c>
      <c r="G79" s="260">
        <f ca="1">IFERROR(OFFSET(INDIRECT(#REF!),MATCH([2]Development_Schedule_EK!J$6,INDIRECT(#REF!),0)-1,MATCH([2]Development_Schedule_EK!$B76,INDIRECT(#REF!),0),1,1)*$D79,0)</f>
        <v>0</v>
      </c>
      <c r="H79" s="265">
        <f ca="1">IFERROR(OFFSET(INDIRECT(#REF!),MATCH([2]Development_Schedule_EK!K$6,INDIRECT(#REF!),0)-1,MATCH([2]Development_Schedule_EK!$B76,INDIRECT(#REF!),0),1,1)*$D79,0)</f>
        <v>0</v>
      </c>
      <c r="I79" s="260">
        <f ca="1">IFERROR(OFFSET(INDIRECT(#REF!),MATCH([2]Development_Schedule_EK!L$6,INDIRECT(#REF!),0)-1,MATCH([2]Development_Schedule_EK!$B76,INDIRECT(#REF!),0),1,1)*$D79,0)</f>
        <v>0</v>
      </c>
      <c r="J79" s="260">
        <f ca="1">IFERROR(OFFSET(INDIRECT(#REF!),MATCH([2]Development_Schedule_EK!M$6,INDIRECT(#REF!),0)-1,MATCH([2]Development_Schedule_EK!$B76,INDIRECT(#REF!),0),1,1)*$D79,0)</f>
        <v>0</v>
      </c>
      <c r="K79" s="260">
        <f ca="1">IFERROR(OFFSET(INDIRECT(#REF!),MATCH([2]Development_Schedule_EK!N$6,INDIRECT(#REF!),0)-1,MATCH([2]Development_Schedule_EK!$B76,INDIRECT(#REF!),0),1,1)*$D79,0)</f>
        <v>0</v>
      </c>
      <c r="L79" s="265">
        <f ca="1">IFERROR(OFFSET(INDIRECT(#REF!),MATCH([2]Development_Schedule_EK!O$6,INDIRECT(#REF!),0)-1,MATCH([2]Development_Schedule_EK!$B76,INDIRECT(#REF!),0),1,1)*$D79,0)</f>
        <v>0</v>
      </c>
      <c r="M79" s="260">
        <f ca="1">IFERROR(OFFSET(INDIRECT(#REF!),MATCH([2]Development_Schedule_EK!P$6,INDIRECT(#REF!),0)-1,MATCH([2]Development_Schedule_EK!$B76,INDIRECT(#REF!),0),1,1)*$D79,0)</f>
        <v>0</v>
      </c>
      <c r="N79" s="260">
        <f ca="1">IFERROR(OFFSET(INDIRECT(#REF!),MATCH([2]Development_Schedule_EK!Q$6,INDIRECT(#REF!),0)-1,MATCH([2]Development_Schedule_EK!$B76,INDIRECT(#REF!),0),1,1)*$D79,0)</f>
        <v>0</v>
      </c>
      <c r="O79" s="265">
        <f ca="1">IFERROR(OFFSET(INDIRECT(#REF!),MATCH([2]Development_Schedule_EK!R$6,INDIRECT(#REF!),0)-1,MATCH([2]Development_Schedule_EK!$B76,INDIRECT(#REF!),0),1,1)*$D79,0)</f>
        <v>0</v>
      </c>
      <c r="P79" s="183"/>
      <c r="Q79" s="184"/>
      <c r="R79" s="183"/>
    </row>
    <row r="80" spans="1:18" x14ac:dyDescent="0.25">
      <c r="A80" s="284">
        <v>2</v>
      </c>
      <c r="B80" s="774" t="s">
        <v>33</v>
      </c>
      <c r="C80" s="262"/>
      <c r="D80" s="270">
        <f ca="1">IFERROR(OFFSET(INDIRECT(#REF!),MATCH([2]Development_Schedule_EK!$E77,INDIRECT(#REF!),0)-1,MATCH([2]Development_Schedule_EK!$B77,INDIRECT(#REF!),0),1,1),0)</f>
        <v>0</v>
      </c>
      <c r="E80" s="266"/>
      <c r="F80" s="260">
        <f ca="1">IFERROR(OFFSET(INDIRECT(#REF!),MATCH([2]Development_Schedule_EK!I$6,INDIRECT(#REF!),0)-1,MATCH([2]Development_Schedule_EK!$B77,INDIRECT(#REF!),0),1,1)*$D80,0)</f>
        <v>0</v>
      </c>
      <c r="G80" s="260">
        <f ca="1">IFERROR(OFFSET(INDIRECT(#REF!),MATCH([2]Development_Schedule_EK!J$6,INDIRECT(#REF!),0)-1,MATCH([2]Development_Schedule_EK!$B77,INDIRECT(#REF!),0),1,1)*$D80,0)</f>
        <v>0</v>
      </c>
      <c r="H80" s="265">
        <f ca="1">IFERROR(OFFSET(INDIRECT(#REF!),MATCH([2]Development_Schedule_EK!K$6,INDIRECT(#REF!),0)-1,MATCH([2]Development_Schedule_EK!$B77,INDIRECT(#REF!),0),1,1)*$D80,0)</f>
        <v>0</v>
      </c>
      <c r="I80" s="260">
        <f ca="1">IFERROR(OFFSET(INDIRECT(#REF!),MATCH([2]Development_Schedule_EK!L$6,INDIRECT(#REF!),0)-1,MATCH([2]Development_Schedule_EK!$B77,INDIRECT(#REF!),0),1,1)*$D80,0)</f>
        <v>0</v>
      </c>
      <c r="J80" s="260">
        <f ca="1">IFERROR(OFFSET(INDIRECT(#REF!),MATCH([2]Development_Schedule_EK!M$6,INDIRECT(#REF!),0)-1,MATCH([2]Development_Schedule_EK!$B77,INDIRECT(#REF!),0),1,1)*$D80,0)</f>
        <v>0</v>
      </c>
      <c r="K80" s="260">
        <f ca="1">IFERROR(OFFSET(INDIRECT(#REF!),MATCH([2]Development_Schedule_EK!N$6,INDIRECT(#REF!),0)-1,MATCH([2]Development_Schedule_EK!$B77,INDIRECT(#REF!),0),1,1)*$D80,0)</f>
        <v>0</v>
      </c>
      <c r="L80" s="265">
        <f ca="1">IFERROR(OFFSET(INDIRECT(#REF!),MATCH([2]Development_Schedule_EK!O$6,INDIRECT(#REF!),0)-1,MATCH([2]Development_Schedule_EK!$B77,INDIRECT(#REF!),0),1,1)*$D80,0)</f>
        <v>0</v>
      </c>
      <c r="M80" s="260">
        <f ca="1">IFERROR(OFFSET(INDIRECT(#REF!),MATCH([2]Development_Schedule_EK!P$6,INDIRECT(#REF!),0)-1,MATCH([2]Development_Schedule_EK!$B77,INDIRECT(#REF!),0),1,1)*$D80,0)</f>
        <v>0</v>
      </c>
      <c r="N80" s="260">
        <f ca="1">IFERROR(OFFSET(INDIRECT(#REF!),MATCH([2]Development_Schedule_EK!Q$6,INDIRECT(#REF!),0)-1,MATCH([2]Development_Schedule_EK!$B77,INDIRECT(#REF!),0),1,1)*$D80,0)</f>
        <v>0</v>
      </c>
      <c r="O80" s="265">
        <f ca="1">IFERROR(OFFSET(INDIRECT(#REF!),MATCH([2]Development_Schedule_EK!R$6,INDIRECT(#REF!),0)-1,MATCH([2]Development_Schedule_EK!$B77,INDIRECT(#REF!),0),1,1)*$D80,0)</f>
        <v>0</v>
      </c>
      <c r="P80" s="183"/>
      <c r="Q80" s="184"/>
      <c r="R80" s="183"/>
    </row>
    <row r="81" spans="1:18" x14ac:dyDescent="0.25">
      <c r="A81" s="284">
        <v>2</v>
      </c>
      <c r="B81" s="774" t="s">
        <v>42</v>
      </c>
      <c r="C81" s="262"/>
      <c r="D81" s="270">
        <f ca="1">IFERROR(OFFSET(INDIRECT(#REF!),MATCH([2]Development_Schedule_EK!$E78,INDIRECT(#REF!),0)-1,MATCH([2]Development_Schedule_EK!$B78,INDIRECT(#REF!),0),1,1),0)</f>
        <v>0</v>
      </c>
      <c r="E81" s="266"/>
      <c r="F81" s="260">
        <f ca="1">IFERROR(OFFSET(INDIRECT(#REF!),MATCH([2]Development_Schedule_EK!I$6,INDIRECT(#REF!),0)-1,MATCH([2]Development_Schedule_EK!$B78,INDIRECT(#REF!),0),1,1)*$D81,0)</f>
        <v>0</v>
      </c>
      <c r="G81" s="260">
        <f ca="1">IFERROR(OFFSET(INDIRECT(#REF!),MATCH([2]Development_Schedule_EK!J$6,INDIRECT(#REF!),0)-1,MATCH([2]Development_Schedule_EK!$B78,INDIRECT(#REF!),0),1,1)*$D81,0)</f>
        <v>0</v>
      </c>
      <c r="H81" s="265">
        <f ca="1">IFERROR(OFFSET(INDIRECT(#REF!),MATCH([2]Development_Schedule_EK!K$6,INDIRECT(#REF!),0)-1,MATCH([2]Development_Schedule_EK!$B78,INDIRECT(#REF!),0),1,1)*$D81,0)</f>
        <v>0</v>
      </c>
      <c r="I81" s="260">
        <f ca="1">IFERROR(OFFSET(INDIRECT(#REF!),MATCH([2]Development_Schedule_EK!L$6,INDIRECT(#REF!),0)-1,MATCH([2]Development_Schedule_EK!$B78,INDIRECT(#REF!),0),1,1)*$D81,0)</f>
        <v>0</v>
      </c>
      <c r="J81" s="260">
        <f ca="1">IFERROR(OFFSET(INDIRECT(#REF!),MATCH([2]Development_Schedule_EK!M$6,INDIRECT(#REF!),0)-1,MATCH([2]Development_Schedule_EK!$B78,INDIRECT(#REF!),0),1,1)*$D81,0)</f>
        <v>0</v>
      </c>
      <c r="K81" s="260">
        <f ca="1">IFERROR(OFFSET(INDIRECT(#REF!),MATCH([2]Development_Schedule_EK!N$6,INDIRECT(#REF!),0)-1,MATCH([2]Development_Schedule_EK!$B78,INDIRECT(#REF!),0),1,1)*$D81,0)</f>
        <v>0</v>
      </c>
      <c r="L81" s="265">
        <f ca="1">IFERROR(OFFSET(INDIRECT(#REF!),MATCH([2]Development_Schedule_EK!O$6,INDIRECT(#REF!),0)-1,MATCH([2]Development_Schedule_EK!$B78,INDIRECT(#REF!),0),1,1)*$D81,0)</f>
        <v>0</v>
      </c>
      <c r="M81" s="260">
        <f ca="1">IFERROR(OFFSET(INDIRECT(#REF!),MATCH([2]Development_Schedule_EK!P$6,INDIRECT(#REF!),0)-1,MATCH([2]Development_Schedule_EK!$B78,INDIRECT(#REF!),0),1,1)*$D81,0)</f>
        <v>0</v>
      </c>
      <c r="N81" s="260">
        <f ca="1">IFERROR(OFFSET(INDIRECT(#REF!),MATCH([2]Development_Schedule_EK!Q$6,INDIRECT(#REF!),0)-1,MATCH([2]Development_Schedule_EK!$B78,INDIRECT(#REF!),0),1,1)*$D81,0)</f>
        <v>0</v>
      </c>
      <c r="O81" s="265">
        <f ca="1">IFERROR(OFFSET(INDIRECT(#REF!),MATCH([2]Development_Schedule_EK!R$6,INDIRECT(#REF!),0)-1,MATCH([2]Development_Schedule_EK!$B78,INDIRECT(#REF!),0),1,1)*$D81,0)</f>
        <v>0</v>
      </c>
      <c r="P81" s="183"/>
      <c r="Q81" s="184"/>
      <c r="R81" s="183"/>
    </row>
    <row r="82" spans="1:18" x14ac:dyDescent="0.25">
      <c r="B82" s="769"/>
      <c r="C82" s="262"/>
      <c r="D82" s="270"/>
      <c r="E82" s="266"/>
      <c r="F82" s="256"/>
      <c r="G82" s="256"/>
      <c r="H82" s="263"/>
      <c r="I82" s="256"/>
      <c r="J82" s="256"/>
      <c r="K82" s="256"/>
      <c r="L82" s="263"/>
      <c r="M82" s="256"/>
      <c r="N82" s="256"/>
      <c r="O82" s="263"/>
      <c r="P82" s="183"/>
      <c r="Q82" s="184"/>
      <c r="R82" s="183"/>
    </row>
    <row r="83" spans="1:18" x14ac:dyDescent="0.25">
      <c r="B83" s="769"/>
      <c r="C83" s="262"/>
      <c r="D83" s="270"/>
      <c r="E83" s="266"/>
      <c r="F83" s="256"/>
      <c r="G83" s="256"/>
      <c r="H83" s="263"/>
      <c r="I83" s="256"/>
      <c r="J83" s="256"/>
      <c r="K83" s="256"/>
      <c r="L83" s="263"/>
      <c r="M83" s="256"/>
      <c r="N83" s="256"/>
      <c r="O83" s="263"/>
      <c r="P83" s="183"/>
      <c r="Q83" s="184"/>
      <c r="R83" s="183"/>
    </row>
    <row r="84" spans="1:18" x14ac:dyDescent="0.25">
      <c r="B84" s="773" t="s">
        <v>364</v>
      </c>
      <c r="C84" s="262"/>
      <c r="D84" s="270"/>
      <c r="E84" s="266"/>
      <c r="F84" s="256"/>
      <c r="G84" s="256"/>
      <c r="H84" s="263"/>
      <c r="I84" s="256"/>
      <c r="J84" s="256"/>
      <c r="K84" s="256"/>
      <c r="L84" s="263"/>
      <c r="M84" s="256"/>
      <c r="N84" s="256"/>
      <c r="O84" s="263"/>
      <c r="P84" s="183"/>
      <c r="Q84" s="184"/>
      <c r="R84" s="183"/>
    </row>
    <row r="85" spans="1:18" x14ac:dyDescent="0.25">
      <c r="A85" s="284">
        <v>1</v>
      </c>
      <c r="B85" s="774" t="s">
        <v>381</v>
      </c>
      <c r="C85" s="262"/>
      <c r="D85" s="270">
        <f ca="1">IFERROR(OFFSET(INDIRECT(#REF!),MATCH([2]Development_Schedule_EK!$E82,INDIRECT(#REF!),0)-1,MATCH([2]Development_Schedule_EK!$B82,INDIRECT(#REF!),0),1,1),0)</f>
        <v>0</v>
      </c>
      <c r="E85" s="266"/>
      <c r="F85" s="260">
        <f ca="1">IFERROR(OFFSET(INDIRECT(#REF!),MATCH([2]Development_Schedule_EK!I$6,INDIRECT(#REF!),0)-1,MATCH([2]Development_Schedule_EK!$B82,INDIRECT(#REF!),0),1,1)*$D85,0)</f>
        <v>0</v>
      </c>
      <c r="G85" s="260">
        <f ca="1">IFERROR(OFFSET(INDIRECT(#REF!),MATCH([2]Development_Schedule_EK!J$6,INDIRECT(#REF!),0)-1,MATCH([2]Development_Schedule_EK!$B82,INDIRECT(#REF!),0),1,1)*$D85,0)</f>
        <v>0</v>
      </c>
      <c r="H85" s="265">
        <f ca="1">IFERROR(OFFSET(INDIRECT(#REF!),MATCH([2]Development_Schedule_EK!K$6,INDIRECT(#REF!),0)-1,MATCH([2]Development_Schedule_EK!$B82,INDIRECT(#REF!),0),1,1)*$D85,0)</f>
        <v>0</v>
      </c>
      <c r="I85" s="260">
        <f ca="1">IFERROR(OFFSET(INDIRECT(#REF!),MATCH([2]Development_Schedule_EK!L$6,INDIRECT(#REF!),0)-1,MATCH([2]Development_Schedule_EK!$B82,INDIRECT(#REF!),0),1,1)*$D85,0)</f>
        <v>0</v>
      </c>
      <c r="J85" s="260">
        <f ca="1">IFERROR(OFFSET(INDIRECT(#REF!),MATCH([2]Development_Schedule_EK!M$6,INDIRECT(#REF!),0)-1,MATCH([2]Development_Schedule_EK!$B82,INDIRECT(#REF!),0),1,1)*$D85,0)</f>
        <v>0</v>
      </c>
      <c r="K85" s="260">
        <f ca="1">IFERROR(OFFSET(INDIRECT(#REF!),MATCH([2]Development_Schedule_EK!N$6,INDIRECT(#REF!),0)-1,MATCH([2]Development_Schedule_EK!$B82,INDIRECT(#REF!),0),1,1)*$D85,0)</f>
        <v>0</v>
      </c>
      <c r="L85" s="265">
        <f ca="1">IFERROR(OFFSET(INDIRECT(#REF!),MATCH([2]Development_Schedule_EK!O$6,INDIRECT(#REF!),0)-1,MATCH([2]Development_Schedule_EK!$B82,INDIRECT(#REF!),0),1,1)*$D85,0)</f>
        <v>0</v>
      </c>
      <c r="M85" s="260">
        <f ca="1">IFERROR(OFFSET(INDIRECT(#REF!),MATCH([2]Development_Schedule_EK!P$6,INDIRECT(#REF!),0)-1,MATCH([2]Development_Schedule_EK!$B82,INDIRECT(#REF!),0),1,1)*$D85,0)</f>
        <v>0</v>
      </c>
      <c r="N85" s="260">
        <f ca="1">IFERROR(OFFSET(INDIRECT(#REF!),MATCH([2]Development_Schedule_EK!Q$6,INDIRECT(#REF!),0)-1,MATCH([2]Development_Schedule_EK!$B82,INDIRECT(#REF!),0),1,1)*$D85,0)</f>
        <v>0</v>
      </c>
      <c r="O85" s="265">
        <f ca="1">IFERROR(OFFSET(INDIRECT(#REF!),MATCH([2]Development_Schedule_EK!R$6,INDIRECT(#REF!),0)-1,MATCH([2]Development_Schedule_EK!$B82,INDIRECT(#REF!),0),1,1)*$D85,0)</f>
        <v>0</v>
      </c>
      <c r="P85" s="183"/>
      <c r="Q85" s="184"/>
      <c r="R85" s="183"/>
    </row>
    <row r="86" spans="1:18" x14ac:dyDescent="0.25">
      <c r="A86" s="284">
        <v>1</v>
      </c>
      <c r="B86" s="774" t="s">
        <v>382</v>
      </c>
      <c r="C86" s="262"/>
      <c r="D86" s="270">
        <f ca="1">IFERROR(OFFSET(INDIRECT(#REF!),MATCH([2]Development_Schedule_EK!$E83,INDIRECT(#REF!),0)-1,MATCH([2]Development_Schedule_EK!$B83,INDIRECT(#REF!),0),1,1),0)</f>
        <v>0</v>
      </c>
      <c r="E86" s="266"/>
      <c r="F86" s="260">
        <f ca="1">IFERROR(OFFSET(INDIRECT(#REF!),MATCH([2]Development_Schedule_EK!I$6,INDIRECT(#REF!),0)-1,MATCH([2]Development_Schedule_EK!$B83,INDIRECT(#REF!),0),1,1)*$D86,0)</f>
        <v>0</v>
      </c>
      <c r="G86" s="260">
        <f ca="1">IFERROR(OFFSET(INDIRECT(#REF!),MATCH([2]Development_Schedule_EK!J$6,INDIRECT(#REF!),0)-1,MATCH([2]Development_Schedule_EK!$B83,INDIRECT(#REF!),0),1,1)*$D86,0)</f>
        <v>0</v>
      </c>
      <c r="H86" s="265">
        <f ca="1">IFERROR(OFFSET(INDIRECT(#REF!),MATCH([2]Development_Schedule_EK!K$6,INDIRECT(#REF!),0)-1,MATCH([2]Development_Schedule_EK!$B83,INDIRECT(#REF!),0),1,1)*$D86,0)</f>
        <v>0</v>
      </c>
      <c r="I86" s="260">
        <f ca="1">IFERROR(OFFSET(INDIRECT(#REF!),MATCH([2]Development_Schedule_EK!L$6,INDIRECT(#REF!),0)-1,MATCH([2]Development_Schedule_EK!$B83,INDIRECT(#REF!),0),1,1)*$D86,0)</f>
        <v>0</v>
      </c>
      <c r="J86" s="260">
        <f ca="1">IFERROR(OFFSET(INDIRECT(#REF!),MATCH([2]Development_Schedule_EK!M$6,INDIRECT(#REF!),0)-1,MATCH([2]Development_Schedule_EK!$B83,INDIRECT(#REF!),0),1,1)*$D86,0)</f>
        <v>0</v>
      </c>
      <c r="K86" s="260">
        <f ca="1">IFERROR(OFFSET(INDIRECT(#REF!),MATCH([2]Development_Schedule_EK!N$6,INDIRECT(#REF!),0)-1,MATCH([2]Development_Schedule_EK!$B83,INDIRECT(#REF!),0),1,1)*$D86,0)</f>
        <v>0</v>
      </c>
      <c r="L86" s="265">
        <f ca="1">IFERROR(OFFSET(INDIRECT(#REF!),MATCH([2]Development_Schedule_EK!O$6,INDIRECT(#REF!),0)-1,MATCH([2]Development_Schedule_EK!$B83,INDIRECT(#REF!),0),1,1)*$D86,0)</f>
        <v>0</v>
      </c>
      <c r="M86" s="260">
        <f ca="1">IFERROR(OFFSET(INDIRECT(#REF!),MATCH([2]Development_Schedule_EK!P$6,INDIRECT(#REF!),0)-1,MATCH([2]Development_Schedule_EK!$B83,INDIRECT(#REF!),0),1,1)*$D86,0)</f>
        <v>0</v>
      </c>
      <c r="N86" s="260">
        <f ca="1">IFERROR(OFFSET(INDIRECT(#REF!),MATCH([2]Development_Schedule_EK!Q$6,INDIRECT(#REF!),0)-1,MATCH([2]Development_Schedule_EK!$B83,INDIRECT(#REF!),0),1,1)*$D86,0)</f>
        <v>0</v>
      </c>
      <c r="O86" s="265">
        <f ca="1">IFERROR(OFFSET(INDIRECT(#REF!),MATCH([2]Development_Schedule_EK!R$6,INDIRECT(#REF!),0)-1,MATCH([2]Development_Schedule_EK!$B83,INDIRECT(#REF!),0),1,1)*$D86,0)</f>
        <v>0</v>
      </c>
      <c r="P86" s="183"/>
      <c r="Q86" s="184"/>
      <c r="R86" s="183"/>
    </row>
    <row r="87" spans="1:18" x14ac:dyDescent="0.25">
      <c r="A87" s="284">
        <v>1</v>
      </c>
      <c r="B87" s="774" t="s">
        <v>383</v>
      </c>
      <c r="C87" s="262"/>
      <c r="D87" s="270">
        <f ca="1">IFERROR(OFFSET(INDIRECT(#REF!),MATCH([2]Development_Schedule_EK!$E84,INDIRECT(#REF!),0)-1,MATCH([2]Development_Schedule_EK!$B84,INDIRECT(#REF!),0),1,1),0)</f>
        <v>0</v>
      </c>
      <c r="E87" s="266"/>
      <c r="F87" s="260">
        <f ca="1">IFERROR(OFFSET(INDIRECT(#REF!),MATCH([2]Development_Schedule_EK!I$6,INDIRECT(#REF!),0)-1,MATCH([2]Development_Schedule_EK!$B84,INDIRECT(#REF!),0),1,1)*$D87,0)</f>
        <v>0</v>
      </c>
      <c r="G87" s="260">
        <f ca="1">IFERROR(OFFSET(INDIRECT(#REF!),MATCH([2]Development_Schedule_EK!J$6,INDIRECT(#REF!),0)-1,MATCH([2]Development_Schedule_EK!$B84,INDIRECT(#REF!),0),1,1)*$D87,0)</f>
        <v>0</v>
      </c>
      <c r="H87" s="265">
        <f ca="1">IFERROR(OFFSET(INDIRECT(#REF!),MATCH([2]Development_Schedule_EK!K$6,INDIRECT(#REF!),0)-1,MATCH([2]Development_Schedule_EK!$B84,INDIRECT(#REF!),0),1,1)*$D87,0)</f>
        <v>0</v>
      </c>
      <c r="I87" s="260">
        <f ca="1">IFERROR(OFFSET(INDIRECT(#REF!),MATCH([2]Development_Schedule_EK!L$6,INDIRECT(#REF!),0)-1,MATCH([2]Development_Schedule_EK!$B84,INDIRECT(#REF!),0),1,1)*$D87,0)</f>
        <v>0</v>
      </c>
      <c r="J87" s="260">
        <f ca="1">IFERROR(OFFSET(INDIRECT(#REF!),MATCH([2]Development_Schedule_EK!M$6,INDIRECT(#REF!),0)-1,MATCH([2]Development_Schedule_EK!$B84,INDIRECT(#REF!),0),1,1)*$D87,0)</f>
        <v>0</v>
      </c>
      <c r="K87" s="260">
        <f ca="1">IFERROR(OFFSET(INDIRECT(#REF!),MATCH([2]Development_Schedule_EK!N$6,INDIRECT(#REF!),0)-1,MATCH([2]Development_Schedule_EK!$B84,INDIRECT(#REF!),0),1,1)*$D87,0)</f>
        <v>0</v>
      </c>
      <c r="L87" s="265">
        <f ca="1">IFERROR(OFFSET(INDIRECT(#REF!),MATCH([2]Development_Schedule_EK!O$6,INDIRECT(#REF!),0)-1,MATCH([2]Development_Schedule_EK!$B84,INDIRECT(#REF!),0),1,1)*$D87,0)</f>
        <v>0</v>
      </c>
      <c r="M87" s="260">
        <f ca="1">IFERROR(OFFSET(INDIRECT(#REF!),MATCH([2]Development_Schedule_EK!P$6,INDIRECT(#REF!),0)-1,MATCH([2]Development_Schedule_EK!$B84,INDIRECT(#REF!),0),1,1)*$D87,0)</f>
        <v>0</v>
      </c>
      <c r="N87" s="260">
        <f ca="1">IFERROR(OFFSET(INDIRECT(#REF!),MATCH([2]Development_Schedule_EK!Q$6,INDIRECT(#REF!),0)-1,MATCH([2]Development_Schedule_EK!$B84,INDIRECT(#REF!),0),1,1)*$D87,0)</f>
        <v>0</v>
      </c>
      <c r="O87" s="265">
        <f ca="1">IFERROR(OFFSET(INDIRECT(#REF!),MATCH([2]Development_Schedule_EK!R$6,INDIRECT(#REF!),0)-1,MATCH([2]Development_Schedule_EK!$B84,INDIRECT(#REF!),0),1,1)*$D87,0)</f>
        <v>0</v>
      </c>
      <c r="P87" s="183"/>
      <c r="Q87" s="184"/>
      <c r="R87" s="183"/>
    </row>
    <row r="88" spans="1:18" x14ac:dyDescent="0.25">
      <c r="A88" s="284">
        <v>1</v>
      </c>
      <c r="B88" s="774" t="s">
        <v>384</v>
      </c>
      <c r="C88" s="262"/>
      <c r="D88" s="270">
        <f ca="1">IFERROR(OFFSET(INDIRECT(#REF!),MATCH([2]Development_Schedule_EK!$E85,INDIRECT(#REF!),0)-1,MATCH([2]Development_Schedule_EK!$B85,INDIRECT(#REF!),0),1,1),0)</f>
        <v>0</v>
      </c>
      <c r="E88" s="266"/>
      <c r="F88" s="260">
        <f ca="1">IFERROR(OFFSET(INDIRECT(#REF!),MATCH([2]Development_Schedule_EK!I$6,INDIRECT(#REF!),0)-1,MATCH([2]Development_Schedule_EK!$B85,INDIRECT(#REF!),0),1,1)*$D88,0)</f>
        <v>0</v>
      </c>
      <c r="G88" s="260">
        <f ca="1">IFERROR(OFFSET(INDIRECT(#REF!),MATCH([2]Development_Schedule_EK!J$6,INDIRECT(#REF!),0)-1,MATCH([2]Development_Schedule_EK!$B85,INDIRECT(#REF!),0),1,1)*$D88,0)</f>
        <v>0</v>
      </c>
      <c r="H88" s="265">
        <f ca="1">IFERROR(OFFSET(INDIRECT(#REF!),MATCH([2]Development_Schedule_EK!K$6,INDIRECT(#REF!),0)-1,MATCH([2]Development_Schedule_EK!$B85,INDIRECT(#REF!),0),1,1)*$D88,0)</f>
        <v>0</v>
      </c>
      <c r="I88" s="260">
        <f ca="1">IFERROR(OFFSET(INDIRECT(#REF!),MATCH([2]Development_Schedule_EK!L$6,INDIRECT(#REF!),0)-1,MATCH([2]Development_Schedule_EK!$B85,INDIRECT(#REF!),0),1,1)*$D88,0)</f>
        <v>0</v>
      </c>
      <c r="J88" s="260">
        <f ca="1">IFERROR(OFFSET(INDIRECT(#REF!),MATCH([2]Development_Schedule_EK!M$6,INDIRECT(#REF!),0)-1,MATCH([2]Development_Schedule_EK!$B85,INDIRECT(#REF!),0),1,1)*$D88,0)</f>
        <v>0</v>
      </c>
      <c r="K88" s="260">
        <f ca="1">IFERROR(OFFSET(INDIRECT(#REF!),MATCH([2]Development_Schedule_EK!N$6,INDIRECT(#REF!),0)-1,MATCH([2]Development_Schedule_EK!$B85,INDIRECT(#REF!),0),1,1)*$D88,0)</f>
        <v>0</v>
      </c>
      <c r="L88" s="265">
        <f ca="1">IFERROR(OFFSET(INDIRECT(#REF!),MATCH([2]Development_Schedule_EK!O$6,INDIRECT(#REF!),0)-1,MATCH([2]Development_Schedule_EK!$B85,INDIRECT(#REF!),0),1,1)*$D88,0)</f>
        <v>0</v>
      </c>
      <c r="M88" s="260">
        <f ca="1">IFERROR(OFFSET(INDIRECT(#REF!),MATCH([2]Development_Schedule_EK!P$6,INDIRECT(#REF!),0)-1,MATCH([2]Development_Schedule_EK!$B85,INDIRECT(#REF!),0),1,1)*$D88,0)</f>
        <v>0</v>
      </c>
      <c r="N88" s="260">
        <f ca="1">IFERROR(OFFSET(INDIRECT(#REF!),MATCH([2]Development_Schedule_EK!Q$6,INDIRECT(#REF!),0)-1,MATCH([2]Development_Schedule_EK!$B85,INDIRECT(#REF!),0),1,1)*$D88,0)</f>
        <v>0</v>
      </c>
      <c r="O88" s="265">
        <f ca="1">IFERROR(OFFSET(INDIRECT(#REF!),MATCH([2]Development_Schedule_EK!R$6,INDIRECT(#REF!),0)-1,MATCH([2]Development_Schedule_EK!$B85,INDIRECT(#REF!),0),1,1)*$D88,0)</f>
        <v>0</v>
      </c>
      <c r="P88" s="183"/>
      <c r="Q88" s="184"/>
      <c r="R88" s="183"/>
    </row>
    <row r="89" spans="1:18" x14ac:dyDescent="0.25">
      <c r="A89" s="284">
        <v>1</v>
      </c>
      <c r="B89" s="774" t="s">
        <v>35</v>
      </c>
      <c r="C89" s="262"/>
      <c r="D89" s="270">
        <v>98480</v>
      </c>
      <c r="E89" s="266"/>
      <c r="F89" s="260">
        <f>D89/2</f>
        <v>49240</v>
      </c>
      <c r="G89" s="260">
        <f>F89</f>
        <v>49240</v>
      </c>
      <c r="H89" s="265">
        <f ca="1">IFERROR(OFFSET(INDIRECT(#REF!),MATCH([2]Development_Schedule_EK!K$6,INDIRECT(#REF!),0)-1,MATCH([2]Development_Schedule_EK!$B86,INDIRECT(#REF!),0),1,1)*$D89,0)</f>
        <v>0</v>
      </c>
      <c r="I89" s="260">
        <f ca="1">IFERROR(OFFSET(INDIRECT(#REF!),MATCH([2]Development_Schedule_EK!L$6,INDIRECT(#REF!),0)-1,MATCH([2]Development_Schedule_EK!$B86,INDIRECT(#REF!),0),1,1)*$D89,0)</f>
        <v>0</v>
      </c>
      <c r="J89" s="260">
        <f ca="1">IFERROR(OFFSET(INDIRECT(#REF!),MATCH([2]Development_Schedule_EK!M$6,INDIRECT(#REF!),0)-1,MATCH([2]Development_Schedule_EK!$B86,INDIRECT(#REF!),0),1,1)*$D89,0)</f>
        <v>0</v>
      </c>
      <c r="K89" s="260">
        <f ca="1">IFERROR(OFFSET(INDIRECT(#REF!),MATCH([2]Development_Schedule_EK!N$6,INDIRECT(#REF!),0)-1,MATCH([2]Development_Schedule_EK!$B86,INDIRECT(#REF!),0),1,1)*$D89,0)</f>
        <v>0</v>
      </c>
      <c r="L89" s="265">
        <f ca="1">IFERROR(OFFSET(INDIRECT(#REF!),MATCH([2]Development_Schedule_EK!O$6,INDIRECT(#REF!),0)-1,MATCH([2]Development_Schedule_EK!$B86,INDIRECT(#REF!),0),1,1)*$D89,0)</f>
        <v>0</v>
      </c>
      <c r="M89" s="260">
        <f ca="1">IFERROR(OFFSET(INDIRECT(#REF!),MATCH([2]Development_Schedule_EK!P$6,INDIRECT(#REF!),0)-1,MATCH([2]Development_Schedule_EK!$B86,INDIRECT(#REF!),0),1,1)*$D89,0)</f>
        <v>0</v>
      </c>
      <c r="N89" s="260">
        <f ca="1">IFERROR(OFFSET(INDIRECT(#REF!),MATCH([2]Development_Schedule_EK!Q$6,INDIRECT(#REF!),0)-1,MATCH([2]Development_Schedule_EK!$B86,INDIRECT(#REF!),0),1,1)*$D89,0)</f>
        <v>0</v>
      </c>
      <c r="O89" s="265">
        <f ca="1">IFERROR(OFFSET(INDIRECT(#REF!),MATCH([2]Development_Schedule_EK!R$6,INDIRECT(#REF!),0)-1,MATCH([2]Development_Schedule_EK!$B86,INDIRECT(#REF!),0),1,1)*$D89,0)</f>
        <v>0</v>
      </c>
      <c r="P89" s="183"/>
      <c r="Q89" s="184"/>
      <c r="R89" s="183"/>
    </row>
    <row r="90" spans="1:18" x14ac:dyDescent="0.25">
      <c r="A90" s="284">
        <v>1</v>
      </c>
      <c r="B90" s="774" t="s">
        <v>355</v>
      </c>
      <c r="C90" s="262"/>
      <c r="D90" s="270">
        <f ca="1">IFERROR(OFFSET(INDIRECT(#REF!),MATCH([2]Development_Schedule_EK!$E87,INDIRECT(#REF!),0)-1,MATCH([2]Development_Schedule_EK!$B87,INDIRECT(#REF!),0),1,1),0)</f>
        <v>0</v>
      </c>
      <c r="E90" s="266"/>
      <c r="F90" s="260">
        <f ca="1">IFERROR(OFFSET(INDIRECT(#REF!),MATCH([2]Development_Schedule_EK!I$6,INDIRECT(#REF!),0)-1,MATCH([2]Development_Schedule_EK!$B87,INDIRECT(#REF!),0),1,1)*$D90,0)</f>
        <v>0</v>
      </c>
      <c r="G90" s="260">
        <f ca="1">IFERROR(OFFSET(INDIRECT(#REF!),MATCH([2]Development_Schedule_EK!J$6,INDIRECT(#REF!),0)-1,MATCH([2]Development_Schedule_EK!$B87,INDIRECT(#REF!),0),1,1)*$D90,0)</f>
        <v>0</v>
      </c>
      <c r="H90" s="265">
        <f ca="1">IFERROR(OFFSET(INDIRECT(#REF!),MATCH([2]Development_Schedule_EK!K$6,INDIRECT(#REF!),0)-1,MATCH([2]Development_Schedule_EK!$B87,INDIRECT(#REF!),0),1,1)*$D90,0)</f>
        <v>0</v>
      </c>
      <c r="I90" s="260">
        <f ca="1">IFERROR(OFFSET(INDIRECT(#REF!),MATCH([2]Development_Schedule_EK!L$6,INDIRECT(#REF!),0)-1,MATCH([2]Development_Schedule_EK!$B87,INDIRECT(#REF!),0),1,1)*$D90,0)</f>
        <v>0</v>
      </c>
      <c r="J90" s="260">
        <f ca="1">IFERROR(OFFSET(INDIRECT(#REF!),MATCH([2]Development_Schedule_EK!M$6,INDIRECT(#REF!),0)-1,MATCH([2]Development_Schedule_EK!$B87,INDIRECT(#REF!),0),1,1)*$D90,0)</f>
        <v>0</v>
      </c>
      <c r="K90" s="260">
        <f ca="1">IFERROR(OFFSET(INDIRECT(#REF!),MATCH([2]Development_Schedule_EK!N$6,INDIRECT(#REF!),0)-1,MATCH([2]Development_Schedule_EK!$B87,INDIRECT(#REF!),0),1,1)*$D90,0)</f>
        <v>0</v>
      </c>
      <c r="L90" s="265">
        <f ca="1">IFERROR(OFFSET(INDIRECT(#REF!),MATCH([2]Development_Schedule_EK!O$6,INDIRECT(#REF!),0)-1,MATCH([2]Development_Schedule_EK!$B87,INDIRECT(#REF!),0),1,1)*$D90,0)</f>
        <v>0</v>
      </c>
      <c r="M90" s="260">
        <f ca="1">IFERROR(OFFSET(INDIRECT(#REF!),MATCH([2]Development_Schedule_EK!P$6,INDIRECT(#REF!),0)-1,MATCH([2]Development_Schedule_EK!$B87,INDIRECT(#REF!),0),1,1)*$D90,0)</f>
        <v>0</v>
      </c>
      <c r="N90" s="260">
        <f ca="1">IFERROR(OFFSET(INDIRECT(#REF!),MATCH([2]Development_Schedule_EK!Q$6,INDIRECT(#REF!),0)-1,MATCH([2]Development_Schedule_EK!$B87,INDIRECT(#REF!),0),1,1)*$D90,0)</f>
        <v>0</v>
      </c>
      <c r="O90" s="265">
        <f ca="1">IFERROR(OFFSET(INDIRECT(#REF!),MATCH([2]Development_Schedule_EK!R$6,INDIRECT(#REF!),0)-1,MATCH([2]Development_Schedule_EK!$B87,INDIRECT(#REF!),0),1,1)*$D90,0)</f>
        <v>0</v>
      </c>
      <c r="P90" s="183"/>
      <c r="Q90" s="184"/>
      <c r="R90" s="183"/>
    </row>
    <row r="91" spans="1:18" x14ac:dyDescent="0.25">
      <c r="A91" s="284">
        <v>1</v>
      </c>
      <c r="B91" s="774" t="s">
        <v>356</v>
      </c>
      <c r="C91" s="262"/>
      <c r="D91" s="270">
        <f ca="1">IFERROR(OFFSET(INDIRECT(#REF!),MATCH([2]Development_Schedule_EK!$E88,INDIRECT(#REF!),0)-1,MATCH([2]Development_Schedule_EK!$B88,INDIRECT(#REF!),0),1,1),0)</f>
        <v>0</v>
      </c>
      <c r="E91" s="266"/>
      <c r="F91" s="260">
        <f ca="1">IFERROR(OFFSET(INDIRECT(#REF!),MATCH([2]Development_Schedule_EK!I$6,INDIRECT(#REF!),0)-1,MATCH([2]Development_Schedule_EK!$B88,INDIRECT(#REF!),0),1,1)*$D91,0)</f>
        <v>0</v>
      </c>
      <c r="G91" s="260">
        <f ca="1">IFERROR(OFFSET(INDIRECT(#REF!),MATCH([2]Development_Schedule_EK!J$6,INDIRECT(#REF!),0)-1,MATCH([2]Development_Schedule_EK!$B88,INDIRECT(#REF!),0),1,1)*$D91,0)</f>
        <v>0</v>
      </c>
      <c r="H91" s="265">
        <f ca="1">IFERROR(OFFSET(INDIRECT(#REF!),MATCH([2]Development_Schedule_EK!K$6,INDIRECT(#REF!),0)-1,MATCH([2]Development_Schedule_EK!$B88,INDIRECT(#REF!),0),1,1)*$D91,0)</f>
        <v>0</v>
      </c>
      <c r="I91" s="260">
        <f ca="1">IFERROR(OFFSET(INDIRECT(#REF!),MATCH([2]Development_Schedule_EK!L$6,INDIRECT(#REF!),0)-1,MATCH([2]Development_Schedule_EK!$B88,INDIRECT(#REF!),0),1,1)*$D91,0)</f>
        <v>0</v>
      </c>
      <c r="J91" s="260">
        <f ca="1">IFERROR(OFFSET(INDIRECT(#REF!),MATCH([2]Development_Schedule_EK!M$6,INDIRECT(#REF!),0)-1,MATCH([2]Development_Schedule_EK!$B88,INDIRECT(#REF!),0),1,1)*$D91,0)</f>
        <v>0</v>
      </c>
      <c r="K91" s="260">
        <f ca="1">IFERROR(OFFSET(INDIRECT(#REF!),MATCH([2]Development_Schedule_EK!N$6,INDIRECT(#REF!),0)-1,MATCH([2]Development_Schedule_EK!$B88,INDIRECT(#REF!),0),1,1)*$D91,0)</f>
        <v>0</v>
      </c>
      <c r="L91" s="265">
        <f ca="1">IFERROR(OFFSET(INDIRECT(#REF!),MATCH([2]Development_Schedule_EK!O$6,INDIRECT(#REF!),0)-1,MATCH([2]Development_Schedule_EK!$B88,INDIRECT(#REF!),0),1,1)*$D91,0)</f>
        <v>0</v>
      </c>
      <c r="M91" s="260">
        <f ca="1">IFERROR(OFFSET(INDIRECT(#REF!),MATCH([2]Development_Schedule_EK!P$6,INDIRECT(#REF!),0)-1,MATCH([2]Development_Schedule_EK!$B88,INDIRECT(#REF!),0),1,1)*$D91,0)</f>
        <v>0</v>
      </c>
      <c r="N91" s="260">
        <f ca="1">IFERROR(OFFSET(INDIRECT(#REF!),MATCH([2]Development_Schedule_EK!Q$6,INDIRECT(#REF!),0)-1,MATCH([2]Development_Schedule_EK!$B88,INDIRECT(#REF!),0),1,1)*$D91,0)</f>
        <v>0</v>
      </c>
      <c r="O91" s="265">
        <f ca="1">IFERROR(OFFSET(INDIRECT(#REF!),MATCH([2]Development_Schedule_EK!R$6,INDIRECT(#REF!),0)-1,MATCH([2]Development_Schedule_EK!$B88,INDIRECT(#REF!),0),1,1)*$D91,0)</f>
        <v>0</v>
      </c>
      <c r="P91" s="183"/>
      <c r="Q91" s="184"/>
      <c r="R91" s="183"/>
    </row>
    <row r="92" spans="1:18" x14ac:dyDescent="0.25">
      <c r="A92" s="284">
        <v>1</v>
      </c>
      <c r="B92" s="774" t="s">
        <v>357</v>
      </c>
      <c r="C92" s="262"/>
      <c r="D92" s="270">
        <f ca="1">IFERROR(OFFSET(INDIRECT(#REF!),MATCH([2]Development_Schedule_EK!$E89,INDIRECT(#REF!),0)-1,MATCH([2]Development_Schedule_EK!$B89,INDIRECT(#REF!),0),1,1),0)</f>
        <v>0</v>
      </c>
      <c r="E92" s="266"/>
      <c r="F92" s="260">
        <f ca="1">IFERROR(OFFSET(INDIRECT(#REF!),MATCH([2]Development_Schedule_EK!I$6,INDIRECT(#REF!),0)-1,MATCH([2]Development_Schedule_EK!$B89,INDIRECT(#REF!),0),1,1)*$D92,0)</f>
        <v>0</v>
      </c>
      <c r="G92" s="260">
        <f ca="1">IFERROR(OFFSET(INDIRECT(#REF!),MATCH([2]Development_Schedule_EK!J$6,INDIRECT(#REF!),0)-1,MATCH([2]Development_Schedule_EK!$B89,INDIRECT(#REF!),0),1,1)*$D92,0)</f>
        <v>0</v>
      </c>
      <c r="H92" s="265">
        <f ca="1">IFERROR(OFFSET(INDIRECT(#REF!),MATCH([2]Development_Schedule_EK!K$6,INDIRECT(#REF!),0)-1,MATCH([2]Development_Schedule_EK!$B89,INDIRECT(#REF!),0),1,1)*$D92,0)</f>
        <v>0</v>
      </c>
      <c r="I92" s="260">
        <f ca="1">IFERROR(OFFSET(INDIRECT(#REF!),MATCH([2]Development_Schedule_EK!L$6,INDIRECT(#REF!),0)-1,MATCH([2]Development_Schedule_EK!$B89,INDIRECT(#REF!),0),1,1)*$D92,0)</f>
        <v>0</v>
      </c>
      <c r="J92" s="260">
        <f ca="1">IFERROR(OFFSET(INDIRECT(#REF!),MATCH([2]Development_Schedule_EK!M$6,INDIRECT(#REF!),0)-1,MATCH([2]Development_Schedule_EK!$B89,INDIRECT(#REF!),0),1,1)*$D92,0)</f>
        <v>0</v>
      </c>
      <c r="K92" s="260">
        <f ca="1">IFERROR(OFFSET(INDIRECT(#REF!),MATCH([2]Development_Schedule_EK!N$6,INDIRECT(#REF!),0)-1,MATCH([2]Development_Schedule_EK!$B89,INDIRECT(#REF!),0),1,1)*$D92,0)</f>
        <v>0</v>
      </c>
      <c r="L92" s="265">
        <f ca="1">IFERROR(OFFSET(INDIRECT(#REF!),MATCH([2]Development_Schedule_EK!O$6,INDIRECT(#REF!),0)-1,MATCH([2]Development_Schedule_EK!$B89,INDIRECT(#REF!),0),1,1)*$D92,0)</f>
        <v>0</v>
      </c>
      <c r="M92" s="260">
        <f ca="1">IFERROR(OFFSET(INDIRECT(#REF!),MATCH([2]Development_Schedule_EK!P$6,INDIRECT(#REF!),0)-1,MATCH([2]Development_Schedule_EK!$B89,INDIRECT(#REF!),0),1,1)*$D92,0)</f>
        <v>0</v>
      </c>
      <c r="N92" s="260">
        <f ca="1">IFERROR(OFFSET(INDIRECT(#REF!),MATCH([2]Development_Schedule_EK!Q$6,INDIRECT(#REF!),0)-1,MATCH([2]Development_Schedule_EK!$B89,INDIRECT(#REF!),0),1,1)*$D92,0)</f>
        <v>0</v>
      </c>
      <c r="O92" s="265">
        <f ca="1">IFERROR(OFFSET(INDIRECT(#REF!),MATCH([2]Development_Schedule_EK!R$6,INDIRECT(#REF!),0)-1,MATCH([2]Development_Schedule_EK!$B89,INDIRECT(#REF!),0),1,1)*$D92,0)</f>
        <v>0</v>
      </c>
      <c r="P92" s="183"/>
      <c r="Q92" s="184"/>
      <c r="R92" s="183"/>
    </row>
    <row r="93" spans="1:18" x14ac:dyDescent="0.25">
      <c r="A93" s="284">
        <v>1</v>
      </c>
      <c r="B93" s="774" t="s">
        <v>358</v>
      </c>
      <c r="C93" s="262"/>
      <c r="D93" s="270">
        <f ca="1">IFERROR(OFFSET(INDIRECT(#REF!),MATCH([2]Development_Schedule_EK!$E90,INDIRECT(#REF!),0)-1,MATCH([2]Development_Schedule_EK!$B90,INDIRECT(#REF!),0),1,1),0)</f>
        <v>0</v>
      </c>
      <c r="E93" s="266"/>
      <c r="F93" s="260">
        <f ca="1">IFERROR(OFFSET(INDIRECT(#REF!),MATCH([2]Development_Schedule_EK!I$6,INDIRECT(#REF!),0)-1,MATCH([2]Development_Schedule_EK!$B90,INDIRECT(#REF!),0),1,1)*$D93,0)</f>
        <v>0</v>
      </c>
      <c r="G93" s="260">
        <f ca="1">IFERROR(OFFSET(INDIRECT(#REF!),MATCH([2]Development_Schedule_EK!J$6,INDIRECT(#REF!),0)-1,MATCH([2]Development_Schedule_EK!$B90,INDIRECT(#REF!),0),1,1)*$D93,0)</f>
        <v>0</v>
      </c>
      <c r="H93" s="265">
        <f ca="1">IFERROR(OFFSET(INDIRECT(#REF!),MATCH([2]Development_Schedule_EK!K$6,INDIRECT(#REF!),0)-1,MATCH([2]Development_Schedule_EK!$B90,INDIRECT(#REF!),0),1,1)*$D93,0)</f>
        <v>0</v>
      </c>
      <c r="I93" s="260">
        <f ca="1">IFERROR(OFFSET(INDIRECT(#REF!),MATCH([2]Development_Schedule_EK!L$6,INDIRECT(#REF!),0)-1,MATCH([2]Development_Schedule_EK!$B90,INDIRECT(#REF!),0),1,1)*$D93,0)</f>
        <v>0</v>
      </c>
      <c r="J93" s="260">
        <f ca="1">IFERROR(OFFSET(INDIRECT(#REF!),MATCH([2]Development_Schedule_EK!M$6,INDIRECT(#REF!),0)-1,MATCH([2]Development_Schedule_EK!$B90,INDIRECT(#REF!),0),1,1)*$D93,0)</f>
        <v>0</v>
      </c>
      <c r="K93" s="260">
        <f ca="1">IFERROR(OFFSET(INDIRECT(#REF!),MATCH([2]Development_Schedule_EK!N$6,INDIRECT(#REF!),0)-1,MATCH([2]Development_Schedule_EK!$B90,INDIRECT(#REF!),0),1,1)*$D93,0)</f>
        <v>0</v>
      </c>
      <c r="L93" s="265">
        <f ca="1">IFERROR(OFFSET(INDIRECT(#REF!),MATCH([2]Development_Schedule_EK!O$6,INDIRECT(#REF!),0)-1,MATCH([2]Development_Schedule_EK!$B90,INDIRECT(#REF!),0),1,1)*$D93,0)</f>
        <v>0</v>
      </c>
      <c r="M93" s="260">
        <f ca="1">IFERROR(OFFSET(INDIRECT(#REF!),MATCH([2]Development_Schedule_EK!P$6,INDIRECT(#REF!),0)-1,MATCH([2]Development_Schedule_EK!$B90,INDIRECT(#REF!),0),1,1)*$D93,0)</f>
        <v>0</v>
      </c>
      <c r="N93" s="260">
        <f ca="1">IFERROR(OFFSET(INDIRECT(#REF!),MATCH([2]Development_Schedule_EK!Q$6,INDIRECT(#REF!),0)-1,MATCH([2]Development_Schedule_EK!$B90,INDIRECT(#REF!),0),1,1)*$D93,0)</f>
        <v>0</v>
      </c>
      <c r="O93" s="265">
        <f ca="1">IFERROR(OFFSET(INDIRECT(#REF!),MATCH([2]Development_Schedule_EK!R$6,INDIRECT(#REF!),0)-1,MATCH([2]Development_Schedule_EK!$B90,INDIRECT(#REF!),0),1,1)*$D93,0)</f>
        <v>0</v>
      </c>
      <c r="P93" s="183"/>
      <c r="Q93" s="184"/>
      <c r="R93" s="183"/>
    </row>
    <row r="94" spans="1:18" x14ac:dyDescent="0.25">
      <c r="A94" s="284">
        <v>1</v>
      </c>
      <c r="B94" s="774" t="s">
        <v>359</v>
      </c>
      <c r="C94" s="262"/>
      <c r="D94" s="270">
        <f ca="1">IFERROR(OFFSET(INDIRECT(#REF!),MATCH([2]Development_Schedule_EK!$E91,INDIRECT(#REF!),0)-1,MATCH([2]Development_Schedule_EK!$B91,INDIRECT(#REF!),0),1,1),0)</f>
        <v>0</v>
      </c>
      <c r="E94" s="266"/>
      <c r="F94" s="260">
        <f ca="1">IFERROR(OFFSET(INDIRECT(#REF!),MATCH([2]Development_Schedule_EK!I$6,INDIRECT(#REF!),0)-1,MATCH([2]Development_Schedule_EK!$B91,INDIRECT(#REF!),0),1,1)*$D94,0)</f>
        <v>0</v>
      </c>
      <c r="G94" s="260">
        <f ca="1">IFERROR(OFFSET(INDIRECT(#REF!),MATCH([2]Development_Schedule_EK!J$6,INDIRECT(#REF!),0)-1,MATCH([2]Development_Schedule_EK!$B91,INDIRECT(#REF!),0),1,1)*$D94,0)</f>
        <v>0</v>
      </c>
      <c r="H94" s="265">
        <f ca="1">IFERROR(OFFSET(INDIRECT(#REF!),MATCH([2]Development_Schedule_EK!K$6,INDIRECT(#REF!),0)-1,MATCH([2]Development_Schedule_EK!$B91,INDIRECT(#REF!),0),1,1)*$D94,0)</f>
        <v>0</v>
      </c>
      <c r="I94" s="260">
        <f ca="1">IFERROR(OFFSET(INDIRECT(#REF!),MATCH([2]Development_Schedule_EK!L$6,INDIRECT(#REF!),0)-1,MATCH([2]Development_Schedule_EK!$B91,INDIRECT(#REF!),0),1,1)*$D94,0)</f>
        <v>0</v>
      </c>
      <c r="J94" s="260">
        <f ca="1">IFERROR(OFFSET(INDIRECT(#REF!),MATCH([2]Development_Schedule_EK!M$6,INDIRECT(#REF!),0)-1,MATCH([2]Development_Schedule_EK!$B91,INDIRECT(#REF!),0),1,1)*$D94,0)</f>
        <v>0</v>
      </c>
      <c r="K94" s="260">
        <f ca="1">IFERROR(OFFSET(INDIRECT(#REF!),MATCH([2]Development_Schedule_EK!N$6,INDIRECT(#REF!),0)-1,MATCH([2]Development_Schedule_EK!$B91,INDIRECT(#REF!),0),1,1)*$D94,0)</f>
        <v>0</v>
      </c>
      <c r="L94" s="265">
        <f ca="1">IFERROR(OFFSET(INDIRECT(#REF!),MATCH([2]Development_Schedule_EK!O$6,INDIRECT(#REF!),0)-1,MATCH([2]Development_Schedule_EK!$B91,INDIRECT(#REF!),0),1,1)*$D94,0)</f>
        <v>0</v>
      </c>
      <c r="M94" s="260">
        <f ca="1">IFERROR(OFFSET(INDIRECT(#REF!),MATCH([2]Development_Schedule_EK!P$6,INDIRECT(#REF!),0)-1,MATCH([2]Development_Schedule_EK!$B91,INDIRECT(#REF!),0),1,1)*$D94,0)</f>
        <v>0</v>
      </c>
      <c r="N94" s="260">
        <f ca="1">IFERROR(OFFSET(INDIRECT(#REF!),MATCH([2]Development_Schedule_EK!Q$6,INDIRECT(#REF!),0)-1,MATCH([2]Development_Schedule_EK!$B91,INDIRECT(#REF!),0),1,1)*$D94,0)</f>
        <v>0</v>
      </c>
      <c r="O94" s="265">
        <f ca="1">IFERROR(OFFSET(INDIRECT(#REF!),MATCH([2]Development_Schedule_EK!R$6,INDIRECT(#REF!),0)-1,MATCH([2]Development_Schedule_EK!$B91,INDIRECT(#REF!),0),1,1)*$D94,0)</f>
        <v>0</v>
      </c>
      <c r="P94" s="183"/>
      <c r="Q94" s="184"/>
      <c r="R94" s="183"/>
    </row>
    <row r="95" spans="1:18" x14ac:dyDescent="0.25">
      <c r="A95" s="284">
        <v>1</v>
      </c>
      <c r="B95" s="774" t="s">
        <v>33</v>
      </c>
      <c r="C95" s="262"/>
      <c r="D95" s="270">
        <f ca="1">IFERROR(OFFSET(INDIRECT(#REF!),MATCH([2]Development_Schedule_EK!$E92,INDIRECT(#REF!),0)-1,MATCH([2]Development_Schedule_EK!$B92,INDIRECT(#REF!),0),1,1),0)</f>
        <v>0</v>
      </c>
      <c r="E95" s="266"/>
      <c r="F95" s="260">
        <f ca="1">IFERROR(OFFSET(INDIRECT(#REF!),MATCH([2]Development_Schedule_EK!I$6,INDIRECT(#REF!),0)-1,MATCH([2]Development_Schedule_EK!$B92,INDIRECT(#REF!),0),1,1)*$D95,0)</f>
        <v>0</v>
      </c>
      <c r="G95" s="260">
        <f ca="1">IFERROR(OFFSET(INDIRECT(#REF!),MATCH([2]Development_Schedule_EK!J$6,INDIRECT(#REF!),0)-1,MATCH([2]Development_Schedule_EK!$B92,INDIRECT(#REF!),0),1,1)*$D95,0)</f>
        <v>0</v>
      </c>
      <c r="H95" s="265">
        <f ca="1">IFERROR(OFFSET(INDIRECT(#REF!),MATCH([2]Development_Schedule_EK!K$6,INDIRECT(#REF!),0)-1,MATCH([2]Development_Schedule_EK!$B92,INDIRECT(#REF!),0),1,1)*$D95,0)</f>
        <v>0</v>
      </c>
      <c r="I95" s="260">
        <f ca="1">IFERROR(OFFSET(INDIRECT(#REF!),MATCH([2]Development_Schedule_EK!L$6,INDIRECT(#REF!),0)-1,MATCH([2]Development_Schedule_EK!$B92,INDIRECT(#REF!),0),1,1)*$D95,0)</f>
        <v>0</v>
      </c>
      <c r="J95" s="260">
        <f ca="1">IFERROR(OFFSET(INDIRECT(#REF!),MATCH([2]Development_Schedule_EK!M$6,INDIRECT(#REF!),0)-1,MATCH([2]Development_Schedule_EK!$B92,INDIRECT(#REF!),0),1,1)*$D95,0)</f>
        <v>0</v>
      </c>
      <c r="K95" s="260">
        <f ca="1">IFERROR(OFFSET(INDIRECT(#REF!),MATCH([2]Development_Schedule_EK!N$6,INDIRECT(#REF!),0)-1,MATCH([2]Development_Schedule_EK!$B92,INDIRECT(#REF!),0),1,1)*$D95,0)</f>
        <v>0</v>
      </c>
      <c r="L95" s="265">
        <f ca="1">IFERROR(OFFSET(INDIRECT(#REF!),MATCH([2]Development_Schedule_EK!O$6,INDIRECT(#REF!),0)-1,MATCH([2]Development_Schedule_EK!$B92,INDIRECT(#REF!),0),1,1)*$D95,0)</f>
        <v>0</v>
      </c>
      <c r="M95" s="260">
        <f ca="1">IFERROR(OFFSET(INDIRECT(#REF!),MATCH([2]Development_Schedule_EK!P$6,INDIRECT(#REF!),0)-1,MATCH([2]Development_Schedule_EK!$B92,INDIRECT(#REF!),0),1,1)*$D95,0)</f>
        <v>0</v>
      </c>
      <c r="N95" s="260">
        <f ca="1">IFERROR(OFFSET(INDIRECT(#REF!),MATCH([2]Development_Schedule_EK!Q$6,INDIRECT(#REF!),0)-1,MATCH([2]Development_Schedule_EK!$B92,INDIRECT(#REF!),0),1,1)*$D95,0)</f>
        <v>0</v>
      </c>
      <c r="O95" s="265">
        <f ca="1">IFERROR(OFFSET(INDIRECT(#REF!),MATCH([2]Development_Schedule_EK!R$6,INDIRECT(#REF!),0)-1,MATCH([2]Development_Schedule_EK!$B92,INDIRECT(#REF!),0),1,1)*$D95,0)</f>
        <v>0</v>
      </c>
      <c r="P95" s="183"/>
      <c r="Q95" s="184"/>
      <c r="R95" s="183"/>
    </row>
    <row r="96" spans="1:18" x14ac:dyDescent="0.25">
      <c r="A96" s="284">
        <v>1</v>
      </c>
      <c r="B96" s="774" t="s">
        <v>42</v>
      </c>
      <c r="C96" s="262"/>
      <c r="D96" s="270">
        <v>19696</v>
      </c>
      <c r="E96" s="266"/>
      <c r="F96" s="260">
        <f>D96/2</f>
        <v>9848</v>
      </c>
      <c r="G96" s="260">
        <f>F96</f>
        <v>9848</v>
      </c>
      <c r="H96" s="265">
        <f ca="1">IFERROR(OFFSET(INDIRECT(#REF!),MATCH([2]Development_Schedule_EK!K$6,INDIRECT(#REF!),0)-1,MATCH([2]Development_Schedule_EK!$B93,INDIRECT(#REF!),0),1,1)*$D96,0)</f>
        <v>0</v>
      </c>
      <c r="I96" s="260">
        <f ca="1">IFERROR(OFFSET(INDIRECT(#REF!),MATCH([2]Development_Schedule_EK!L$6,INDIRECT(#REF!),0)-1,MATCH([2]Development_Schedule_EK!$B93,INDIRECT(#REF!),0),1,1)*$D96,0)</f>
        <v>0</v>
      </c>
      <c r="J96" s="260">
        <f ca="1">IFERROR(OFFSET(INDIRECT(#REF!),MATCH([2]Development_Schedule_EK!M$6,INDIRECT(#REF!),0)-1,MATCH([2]Development_Schedule_EK!$B93,INDIRECT(#REF!),0),1,1)*$D96,0)</f>
        <v>0</v>
      </c>
      <c r="K96" s="260">
        <f ca="1">IFERROR(OFFSET(INDIRECT(#REF!),MATCH([2]Development_Schedule_EK!N$6,INDIRECT(#REF!),0)-1,MATCH([2]Development_Schedule_EK!$B93,INDIRECT(#REF!),0),1,1)*$D96,0)</f>
        <v>0</v>
      </c>
      <c r="L96" s="265">
        <f ca="1">IFERROR(OFFSET(INDIRECT(#REF!),MATCH([2]Development_Schedule_EK!O$6,INDIRECT(#REF!),0)-1,MATCH([2]Development_Schedule_EK!$B93,INDIRECT(#REF!),0),1,1)*$D96,0)</f>
        <v>0</v>
      </c>
      <c r="M96" s="260">
        <f ca="1">IFERROR(OFFSET(INDIRECT(#REF!),MATCH([2]Development_Schedule_EK!P$6,INDIRECT(#REF!),0)-1,MATCH([2]Development_Schedule_EK!$B93,INDIRECT(#REF!),0),1,1)*$D96,0)</f>
        <v>0</v>
      </c>
      <c r="N96" s="260">
        <f ca="1">IFERROR(OFFSET(INDIRECT(#REF!),MATCH([2]Development_Schedule_EK!Q$6,INDIRECT(#REF!),0)-1,MATCH([2]Development_Schedule_EK!$B93,INDIRECT(#REF!),0),1,1)*$D96,0)</f>
        <v>0</v>
      </c>
      <c r="O96" s="265">
        <f ca="1">IFERROR(OFFSET(INDIRECT(#REF!),MATCH([2]Development_Schedule_EK!R$6,INDIRECT(#REF!),0)-1,MATCH([2]Development_Schedule_EK!$B93,INDIRECT(#REF!),0),1,1)*$D96,0)</f>
        <v>0</v>
      </c>
      <c r="P96" s="183"/>
      <c r="Q96" s="184"/>
      <c r="R96" s="183"/>
    </row>
    <row r="97" spans="1:18" x14ac:dyDescent="0.25">
      <c r="B97" s="774"/>
      <c r="C97" s="262"/>
      <c r="D97" s="270"/>
      <c r="E97" s="266"/>
      <c r="F97" s="256"/>
      <c r="G97" s="256"/>
      <c r="H97" s="263"/>
      <c r="I97" s="256"/>
      <c r="J97" s="256"/>
      <c r="K97" s="256"/>
      <c r="L97" s="263"/>
      <c r="M97" s="256"/>
      <c r="N97" s="256"/>
      <c r="O97" s="263"/>
      <c r="P97" s="183"/>
      <c r="Q97" s="184"/>
      <c r="R97" s="183"/>
    </row>
    <row r="98" spans="1:18" x14ac:dyDescent="0.25">
      <c r="B98" s="774"/>
      <c r="C98" s="262"/>
      <c r="D98" s="270"/>
      <c r="E98" s="266"/>
      <c r="F98" s="256"/>
      <c r="G98" s="256"/>
      <c r="H98" s="263"/>
      <c r="I98" s="256"/>
      <c r="J98" s="256"/>
      <c r="K98" s="256"/>
      <c r="L98" s="263"/>
      <c r="M98" s="256"/>
      <c r="N98" s="256"/>
      <c r="O98" s="263"/>
      <c r="P98" s="183"/>
      <c r="Q98" s="184"/>
      <c r="R98" s="183"/>
    </row>
    <row r="99" spans="1:18" x14ac:dyDescent="0.25">
      <c r="B99" s="773" t="s">
        <v>365</v>
      </c>
      <c r="C99" s="262"/>
      <c r="D99" s="270"/>
      <c r="E99" s="266"/>
      <c r="F99" s="256"/>
      <c r="G99" s="256"/>
      <c r="H99" s="263"/>
      <c r="I99" s="256"/>
      <c r="J99" s="256"/>
      <c r="K99" s="256"/>
      <c r="L99" s="263"/>
      <c r="M99" s="256"/>
      <c r="N99" s="256"/>
      <c r="O99" s="263"/>
      <c r="P99" s="183"/>
      <c r="Q99" s="184"/>
      <c r="R99" s="183"/>
    </row>
    <row r="100" spans="1:18" x14ac:dyDescent="0.25">
      <c r="A100" s="284">
        <v>1</v>
      </c>
      <c r="B100" s="774" t="s">
        <v>381</v>
      </c>
      <c r="C100" s="262"/>
      <c r="D100" s="270">
        <f ca="1">IFERROR(OFFSET(INDIRECT(#REF!),MATCH([2]Development_Schedule_EK!$E97,INDIRECT(#REF!),0)-1,MATCH([2]Development_Schedule_EK!$B97,INDIRECT(#REF!),0),1,1),0)</f>
        <v>0</v>
      </c>
      <c r="E100" s="266"/>
      <c r="F100" s="260">
        <f ca="1">IFERROR(OFFSET(INDIRECT(#REF!),MATCH([2]Development_Schedule_EK!I$6,INDIRECT(#REF!),0)-1,MATCH([2]Development_Schedule_EK!$B97,INDIRECT(#REF!),0),1,1)*$D100,0)</f>
        <v>0</v>
      </c>
      <c r="G100" s="260">
        <f ca="1">IFERROR(OFFSET(INDIRECT(#REF!),MATCH([2]Development_Schedule_EK!J$6,INDIRECT(#REF!),0)-1,MATCH([2]Development_Schedule_EK!$B97,INDIRECT(#REF!),0),1,1)*$D100,0)</f>
        <v>0</v>
      </c>
      <c r="H100" s="265">
        <f ca="1">IFERROR(OFFSET(INDIRECT(#REF!),MATCH([2]Development_Schedule_EK!K$6,INDIRECT(#REF!),0)-1,MATCH([2]Development_Schedule_EK!$B97,INDIRECT(#REF!),0),1,1)*$D100,0)</f>
        <v>0</v>
      </c>
      <c r="I100" s="260">
        <f ca="1">IFERROR(OFFSET(INDIRECT(#REF!),MATCH([2]Development_Schedule_EK!L$6,INDIRECT(#REF!),0)-1,MATCH([2]Development_Schedule_EK!$B97,INDIRECT(#REF!),0),1,1)*$D100,0)</f>
        <v>0</v>
      </c>
      <c r="J100" s="260">
        <f ca="1">IFERROR(OFFSET(INDIRECT(#REF!),MATCH([2]Development_Schedule_EK!M$6,INDIRECT(#REF!),0)-1,MATCH([2]Development_Schedule_EK!$B97,INDIRECT(#REF!),0),1,1)*$D100,0)</f>
        <v>0</v>
      </c>
      <c r="K100" s="260">
        <f ca="1">IFERROR(OFFSET(INDIRECT(#REF!),MATCH([2]Development_Schedule_EK!N$6,INDIRECT(#REF!),0)-1,MATCH([2]Development_Schedule_EK!$B97,INDIRECT(#REF!),0),1,1)*$D100,0)</f>
        <v>0</v>
      </c>
      <c r="L100" s="265">
        <f ca="1">IFERROR(OFFSET(INDIRECT(#REF!),MATCH([2]Development_Schedule_EK!O$6,INDIRECT(#REF!),0)-1,MATCH([2]Development_Schedule_EK!$B97,INDIRECT(#REF!),0),1,1)*$D100,0)</f>
        <v>0</v>
      </c>
      <c r="M100" s="260">
        <f ca="1">IFERROR(OFFSET(INDIRECT(#REF!),MATCH([2]Development_Schedule_EK!P$6,INDIRECT(#REF!),0)-1,MATCH([2]Development_Schedule_EK!$B97,INDIRECT(#REF!),0),1,1)*$D100,0)</f>
        <v>0</v>
      </c>
      <c r="N100" s="260">
        <f ca="1">IFERROR(OFFSET(INDIRECT(#REF!),MATCH([2]Development_Schedule_EK!Q$6,INDIRECT(#REF!),0)-1,MATCH([2]Development_Schedule_EK!$B97,INDIRECT(#REF!),0),1,1)*$D100,0)</f>
        <v>0</v>
      </c>
      <c r="O100" s="265">
        <f ca="1">IFERROR(OFFSET(INDIRECT(#REF!),MATCH([2]Development_Schedule_EK!R$6,INDIRECT(#REF!),0)-1,MATCH([2]Development_Schedule_EK!$B97,INDIRECT(#REF!),0),1,1)*$D100,0)</f>
        <v>0</v>
      </c>
      <c r="P100" s="183"/>
      <c r="Q100" s="184"/>
      <c r="R100" s="183"/>
    </row>
    <row r="101" spans="1:18" x14ac:dyDescent="0.25">
      <c r="A101" s="284">
        <v>1</v>
      </c>
      <c r="B101" s="774" t="s">
        <v>382</v>
      </c>
      <c r="C101" s="262"/>
      <c r="D101" s="270">
        <f ca="1">IFERROR(OFFSET(INDIRECT(#REF!),MATCH([2]Development_Schedule_EK!$E98,INDIRECT(#REF!),0)-1,MATCH([2]Development_Schedule_EK!$B98,INDIRECT(#REF!),0),1,1),0)</f>
        <v>0</v>
      </c>
      <c r="E101" s="266"/>
      <c r="F101" s="260">
        <f ca="1">IFERROR(OFFSET(INDIRECT(#REF!),MATCH([2]Development_Schedule_EK!I$6,INDIRECT(#REF!),0)-1,MATCH([2]Development_Schedule_EK!$B98,INDIRECT(#REF!),0),1,1)*$D101,0)</f>
        <v>0</v>
      </c>
      <c r="G101" s="260">
        <f ca="1">IFERROR(OFFSET(INDIRECT(#REF!),MATCH([2]Development_Schedule_EK!J$6,INDIRECT(#REF!),0)-1,MATCH([2]Development_Schedule_EK!$B98,INDIRECT(#REF!),0),1,1)*$D101,0)</f>
        <v>0</v>
      </c>
      <c r="H101" s="265">
        <f ca="1">IFERROR(OFFSET(INDIRECT(#REF!),MATCH([2]Development_Schedule_EK!K$6,INDIRECT(#REF!),0)-1,MATCH([2]Development_Schedule_EK!$B98,INDIRECT(#REF!),0),1,1)*$D101,0)</f>
        <v>0</v>
      </c>
      <c r="I101" s="260">
        <f ca="1">IFERROR(OFFSET(INDIRECT(#REF!),MATCH([2]Development_Schedule_EK!L$6,INDIRECT(#REF!),0)-1,MATCH([2]Development_Schedule_EK!$B98,INDIRECT(#REF!),0),1,1)*$D101,0)</f>
        <v>0</v>
      </c>
      <c r="J101" s="260">
        <f ca="1">IFERROR(OFFSET(INDIRECT(#REF!),MATCH([2]Development_Schedule_EK!M$6,INDIRECT(#REF!),0)-1,MATCH([2]Development_Schedule_EK!$B98,INDIRECT(#REF!),0),1,1)*$D101,0)</f>
        <v>0</v>
      </c>
      <c r="K101" s="260">
        <f ca="1">IFERROR(OFFSET(INDIRECT(#REF!),MATCH([2]Development_Schedule_EK!N$6,INDIRECT(#REF!),0)-1,MATCH([2]Development_Schedule_EK!$B98,INDIRECT(#REF!),0),1,1)*$D101,0)</f>
        <v>0</v>
      </c>
      <c r="L101" s="265">
        <f ca="1">IFERROR(OFFSET(INDIRECT(#REF!),MATCH([2]Development_Schedule_EK!O$6,INDIRECT(#REF!),0)-1,MATCH([2]Development_Schedule_EK!$B98,INDIRECT(#REF!),0),1,1)*$D101,0)</f>
        <v>0</v>
      </c>
      <c r="M101" s="260">
        <f ca="1">IFERROR(OFFSET(INDIRECT(#REF!),MATCH([2]Development_Schedule_EK!P$6,INDIRECT(#REF!),0)-1,MATCH([2]Development_Schedule_EK!$B98,INDIRECT(#REF!),0),1,1)*$D101,0)</f>
        <v>0</v>
      </c>
      <c r="N101" s="260">
        <f ca="1">IFERROR(OFFSET(INDIRECT(#REF!),MATCH([2]Development_Schedule_EK!Q$6,INDIRECT(#REF!),0)-1,MATCH([2]Development_Schedule_EK!$B98,INDIRECT(#REF!),0),1,1)*$D101,0)</f>
        <v>0</v>
      </c>
      <c r="O101" s="265">
        <f ca="1">IFERROR(OFFSET(INDIRECT(#REF!),MATCH([2]Development_Schedule_EK!R$6,INDIRECT(#REF!),0)-1,MATCH([2]Development_Schedule_EK!$B98,INDIRECT(#REF!),0),1,1)*$D101,0)</f>
        <v>0</v>
      </c>
      <c r="P101" s="183"/>
      <c r="Q101" s="184"/>
      <c r="R101" s="183"/>
    </row>
    <row r="102" spans="1:18" x14ac:dyDescent="0.25">
      <c r="A102" s="284">
        <v>1</v>
      </c>
      <c r="B102" s="774" t="s">
        <v>383</v>
      </c>
      <c r="C102" s="262"/>
      <c r="D102" s="270">
        <f ca="1">IFERROR(OFFSET(INDIRECT(#REF!),MATCH([2]Development_Schedule_EK!$E99,INDIRECT(#REF!),0)-1,MATCH([2]Development_Schedule_EK!$B99,INDIRECT(#REF!),0),1,1),0)</f>
        <v>0</v>
      </c>
      <c r="E102" s="266"/>
      <c r="F102" s="260">
        <f ca="1">IFERROR(OFFSET(INDIRECT(#REF!),MATCH([2]Development_Schedule_EK!I$6,INDIRECT(#REF!),0)-1,MATCH([2]Development_Schedule_EK!$B99,INDIRECT(#REF!),0),1,1)*$D102,0)</f>
        <v>0</v>
      </c>
      <c r="G102" s="260">
        <f ca="1">IFERROR(OFFSET(INDIRECT(#REF!),MATCH([2]Development_Schedule_EK!J$6,INDIRECT(#REF!),0)-1,MATCH([2]Development_Schedule_EK!$B99,INDIRECT(#REF!),0),1,1)*$D102,0)</f>
        <v>0</v>
      </c>
      <c r="H102" s="265">
        <f ca="1">IFERROR(OFFSET(INDIRECT(#REF!),MATCH([2]Development_Schedule_EK!K$6,INDIRECT(#REF!),0)-1,MATCH([2]Development_Schedule_EK!$B99,INDIRECT(#REF!),0),1,1)*$D102,0)</f>
        <v>0</v>
      </c>
      <c r="I102" s="260">
        <f ca="1">IFERROR(OFFSET(INDIRECT(#REF!),MATCH([2]Development_Schedule_EK!L$6,INDIRECT(#REF!),0)-1,MATCH([2]Development_Schedule_EK!$B99,INDIRECT(#REF!),0),1,1)*$D102,0)</f>
        <v>0</v>
      </c>
      <c r="J102" s="260">
        <f ca="1">IFERROR(OFFSET(INDIRECT(#REF!),MATCH([2]Development_Schedule_EK!M$6,INDIRECT(#REF!),0)-1,MATCH([2]Development_Schedule_EK!$B99,INDIRECT(#REF!),0),1,1)*$D102,0)</f>
        <v>0</v>
      </c>
      <c r="K102" s="260">
        <f ca="1">IFERROR(OFFSET(INDIRECT(#REF!),MATCH([2]Development_Schedule_EK!N$6,INDIRECT(#REF!),0)-1,MATCH([2]Development_Schedule_EK!$B99,INDIRECT(#REF!),0),1,1)*$D102,0)</f>
        <v>0</v>
      </c>
      <c r="L102" s="265">
        <f ca="1">IFERROR(OFFSET(INDIRECT(#REF!),MATCH([2]Development_Schedule_EK!O$6,INDIRECT(#REF!),0)-1,MATCH([2]Development_Schedule_EK!$B99,INDIRECT(#REF!),0),1,1)*$D102,0)</f>
        <v>0</v>
      </c>
      <c r="M102" s="260">
        <f ca="1">IFERROR(OFFSET(INDIRECT(#REF!),MATCH([2]Development_Schedule_EK!P$6,INDIRECT(#REF!),0)-1,MATCH([2]Development_Schedule_EK!$B99,INDIRECT(#REF!),0),1,1)*$D102,0)</f>
        <v>0</v>
      </c>
      <c r="N102" s="260">
        <f ca="1">IFERROR(OFFSET(INDIRECT(#REF!),MATCH([2]Development_Schedule_EK!Q$6,INDIRECT(#REF!),0)-1,MATCH([2]Development_Schedule_EK!$B99,INDIRECT(#REF!),0),1,1)*$D102,0)</f>
        <v>0</v>
      </c>
      <c r="O102" s="265">
        <f ca="1">IFERROR(OFFSET(INDIRECT(#REF!),MATCH([2]Development_Schedule_EK!R$6,INDIRECT(#REF!),0)-1,MATCH([2]Development_Schedule_EK!$B99,INDIRECT(#REF!),0),1,1)*$D102,0)</f>
        <v>0</v>
      </c>
      <c r="P102" s="183"/>
      <c r="Q102" s="184"/>
      <c r="R102" s="183"/>
    </row>
    <row r="103" spans="1:18" x14ac:dyDescent="0.25">
      <c r="A103" s="284">
        <v>1</v>
      </c>
      <c r="B103" s="774" t="s">
        <v>384</v>
      </c>
      <c r="C103" s="262"/>
      <c r="D103" s="270">
        <f ca="1">IFERROR(OFFSET(INDIRECT(#REF!),MATCH([2]Development_Schedule_EK!$E100,INDIRECT(#REF!),0)-1,MATCH([2]Development_Schedule_EK!$B100,INDIRECT(#REF!),0),1,1),0)</f>
        <v>0</v>
      </c>
      <c r="E103" s="266"/>
      <c r="F103" s="260">
        <f ca="1">IFERROR(OFFSET(INDIRECT(#REF!),MATCH([2]Development_Schedule_EK!I$6,INDIRECT(#REF!),0)-1,MATCH([2]Development_Schedule_EK!$B100,INDIRECT(#REF!),0),1,1)*$D103,0)</f>
        <v>0</v>
      </c>
      <c r="G103" s="260">
        <f ca="1">IFERROR(OFFSET(INDIRECT(#REF!),MATCH([2]Development_Schedule_EK!J$6,INDIRECT(#REF!),0)-1,MATCH([2]Development_Schedule_EK!$B100,INDIRECT(#REF!),0),1,1)*$D103,0)</f>
        <v>0</v>
      </c>
      <c r="H103" s="265">
        <f ca="1">IFERROR(OFFSET(INDIRECT(#REF!),MATCH([2]Development_Schedule_EK!K$6,INDIRECT(#REF!),0)-1,MATCH([2]Development_Schedule_EK!$B100,INDIRECT(#REF!),0),1,1)*$D103,0)</f>
        <v>0</v>
      </c>
      <c r="I103" s="260">
        <f ca="1">IFERROR(OFFSET(INDIRECT(#REF!),MATCH([2]Development_Schedule_EK!L$6,INDIRECT(#REF!),0)-1,MATCH([2]Development_Schedule_EK!$B100,INDIRECT(#REF!),0),1,1)*$D103,0)</f>
        <v>0</v>
      </c>
      <c r="J103" s="260">
        <f ca="1">IFERROR(OFFSET(INDIRECT(#REF!),MATCH([2]Development_Schedule_EK!M$6,INDIRECT(#REF!),0)-1,MATCH([2]Development_Schedule_EK!$B100,INDIRECT(#REF!),0),1,1)*$D103,0)</f>
        <v>0</v>
      </c>
      <c r="K103" s="260">
        <f ca="1">IFERROR(OFFSET(INDIRECT(#REF!),MATCH([2]Development_Schedule_EK!N$6,INDIRECT(#REF!),0)-1,MATCH([2]Development_Schedule_EK!$B100,INDIRECT(#REF!),0),1,1)*$D103,0)</f>
        <v>0</v>
      </c>
      <c r="L103" s="265">
        <f ca="1">IFERROR(OFFSET(INDIRECT(#REF!),MATCH([2]Development_Schedule_EK!O$6,INDIRECT(#REF!),0)-1,MATCH([2]Development_Schedule_EK!$B100,INDIRECT(#REF!),0),1,1)*$D103,0)</f>
        <v>0</v>
      </c>
      <c r="M103" s="260">
        <f ca="1">IFERROR(OFFSET(INDIRECT(#REF!),MATCH([2]Development_Schedule_EK!P$6,INDIRECT(#REF!),0)-1,MATCH([2]Development_Schedule_EK!$B100,INDIRECT(#REF!),0),1,1)*$D103,0)</f>
        <v>0</v>
      </c>
      <c r="N103" s="260">
        <f ca="1">IFERROR(OFFSET(INDIRECT(#REF!),MATCH([2]Development_Schedule_EK!Q$6,INDIRECT(#REF!),0)-1,MATCH([2]Development_Schedule_EK!$B100,INDIRECT(#REF!),0),1,1)*$D103,0)</f>
        <v>0</v>
      </c>
      <c r="O103" s="265">
        <f ca="1">IFERROR(OFFSET(INDIRECT(#REF!),MATCH([2]Development_Schedule_EK!R$6,INDIRECT(#REF!),0)-1,MATCH([2]Development_Schedule_EK!$B100,INDIRECT(#REF!),0),1,1)*$D103,0)</f>
        <v>0</v>
      </c>
      <c r="P103" s="183"/>
      <c r="Q103" s="184"/>
      <c r="R103" s="183"/>
    </row>
    <row r="104" spans="1:18" x14ac:dyDescent="0.25">
      <c r="A104" s="284">
        <v>1</v>
      </c>
      <c r="B104" s="774" t="s">
        <v>35</v>
      </c>
      <c r="C104" s="262"/>
      <c r="D104" s="270">
        <f ca="1">IFERROR(OFFSET(INDIRECT(#REF!),MATCH([2]Development_Schedule_EK!$E101,INDIRECT(#REF!),0)-1,MATCH([2]Development_Schedule_EK!$B101,INDIRECT(#REF!),0),1,1),0)</f>
        <v>0</v>
      </c>
      <c r="E104" s="266"/>
      <c r="F104" s="260">
        <f ca="1">IFERROR(OFFSET(INDIRECT(#REF!),MATCH([2]Development_Schedule_EK!I$6,INDIRECT(#REF!),0)-1,MATCH([2]Development_Schedule_EK!$B101,INDIRECT(#REF!),0),1,1)*$D104,0)</f>
        <v>0</v>
      </c>
      <c r="G104" s="260">
        <f ca="1">IFERROR(OFFSET(INDIRECT(#REF!),MATCH([2]Development_Schedule_EK!J$6,INDIRECT(#REF!),0)-1,MATCH([2]Development_Schedule_EK!$B101,INDIRECT(#REF!),0),1,1)*$D104,0)</f>
        <v>0</v>
      </c>
      <c r="H104" s="265">
        <f ca="1">IFERROR(OFFSET(INDIRECT(#REF!),MATCH([2]Development_Schedule_EK!K$6,INDIRECT(#REF!),0)-1,MATCH([2]Development_Schedule_EK!$B101,INDIRECT(#REF!),0),1,1)*$D104,0)</f>
        <v>0</v>
      </c>
      <c r="I104" s="260">
        <f ca="1">IFERROR(OFFSET(INDIRECT(#REF!),MATCH([2]Development_Schedule_EK!L$6,INDIRECT(#REF!),0)-1,MATCH([2]Development_Schedule_EK!$B101,INDIRECT(#REF!),0),1,1)*$D104,0)</f>
        <v>0</v>
      </c>
      <c r="J104" s="260">
        <f ca="1">IFERROR(OFFSET(INDIRECT(#REF!),MATCH([2]Development_Schedule_EK!M$6,INDIRECT(#REF!),0)-1,MATCH([2]Development_Schedule_EK!$B101,INDIRECT(#REF!),0),1,1)*$D104,0)</f>
        <v>0</v>
      </c>
      <c r="K104" s="260">
        <f ca="1">IFERROR(OFFSET(INDIRECT(#REF!),MATCH([2]Development_Schedule_EK!N$6,INDIRECT(#REF!),0)-1,MATCH([2]Development_Schedule_EK!$B101,INDIRECT(#REF!),0),1,1)*$D104,0)</f>
        <v>0</v>
      </c>
      <c r="L104" s="265">
        <f ca="1">IFERROR(OFFSET(INDIRECT(#REF!),MATCH([2]Development_Schedule_EK!O$6,INDIRECT(#REF!),0)-1,MATCH([2]Development_Schedule_EK!$B101,INDIRECT(#REF!),0),1,1)*$D104,0)</f>
        <v>0</v>
      </c>
      <c r="M104" s="260">
        <f ca="1">IFERROR(OFFSET(INDIRECT(#REF!),MATCH([2]Development_Schedule_EK!P$6,INDIRECT(#REF!),0)-1,MATCH([2]Development_Schedule_EK!$B101,INDIRECT(#REF!),0),1,1)*$D104,0)</f>
        <v>0</v>
      </c>
      <c r="N104" s="260">
        <f ca="1">IFERROR(OFFSET(INDIRECT(#REF!),MATCH([2]Development_Schedule_EK!Q$6,INDIRECT(#REF!),0)-1,MATCH([2]Development_Schedule_EK!$B101,INDIRECT(#REF!),0),1,1)*$D104,0)</f>
        <v>0</v>
      </c>
      <c r="O104" s="265">
        <f ca="1">IFERROR(OFFSET(INDIRECT(#REF!),MATCH([2]Development_Schedule_EK!R$6,INDIRECT(#REF!),0)-1,MATCH([2]Development_Schedule_EK!$B101,INDIRECT(#REF!),0),1,1)*$D104,0)</f>
        <v>0</v>
      </c>
      <c r="P104" s="183"/>
      <c r="Q104" s="184"/>
      <c r="R104" s="183"/>
    </row>
    <row r="105" spans="1:18" x14ac:dyDescent="0.25">
      <c r="A105" s="284">
        <v>1</v>
      </c>
      <c r="B105" s="774" t="s">
        <v>387</v>
      </c>
      <c r="C105" s="262"/>
      <c r="D105" s="270">
        <v>61128</v>
      </c>
      <c r="E105" s="266"/>
      <c r="F105" s="260">
        <f ca="1">IFERROR(OFFSET(INDIRECT(#REF!),MATCH([2]Development_Schedule_EK!I$6,INDIRECT(#REF!),0)-1,MATCH([2]Development_Schedule_EK!$B102,INDIRECT(#REF!),0),1,1)*$D105,0)</f>
        <v>0</v>
      </c>
      <c r="G105" s="260">
        <f>D105/2</f>
        <v>30564</v>
      </c>
      <c r="H105" s="265">
        <f>G105</f>
        <v>30564</v>
      </c>
      <c r="I105" s="260">
        <f ca="1">IFERROR(OFFSET(INDIRECT(#REF!),MATCH([2]Development_Schedule_EK!L$6,INDIRECT(#REF!),0)-1,MATCH([2]Development_Schedule_EK!$B102,INDIRECT(#REF!),0),1,1)*$D105,0)</f>
        <v>0</v>
      </c>
      <c r="J105" s="260">
        <f ca="1">IFERROR(OFFSET(INDIRECT(#REF!),MATCH([2]Development_Schedule_EK!M$6,INDIRECT(#REF!),0)-1,MATCH([2]Development_Schedule_EK!$B102,INDIRECT(#REF!),0),1,1)*$D105,0)</f>
        <v>0</v>
      </c>
      <c r="K105" s="260">
        <f ca="1">IFERROR(OFFSET(INDIRECT(#REF!),MATCH([2]Development_Schedule_EK!N$6,INDIRECT(#REF!),0)-1,MATCH([2]Development_Schedule_EK!$B102,INDIRECT(#REF!),0),1,1)*$D105,0)</f>
        <v>0</v>
      </c>
      <c r="L105" s="265">
        <f ca="1">IFERROR(OFFSET(INDIRECT(#REF!),MATCH([2]Development_Schedule_EK!O$6,INDIRECT(#REF!),0)-1,MATCH([2]Development_Schedule_EK!$B102,INDIRECT(#REF!),0),1,1)*$D105,0)</f>
        <v>0</v>
      </c>
      <c r="M105" s="260">
        <f ca="1">IFERROR(OFFSET(INDIRECT(#REF!),MATCH([2]Development_Schedule_EK!P$6,INDIRECT(#REF!),0)-1,MATCH([2]Development_Schedule_EK!$B102,INDIRECT(#REF!),0),1,1)*$D105,0)</f>
        <v>0</v>
      </c>
      <c r="N105" s="260">
        <f ca="1">IFERROR(OFFSET(INDIRECT(#REF!),MATCH([2]Development_Schedule_EK!Q$6,INDIRECT(#REF!),0)-1,MATCH([2]Development_Schedule_EK!$B102,INDIRECT(#REF!),0),1,1)*$D105,0)</f>
        <v>0</v>
      </c>
      <c r="O105" s="265">
        <f ca="1">IFERROR(OFFSET(INDIRECT(#REF!),MATCH([2]Development_Schedule_EK!R$6,INDIRECT(#REF!),0)-1,MATCH([2]Development_Schedule_EK!$B102,INDIRECT(#REF!),0),1,1)*$D105,0)</f>
        <v>0</v>
      </c>
      <c r="P105" s="183"/>
      <c r="Q105" s="184"/>
      <c r="R105" s="183"/>
    </row>
    <row r="106" spans="1:18" x14ac:dyDescent="0.25">
      <c r="A106" s="284">
        <v>1</v>
      </c>
      <c r="B106" s="774" t="s">
        <v>356</v>
      </c>
      <c r="C106" s="262"/>
      <c r="D106" s="270">
        <f ca="1">IFERROR(OFFSET(INDIRECT(#REF!),MATCH([2]Development_Schedule_EK!$E103,INDIRECT(#REF!),0)-1,MATCH([2]Development_Schedule_EK!$B103,INDIRECT(#REF!),0),1,1),0)</f>
        <v>0</v>
      </c>
      <c r="E106" s="266"/>
      <c r="F106" s="260">
        <f ca="1">IFERROR(OFFSET(INDIRECT(#REF!),MATCH([2]Development_Schedule_EK!I$6,INDIRECT(#REF!),0)-1,MATCH([2]Development_Schedule_EK!$B103,INDIRECT(#REF!),0),1,1)*$D106,0)</f>
        <v>0</v>
      </c>
      <c r="G106" s="260">
        <f ca="1">IFERROR(OFFSET(INDIRECT(#REF!),MATCH([2]Development_Schedule_EK!J$6,INDIRECT(#REF!),0)-1,MATCH([2]Development_Schedule_EK!$B103,INDIRECT(#REF!),0),1,1)*$D106,0)</f>
        <v>0</v>
      </c>
      <c r="H106" s="265">
        <f ca="1">IFERROR(OFFSET(INDIRECT(#REF!),MATCH([2]Development_Schedule_EK!K$6,INDIRECT(#REF!),0)-1,MATCH([2]Development_Schedule_EK!$B103,INDIRECT(#REF!),0),1,1)*$D106,0)</f>
        <v>0</v>
      </c>
      <c r="I106" s="260">
        <f ca="1">IFERROR(OFFSET(INDIRECT(#REF!),MATCH([2]Development_Schedule_EK!L$6,INDIRECT(#REF!),0)-1,MATCH([2]Development_Schedule_EK!$B103,INDIRECT(#REF!),0),1,1)*$D106,0)</f>
        <v>0</v>
      </c>
      <c r="J106" s="260">
        <f ca="1">IFERROR(OFFSET(INDIRECT(#REF!),MATCH([2]Development_Schedule_EK!M$6,INDIRECT(#REF!),0)-1,MATCH([2]Development_Schedule_EK!$B103,INDIRECT(#REF!),0),1,1)*$D106,0)</f>
        <v>0</v>
      </c>
      <c r="K106" s="260">
        <f ca="1">IFERROR(OFFSET(INDIRECT(#REF!),MATCH([2]Development_Schedule_EK!N$6,INDIRECT(#REF!),0)-1,MATCH([2]Development_Schedule_EK!$B103,INDIRECT(#REF!),0),1,1)*$D106,0)</f>
        <v>0</v>
      </c>
      <c r="L106" s="265">
        <f ca="1">IFERROR(OFFSET(INDIRECT(#REF!),MATCH([2]Development_Schedule_EK!O$6,INDIRECT(#REF!),0)-1,MATCH([2]Development_Schedule_EK!$B103,INDIRECT(#REF!),0),1,1)*$D106,0)</f>
        <v>0</v>
      </c>
      <c r="M106" s="260">
        <f ca="1">IFERROR(OFFSET(INDIRECT(#REF!),MATCH([2]Development_Schedule_EK!P$6,INDIRECT(#REF!),0)-1,MATCH([2]Development_Schedule_EK!$B103,INDIRECT(#REF!),0),1,1)*$D106,0)</f>
        <v>0</v>
      </c>
      <c r="N106" s="260">
        <f ca="1">IFERROR(OFFSET(INDIRECT(#REF!),MATCH([2]Development_Schedule_EK!Q$6,INDIRECT(#REF!),0)-1,MATCH([2]Development_Schedule_EK!$B103,INDIRECT(#REF!),0),1,1)*$D106,0)</f>
        <v>0</v>
      </c>
      <c r="O106" s="265">
        <f ca="1">IFERROR(OFFSET(INDIRECT(#REF!),MATCH([2]Development_Schedule_EK!R$6,INDIRECT(#REF!),0)-1,MATCH([2]Development_Schedule_EK!$B103,INDIRECT(#REF!),0),1,1)*$D106,0)</f>
        <v>0</v>
      </c>
      <c r="P106" s="183"/>
      <c r="Q106" s="184"/>
      <c r="R106" s="183"/>
    </row>
    <row r="107" spans="1:18" x14ac:dyDescent="0.25">
      <c r="A107" s="284">
        <v>1</v>
      </c>
      <c r="B107" s="774" t="s">
        <v>357</v>
      </c>
      <c r="C107" s="262"/>
      <c r="D107" s="270">
        <f ca="1">IFERROR(OFFSET(INDIRECT(#REF!),MATCH([2]Development_Schedule_EK!$E104,INDIRECT(#REF!),0)-1,MATCH([2]Development_Schedule_EK!$B104,INDIRECT(#REF!),0),1,1),0)</f>
        <v>0</v>
      </c>
      <c r="E107" s="266"/>
      <c r="F107" s="260">
        <f ca="1">IFERROR(OFFSET(INDIRECT(#REF!),MATCH([2]Development_Schedule_EK!I$6,INDIRECT(#REF!),0)-1,MATCH([2]Development_Schedule_EK!$B104,INDIRECT(#REF!),0),1,1)*$D107,0)</f>
        <v>0</v>
      </c>
      <c r="G107" s="260">
        <f ca="1">IFERROR(OFFSET(INDIRECT(#REF!),MATCH([2]Development_Schedule_EK!J$6,INDIRECT(#REF!),0)-1,MATCH([2]Development_Schedule_EK!$B104,INDIRECT(#REF!),0),1,1)*$D107,0)</f>
        <v>0</v>
      </c>
      <c r="H107" s="265">
        <f ca="1">IFERROR(OFFSET(INDIRECT(#REF!),MATCH([2]Development_Schedule_EK!K$6,INDIRECT(#REF!),0)-1,MATCH([2]Development_Schedule_EK!$B104,INDIRECT(#REF!),0),1,1)*$D107,0)</f>
        <v>0</v>
      </c>
      <c r="I107" s="260">
        <f ca="1">IFERROR(OFFSET(INDIRECT(#REF!),MATCH([2]Development_Schedule_EK!L$6,INDIRECT(#REF!),0)-1,MATCH([2]Development_Schedule_EK!$B104,INDIRECT(#REF!),0),1,1)*$D107,0)</f>
        <v>0</v>
      </c>
      <c r="J107" s="260">
        <f ca="1">IFERROR(OFFSET(INDIRECT(#REF!),MATCH([2]Development_Schedule_EK!M$6,INDIRECT(#REF!),0)-1,MATCH([2]Development_Schedule_EK!$B104,INDIRECT(#REF!),0),1,1)*$D107,0)</f>
        <v>0</v>
      </c>
      <c r="K107" s="260">
        <f ca="1">IFERROR(OFFSET(INDIRECT(#REF!),MATCH([2]Development_Schedule_EK!N$6,INDIRECT(#REF!),0)-1,MATCH([2]Development_Schedule_EK!$B104,INDIRECT(#REF!),0),1,1)*$D107,0)</f>
        <v>0</v>
      </c>
      <c r="L107" s="265">
        <f ca="1">IFERROR(OFFSET(INDIRECT(#REF!),MATCH([2]Development_Schedule_EK!O$6,INDIRECT(#REF!),0)-1,MATCH([2]Development_Schedule_EK!$B104,INDIRECT(#REF!),0),1,1)*$D107,0)</f>
        <v>0</v>
      </c>
      <c r="M107" s="260">
        <f ca="1">IFERROR(OFFSET(INDIRECT(#REF!),MATCH([2]Development_Schedule_EK!P$6,INDIRECT(#REF!),0)-1,MATCH([2]Development_Schedule_EK!$B104,INDIRECT(#REF!),0),1,1)*$D107,0)</f>
        <v>0</v>
      </c>
      <c r="N107" s="260">
        <f ca="1">IFERROR(OFFSET(INDIRECT(#REF!),MATCH([2]Development_Schedule_EK!Q$6,INDIRECT(#REF!),0)-1,MATCH([2]Development_Schedule_EK!$B104,INDIRECT(#REF!),0),1,1)*$D107,0)</f>
        <v>0</v>
      </c>
      <c r="O107" s="265">
        <f ca="1">IFERROR(OFFSET(INDIRECT(#REF!),MATCH([2]Development_Schedule_EK!R$6,INDIRECT(#REF!),0)-1,MATCH([2]Development_Schedule_EK!$B104,INDIRECT(#REF!),0),1,1)*$D107,0)</f>
        <v>0</v>
      </c>
      <c r="P107" s="183"/>
      <c r="Q107" s="184"/>
      <c r="R107" s="183"/>
    </row>
    <row r="108" spans="1:18" x14ac:dyDescent="0.25">
      <c r="A108" s="284">
        <v>1</v>
      </c>
      <c r="B108" s="774" t="s">
        <v>358</v>
      </c>
      <c r="C108" s="262"/>
      <c r="D108" s="270">
        <f ca="1">IFERROR(OFFSET(INDIRECT(#REF!),MATCH([2]Development_Schedule_EK!$E105,INDIRECT(#REF!),0)-1,MATCH([2]Development_Schedule_EK!$B105,INDIRECT(#REF!),0),1,1),0)</f>
        <v>0</v>
      </c>
      <c r="E108" s="266"/>
      <c r="F108" s="260">
        <f ca="1">IFERROR(OFFSET(INDIRECT(#REF!),MATCH([2]Development_Schedule_EK!I$6,INDIRECT(#REF!),0)-1,MATCH([2]Development_Schedule_EK!$B105,INDIRECT(#REF!),0),1,1)*$D108,0)</f>
        <v>0</v>
      </c>
      <c r="G108" s="260">
        <f ca="1">IFERROR(OFFSET(INDIRECT(#REF!),MATCH([2]Development_Schedule_EK!J$6,INDIRECT(#REF!),0)-1,MATCH([2]Development_Schedule_EK!$B105,INDIRECT(#REF!),0),1,1)*$D108,0)</f>
        <v>0</v>
      </c>
      <c r="H108" s="265">
        <f ca="1">IFERROR(OFFSET(INDIRECT(#REF!),MATCH([2]Development_Schedule_EK!K$6,INDIRECT(#REF!),0)-1,MATCH([2]Development_Schedule_EK!$B105,INDIRECT(#REF!),0),1,1)*$D108,0)</f>
        <v>0</v>
      </c>
      <c r="I108" s="260">
        <f ca="1">IFERROR(OFFSET(INDIRECT(#REF!),MATCH([2]Development_Schedule_EK!L$6,INDIRECT(#REF!),0)-1,MATCH([2]Development_Schedule_EK!$B105,INDIRECT(#REF!),0),1,1)*$D108,0)</f>
        <v>0</v>
      </c>
      <c r="J108" s="260">
        <f ca="1">IFERROR(OFFSET(INDIRECT(#REF!),MATCH([2]Development_Schedule_EK!M$6,INDIRECT(#REF!),0)-1,MATCH([2]Development_Schedule_EK!$B105,INDIRECT(#REF!),0),1,1)*$D108,0)</f>
        <v>0</v>
      </c>
      <c r="K108" s="260">
        <f ca="1">IFERROR(OFFSET(INDIRECT(#REF!),MATCH([2]Development_Schedule_EK!N$6,INDIRECT(#REF!),0)-1,MATCH([2]Development_Schedule_EK!$B105,INDIRECT(#REF!),0),1,1)*$D108,0)</f>
        <v>0</v>
      </c>
      <c r="L108" s="265">
        <f ca="1">IFERROR(OFFSET(INDIRECT(#REF!),MATCH([2]Development_Schedule_EK!O$6,INDIRECT(#REF!),0)-1,MATCH([2]Development_Schedule_EK!$B105,INDIRECT(#REF!),0),1,1)*$D108,0)</f>
        <v>0</v>
      </c>
      <c r="M108" s="260">
        <f ca="1">IFERROR(OFFSET(INDIRECT(#REF!),MATCH([2]Development_Schedule_EK!P$6,INDIRECT(#REF!),0)-1,MATCH([2]Development_Schedule_EK!$B105,INDIRECT(#REF!),0),1,1)*$D108,0)</f>
        <v>0</v>
      </c>
      <c r="N108" s="260">
        <f ca="1">IFERROR(OFFSET(INDIRECT(#REF!),MATCH([2]Development_Schedule_EK!Q$6,INDIRECT(#REF!),0)-1,MATCH([2]Development_Schedule_EK!$B105,INDIRECT(#REF!),0),1,1)*$D108,0)</f>
        <v>0</v>
      </c>
      <c r="O108" s="265">
        <f ca="1">IFERROR(OFFSET(INDIRECT(#REF!),MATCH([2]Development_Schedule_EK!R$6,INDIRECT(#REF!),0)-1,MATCH([2]Development_Schedule_EK!$B105,INDIRECT(#REF!),0),1,1)*$D108,0)</f>
        <v>0</v>
      </c>
      <c r="P108" s="183"/>
      <c r="Q108" s="184"/>
      <c r="R108" s="183"/>
    </row>
    <row r="109" spans="1:18" x14ac:dyDescent="0.25">
      <c r="A109" s="284">
        <v>1</v>
      </c>
      <c r="B109" s="774" t="s">
        <v>359</v>
      </c>
      <c r="C109" s="262"/>
      <c r="D109" s="270">
        <f ca="1">IFERROR(OFFSET(INDIRECT(#REF!),MATCH([2]Development_Schedule_EK!$E106,INDIRECT(#REF!),0)-1,MATCH([2]Development_Schedule_EK!$B106,INDIRECT(#REF!),0),1,1),0)</f>
        <v>0</v>
      </c>
      <c r="E109" s="266"/>
      <c r="F109" s="260">
        <f ca="1">IFERROR(OFFSET(INDIRECT(#REF!),MATCH([2]Development_Schedule_EK!I$6,INDIRECT(#REF!),0)-1,MATCH([2]Development_Schedule_EK!$B106,INDIRECT(#REF!),0),1,1)*$D109,0)</f>
        <v>0</v>
      </c>
      <c r="G109" s="260">
        <f ca="1">IFERROR(OFFSET(INDIRECT(#REF!),MATCH([2]Development_Schedule_EK!J$6,INDIRECT(#REF!),0)-1,MATCH([2]Development_Schedule_EK!$B106,INDIRECT(#REF!),0),1,1)*$D109,0)</f>
        <v>0</v>
      </c>
      <c r="H109" s="265">
        <f ca="1">IFERROR(OFFSET(INDIRECT(#REF!),MATCH([2]Development_Schedule_EK!K$6,INDIRECT(#REF!),0)-1,MATCH([2]Development_Schedule_EK!$B106,INDIRECT(#REF!),0),1,1)*$D109,0)</f>
        <v>0</v>
      </c>
      <c r="I109" s="260">
        <f ca="1">IFERROR(OFFSET(INDIRECT(#REF!),MATCH([2]Development_Schedule_EK!L$6,INDIRECT(#REF!),0)-1,MATCH([2]Development_Schedule_EK!$B106,INDIRECT(#REF!),0),1,1)*$D109,0)</f>
        <v>0</v>
      </c>
      <c r="J109" s="260">
        <f ca="1">IFERROR(OFFSET(INDIRECT(#REF!),MATCH([2]Development_Schedule_EK!M$6,INDIRECT(#REF!),0)-1,MATCH([2]Development_Schedule_EK!$B106,INDIRECT(#REF!),0),1,1)*$D109,0)</f>
        <v>0</v>
      </c>
      <c r="K109" s="260">
        <f ca="1">IFERROR(OFFSET(INDIRECT(#REF!),MATCH([2]Development_Schedule_EK!N$6,INDIRECT(#REF!),0)-1,MATCH([2]Development_Schedule_EK!$B106,INDIRECT(#REF!),0),1,1)*$D109,0)</f>
        <v>0</v>
      </c>
      <c r="L109" s="265">
        <f ca="1">IFERROR(OFFSET(INDIRECT(#REF!),MATCH([2]Development_Schedule_EK!O$6,INDIRECT(#REF!),0)-1,MATCH([2]Development_Schedule_EK!$B106,INDIRECT(#REF!),0),1,1)*$D109,0)</f>
        <v>0</v>
      </c>
      <c r="M109" s="260">
        <f ca="1">IFERROR(OFFSET(INDIRECT(#REF!),MATCH([2]Development_Schedule_EK!P$6,INDIRECT(#REF!),0)-1,MATCH([2]Development_Schedule_EK!$B106,INDIRECT(#REF!),0),1,1)*$D109,0)</f>
        <v>0</v>
      </c>
      <c r="N109" s="260">
        <f ca="1">IFERROR(OFFSET(INDIRECT(#REF!),MATCH([2]Development_Schedule_EK!Q$6,INDIRECT(#REF!),0)-1,MATCH([2]Development_Schedule_EK!$B106,INDIRECT(#REF!),0),1,1)*$D109,0)</f>
        <v>0</v>
      </c>
      <c r="O109" s="265">
        <f ca="1">IFERROR(OFFSET(INDIRECT(#REF!),MATCH([2]Development_Schedule_EK!R$6,INDIRECT(#REF!),0)-1,MATCH([2]Development_Schedule_EK!$B106,INDIRECT(#REF!),0),1,1)*$D109,0)</f>
        <v>0</v>
      </c>
      <c r="P109" s="183"/>
      <c r="Q109" s="184"/>
      <c r="R109" s="183"/>
    </row>
    <row r="110" spans="1:18" x14ac:dyDescent="0.25">
      <c r="A110" s="284">
        <v>1</v>
      </c>
      <c r="B110" s="774" t="s">
        <v>33</v>
      </c>
      <c r="C110" s="262"/>
      <c r="D110" s="270">
        <f ca="1">IFERROR(OFFSET(INDIRECT(#REF!),MATCH([2]Development_Schedule_EK!$E107,INDIRECT(#REF!),0)-1,MATCH([2]Development_Schedule_EK!$B107,INDIRECT(#REF!),0),1,1),0)</f>
        <v>0</v>
      </c>
      <c r="E110" s="266"/>
      <c r="F110" s="260">
        <f ca="1">IFERROR(OFFSET(INDIRECT(#REF!),MATCH([2]Development_Schedule_EK!I$6,INDIRECT(#REF!),0)-1,MATCH([2]Development_Schedule_EK!$B107,INDIRECT(#REF!),0),1,1)*$D110,0)</f>
        <v>0</v>
      </c>
      <c r="G110" s="260">
        <f ca="1">IFERROR(OFFSET(INDIRECT(#REF!),MATCH([2]Development_Schedule_EK!J$6,INDIRECT(#REF!),0)-1,MATCH([2]Development_Schedule_EK!$B107,INDIRECT(#REF!),0),1,1)*$D110,0)</f>
        <v>0</v>
      </c>
      <c r="H110" s="265">
        <f ca="1">IFERROR(OFFSET(INDIRECT(#REF!),MATCH([2]Development_Schedule_EK!K$6,INDIRECT(#REF!),0)-1,MATCH([2]Development_Schedule_EK!$B107,INDIRECT(#REF!),0),1,1)*$D110,0)</f>
        <v>0</v>
      </c>
      <c r="I110" s="260">
        <f ca="1">IFERROR(OFFSET(INDIRECT(#REF!),MATCH([2]Development_Schedule_EK!L$6,INDIRECT(#REF!),0)-1,MATCH([2]Development_Schedule_EK!$B107,INDIRECT(#REF!),0),1,1)*$D110,0)</f>
        <v>0</v>
      </c>
      <c r="J110" s="260">
        <f ca="1">IFERROR(OFFSET(INDIRECT(#REF!),MATCH([2]Development_Schedule_EK!M$6,INDIRECT(#REF!),0)-1,MATCH([2]Development_Schedule_EK!$B107,INDIRECT(#REF!),0),1,1)*$D110,0)</f>
        <v>0</v>
      </c>
      <c r="K110" s="260">
        <f ca="1">IFERROR(OFFSET(INDIRECT(#REF!),MATCH([2]Development_Schedule_EK!N$6,INDIRECT(#REF!),0)-1,MATCH([2]Development_Schedule_EK!$B107,INDIRECT(#REF!),0),1,1)*$D110,0)</f>
        <v>0</v>
      </c>
      <c r="L110" s="265">
        <f ca="1">IFERROR(OFFSET(INDIRECT(#REF!),MATCH([2]Development_Schedule_EK!O$6,INDIRECT(#REF!),0)-1,MATCH([2]Development_Schedule_EK!$B107,INDIRECT(#REF!),0),1,1)*$D110,0)</f>
        <v>0</v>
      </c>
      <c r="M110" s="260">
        <f ca="1">IFERROR(OFFSET(INDIRECT(#REF!),MATCH([2]Development_Schedule_EK!P$6,INDIRECT(#REF!),0)-1,MATCH([2]Development_Schedule_EK!$B107,INDIRECT(#REF!),0),1,1)*$D110,0)</f>
        <v>0</v>
      </c>
      <c r="N110" s="260">
        <f ca="1">IFERROR(OFFSET(INDIRECT(#REF!),MATCH([2]Development_Schedule_EK!Q$6,INDIRECT(#REF!),0)-1,MATCH([2]Development_Schedule_EK!$B107,INDIRECT(#REF!),0),1,1)*$D110,0)</f>
        <v>0</v>
      </c>
      <c r="O110" s="265">
        <f ca="1">IFERROR(OFFSET(INDIRECT(#REF!),MATCH([2]Development_Schedule_EK!R$6,INDIRECT(#REF!),0)-1,MATCH([2]Development_Schedule_EK!$B107,INDIRECT(#REF!),0),1,1)*$D110,0)</f>
        <v>0</v>
      </c>
      <c r="P110" s="183"/>
      <c r="Q110" s="184"/>
      <c r="R110" s="183"/>
    </row>
    <row r="111" spans="1:18" x14ac:dyDescent="0.25">
      <c r="A111" s="284">
        <v>1</v>
      </c>
      <c r="B111" s="774" t="s">
        <v>42</v>
      </c>
      <c r="C111" s="262"/>
      <c r="D111" s="270">
        <f ca="1">IFERROR(OFFSET(INDIRECT(#REF!),MATCH([2]Development_Schedule_EK!$E108,INDIRECT(#REF!),0)-1,MATCH([2]Development_Schedule_EK!$B108,INDIRECT(#REF!),0),1,1),0)</f>
        <v>0</v>
      </c>
      <c r="E111" s="266"/>
      <c r="F111" s="260">
        <f ca="1">IFERROR(OFFSET(INDIRECT(#REF!),MATCH([2]Development_Schedule_EK!I$6,INDIRECT(#REF!),0)-1,MATCH([2]Development_Schedule_EK!$B108,INDIRECT(#REF!),0),1,1)*$D111,0)</f>
        <v>0</v>
      </c>
      <c r="G111" s="260">
        <f ca="1">IFERROR(OFFSET(INDIRECT(#REF!),MATCH([2]Development_Schedule_EK!J$6,INDIRECT(#REF!),0)-1,MATCH([2]Development_Schedule_EK!$B108,INDIRECT(#REF!),0),1,1)*$D111,0)</f>
        <v>0</v>
      </c>
      <c r="H111" s="265">
        <f ca="1">IFERROR(OFFSET(INDIRECT(#REF!),MATCH([2]Development_Schedule_EK!K$6,INDIRECT(#REF!),0)-1,MATCH([2]Development_Schedule_EK!$B108,INDIRECT(#REF!),0),1,1)*$D111,0)</f>
        <v>0</v>
      </c>
      <c r="I111" s="260">
        <f ca="1">IFERROR(OFFSET(INDIRECT(#REF!),MATCH([2]Development_Schedule_EK!L$6,INDIRECT(#REF!),0)-1,MATCH([2]Development_Schedule_EK!$B108,INDIRECT(#REF!),0),1,1)*$D111,0)</f>
        <v>0</v>
      </c>
      <c r="J111" s="260">
        <f ca="1">IFERROR(OFFSET(INDIRECT(#REF!),MATCH([2]Development_Schedule_EK!M$6,INDIRECT(#REF!),0)-1,MATCH([2]Development_Schedule_EK!$B108,INDIRECT(#REF!),0),1,1)*$D111,0)</f>
        <v>0</v>
      </c>
      <c r="K111" s="260">
        <f ca="1">IFERROR(OFFSET(INDIRECT(#REF!),MATCH([2]Development_Schedule_EK!N$6,INDIRECT(#REF!),0)-1,MATCH([2]Development_Schedule_EK!$B108,INDIRECT(#REF!),0),1,1)*$D111,0)</f>
        <v>0</v>
      </c>
      <c r="L111" s="265">
        <f ca="1">IFERROR(OFFSET(INDIRECT(#REF!),MATCH([2]Development_Schedule_EK!O$6,INDIRECT(#REF!),0)-1,MATCH([2]Development_Schedule_EK!$B108,INDIRECT(#REF!),0),1,1)*$D111,0)</f>
        <v>0</v>
      </c>
      <c r="M111" s="260">
        <f ca="1">IFERROR(OFFSET(INDIRECT(#REF!),MATCH([2]Development_Schedule_EK!P$6,INDIRECT(#REF!),0)-1,MATCH([2]Development_Schedule_EK!$B108,INDIRECT(#REF!),0),1,1)*$D111,0)</f>
        <v>0</v>
      </c>
      <c r="N111" s="260">
        <f ca="1">IFERROR(OFFSET(INDIRECT(#REF!),MATCH([2]Development_Schedule_EK!Q$6,INDIRECT(#REF!),0)-1,MATCH([2]Development_Schedule_EK!$B108,INDIRECT(#REF!),0),1,1)*$D111,0)</f>
        <v>0</v>
      </c>
      <c r="O111" s="265">
        <f ca="1">IFERROR(OFFSET(INDIRECT(#REF!),MATCH([2]Development_Schedule_EK!R$6,INDIRECT(#REF!),0)-1,MATCH([2]Development_Schedule_EK!$B108,INDIRECT(#REF!),0),1,1)*$D111,0)</f>
        <v>0</v>
      </c>
      <c r="P111" s="183"/>
      <c r="Q111" s="184"/>
      <c r="R111" s="183"/>
    </row>
    <row r="112" spans="1:18" x14ac:dyDescent="0.25">
      <c r="B112" s="774"/>
      <c r="C112" s="262"/>
      <c r="D112" s="270"/>
      <c r="E112" s="266"/>
      <c r="F112" s="256"/>
      <c r="G112" s="256"/>
      <c r="H112" s="263"/>
      <c r="I112" s="256"/>
      <c r="J112" s="256"/>
      <c r="K112" s="256"/>
      <c r="L112" s="263"/>
      <c r="M112" s="256"/>
      <c r="N112" s="256"/>
      <c r="O112" s="263"/>
      <c r="P112" s="183"/>
      <c r="Q112" s="184"/>
      <c r="R112" s="183"/>
    </row>
    <row r="113" spans="1:18" x14ac:dyDescent="0.25">
      <c r="B113" s="774"/>
      <c r="C113" s="262"/>
      <c r="D113" s="270"/>
      <c r="E113" s="266"/>
      <c r="F113" s="256"/>
      <c r="G113" s="256"/>
      <c r="H113" s="263"/>
      <c r="I113" s="256"/>
      <c r="J113" s="256"/>
      <c r="K113" s="256"/>
      <c r="L113" s="263"/>
      <c r="M113" s="256"/>
      <c r="N113" s="256"/>
      <c r="O113" s="263"/>
      <c r="P113" s="183"/>
      <c r="Q113" s="184"/>
      <c r="R113" s="183"/>
    </row>
    <row r="114" spans="1:18" x14ac:dyDescent="0.25">
      <c r="B114" s="773" t="s">
        <v>366</v>
      </c>
      <c r="C114" s="262"/>
      <c r="D114" s="270"/>
      <c r="E114" s="266"/>
      <c r="F114" s="256"/>
      <c r="G114" s="256"/>
      <c r="H114" s="263"/>
      <c r="I114" s="256"/>
      <c r="J114" s="256"/>
      <c r="K114" s="256"/>
      <c r="L114" s="263"/>
      <c r="M114" s="256"/>
      <c r="N114" s="256"/>
      <c r="O114" s="263"/>
      <c r="P114" s="183"/>
      <c r="Q114" s="184"/>
      <c r="R114" s="183"/>
    </row>
    <row r="115" spans="1:18" x14ac:dyDescent="0.25">
      <c r="A115" s="284">
        <v>1</v>
      </c>
      <c r="B115" s="774" t="s">
        <v>381</v>
      </c>
      <c r="C115" s="262"/>
      <c r="D115" s="270">
        <f ca="1">IFERROR(OFFSET(INDIRECT(#REF!),MATCH([2]Development_Schedule_EK!$E112,INDIRECT(#REF!),0)-1,MATCH([2]Development_Schedule_EK!$B112,INDIRECT(#REF!),0),1,1),0)</f>
        <v>0</v>
      </c>
      <c r="E115" s="266"/>
      <c r="F115" s="260">
        <f ca="1">IFERROR(OFFSET(INDIRECT(#REF!),MATCH([2]Development_Schedule_EK!I$6,INDIRECT(#REF!),0)-1,MATCH([2]Development_Schedule_EK!$B112,INDIRECT(#REF!),0),1,1)*$D115,0)</f>
        <v>0</v>
      </c>
      <c r="G115" s="260">
        <f ca="1">IFERROR(OFFSET(INDIRECT(#REF!),MATCH([2]Development_Schedule_EK!J$6,INDIRECT(#REF!),0)-1,MATCH([2]Development_Schedule_EK!$B112,INDIRECT(#REF!),0),1,1)*$D115,0)</f>
        <v>0</v>
      </c>
      <c r="H115" s="265">
        <f ca="1">IFERROR(OFFSET(INDIRECT(#REF!),MATCH([2]Development_Schedule_EK!K$6,INDIRECT(#REF!),0)-1,MATCH([2]Development_Schedule_EK!$B112,INDIRECT(#REF!),0),1,1)*$D115,0)</f>
        <v>0</v>
      </c>
      <c r="I115" s="260">
        <f ca="1">IFERROR(OFFSET(INDIRECT(#REF!),MATCH([2]Development_Schedule_EK!L$6,INDIRECT(#REF!),0)-1,MATCH([2]Development_Schedule_EK!$B112,INDIRECT(#REF!),0),1,1)*$D115,0)</f>
        <v>0</v>
      </c>
      <c r="J115" s="260">
        <f ca="1">IFERROR(OFFSET(INDIRECT(#REF!),MATCH([2]Development_Schedule_EK!M$6,INDIRECT(#REF!),0)-1,MATCH([2]Development_Schedule_EK!$B112,INDIRECT(#REF!),0),1,1)*$D115,0)</f>
        <v>0</v>
      </c>
      <c r="K115" s="260">
        <f ca="1">IFERROR(OFFSET(INDIRECT(#REF!),MATCH([2]Development_Schedule_EK!N$6,INDIRECT(#REF!),0)-1,MATCH([2]Development_Schedule_EK!$B112,INDIRECT(#REF!),0),1,1)*$D115,0)</f>
        <v>0</v>
      </c>
      <c r="L115" s="265">
        <f ca="1">IFERROR(OFFSET(INDIRECT(#REF!),MATCH([2]Development_Schedule_EK!O$6,INDIRECT(#REF!),0)-1,MATCH([2]Development_Schedule_EK!$B112,INDIRECT(#REF!),0),1,1)*$D115,0)</f>
        <v>0</v>
      </c>
      <c r="M115" s="260">
        <f ca="1">IFERROR(OFFSET(INDIRECT(#REF!),MATCH([2]Development_Schedule_EK!P$6,INDIRECT(#REF!),0)-1,MATCH([2]Development_Schedule_EK!$B112,INDIRECT(#REF!),0),1,1)*$D115,0)</f>
        <v>0</v>
      </c>
      <c r="N115" s="260">
        <f ca="1">IFERROR(OFFSET(INDIRECT(#REF!),MATCH([2]Development_Schedule_EK!Q$6,INDIRECT(#REF!),0)-1,MATCH([2]Development_Schedule_EK!$B112,INDIRECT(#REF!),0),1,1)*$D115,0)</f>
        <v>0</v>
      </c>
      <c r="O115" s="265">
        <f ca="1">IFERROR(OFFSET(INDIRECT(#REF!),MATCH([2]Development_Schedule_EK!R$6,INDIRECT(#REF!),0)-1,MATCH([2]Development_Schedule_EK!$B112,INDIRECT(#REF!),0),1,1)*$D115,0)</f>
        <v>0</v>
      </c>
      <c r="P115" s="183"/>
      <c r="Q115" s="184"/>
      <c r="R115" s="183"/>
    </row>
    <row r="116" spans="1:18" x14ac:dyDescent="0.25">
      <c r="A116" s="284">
        <v>1</v>
      </c>
      <c r="B116" s="774" t="s">
        <v>382</v>
      </c>
      <c r="C116" s="262"/>
      <c r="D116" s="270">
        <f>(35221-D119)*0.8</f>
        <v>23775.200000000001</v>
      </c>
      <c r="E116" s="266"/>
      <c r="F116" s="260">
        <f>D116/2</f>
        <v>11887.6</v>
      </c>
      <c r="G116" s="260">
        <f>F116</f>
        <v>11887.6</v>
      </c>
      <c r="H116" s="265">
        <f ca="1">IFERROR(OFFSET(INDIRECT(#REF!),MATCH([2]Development_Schedule_EK!K$6,INDIRECT(#REF!),0)-1,MATCH([2]Development_Schedule_EK!$B113,INDIRECT(#REF!),0),1,1)*$D116,0)</f>
        <v>0</v>
      </c>
      <c r="I116" s="260">
        <f ca="1">IFERROR(OFFSET(INDIRECT(#REF!),MATCH([2]Development_Schedule_EK!L$6,INDIRECT(#REF!),0)-1,MATCH([2]Development_Schedule_EK!$B113,INDIRECT(#REF!),0),1,1)*$D116,0)</f>
        <v>0</v>
      </c>
      <c r="J116" s="260">
        <f ca="1">IFERROR(OFFSET(INDIRECT(#REF!),MATCH([2]Development_Schedule_EK!M$6,INDIRECT(#REF!),0)-1,MATCH([2]Development_Schedule_EK!$B113,INDIRECT(#REF!),0),1,1)*$D116,0)</f>
        <v>0</v>
      </c>
      <c r="K116" s="260">
        <f ca="1">IFERROR(OFFSET(INDIRECT(#REF!),MATCH([2]Development_Schedule_EK!N$6,INDIRECT(#REF!),0)-1,MATCH([2]Development_Schedule_EK!$B113,INDIRECT(#REF!),0),1,1)*$D116,0)</f>
        <v>0</v>
      </c>
      <c r="L116" s="265">
        <f ca="1">IFERROR(OFFSET(INDIRECT(#REF!),MATCH([2]Development_Schedule_EK!O$6,INDIRECT(#REF!),0)-1,MATCH([2]Development_Schedule_EK!$B113,INDIRECT(#REF!),0),1,1)*$D116,0)</f>
        <v>0</v>
      </c>
      <c r="M116" s="260">
        <f ca="1">IFERROR(OFFSET(INDIRECT(#REF!),MATCH([2]Development_Schedule_EK!P$6,INDIRECT(#REF!),0)-1,MATCH([2]Development_Schedule_EK!$B113,INDIRECT(#REF!),0),1,1)*$D116,0)</f>
        <v>0</v>
      </c>
      <c r="N116" s="260">
        <f ca="1">IFERROR(OFFSET(INDIRECT(#REF!),MATCH([2]Development_Schedule_EK!Q$6,INDIRECT(#REF!),0)-1,MATCH([2]Development_Schedule_EK!$B113,INDIRECT(#REF!),0),1,1)*$D116,0)</f>
        <v>0</v>
      </c>
      <c r="O116" s="265">
        <f ca="1">IFERROR(OFFSET(INDIRECT(#REF!),MATCH([2]Development_Schedule_EK!R$6,INDIRECT(#REF!),0)-1,MATCH([2]Development_Schedule_EK!$B113,INDIRECT(#REF!),0),1,1)*$D116,0)</f>
        <v>0</v>
      </c>
      <c r="P116" s="183"/>
      <c r="Q116" s="184"/>
      <c r="R116" s="183"/>
    </row>
    <row r="117" spans="1:18" x14ac:dyDescent="0.25">
      <c r="A117" s="284">
        <v>1</v>
      </c>
      <c r="B117" s="774" t="s">
        <v>383</v>
      </c>
      <c r="C117" s="262"/>
      <c r="D117" s="270">
        <f ca="1">IFERROR(OFFSET(INDIRECT(#REF!),MATCH([2]Development_Schedule_EK!$E114,INDIRECT(#REF!),0)-1,MATCH([2]Development_Schedule_EK!$B114,INDIRECT(#REF!),0),1,1),0)</f>
        <v>0</v>
      </c>
      <c r="E117" s="266"/>
      <c r="F117" s="260">
        <f ca="1">IFERROR(OFFSET(INDIRECT(#REF!),MATCH([2]Development_Schedule_EK!I$6,INDIRECT(#REF!),0)-1,MATCH([2]Development_Schedule_EK!$B114,INDIRECT(#REF!),0),1,1)*$D117,0)</f>
        <v>0</v>
      </c>
      <c r="G117" s="260">
        <f ca="1">IFERROR(OFFSET(INDIRECT(#REF!),MATCH([2]Development_Schedule_EK!J$6,INDIRECT(#REF!),0)-1,MATCH([2]Development_Schedule_EK!$B114,INDIRECT(#REF!),0),1,1)*$D117,0)</f>
        <v>0</v>
      </c>
      <c r="H117" s="265">
        <f ca="1">IFERROR(OFFSET(INDIRECT(#REF!),MATCH([2]Development_Schedule_EK!K$6,INDIRECT(#REF!),0)-1,MATCH([2]Development_Schedule_EK!$B114,INDIRECT(#REF!),0),1,1)*$D117,0)</f>
        <v>0</v>
      </c>
      <c r="I117" s="260">
        <f ca="1">IFERROR(OFFSET(INDIRECT(#REF!),MATCH([2]Development_Schedule_EK!L$6,INDIRECT(#REF!),0)-1,MATCH([2]Development_Schedule_EK!$B114,INDIRECT(#REF!),0),1,1)*$D117,0)</f>
        <v>0</v>
      </c>
      <c r="J117" s="260">
        <f ca="1">IFERROR(OFFSET(INDIRECT(#REF!),MATCH([2]Development_Schedule_EK!M$6,INDIRECT(#REF!),0)-1,MATCH([2]Development_Schedule_EK!$B114,INDIRECT(#REF!),0),1,1)*$D117,0)</f>
        <v>0</v>
      </c>
      <c r="K117" s="260">
        <f ca="1">IFERROR(OFFSET(INDIRECT(#REF!),MATCH([2]Development_Schedule_EK!N$6,INDIRECT(#REF!),0)-1,MATCH([2]Development_Schedule_EK!$B114,INDIRECT(#REF!),0),1,1)*$D117,0)</f>
        <v>0</v>
      </c>
      <c r="L117" s="265">
        <f ca="1">IFERROR(OFFSET(INDIRECT(#REF!),MATCH([2]Development_Schedule_EK!O$6,INDIRECT(#REF!),0)-1,MATCH([2]Development_Schedule_EK!$B114,INDIRECT(#REF!),0),1,1)*$D117,0)</f>
        <v>0</v>
      </c>
      <c r="M117" s="260">
        <f ca="1">IFERROR(OFFSET(INDIRECT(#REF!),MATCH([2]Development_Schedule_EK!P$6,INDIRECT(#REF!),0)-1,MATCH([2]Development_Schedule_EK!$B114,INDIRECT(#REF!),0),1,1)*$D117,0)</f>
        <v>0</v>
      </c>
      <c r="N117" s="260">
        <f ca="1">IFERROR(OFFSET(INDIRECT(#REF!),MATCH([2]Development_Schedule_EK!Q$6,INDIRECT(#REF!),0)-1,MATCH([2]Development_Schedule_EK!$B114,INDIRECT(#REF!),0),1,1)*$D117,0)</f>
        <v>0</v>
      </c>
      <c r="O117" s="265">
        <f ca="1">IFERROR(OFFSET(INDIRECT(#REF!),MATCH([2]Development_Schedule_EK!R$6,INDIRECT(#REF!),0)-1,MATCH([2]Development_Schedule_EK!$B114,INDIRECT(#REF!),0),1,1)*$D117,0)</f>
        <v>0</v>
      </c>
      <c r="P117" s="183"/>
      <c r="Q117" s="184"/>
      <c r="R117" s="183"/>
    </row>
    <row r="118" spans="1:18" x14ac:dyDescent="0.25">
      <c r="A118" s="284">
        <v>1</v>
      </c>
      <c r="B118" s="774" t="s">
        <v>384</v>
      </c>
      <c r="C118" s="262"/>
      <c r="D118" s="270">
        <f>D116/4</f>
        <v>5943.8</v>
      </c>
      <c r="E118" s="266"/>
      <c r="F118" s="260">
        <f>F116/4</f>
        <v>2971.9</v>
      </c>
      <c r="G118" s="260">
        <f t="shared" ref="G118:H118" si="9">G116/4</f>
        <v>2971.9</v>
      </c>
      <c r="H118" s="265">
        <f t="shared" ca="1" si="9"/>
        <v>0</v>
      </c>
      <c r="I118" s="260">
        <f ca="1">IFERROR(OFFSET(INDIRECT(#REF!),MATCH([2]Development_Schedule_EK!L$6,INDIRECT(#REF!),0)-1,MATCH([2]Development_Schedule_EK!$B115,INDIRECT(#REF!),0),1,1)*$D118,0)</f>
        <v>0</v>
      </c>
      <c r="J118" s="260">
        <f ca="1">IFERROR(OFFSET(INDIRECT(#REF!),MATCH([2]Development_Schedule_EK!M$6,INDIRECT(#REF!),0)-1,MATCH([2]Development_Schedule_EK!$B115,INDIRECT(#REF!),0),1,1)*$D118,0)</f>
        <v>0</v>
      </c>
      <c r="K118" s="260">
        <f ca="1">IFERROR(OFFSET(INDIRECT(#REF!),MATCH([2]Development_Schedule_EK!N$6,INDIRECT(#REF!),0)-1,MATCH([2]Development_Schedule_EK!$B115,INDIRECT(#REF!),0),1,1)*$D118,0)</f>
        <v>0</v>
      </c>
      <c r="L118" s="265">
        <f ca="1">IFERROR(OFFSET(INDIRECT(#REF!),MATCH([2]Development_Schedule_EK!O$6,INDIRECT(#REF!),0)-1,MATCH([2]Development_Schedule_EK!$B115,INDIRECT(#REF!),0),1,1)*$D118,0)</f>
        <v>0</v>
      </c>
      <c r="M118" s="260">
        <f ca="1">IFERROR(OFFSET(INDIRECT(#REF!),MATCH([2]Development_Schedule_EK!P$6,INDIRECT(#REF!),0)-1,MATCH([2]Development_Schedule_EK!$B115,INDIRECT(#REF!),0),1,1)*$D118,0)</f>
        <v>0</v>
      </c>
      <c r="N118" s="260">
        <f ca="1">IFERROR(OFFSET(INDIRECT(#REF!),MATCH([2]Development_Schedule_EK!Q$6,INDIRECT(#REF!),0)-1,MATCH([2]Development_Schedule_EK!$B115,INDIRECT(#REF!),0),1,1)*$D118,0)</f>
        <v>0</v>
      </c>
      <c r="O118" s="265">
        <f ca="1">IFERROR(OFFSET(INDIRECT(#REF!),MATCH([2]Development_Schedule_EK!R$6,INDIRECT(#REF!),0)-1,MATCH([2]Development_Schedule_EK!$B115,INDIRECT(#REF!),0),1,1)*$D118,0)</f>
        <v>0</v>
      </c>
      <c r="P118" s="183"/>
      <c r="Q118" s="184"/>
      <c r="R118" s="183"/>
    </row>
    <row r="119" spans="1:18" x14ac:dyDescent="0.25">
      <c r="A119" s="284">
        <v>1</v>
      </c>
      <c r="B119" s="774" t="s">
        <v>35</v>
      </c>
      <c r="C119" s="262"/>
      <c r="D119" s="270">
        <v>5502</v>
      </c>
      <c r="E119" s="266"/>
      <c r="F119" s="260">
        <f>D119</f>
        <v>5502</v>
      </c>
      <c r="G119" s="260">
        <f ca="1">IFERROR(OFFSET(INDIRECT(#REF!),MATCH([2]Development_Schedule_EK!J$6,INDIRECT(#REF!),0)-1,MATCH([2]Development_Schedule_EK!$B116,INDIRECT(#REF!),0),1,1)*$D119,0)</f>
        <v>0</v>
      </c>
      <c r="H119" s="265">
        <f ca="1">IFERROR(OFFSET(INDIRECT(#REF!),MATCH([2]Development_Schedule_EK!K$6,INDIRECT(#REF!),0)-1,MATCH([2]Development_Schedule_EK!$B116,INDIRECT(#REF!),0),1,1)*$D119,0)</f>
        <v>0</v>
      </c>
      <c r="I119" s="260">
        <f ca="1">IFERROR(OFFSET(INDIRECT(#REF!),MATCH([2]Development_Schedule_EK!L$6,INDIRECT(#REF!),0)-1,MATCH([2]Development_Schedule_EK!$B116,INDIRECT(#REF!),0),1,1)*$D119,0)</f>
        <v>0</v>
      </c>
      <c r="J119" s="260">
        <f ca="1">IFERROR(OFFSET(INDIRECT(#REF!),MATCH([2]Development_Schedule_EK!M$6,INDIRECT(#REF!),0)-1,MATCH([2]Development_Schedule_EK!$B116,INDIRECT(#REF!),0),1,1)*$D119,0)</f>
        <v>0</v>
      </c>
      <c r="K119" s="260">
        <f ca="1">IFERROR(OFFSET(INDIRECT(#REF!),MATCH([2]Development_Schedule_EK!N$6,INDIRECT(#REF!),0)-1,MATCH([2]Development_Schedule_EK!$B116,INDIRECT(#REF!),0),1,1)*$D119,0)</f>
        <v>0</v>
      </c>
      <c r="L119" s="265">
        <f ca="1">IFERROR(OFFSET(INDIRECT(#REF!),MATCH([2]Development_Schedule_EK!O$6,INDIRECT(#REF!),0)-1,MATCH([2]Development_Schedule_EK!$B116,INDIRECT(#REF!),0),1,1)*$D119,0)</f>
        <v>0</v>
      </c>
      <c r="M119" s="260">
        <f ca="1">IFERROR(OFFSET(INDIRECT(#REF!),MATCH([2]Development_Schedule_EK!P$6,INDIRECT(#REF!),0)-1,MATCH([2]Development_Schedule_EK!$B116,INDIRECT(#REF!),0),1,1)*$D119,0)</f>
        <v>0</v>
      </c>
      <c r="N119" s="260">
        <f ca="1">IFERROR(OFFSET(INDIRECT(#REF!),MATCH([2]Development_Schedule_EK!Q$6,INDIRECT(#REF!),0)-1,MATCH([2]Development_Schedule_EK!$B116,INDIRECT(#REF!),0),1,1)*$D119,0)</f>
        <v>0</v>
      </c>
      <c r="O119" s="265">
        <f ca="1">IFERROR(OFFSET(INDIRECT(#REF!),MATCH([2]Development_Schedule_EK!R$6,INDIRECT(#REF!),0)-1,MATCH([2]Development_Schedule_EK!$B116,INDIRECT(#REF!),0),1,1)*$D119,0)</f>
        <v>0</v>
      </c>
      <c r="P119" s="183"/>
      <c r="Q119" s="184"/>
      <c r="R119" s="183"/>
    </row>
    <row r="120" spans="1:18" x14ac:dyDescent="0.25">
      <c r="A120" s="284">
        <v>1</v>
      </c>
      <c r="B120" s="774" t="s">
        <v>355</v>
      </c>
      <c r="C120" s="262"/>
      <c r="D120" s="270">
        <f ca="1">IFERROR(OFFSET(INDIRECT(#REF!),MATCH([2]Development_Schedule_EK!$E117,INDIRECT(#REF!),0)-1,MATCH([2]Development_Schedule_EK!$B117,INDIRECT(#REF!),0),1,1),0)</f>
        <v>0</v>
      </c>
      <c r="E120" s="266"/>
      <c r="F120" s="260">
        <f ca="1">IFERROR(OFFSET(INDIRECT(#REF!),MATCH([2]Development_Schedule_EK!I$6,INDIRECT(#REF!),0)-1,MATCH([2]Development_Schedule_EK!$B117,INDIRECT(#REF!),0),1,1)*$D120,0)</f>
        <v>0</v>
      </c>
      <c r="G120" s="260">
        <f ca="1">IFERROR(OFFSET(INDIRECT(#REF!),MATCH([2]Development_Schedule_EK!J$6,INDIRECT(#REF!),0)-1,MATCH([2]Development_Schedule_EK!$B117,INDIRECT(#REF!),0),1,1)*$D120,0)</f>
        <v>0</v>
      </c>
      <c r="H120" s="265">
        <f ca="1">IFERROR(OFFSET(INDIRECT(#REF!),MATCH([2]Development_Schedule_EK!K$6,INDIRECT(#REF!),0)-1,MATCH([2]Development_Schedule_EK!$B117,INDIRECT(#REF!),0),1,1)*$D120,0)</f>
        <v>0</v>
      </c>
      <c r="I120" s="260">
        <f ca="1">IFERROR(OFFSET(INDIRECT(#REF!),MATCH([2]Development_Schedule_EK!L$6,INDIRECT(#REF!),0)-1,MATCH([2]Development_Schedule_EK!$B117,INDIRECT(#REF!),0),1,1)*$D120,0)</f>
        <v>0</v>
      </c>
      <c r="J120" s="260">
        <f ca="1">IFERROR(OFFSET(INDIRECT(#REF!),MATCH([2]Development_Schedule_EK!M$6,INDIRECT(#REF!),0)-1,MATCH([2]Development_Schedule_EK!$B117,INDIRECT(#REF!),0),1,1)*$D120,0)</f>
        <v>0</v>
      </c>
      <c r="K120" s="260">
        <f ca="1">IFERROR(OFFSET(INDIRECT(#REF!),MATCH([2]Development_Schedule_EK!N$6,INDIRECT(#REF!),0)-1,MATCH([2]Development_Schedule_EK!$B117,INDIRECT(#REF!),0),1,1)*$D120,0)</f>
        <v>0</v>
      </c>
      <c r="L120" s="265">
        <f ca="1">IFERROR(OFFSET(INDIRECT(#REF!),MATCH([2]Development_Schedule_EK!O$6,INDIRECT(#REF!),0)-1,MATCH([2]Development_Schedule_EK!$B117,INDIRECT(#REF!),0),1,1)*$D120,0)</f>
        <v>0</v>
      </c>
      <c r="M120" s="260">
        <f ca="1">IFERROR(OFFSET(INDIRECT(#REF!),MATCH([2]Development_Schedule_EK!P$6,INDIRECT(#REF!),0)-1,MATCH([2]Development_Schedule_EK!$B117,INDIRECT(#REF!),0),1,1)*$D120,0)</f>
        <v>0</v>
      </c>
      <c r="N120" s="260">
        <f ca="1">IFERROR(OFFSET(INDIRECT(#REF!),MATCH([2]Development_Schedule_EK!Q$6,INDIRECT(#REF!),0)-1,MATCH([2]Development_Schedule_EK!$B117,INDIRECT(#REF!),0),1,1)*$D120,0)</f>
        <v>0</v>
      </c>
      <c r="O120" s="265">
        <f ca="1">IFERROR(OFFSET(INDIRECT(#REF!),MATCH([2]Development_Schedule_EK!R$6,INDIRECT(#REF!),0)-1,MATCH([2]Development_Schedule_EK!$B117,INDIRECT(#REF!),0),1,1)*$D120,0)</f>
        <v>0</v>
      </c>
      <c r="P120" s="183"/>
      <c r="Q120" s="184"/>
      <c r="R120" s="183"/>
    </row>
    <row r="121" spans="1:18" x14ac:dyDescent="0.25">
      <c r="A121" s="284">
        <v>1</v>
      </c>
      <c r="B121" s="774" t="s">
        <v>356</v>
      </c>
      <c r="C121" s="262"/>
      <c r="D121" s="270">
        <f ca="1">IFERROR(OFFSET(INDIRECT(#REF!),MATCH([2]Development_Schedule_EK!$E118,INDIRECT(#REF!),0)-1,MATCH([2]Development_Schedule_EK!$B118,INDIRECT(#REF!),0),1,1),0)</f>
        <v>0</v>
      </c>
      <c r="E121" s="266"/>
      <c r="F121" s="260">
        <f ca="1">IFERROR(OFFSET(INDIRECT(#REF!),MATCH([2]Development_Schedule_EK!I$6,INDIRECT(#REF!),0)-1,MATCH([2]Development_Schedule_EK!$B118,INDIRECT(#REF!),0),1,1)*$D121,0)</f>
        <v>0</v>
      </c>
      <c r="G121" s="260">
        <f ca="1">IFERROR(OFFSET(INDIRECT(#REF!),MATCH([2]Development_Schedule_EK!J$6,INDIRECT(#REF!),0)-1,MATCH([2]Development_Schedule_EK!$B118,INDIRECT(#REF!),0),1,1)*$D121,0)</f>
        <v>0</v>
      </c>
      <c r="H121" s="265">
        <f ca="1">IFERROR(OFFSET(INDIRECT(#REF!),MATCH([2]Development_Schedule_EK!K$6,INDIRECT(#REF!),0)-1,MATCH([2]Development_Schedule_EK!$B118,INDIRECT(#REF!),0),1,1)*$D121,0)</f>
        <v>0</v>
      </c>
      <c r="I121" s="260">
        <f ca="1">IFERROR(OFFSET(INDIRECT(#REF!),MATCH([2]Development_Schedule_EK!L$6,INDIRECT(#REF!),0)-1,MATCH([2]Development_Schedule_EK!$B118,INDIRECT(#REF!),0),1,1)*$D121,0)</f>
        <v>0</v>
      </c>
      <c r="J121" s="260">
        <f ca="1">IFERROR(OFFSET(INDIRECT(#REF!),MATCH([2]Development_Schedule_EK!M$6,INDIRECT(#REF!),0)-1,MATCH([2]Development_Schedule_EK!$B118,INDIRECT(#REF!),0),1,1)*$D121,0)</f>
        <v>0</v>
      </c>
      <c r="K121" s="260">
        <f ca="1">IFERROR(OFFSET(INDIRECT(#REF!),MATCH([2]Development_Schedule_EK!N$6,INDIRECT(#REF!),0)-1,MATCH([2]Development_Schedule_EK!$B118,INDIRECT(#REF!),0),1,1)*$D121,0)</f>
        <v>0</v>
      </c>
      <c r="L121" s="265">
        <f ca="1">IFERROR(OFFSET(INDIRECT(#REF!),MATCH([2]Development_Schedule_EK!O$6,INDIRECT(#REF!),0)-1,MATCH([2]Development_Schedule_EK!$B118,INDIRECT(#REF!),0),1,1)*$D121,0)</f>
        <v>0</v>
      </c>
      <c r="M121" s="260">
        <f ca="1">IFERROR(OFFSET(INDIRECT(#REF!),MATCH([2]Development_Schedule_EK!P$6,INDIRECT(#REF!),0)-1,MATCH([2]Development_Schedule_EK!$B118,INDIRECT(#REF!),0),1,1)*$D121,0)</f>
        <v>0</v>
      </c>
      <c r="N121" s="260">
        <f ca="1">IFERROR(OFFSET(INDIRECT(#REF!),MATCH([2]Development_Schedule_EK!Q$6,INDIRECT(#REF!),0)-1,MATCH([2]Development_Schedule_EK!$B118,INDIRECT(#REF!),0),1,1)*$D121,0)</f>
        <v>0</v>
      </c>
      <c r="O121" s="265">
        <f ca="1">IFERROR(OFFSET(INDIRECT(#REF!),MATCH([2]Development_Schedule_EK!R$6,INDIRECT(#REF!),0)-1,MATCH([2]Development_Schedule_EK!$B118,INDIRECT(#REF!),0),1,1)*$D121,0)</f>
        <v>0</v>
      </c>
      <c r="P121" s="183"/>
      <c r="Q121" s="184"/>
      <c r="R121" s="183"/>
    </row>
    <row r="122" spans="1:18" x14ac:dyDescent="0.25">
      <c r="A122" s="284">
        <v>1</v>
      </c>
      <c r="B122" s="774" t="s">
        <v>357</v>
      </c>
      <c r="C122" s="262"/>
      <c r="D122" s="270">
        <f ca="1">IFERROR(OFFSET(INDIRECT(#REF!),MATCH([2]Development_Schedule_EK!$E119,INDIRECT(#REF!),0)-1,MATCH([2]Development_Schedule_EK!$B119,INDIRECT(#REF!),0),1,1),0)</f>
        <v>0</v>
      </c>
      <c r="E122" s="266"/>
      <c r="F122" s="260">
        <f ca="1">IFERROR(OFFSET(INDIRECT(#REF!),MATCH([2]Development_Schedule_EK!I$6,INDIRECT(#REF!),0)-1,MATCH([2]Development_Schedule_EK!$B119,INDIRECT(#REF!),0),1,1)*$D122,0)</f>
        <v>0</v>
      </c>
      <c r="G122" s="260">
        <f ca="1">IFERROR(OFFSET(INDIRECT(#REF!),MATCH([2]Development_Schedule_EK!J$6,INDIRECT(#REF!),0)-1,MATCH([2]Development_Schedule_EK!$B119,INDIRECT(#REF!),0),1,1)*$D122,0)</f>
        <v>0</v>
      </c>
      <c r="H122" s="265">
        <f ca="1">IFERROR(OFFSET(INDIRECT(#REF!),MATCH([2]Development_Schedule_EK!K$6,INDIRECT(#REF!),0)-1,MATCH([2]Development_Schedule_EK!$B119,INDIRECT(#REF!),0),1,1)*$D122,0)</f>
        <v>0</v>
      </c>
      <c r="I122" s="260">
        <f ca="1">IFERROR(OFFSET(INDIRECT(#REF!),MATCH([2]Development_Schedule_EK!L$6,INDIRECT(#REF!),0)-1,MATCH([2]Development_Schedule_EK!$B119,INDIRECT(#REF!),0),1,1)*$D122,0)</f>
        <v>0</v>
      </c>
      <c r="J122" s="260">
        <f ca="1">IFERROR(OFFSET(INDIRECT(#REF!),MATCH([2]Development_Schedule_EK!M$6,INDIRECT(#REF!),0)-1,MATCH([2]Development_Schedule_EK!$B119,INDIRECT(#REF!),0),1,1)*$D122,0)</f>
        <v>0</v>
      </c>
      <c r="K122" s="260">
        <f ca="1">IFERROR(OFFSET(INDIRECT(#REF!),MATCH([2]Development_Schedule_EK!N$6,INDIRECT(#REF!),0)-1,MATCH([2]Development_Schedule_EK!$B119,INDIRECT(#REF!),0),1,1)*$D122,0)</f>
        <v>0</v>
      </c>
      <c r="L122" s="265">
        <f ca="1">IFERROR(OFFSET(INDIRECT(#REF!),MATCH([2]Development_Schedule_EK!O$6,INDIRECT(#REF!),0)-1,MATCH([2]Development_Schedule_EK!$B119,INDIRECT(#REF!),0),1,1)*$D122,0)</f>
        <v>0</v>
      </c>
      <c r="M122" s="260">
        <f ca="1">IFERROR(OFFSET(INDIRECT(#REF!),MATCH([2]Development_Schedule_EK!P$6,INDIRECT(#REF!),0)-1,MATCH([2]Development_Schedule_EK!$B119,INDIRECT(#REF!),0),1,1)*$D122,0)</f>
        <v>0</v>
      </c>
      <c r="N122" s="260">
        <f ca="1">IFERROR(OFFSET(INDIRECT(#REF!),MATCH([2]Development_Schedule_EK!Q$6,INDIRECT(#REF!),0)-1,MATCH([2]Development_Schedule_EK!$B119,INDIRECT(#REF!),0),1,1)*$D122,0)</f>
        <v>0</v>
      </c>
      <c r="O122" s="265">
        <f ca="1">IFERROR(OFFSET(INDIRECT(#REF!),MATCH([2]Development_Schedule_EK!R$6,INDIRECT(#REF!),0)-1,MATCH([2]Development_Schedule_EK!$B119,INDIRECT(#REF!),0),1,1)*$D122,0)</f>
        <v>0</v>
      </c>
      <c r="P122" s="183"/>
      <c r="Q122" s="184"/>
      <c r="R122" s="183"/>
    </row>
    <row r="123" spans="1:18" x14ac:dyDescent="0.25">
      <c r="A123" s="284">
        <v>1</v>
      </c>
      <c r="B123" s="774" t="s">
        <v>358</v>
      </c>
      <c r="C123" s="262"/>
      <c r="D123" s="270">
        <f ca="1">IFERROR(OFFSET(INDIRECT(#REF!),MATCH([2]Development_Schedule_EK!$E120,INDIRECT(#REF!),0)-1,MATCH([2]Development_Schedule_EK!$B120,INDIRECT(#REF!),0),1,1),0)</f>
        <v>0</v>
      </c>
      <c r="E123" s="266"/>
      <c r="F123" s="260">
        <f ca="1">IFERROR(OFFSET(INDIRECT(#REF!),MATCH([2]Development_Schedule_EK!I$6,INDIRECT(#REF!),0)-1,MATCH([2]Development_Schedule_EK!$B120,INDIRECT(#REF!),0),1,1)*$D123,0)</f>
        <v>0</v>
      </c>
      <c r="G123" s="260">
        <f ca="1">IFERROR(OFFSET(INDIRECT(#REF!),MATCH([2]Development_Schedule_EK!J$6,INDIRECT(#REF!),0)-1,MATCH([2]Development_Schedule_EK!$B120,INDIRECT(#REF!),0),1,1)*$D123,0)</f>
        <v>0</v>
      </c>
      <c r="H123" s="265">
        <f ca="1">IFERROR(OFFSET(INDIRECT(#REF!),MATCH([2]Development_Schedule_EK!K$6,INDIRECT(#REF!),0)-1,MATCH([2]Development_Schedule_EK!$B120,INDIRECT(#REF!),0),1,1)*$D123,0)</f>
        <v>0</v>
      </c>
      <c r="I123" s="260">
        <f ca="1">IFERROR(OFFSET(INDIRECT(#REF!),MATCH([2]Development_Schedule_EK!L$6,INDIRECT(#REF!),0)-1,MATCH([2]Development_Schedule_EK!$B120,INDIRECT(#REF!),0),1,1)*$D123,0)</f>
        <v>0</v>
      </c>
      <c r="J123" s="260">
        <f ca="1">IFERROR(OFFSET(INDIRECT(#REF!),MATCH([2]Development_Schedule_EK!M$6,INDIRECT(#REF!),0)-1,MATCH([2]Development_Schedule_EK!$B120,INDIRECT(#REF!),0),1,1)*$D123,0)</f>
        <v>0</v>
      </c>
      <c r="K123" s="260">
        <f ca="1">IFERROR(OFFSET(INDIRECT(#REF!),MATCH([2]Development_Schedule_EK!N$6,INDIRECT(#REF!),0)-1,MATCH([2]Development_Schedule_EK!$B120,INDIRECT(#REF!),0),1,1)*$D123,0)</f>
        <v>0</v>
      </c>
      <c r="L123" s="265">
        <f ca="1">IFERROR(OFFSET(INDIRECT(#REF!),MATCH([2]Development_Schedule_EK!O$6,INDIRECT(#REF!),0)-1,MATCH([2]Development_Schedule_EK!$B120,INDIRECT(#REF!),0),1,1)*$D123,0)</f>
        <v>0</v>
      </c>
      <c r="M123" s="260">
        <f ca="1">IFERROR(OFFSET(INDIRECT(#REF!),MATCH([2]Development_Schedule_EK!P$6,INDIRECT(#REF!),0)-1,MATCH([2]Development_Schedule_EK!$B120,INDIRECT(#REF!),0),1,1)*$D123,0)</f>
        <v>0</v>
      </c>
      <c r="N123" s="260">
        <f ca="1">IFERROR(OFFSET(INDIRECT(#REF!),MATCH([2]Development_Schedule_EK!Q$6,INDIRECT(#REF!),0)-1,MATCH([2]Development_Schedule_EK!$B120,INDIRECT(#REF!),0),1,1)*$D123,0)</f>
        <v>0</v>
      </c>
      <c r="O123" s="265">
        <f ca="1">IFERROR(OFFSET(INDIRECT(#REF!),MATCH([2]Development_Schedule_EK!R$6,INDIRECT(#REF!),0)-1,MATCH([2]Development_Schedule_EK!$B120,INDIRECT(#REF!),0),1,1)*$D123,0)</f>
        <v>0</v>
      </c>
      <c r="P123" s="183"/>
      <c r="Q123" s="184"/>
      <c r="R123" s="183"/>
    </row>
    <row r="124" spans="1:18" x14ac:dyDescent="0.25">
      <c r="A124" s="284">
        <v>1</v>
      </c>
      <c r="B124" s="774" t="s">
        <v>359</v>
      </c>
      <c r="C124" s="262"/>
      <c r="D124" s="270">
        <f ca="1">IFERROR(OFFSET(INDIRECT(#REF!),MATCH([2]Development_Schedule_EK!$E121,INDIRECT(#REF!),0)-1,MATCH([2]Development_Schedule_EK!$B121,INDIRECT(#REF!),0),1,1),0)</f>
        <v>0</v>
      </c>
      <c r="E124" s="266"/>
      <c r="F124" s="260">
        <f ca="1">IFERROR(OFFSET(INDIRECT(#REF!),MATCH([2]Development_Schedule_EK!I$6,INDIRECT(#REF!),0)-1,MATCH([2]Development_Schedule_EK!$B121,INDIRECT(#REF!),0),1,1)*$D124,0)</f>
        <v>0</v>
      </c>
      <c r="G124" s="260">
        <f ca="1">IFERROR(OFFSET(INDIRECT(#REF!),MATCH([2]Development_Schedule_EK!J$6,INDIRECT(#REF!),0)-1,MATCH([2]Development_Schedule_EK!$B121,INDIRECT(#REF!),0),1,1)*$D124,0)</f>
        <v>0</v>
      </c>
      <c r="H124" s="265">
        <f ca="1">IFERROR(OFFSET(INDIRECT(#REF!),MATCH([2]Development_Schedule_EK!K$6,INDIRECT(#REF!),0)-1,MATCH([2]Development_Schedule_EK!$B121,INDIRECT(#REF!),0),1,1)*$D124,0)</f>
        <v>0</v>
      </c>
      <c r="I124" s="260">
        <f ca="1">IFERROR(OFFSET(INDIRECT(#REF!),MATCH([2]Development_Schedule_EK!L$6,INDIRECT(#REF!),0)-1,MATCH([2]Development_Schedule_EK!$B121,INDIRECT(#REF!),0),1,1)*$D124,0)</f>
        <v>0</v>
      </c>
      <c r="J124" s="260">
        <f ca="1">IFERROR(OFFSET(INDIRECT(#REF!),MATCH([2]Development_Schedule_EK!M$6,INDIRECT(#REF!),0)-1,MATCH([2]Development_Schedule_EK!$B121,INDIRECT(#REF!),0),1,1)*$D124,0)</f>
        <v>0</v>
      </c>
      <c r="K124" s="260">
        <f ca="1">IFERROR(OFFSET(INDIRECT(#REF!),MATCH([2]Development_Schedule_EK!N$6,INDIRECT(#REF!),0)-1,MATCH([2]Development_Schedule_EK!$B121,INDIRECT(#REF!),0),1,1)*$D124,0)</f>
        <v>0</v>
      </c>
      <c r="L124" s="265">
        <f ca="1">IFERROR(OFFSET(INDIRECT(#REF!),MATCH([2]Development_Schedule_EK!O$6,INDIRECT(#REF!),0)-1,MATCH([2]Development_Schedule_EK!$B121,INDIRECT(#REF!),0),1,1)*$D124,0)</f>
        <v>0</v>
      </c>
      <c r="M124" s="260">
        <f ca="1">IFERROR(OFFSET(INDIRECT(#REF!),MATCH([2]Development_Schedule_EK!P$6,INDIRECT(#REF!),0)-1,MATCH([2]Development_Schedule_EK!$B121,INDIRECT(#REF!),0),1,1)*$D124,0)</f>
        <v>0</v>
      </c>
      <c r="N124" s="260">
        <f ca="1">IFERROR(OFFSET(INDIRECT(#REF!),MATCH([2]Development_Schedule_EK!Q$6,INDIRECT(#REF!),0)-1,MATCH([2]Development_Schedule_EK!$B121,INDIRECT(#REF!),0),1,1)*$D124,0)</f>
        <v>0</v>
      </c>
      <c r="O124" s="265">
        <f ca="1">IFERROR(OFFSET(INDIRECT(#REF!),MATCH([2]Development_Schedule_EK!R$6,INDIRECT(#REF!),0)-1,MATCH([2]Development_Schedule_EK!$B121,INDIRECT(#REF!),0),1,1)*$D124,0)</f>
        <v>0</v>
      </c>
      <c r="P124" s="183"/>
      <c r="Q124" s="184"/>
      <c r="R124" s="183"/>
    </row>
    <row r="125" spans="1:18" x14ac:dyDescent="0.25">
      <c r="A125" s="284">
        <v>1</v>
      </c>
      <c r="B125" s="774" t="s">
        <v>33</v>
      </c>
      <c r="C125" s="262"/>
      <c r="D125" s="270">
        <f ca="1">IFERROR(OFFSET(INDIRECT(#REF!),MATCH([2]Development_Schedule_EK!$E122,INDIRECT(#REF!),0)-1,MATCH([2]Development_Schedule_EK!$B122,INDIRECT(#REF!),0),1,1),0)</f>
        <v>0</v>
      </c>
      <c r="E125" s="266"/>
      <c r="F125" s="260">
        <f ca="1">IFERROR(OFFSET(INDIRECT(#REF!),MATCH([2]Development_Schedule_EK!I$6,INDIRECT(#REF!),0)-1,MATCH([2]Development_Schedule_EK!$B122,INDIRECT(#REF!),0),1,1)*$D125,0)</f>
        <v>0</v>
      </c>
      <c r="G125" s="260">
        <f ca="1">IFERROR(OFFSET(INDIRECT(#REF!),MATCH([2]Development_Schedule_EK!J$6,INDIRECT(#REF!),0)-1,MATCH([2]Development_Schedule_EK!$B122,INDIRECT(#REF!),0),1,1)*$D125,0)</f>
        <v>0</v>
      </c>
      <c r="H125" s="265">
        <f ca="1">IFERROR(OFFSET(INDIRECT(#REF!),MATCH([2]Development_Schedule_EK!K$6,INDIRECT(#REF!),0)-1,MATCH([2]Development_Schedule_EK!$B122,INDIRECT(#REF!),0),1,1)*$D125,0)</f>
        <v>0</v>
      </c>
      <c r="I125" s="260">
        <f ca="1">IFERROR(OFFSET(INDIRECT(#REF!),MATCH([2]Development_Schedule_EK!L$6,INDIRECT(#REF!),0)-1,MATCH([2]Development_Schedule_EK!$B122,INDIRECT(#REF!),0),1,1)*$D125,0)</f>
        <v>0</v>
      </c>
      <c r="J125" s="260">
        <f ca="1">IFERROR(OFFSET(INDIRECT(#REF!),MATCH([2]Development_Schedule_EK!M$6,INDIRECT(#REF!),0)-1,MATCH([2]Development_Schedule_EK!$B122,INDIRECT(#REF!),0),1,1)*$D125,0)</f>
        <v>0</v>
      </c>
      <c r="K125" s="260">
        <f ca="1">IFERROR(OFFSET(INDIRECT(#REF!),MATCH([2]Development_Schedule_EK!N$6,INDIRECT(#REF!),0)-1,MATCH([2]Development_Schedule_EK!$B122,INDIRECT(#REF!),0),1,1)*$D125,0)</f>
        <v>0</v>
      </c>
      <c r="L125" s="265">
        <f ca="1">IFERROR(OFFSET(INDIRECT(#REF!),MATCH([2]Development_Schedule_EK!O$6,INDIRECT(#REF!),0)-1,MATCH([2]Development_Schedule_EK!$B122,INDIRECT(#REF!),0),1,1)*$D125,0)</f>
        <v>0</v>
      </c>
      <c r="M125" s="260">
        <f ca="1">IFERROR(OFFSET(INDIRECT(#REF!),MATCH([2]Development_Schedule_EK!P$6,INDIRECT(#REF!),0)-1,MATCH([2]Development_Schedule_EK!$B122,INDIRECT(#REF!),0),1,1)*$D125,0)</f>
        <v>0</v>
      </c>
      <c r="N125" s="260">
        <f ca="1">IFERROR(OFFSET(INDIRECT(#REF!),MATCH([2]Development_Schedule_EK!Q$6,INDIRECT(#REF!),0)-1,MATCH([2]Development_Schedule_EK!$B122,INDIRECT(#REF!),0),1,1)*$D125,0)</f>
        <v>0</v>
      </c>
      <c r="O125" s="265">
        <f ca="1">IFERROR(OFFSET(INDIRECT(#REF!),MATCH([2]Development_Schedule_EK!R$6,INDIRECT(#REF!),0)-1,MATCH([2]Development_Schedule_EK!$B122,INDIRECT(#REF!),0),1,1)*$D125,0)</f>
        <v>0</v>
      </c>
      <c r="P125" s="183"/>
      <c r="Q125" s="184"/>
      <c r="R125" s="183"/>
    </row>
    <row r="126" spans="1:18" x14ac:dyDescent="0.25">
      <c r="A126" s="284">
        <v>1</v>
      </c>
      <c r="B126" s="774" t="s">
        <v>42</v>
      </c>
      <c r="C126" s="262"/>
      <c r="D126" s="270">
        <f ca="1">IFERROR(OFFSET(INDIRECT(#REF!),MATCH([2]Development_Schedule_EK!$E123,INDIRECT(#REF!),0)-1,MATCH([2]Development_Schedule_EK!$B123,INDIRECT(#REF!),0),1,1),0)</f>
        <v>0</v>
      </c>
      <c r="E126" s="266"/>
      <c r="F126" s="260">
        <f ca="1">IFERROR(OFFSET(INDIRECT(#REF!),MATCH([2]Development_Schedule_EK!I$6,INDIRECT(#REF!),0)-1,MATCH([2]Development_Schedule_EK!$B123,INDIRECT(#REF!),0),1,1)*$D126,0)</f>
        <v>0</v>
      </c>
      <c r="G126" s="260">
        <f ca="1">IFERROR(OFFSET(INDIRECT(#REF!),MATCH([2]Development_Schedule_EK!J$6,INDIRECT(#REF!),0)-1,MATCH([2]Development_Schedule_EK!$B123,INDIRECT(#REF!),0),1,1)*$D126,0)</f>
        <v>0</v>
      </c>
      <c r="H126" s="265">
        <f ca="1">IFERROR(OFFSET(INDIRECT(#REF!),MATCH([2]Development_Schedule_EK!K$6,INDIRECT(#REF!),0)-1,MATCH([2]Development_Schedule_EK!$B123,INDIRECT(#REF!),0),1,1)*$D126,0)</f>
        <v>0</v>
      </c>
      <c r="I126" s="260">
        <f ca="1">IFERROR(OFFSET(INDIRECT(#REF!),MATCH([2]Development_Schedule_EK!L$6,INDIRECT(#REF!),0)-1,MATCH([2]Development_Schedule_EK!$B123,INDIRECT(#REF!),0),1,1)*$D126,0)</f>
        <v>0</v>
      </c>
      <c r="J126" s="260">
        <f ca="1">IFERROR(OFFSET(INDIRECT(#REF!),MATCH([2]Development_Schedule_EK!M$6,INDIRECT(#REF!),0)-1,MATCH([2]Development_Schedule_EK!$B123,INDIRECT(#REF!),0),1,1)*$D126,0)</f>
        <v>0</v>
      </c>
      <c r="K126" s="260">
        <f ca="1">IFERROR(OFFSET(INDIRECT(#REF!),MATCH([2]Development_Schedule_EK!N$6,INDIRECT(#REF!),0)-1,MATCH([2]Development_Schedule_EK!$B123,INDIRECT(#REF!),0),1,1)*$D126,0)</f>
        <v>0</v>
      </c>
      <c r="L126" s="265">
        <f ca="1">IFERROR(OFFSET(INDIRECT(#REF!),MATCH([2]Development_Schedule_EK!O$6,INDIRECT(#REF!),0)-1,MATCH([2]Development_Schedule_EK!$B123,INDIRECT(#REF!),0),1,1)*$D126,0)</f>
        <v>0</v>
      </c>
      <c r="M126" s="260">
        <f ca="1">IFERROR(OFFSET(INDIRECT(#REF!),MATCH([2]Development_Schedule_EK!P$6,INDIRECT(#REF!),0)-1,MATCH([2]Development_Schedule_EK!$B123,INDIRECT(#REF!),0),1,1)*$D126,0)</f>
        <v>0</v>
      </c>
      <c r="N126" s="260">
        <f ca="1">IFERROR(OFFSET(INDIRECT(#REF!),MATCH([2]Development_Schedule_EK!Q$6,INDIRECT(#REF!),0)-1,MATCH([2]Development_Schedule_EK!$B123,INDIRECT(#REF!),0),1,1)*$D126,0)</f>
        <v>0</v>
      </c>
      <c r="O126" s="265">
        <f ca="1">IFERROR(OFFSET(INDIRECT(#REF!),MATCH([2]Development_Schedule_EK!R$6,INDIRECT(#REF!),0)-1,MATCH([2]Development_Schedule_EK!$B123,INDIRECT(#REF!),0),1,1)*$D126,0)</f>
        <v>0</v>
      </c>
      <c r="P126" s="183"/>
      <c r="Q126" s="184"/>
      <c r="R126" s="183"/>
    </row>
    <row r="127" spans="1:18" x14ac:dyDescent="0.25">
      <c r="B127" s="774"/>
      <c r="C127" s="262"/>
      <c r="D127" s="270"/>
      <c r="E127" s="266"/>
      <c r="F127" s="256"/>
      <c r="G127" s="256"/>
      <c r="H127" s="263"/>
      <c r="I127" s="256"/>
      <c r="J127" s="256"/>
      <c r="K127" s="256"/>
      <c r="L127" s="263"/>
      <c r="M127" s="256"/>
      <c r="N127" s="256"/>
      <c r="O127" s="263"/>
      <c r="P127" s="183"/>
      <c r="Q127" s="184"/>
      <c r="R127" s="183"/>
    </row>
    <row r="128" spans="1:18" x14ac:dyDescent="0.25">
      <c r="B128" s="769"/>
      <c r="C128" s="262"/>
      <c r="D128" s="270"/>
      <c r="E128" s="266"/>
      <c r="F128" s="256"/>
      <c r="G128" s="256"/>
      <c r="H128" s="263"/>
      <c r="I128" s="256"/>
      <c r="J128" s="256"/>
      <c r="K128" s="256"/>
      <c r="L128" s="263"/>
      <c r="M128" s="256"/>
      <c r="N128" s="256"/>
      <c r="O128" s="263"/>
      <c r="P128" s="183"/>
      <c r="Q128" s="184"/>
      <c r="R128" s="183"/>
    </row>
    <row r="129" spans="1:18" x14ac:dyDescent="0.25">
      <c r="B129" s="773" t="s">
        <v>367</v>
      </c>
      <c r="C129" s="262"/>
      <c r="D129" s="270"/>
      <c r="E129" s="266"/>
      <c r="F129" s="256"/>
      <c r="G129" s="256"/>
      <c r="H129" s="263"/>
      <c r="I129" s="256"/>
      <c r="J129" s="256"/>
      <c r="K129" s="256"/>
      <c r="L129" s="263"/>
      <c r="M129" s="256"/>
      <c r="N129" s="256"/>
      <c r="O129" s="263"/>
      <c r="P129" s="183"/>
      <c r="Q129" s="184"/>
      <c r="R129" s="183"/>
    </row>
    <row r="130" spans="1:18" x14ac:dyDescent="0.25">
      <c r="A130" s="284">
        <v>1</v>
      </c>
      <c r="B130" s="774" t="s">
        <v>381</v>
      </c>
      <c r="C130" s="262"/>
      <c r="D130" s="270">
        <f ca="1">IFERROR(OFFSET(INDIRECT(#REF!),MATCH([2]Development_Schedule_EK!$E127,INDIRECT(#REF!),0)-1,MATCH([2]Development_Schedule_EK!$B127,INDIRECT(#REF!),0),1,1),0)</f>
        <v>0</v>
      </c>
      <c r="E130" s="266"/>
      <c r="F130" s="260">
        <f ca="1">IFERROR(OFFSET(INDIRECT(#REF!),MATCH([2]Development_Schedule_EK!I$6,INDIRECT(#REF!),0)-1,MATCH([2]Development_Schedule_EK!$B127,INDIRECT(#REF!),0),1,1)*$D130,0)</f>
        <v>0</v>
      </c>
      <c r="G130" s="260">
        <f ca="1">IFERROR(OFFSET(INDIRECT(#REF!),MATCH([2]Development_Schedule_EK!J$6,INDIRECT(#REF!),0)-1,MATCH([2]Development_Schedule_EK!$B127,INDIRECT(#REF!),0),1,1)*$D130,0)</f>
        <v>0</v>
      </c>
      <c r="H130" s="265">
        <f ca="1">IFERROR(OFFSET(INDIRECT(#REF!),MATCH([2]Development_Schedule_EK!K$6,INDIRECT(#REF!),0)-1,MATCH([2]Development_Schedule_EK!$B127,INDIRECT(#REF!),0),1,1)*$D130,0)</f>
        <v>0</v>
      </c>
      <c r="I130" s="260">
        <f ca="1">IFERROR(OFFSET(INDIRECT(#REF!),MATCH([2]Development_Schedule_EK!L$6,INDIRECT(#REF!),0)-1,MATCH([2]Development_Schedule_EK!$B127,INDIRECT(#REF!),0),1,1)*$D130,0)</f>
        <v>0</v>
      </c>
      <c r="J130" s="260">
        <f ca="1">IFERROR(OFFSET(INDIRECT(#REF!),MATCH([2]Development_Schedule_EK!M$6,INDIRECT(#REF!),0)-1,MATCH([2]Development_Schedule_EK!$B127,INDIRECT(#REF!),0),1,1)*$D130,0)</f>
        <v>0</v>
      </c>
      <c r="K130" s="260">
        <f ca="1">IFERROR(OFFSET(INDIRECT(#REF!),MATCH([2]Development_Schedule_EK!N$6,INDIRECT(#REF!),0)-1,MATCH([2]Development_Schedule_EK!$B127,INDIRECT(#REF!),0),1,1)*$D130,0)</f>
        <v>0</v>
      </c>
      <c r="L130" s="265">
        <f ca="1">IFERROR(OFFSET(INDIRECT(#REF!),MATCH([2]Development_Schedule_EK!O$6,INDIRECT(#REF!),0)-1,MATCH([2]Development_Schedule_EK!$B127,INDIRECT(#REF!),0),1,1)*$D130,0)</f>
        <v>0</v>
      </c>
      <c r="M130" s="260">
        <f ca="1">IFERROR(OFFSET(INDIRECT(#REF!),MATCH([2]Development_Schedule_EK!P$6,INDIRECT(#REF!),0)-1,MATCH([2]Development_Schedule_EK!$B127,INDIRECT(#REF!),0),1,1)*$D130,0)</f>
        <v>0</v>
      </c>
      <c r="N130" s="260">
        <f ca="1">IFERROR(OFFSET(INDIRECT(#REF!),MATCH([2]Development_Schedule_EK!Q$6,INDIRECT(#REF!),0)-1,MATCH([2]Development_Schedule_EK!$B127,INDIRECT(#REF!),0),1,1)*$D130,0)</f>
        <v>0</v>
      </c>
      <c r="O130" s="265">
        <f ca="1">IFERROR(OFFSET(INDIRECT(#REF!),MATCH([2]Development_Schedule_EK!R$6,INDIRECT(#REF!),0)-1,MATCH([2]Development_Schedule_EK!$B127,INDIRECT(#REF!),0),1,1)*$D130,0)</f>
        <v>0</v>
      </c>
      <c r="P130" s="183"/>
      <c r="Q130" s="184"/>
      <c r="R130" s="183"/>
    </row>
    <row r="131" spans="1:18" x14ac:dyDescent="0.25">
      <c r="A131" s="284">
        <v>1</v>
      </c>
      <c r="B131" s="774" t="s">
        <v>382</v>
      </c>
      <c r="C131" s="262"/>
      <c r="D131" s="270">
        <f>(35221-D134)*0.8</f>
        <v>23775.200000000001</v>
      </c>
      <c r="E131" s="266"/>
      <c r="F131" s="260">
        <f>D131/2</f>
        <v>11887.6</v>
      </c>
      <c r="G131" s="260">
        <f>F131</f>
        <v>11887.6</v>
      </c>
      <c r="H131" s="265">
        <f ca="1">IFERROR(OFFSET(INDIRECT(#REF!),MATCH([2]Development_Schedule_EK!K$6,INDIRECT(#REF!),0)-1,MATCH([2]Development_Schedule_EK!$B128,INDIRECT(#REF!),0),1,1)*$D131,0)</f>
        <v>0</v>
      </c>
      <c r="I131" s="260">
        <f ca="1">IFERROR(OFFSET(INDIRECT(#REF!),MATCH([2]Development_Schedule_EK!L$6,INDIRECT(#REF!),0)-1,MATCH([2]Development_Schedule_EK!$B128,INDIRECT(#REF!),0),1,1)*$D131,0)</f>
        <v>0</v>
      </c>
      <c r="J131" s="260">
        <f ca="1">IFERROR(OFFSET(INDIRECT(#REF!),MATCH([2]Development_Schedule_EK!M$6,INDIRECT(#REF!),0)-1,MATCH([2]Development_Schedule_EK!$B128,INDIRECT(#REF!),0),1,1)*$D131,0)</f>
        <v>0</v>
      </c>
      <c r="K131" s="260">
        <f ca="1">IFERROR(OFFSET(INDIRECT(#REF!),MATCH([2]Development_Schedule_EK!N$6,INDIRECT(#REF!),0)-1,MATCH([2]Development_Schedule_EK!$B128,INDIRECT(#REF!),0),1,1)*$D131,0)</f>
        <v>0</v>
      </c>
      <c r="L131" s="265">
        <f ca="1">IFERROR(OFFSET(INDIRECT(#REF!),MATCH([2]Development_Schedule_EK!O$6,INDIRECT(#REF!),0)-1,MATCH([2]Development_Schedule_EK!$B128,INDIRECT(#REF!),0),1,1)*$D131,0)</f>
        <v>0</v>
      </c>
      <c r="M131" s="260">
        <f ca="1">IFERROR(OFFSET(INDIRECT(#REF!),MATCH([2]Development_Schedule_EK!P$6,INDIRECT(#REF!),0)-1,MATCH([2]Development_Schedule_EK!$B128,INDIRECT(#REF!),0),1,1)*$D131,0)</f>
        <v>0</v>
      </c>
      <c r="N131" s="260">
        <f ca="1">IFERROR(OFFSET(INDIRECT(#REF!),MATCH([2]Development_Schedule_EK!Q$6,INDIRECT(#REF!),0)-1,MATCH([2]Development_Schedule_EK!$B128,INDIRECT(#REF!),0),1,1)*$D131,0)</f>
        <v>0</v>
      </c>
      <c r="O131" s="265">
        <f ca="1">IFERROR(OFFSET(INDIRECT(#REF!),MATCH([2]Development_Schedule_EK!R$6,INDIRECT(#REF!),0)-1,MATCH([2]Development_Schedule_EK!$B128,INDIRECT(#REF!),0),1,1)*$D131,0)</f>
        <v>0</v>
      </c>
      <c r="P131" s="183"/>
      <c r="Q131" s="184"/>
      <c r="R131" s="183"/>
    </row>
    <row r="132" spans="1:18" x14ac:dyDescent="0.25">
      <c r="A132" s="284">
        <v>1</v>
      </c>
      <c r="B132" s="774" t="s">
        <v>383</v>
      </c>
      <c r="C132" s="262"/>
      <c r="D132" s="270">
        <f ca="1">IFERROR(OFFSET(INDIRECT(#REF!),MATCH([2]Development_Schedule_EK!$E129,INDIRECT(#REF!),0)-1,MATCH([2]Development_Schedule_EK!$B129,INDIRECT(#REF!),0),1,1),0)</f>
        <v>0</v>
      </c>
      <c r="E132" s="266"/>
      <c r="F132" s="260">
        <f ca="1">IFERROR(OFFSET(INDIRECT(#REF!),MATCH([2]Development_Schedule_EK!I$6,INDIRECT(#REF!),0)-1,MATCH([2]Development_Schedule_EK!$B129,INDIRECT(#REF!),0),1,1)*$D132,0)</f>
        <v>0</v>
      </c>
      <c r="G132" s="260">
        <f ca="1">IFERROR(OFFSET(INDIRECT(#REF!),MATCH([2]Development_Schedule_EK!J$6,INDIRECT(#REF!),0)-1,MATCH([2]Development_Schedule_EK!$B129,INDIRECT(#REF!),0),1,1)*$D132,0)</f>
        <v>0</v>
      </c>
      <c r="H132" s="265">
        <f ca="1">IFERROR(OFFSET(INDIRECT(#REF!),MATCH([2]Development_Schedule_EK!K$6,INDIRECT(#REF!),0)-1,MATCH([2]Development_Schedule_EK!$B129,INDIRECT(#REF!),0),1,1)*$D132,0)</f>
        <v>0</v>
      </c>
      <c r="I132" s="260">
        <f ca="1">IFERROR(OFFSET(INDIRECT(#REF!),MATCH([2]Development_Schedule_EK!L$6,INDIRECT(#REF!),0)-1,MATCH([2]Development_Schedule_EK!$B129,INDIRECT(#REF!),0),1,1)*$D132,0)</f>
        <v>0</v>
      </c>
      <c r="J132" s="260">
        <f ca="1">IFERROR(OFFSET(INDIRECT(#REF!),MATCH([2]Development_Schedule_EK!M$6,INDIRECT(#REF!),0)-1,MATCH([2]Development_Schedule_EK!$B129,INDIRECT(#REF!),0),1,1)*$D132,0)</f>
        <v>0</v>
      </c>
      <c r="K132" s="260">
        <f ca="1">IFERROR(OFFSET(INDIRECT(#REF!),MATCH([2]Development_Schedule_EK!N$6,INDIRECT(#REF!),0)-1,MATCH([2]Development_Schedule_EK!$B129,INDIRECT(#REF!),0),1,1)*$D132,0)</f>
        <v>0</v>
      </c>
      <c r="L132" s="265">
        <f ca="1">IFERROR(OFFSET(INDIRECT(#REF!),MATCH([2]Development_Schedule_EK!O$6,INDIRECT(#REF!),0)-1,MATCH([2]Development_Schedule_EK!$B129,INDIRECT(#REF!),0),1,1)*$D132,0)</f>
        <v>0</v>
      </c>
      <c r="M132" s="260">
        <f ca="1">IFERROR(OFFSET(INDIRECT(#REF!),MATCH([2]Development_Schedule_EK!P$6,INDIRECT(#REF!),0)-1,MATCH([2]Development_Schedule_EK!$B129,INDIRECT(#REF!),0),1,1)*$D132,0)</f>
        <v>0</v>
      </c>
      <c r="N132" s="260">
        <f ca="1">IFERROR(OFFSET(INDIRECT(#REF!),MATCH([2]Development_Schedule_EK!Q$6,INDIRECT(#REF!),0)-1,MATCH([2]Development_Schedule_EK!$B129,INDIRECT(#REF!),0),1,1)*$D132,0)</f>
        <v>0</v>
      </c>
      <c r="O132" s="265">
        <f ca="1">IFERROR(OFFSET(INDIRECT(#REF!),MATCH([2]Development_Schedule_EK!R$6,INDIRECT(#REF!),0)-1,MATCH([2]Development_Schedule_EK!$B129,INDIRECT(#REF!),0),1,1)*$D132,0)</f>
        <v>0</v>
      </c>
      <c r="P132" s="183"/>
      <c r="Q132" s="184"/>
      <c r="R132" s="183"/>
    </row>
    <row r="133" spans="1:18" x14ac:dyDescent="0.25">
      <c r="A133" s="284">
        <v>1</v>
      </c>
      <c r="B133" s="774" t="s">
        <v>384</v>
      </c>
      <c r="C133" s="262"/>
      <c r="D133" s="270">
        <f>D131/4</f>
        <v>5943.8</v>
      </c>
      <c r="E133" s="266"/>
      <c r="F133" s="260">
        <f>F131/4</f>
        <v>2971.9</v>
      </c>
      <c r="G133" s="260">
        <f t="shared" ref="G133:H133" si="10">G131/4</f>
        <v>2971.9</v>
      </c>
      <c r="H133" s="265">
        <f t="shared" ca="1" si="10"/>
        <v>0</v>
      </c>
      <c r="I133" s="260">
        <f ca="1">IFERROR(OFFSET(INDIRECT(#REF!),MATCH([2]Development_Schedule_EK!L$6,INDIRECT(#REF!),0)-1,MATCH([2]Development_Schedule_EK!$B130,INDIRECT(#REF!),0),1,1)*$D133,0)</f>
        <v>0</v>
      </c>
      <c r="J133" s="260">
        <f ca="1">IFERROR(OFFSET(INDIRECT(#REF!),MATCH([2]Development_Schedule_EK!M$6,INDIRECT(#REF!),0)-1,MATCH([2]Development_Schedule_EK!$B130,INDIRECT(#REF!),0),1,1)*$D133,0)</f>
        <v>0</v>
      </c>
      <c r="K133" s="260">
        <f ca="1">IFERROR(OFFSET(INDIRECT(#REF!),MATCH([2]Development_Schedule_EK!N$6,INDIRECT(#REF!),0)-1,MATCH([2]Development_Schedule_EK!$B130,INDIRECT(#REF!),0),1,1)*$D133,0)</f>
        <v>0</v>
      </c>
      <c r="L133" s="265">
        <f ca="1">IFERROR(OFFSET(INDIRECT(#REF!),MATCH([2]Development_Schedule_EK!O$6,INDIRECT(#REF!),0)-1,MATCH([2]Development_Schedule_EK!$B130,INDIRECT(#REF!),0),1,1)*$D133,0)</f>
        <v>0</v>
      </c>
      <c r="M133" s="260">
        <f ca="1">IFERROR(OFFSET(INDIRECT(#REF!),MATCH([2]Development_Schedule_EK!P$6,INDIRECT(#REF!),0)-1,MATCH([2]Development_Schedule_EK!$B130,INDIRECT(#REF!),0),1,1)*$D133,0)</f>
        <v>0</v>
      </c>
      <c r="N133" s="260">
        <f ca="1">IFERROR(OFFSET(INDIRECT(#REF!),MATCH([2]Development_Schedule_EK!Q$6,INDIRECT(#REF!),0)-1,MATCH([2]Development_Schedule_EK!$B130,INDIRECT(#REF!),0),1,1)*$D133,0)</f>
        <v>0</v>
      </c>
      <c r="O133" s="265">
        <f ca="1">IFERROR(OFFSET(INDIRECT(#REF!),MATCH([2]Development_Schedule_EK!R$6,INDIRECT(#REF!),0)-1,MATCH([2]Development_Schedule_EK!$B130,INDIRECT(#REF!),0),1,1)*$D133,0)</f>
        <v>0</v>
      </c>
      <c r="P133" s="183"/>
      <c r="Q133" s="184"/>
      <c r="R133" s="183"/>
    </row>
    <row r="134" spans="1:18" x14ac:dyDescent="0.25">
      <c r="A134" s="284">
        <v>1</v>
      </c>
      <c r="B134" s="774" t="s">
        <v>35</v>
      </c>
      <c r="C134" s="262"/>
      <c r="D134" s="270">
        <v>5502</v>
      </c>
      <c r="E134" s="266"/>
      <c r="F134" s="260">
        <f>D134</f>
        <v>5502</v>
      </c>
      <c r="G134" s="260">
        <f ca="1">IFERROR(OFFSET(INDIRECT(#REF!),MATCH([2]Development_Schedule_EK!J$6,INDIRECT(#REF!),0)-1,MATCH([2]Development_Schedule_EK!$B131,INDIRECT(#REF!),0),1,1)*$D134,0)</f>
        <v>0</v>
      </c>
      <c r="H134" s="265">
        <f ca="1">IFERROR(OFFSET(INDIRECT(#REF!),MATCH([2]Development_Schedule_EK!K$6,INDIRECT(#REF!),0)-1,MATCH([2]Development_Schedule_EK!$B131,INDIRECT(#REF!),0),1,1)*$D134,0)</f>
        <v>0</v>
      </c>
      <c r="I134" s="260">
        <f ca="1">IFERROR(OFFSET(INDIRECT(#REF!),MATCH([2]Development_Schedule_EK!L$6,INDIRECT(#REF!),0)-1,MATCH([2]Development_Schedule_EK!$B131,INDIRECT(#REF!),0),1,1)*$D134,0)</f>
        <v>0</v>
      </c>
      <c r="J134" s="260">
        <f ca="1">IFERROR(OFFSET(INDIRECT(#REF!),MATCH([2]Development_Schedule_EK!M$6,INDIRECT(#REF!),0)-1,MATCH([2]Development_Schedule_EK!$B131,INDIRECT(#REF!),0),1,1)*$D134,0)</f>
        <v>0</v>
      </c>
      <c r="K134" s="260">
        <f ca="1">IFERROR(OFFSET(INDIRECT(#REF!),MATCH([2]Development_Schedule_EK!N$6,INDIRECT(#REF!),0)-1,MATCH([2]Development_Schedule_EK!$B131,INDIRECT(#REF!),0),1,1)*$D134,0)</f>
        <v>0</v>
      </c>
      <c r="L134" s="265">
        <f ca="1">IFERROR(OFFSET(INDIRECT(#REF!),MATCH([2]Development_Schedule_EK!O$6,INDIRECT(#REF!),0)-1,MATCH([2]Development_Schedule_EK!$B131,INDIRECT(#REF!),0),1,1)*$D134,0)</f>
        <v>0</v>
      </c>
      <c r="M134" s="260">
        <f ca="1">IFERROR(OFFSET(INDIRECT(#REF!),MATCH([2]Development_Schedule_EK!P$6,INDIRECT(#REF!),0)-1,MATCH([2]Development_Schedule_EK!$B131,INDIRECT(#REF!),0),1,1)*$D134,0)</f>
        <v>0</v>
      </c>
      <c r="N134" s="260">
        <f ca="1">IFERROR(OFFSET(INDIRECT(#REF!),MATCH([2]Development_Schedule_EK!Q$6,INDIRECT(#REF!),0)-1,MATCH([2]Development_Schedule_EK!$B131,INDIRECT(#REF!),0),1,1)*$D134,0)</f>
        <v>0</v>
      </c>
      <c r="O134" s="265">
        <f ca="1">IFERROR(OFFSET(INDIRECT(#REF!),MATCH([2]Development_Schedule_EK!R$6,INDIRECT(#REF!),0)-1,MATCH([2]Development_Schedule_EK!$B131,INDIRECT(#REF!),0),1,1)*$D134,0)</f>
        <v>0</v>
      </c>
      <c r="P134" s="183"/>
      <c r="Q134" s="184"/>
      <c r="R134" s="183"/>
    </row>
    <row r="135" spans="1:18" x14ac:dyDescent="0.25">
      <c r="A135" s="284">
        <v>1</v>
      </c>
      <c r="B135" s="774" t="s">
        <v>355</v>
      </c>
      <c r="C135" s="262"/>
      <c r="D135" s="270">
        <f ca="1">IFERROR(OFFSET(INDIRECT(#REF!),MATCH([2]Development_Schedule_EK!$E132,INDIRECT(#REF!),0)-1,MATCH([2]Development_Schedule_EK!$B132,INDIRECT(#REF!),0),1,1),0)</f>
        <v>0</v>
      </c>
      <c r="E135" s="266"/>
      <c r="F135" s="260">
        <f ca="1">IFERROR(OFFSET(INDIRECT(#REF!),MATCH([2]Development_Schedule_EK!I$6,INDIRECT(#REF!),0)-1,MATCH([2]Development_Schedule_EK!$B132,INDIRECT(#REF!),0),1,1)*$D135,0)</f>
        <v>0</v>
      </c>
      <c r="G135" s="260">
        <f ca="1">IFERROR(OFFSET(INDIRECT(#REF!),MATCH([2]Development_Schedule_EK!J$6,INDIRECT(#REF!),0)-1,MATCH([2]Development_Schedule_EK!$B132,INDIRECT(#REF!),0),1,1)*$D135,0)</f>
        <v>0</v>
      </c>
      <c r="H135" s="265">
        <f ca="1">IFERROR(OFFSET(INDIRECT(#REF!),MATCH([2]Development_Schedule_EK!K$6,INDIRECT(#REF!),0)-1,MATCH([2]Development_Schedule_EK!$B132,INDIRECT(#REF!),0),1,1)*$D135,0)</f>
        <v>0</v>
      </c>
      <c r="I135" s="260">
        <f ca="1">IFERROR(OFFSET(INDIRECT(#REF!),MATCH([2]Development_Schedule_EK!L$6,INDIRECT(#REF!),0)-1,MATCH([2]Development_Schedule_EK!$B132,INDIRECT(#REF!),0),1,1)*$D135,0)</f>
        <v>0</v>
      </c>
      <c r="J135" s="260">
        <f ca="1">IFERROR(OFFSET(INDIRECT(#REF!),MATCH([2]Development_Schedule_EK!M$6,INDIRECT(#REF!),0)-1,MATCH([2]Development_Schedule_EK!$B132,INDIRECT(#REF!),0),1,1)*$D135,0)</f>
        <v>0</v>
      </c>
      <c r="K135" s="260">
        <f ca="1">IFERROR(OFFSET(INDIRECT(#REF!),MATCH([2]Development_Schedule_EK!N$6,INDIRECT(#REF!),0)-1,MATCH([2]Development_Schedule_EK!$B132,INDIRECT(#REF!),0),1,1)*$D135,0)</f>
        <v>0</v>
      </c>
      <c r="L135" s="265">
        <f ca="1">IFERROR(OFFSET(INDIRECT(#REF!),MATCH([2]Development_Schedule_EK!O$6,INDIRECT(#REF!),0)-1,MATCH([2]Development_Schedule_EK!$B132,INDIRECT(#REF!),0),1,1)*$D135,0)</f>
        <v>0</v>
      </c>
      <c r="M135" s="260">
        <f ca="1">IFERROR(OFFSET(INDIRECT(#REF!),MATCH([2]Development_Schedule_EK!P$6,INDIRECT(#REF!),0)-1,MATCH([2]Development_Schedule_EK!$B132,INDIRECT(#REF!),0),1,1)*$D135,0)</f>
        <v>0</v>
      </c>
      <c r="N135" s="260">
        <f ca="1">IFERROR(OFFSET(INDIRECT(#REF!),MATCH([2]Development_Schedule_EK!Q$6,INDIRECT(#REF!),0)-1,MATCH([2]Development_Schedule_EK!$B132,INDIRECT(#REF!),0),1,1)*$D135,0)</f>
        <v>0</v>
      </c>
      <c r="O135" s="265">
        <f ca="1">IFERROR(OFFSET(INDIRECT(#REF!),MATCH([2]Development_Schedule_EK!R$6,INDIRECT(#REF!),0)-1,MATCH([2]Development_Schedule_EK!$B132,INDIRECT(#REF!),0),1,1)*$D135,0)</f>
        <v>0</v>
      </c>
      <c r="P135" s="183"/>
      <c r="Q135" s="184"/>
      <c r="R135" s="183"/>
    </row>
    <row r="136" spans="1:18" x14ac:dyDescent="0.25">
      <c r="A136" s="284">
        <v>1</v>
      </c>
      <c r="B136" s="774" t="s">
        <v>356</v>
      </c>
      <c r="C136" s="262"/>
      <c r="D136" s="270">
        <f ca="1">IFERROR(OFFSET(INDIRECT(#REF!),MATCH([2]Development_Schedule_EK!$E133,INDIRECT(#REF!),0)-1,MATCH([2]Development_Schedule_EK!$B133,INDIRECT(#REF!),0),1,1),0)</f>
        <v>0</v>
      </c>
      <c r="E136" s="266"/>
      <c r="F136" s="260">
        <f ca="1">IFERROR(OFFSET(INDIRECT(#REF!),MATCH([2]Development_Schedule_EK!I$6,INDIRECT(#REF!),0)-1,MATCH([2]Development_Schedule_EK!$B133,INDIRECT(#REF!),0),1,1)*$D136,0)</f>
        <v>0</v>
      </c>
      <c r="G136" s="260">
        <f ca="1">IFERROR(OFFSET(INDIRECT(#REF!),MATCH([2]Development_Schedule_EK!J$6,INDIRECT(#REF!),0)-1,MATCH([2]Development_Schedule_EK!$B133,INDIRECT(#REF!),0),1,1)*$D136,0)</f>
        <v>0</v>
      </c>
      <c r="H136" s="265">
        <f ca="1">IFERROR(OFFSET(INDIRECT(#REF!),MATCH([2]Development_Schedule_EK!K$6,INDIRECT(#REF!),0)-1,MATCH([2]Development_Schedule_EK!$B133,INDIRECT(#REF!),0),1,1)*$D136,0)</f>
        <v>0</v>
      </c>
      <c r="I136" s="260">
        <f ca="1">IFERROR(OFFSET(INDIRECT(#REF!),MATCH([2]Development_Schedule_EK!L$6,INDIRECT(#REF!),0)-1,MATCH([2]Development_Schedule_EK!$B133,INDIRECT(#REF!),0),1,1)*$D136,0)</f>
        <v>0</v>
      </c>
      <c r="J136" s="260">
        <f ca="1">IFERROR(OFFSET(INDIRECT(#REF!),MATCH([2]Development_Schedule_EK!M$6,INDIRECT(#REF!),0)-1,MATCH([2]Development_Schedule_EK!$B133,INDIRECT(#REF!),0),1,1)*$D136,0)</f>
        <v>0</v>
      </c>
      <c r="K136" s="260">
        <f ca="1">IFERROR(OFFSET(INDIRECT(#REF!),MATCH([2]Development_Schedule_EK!N$6,INDIRECT(#REF!),0)-1,MATCH([2]Development_Schedule_EK!$B133,INDIRECT(#REF!),0),1,1)*$D136,0)</f>
        <v>0</v>
      </c>
      <c r="L136" s="265">
        <f ca="1">IFERROR(OFFSET(INDIRECT(#REF!),MATCH([2]Development_Schedule_EK!O$6,INDIRECT(#REF!),0)-1,MATCH([2]Development_Schedule_EK!$B133,INDIRECT(#REF!),0),1,1)*$D136,0)</f>
        <v>0</v>
      </c>
      <c r="M136" s="260">
        <f ca="1">IFERROR(OFFSET(INDIRECT(#REF!),MATCH([2]Development_Schedule_EK!P$6,INDIRECT(#REF!),0)-1,MATCH([2]Development_Schedule_EK!$B133,INDIRECT(#REF!),0),1,1)*$D136,0)</f>
        <v>0</v>
      </c>
      <c r="N136" s="260">
        <f ca="1">IFERROR(OFFSET(INDIRECT(#REF!),MATCH([2]Development_Schedule_EK!Q$6,INDIRECT(#REF!),0)-1,MATCH([2]Development_Schedule_EK!$B133,INDIRECT(#REF!),0),1,1)*$D136,0)</f>
        <v>0</v>
      </c>
      <c r="O136" s="265">
        <f ca="1">IFERROR(OFFSET(INDIRECT(#REF!),MATCH([2]Development_Schedule_EK!R$6,INDIRECT(#REF!),0)-1,MATCH([2]Development_Schedule_EK!$B133,INDIRECT(#REF!),0),1,1)*$D136,0)</f>
        <v>0</v>
      </c>
      <c r="P136" s="183"/>
      <c r="Q136" s="184"/>
      <c r="R136" s="183"/>
    </row>
    <row r="137" spans="1:18" x14ac:dyDescent="0.25">
      <c r="A137" s="284">
        <v>1</v>
      </c>
      <c r="B137" s="774" t="s">
        <v>357</v>
      </c>
      <c r="C137" s="262"/>
      <c r="D137" s="270">
        <f ca="1">IFERROR(OFFSET(INDIRECT(#REF!),MATCH([2]Development_Schedule_EK!$E134,INDIRECT(#REF!),0)-1,MATCH([2]Development_Schedule_EK!$B134,INDIRECT(#REF!),0),1,1),0)</f>
        <v>0</v>
      </c>
      <c r="E137" s="266"/>
      <c r="F137" s="260">
        <f ca="1">IFERROR(OFFSET(INDIRECT(#REF!),MATCH([2]Development_Schedule_EK!I$6,INDIRECT(#REF!),0)-1,MATCH([2]Development_Schedule_EK!$B134,INDIRECT(#REF!),0),1,1)*$D137,0)</f>
        <v>0</v>
      </c>
      <c r="G137" s="260">
        <f ca="1">IFERROR(OFFSET(INDIRECT(#REF!),MATCH([2]Development_Schedule_EK!J$6,INDIRECT(#REF!),0)-1,MATCH([2]Development_Schedule_EK!$B134,INDIRECT(#REF!),0),1,1)*$D137,0)</f>
        <v>0</v>
      </c>
      <c r="H137" s="265">
        <f ca="1">IFERROR(OFFSET(INDIRECT(#REF!),MATCH([2]Development_Schedule_EK!K$6,INDIRECT(#REF!),0)-1,MATCH([2]Development_Schedule_EK!$B134,INDIRECT(#REF!),0),1,1)*$D137,0)</f>
        <v>0</v>
      </c>
      <c r="I137" s="260">
        <f ca="1">IFERROR(OFFSET(INDIRECT(#REF!),MATCH([2]Development_Schedule_EK!L$6,INDIRECT(#REF!),0)-1,MATCH([2]Development_Schedule_EK!$B134,INDIRECT(#REF!),0),1,1)*$D137,0)</f>
        <v>0</v>
      </c>
      <c r="J137" s="260">
        <f ca="1">IFERROR(OFFSET(INDIRECT(#REF!),MATCH([2]Development_Schedule_EK!M$6,INDIRECT(#REF!),0)-1,MATCH([2]Development_Schedule_EK!$B134,INDIRECT(#REF!),0),1,1)*$D137,0)</f>
        <v>0</v>
      </c>
      <c r="K137" s="260">
        <f ca="1">IFERROR(OFFSET(INDIRECT(#REF!),MATCH([2]Development_Schedule_EK!N$6,INDIRECT(#REF!),0)-1,MATCH([2]Development_Schedule_EK!$B134,INDIRECT(#REF!),0),1,1)*$D137,0)</f>
        <v>0</v>
      </c>
      <c r="L137" s="265">
        <f ca="1">IFERROR(OFFSET(INDIRECT(#REF!),MATCH([2]Development_Schedule_EK!O$6,INDIRECT(#REF!),0)-1,MATCH([2]Development_Schedule_EK!$B134,INDIRECT(#REF!),0),1,1)*$D137,0)</f>
        <v>0</v>
      </c>
      <c r="M137" s="260">
        <f ca="1">IFERROR(OFFSET(INDIRECT(#REF!),MATCH([2]Development_Schedule_EK!P$6,INDIRECT(#REF!),0)-1,MATCH([2]Development_Schedule_EK!$B134,INDIRECT(#REF!),0),1,1)*$D137,0)</f>
        <v>0</v>
      </c>
      <c r="N137" s="260">
        <f ca="1">IFERROR(OFFSET(INDIRECT(#REF!),MATCH([2]Development_Schedule_EK!Q$6,INDIRECT(#REF!),0)-1,MATCH([2]Development_Schedule_EK!$B134,INDIRECT(#REF!),0),1,1)*$D137,0)</f>
        <v>0</v>
      </c>
      <c r="O137" s="265">
        <f ca="1">IFERROR(OFFSET(INDIRECT(#REF!),MATCH([2]Development_Schedule_EK!R$6,INDIRECT(#REF!),0)-1,MATCH([2]Development_Schedule_EK!$B134,INDIRECT(#REF!),0),1,1)*$D137,0)</f>
        <v>0</v>
      </c>
      <c r="P137" s="183"/>
      <c r="Q137" s="184"/>
      <c r="R137" s="183"/>
    </row>
    <row r="138" spans="1:18" x14ac:dyDescent="0.25">
      <c r="A138" s="284">
        <v>1</v>
      </c>
      <c r="B138" s="774" t="s">
        <v>358</v>
      </c>
      <c r="C138" s="262"/>
      <c r="D138" s="270">
        <f ca="1">IFERROR(OFFSET(INDIRECT(#REF!),MATCH([2]Development_Schedule_EK!$E135,INDIRECT(#REF!),0)-1,MATCH([2]Development_Schedule_EK!$B135,INDIRECT(#REF!),0),1,1),0)</f>
        <v>0</v>
      </c>
      <c r="E138" s="266"/>
      <c r="F138" s="260">
        <f ca="1">IFERROR(OFFSET(INDIRECT(#REF!),MATCH([2]Development_Schedule_EK!I$6,INDIRECT(#REF!),0)-1,MATCH([2]Development_Schedule_EK!$B135,INDIRECT(#REF!),0),1,1)*$D138,0)</f>
        <v>0</v>
      </c>
      <c r="G138" s="260">
        <f ca="1">IFERROR(OFFSET(INDIRECT(#REF!),MATCH([2]Development_Schedule_EK!J$6,INDIRECT(#REF!),0)-1,MATCH([2]Development_Schedule_EK!$B135,INDIRECT(#REF!),0),1,1)*$D138,0)</f>
        <v>0</v>
      </c>
      <c r="H138" s="265">
        <f ca="1">IFERROR(OFFSET(INDIRECT(#REF!),MATCH([2]Development_Schedule_EK!K$6,INDIRECT(#REF!),0)-1,MATCH([2]Development_Schedule_EK!$B135,INDIRECT(#REF!),0),1,1)*$D138,0)</f>
        <v>0</v>
      </c>
      <c r="I138" s="260">
        <f ca="1">IFERROR(OFFSET(INDIRECT(#REF!),MATCH([2]Development_Schedule_EK!L$6,INDIRECT(#REF!),0)-1,MATCH([2]Development_Schedule_EK!$B135,INDIRECT(#REF!),0),1,1)*$D138,0)</f>
        <v>0</v>
      </c>
      <c r="J138" s="260">
        <f ca="1">IFERROR(OFFSET(INDIRECT(#REF!),MATCH([2]Development_Schedule_EK!M$6,INDIRECT(#REF!),0)-1,MATCH([2]Development_Schedule_EK!$B135,INDIRECT(#REF!),0),1,1)*$D138,0)</f>
        <v>0</v>
      </c>
      <c r="K138" s="260">
        <f ca="1">IFERROR(OFFSET(INDIRECT(#REF!),MATCH([2]Development_Schedule_EK!N$6,INDIRECT(#REF!),0)-1,MATCH([2]Development_Schedule_EK!$B135,INDIRECT(#REF!),0),1,1)*$D138,0)</f>
        <v>0</v>
      </c>
      <c r="L138" s="265">
        <f ca="1">IFERROR(OFFSET(INDIRECT(#REF!),MATCH([2]Development_Schedule_EK!O$6,INDIRECT(#REF!),0)-1,MATCH([2]Development_Schedule_EK!$B135,INDIRECT(#REF!),0),1,1)*$D138,0)</f>
        <v>0</v>
      </c>
      <c r="M138" s="260">
        <f ca="1">IFERROR(OFFSET(INDIRECT(#REF!),MATCH([2]Development_Schedule_EK!P$6,INDIRECT(#REF!),0)-1,MATCH([2]Development_Schedule_EK!$B135,INDIRECT(#REF!),0),1,1)*$D138,0)</f>
        <v>0</v>
      </c>
      <c r="N138" s="260">
        <f ca="1">IFERROR(OFFSET(INDIRECT(#REF!),MATCH([2]Development_Schedule_EK!Q$6,INDIRECT(#REF!),0)-1,MATCH([2]Development_Schedule_EK!$B135,INDIRECT(#REF!),0),1,1)*$D138,0)</f>
        <v>0</v>
      </c>
      <c r="O138" s="265">
        <f ca="1">IFERROR(OFFSET(INDIRECT(#REF!),MATCH([2]Development_Schedule_EK!R$6,INDIRECT(#REF!),0)-1,MATCH([2]Development_Schedule_EK!$B135,INDIRECT(#REF!),0),1,1)*$D138,0)</f>
        <v>0</v>
      </c>
      <c r="P138" s="183"/>
      <c r="Q138" s="184"/>
      <c r="R138" s="183"/>
    </row>
    <row r="139" spans="1:18" x14ac:dyDescent="0.25">
      <c r="A139" s="284">
        <v>1</v>
      </c>
      <c r="B139" s="774" t="s">
        <v>359</v>
      </c>
      <c r="C139" s="262"/>
      <c r="D139" s="270">
        <f ca="1">IFERROR(OFFSET(INDIRECT(#REF!),MATCH([2]Development_Schedule_EK!$E136,INDIRECT(#REF!),0)-1,MATCH([2]Development_Schedule_EK!$B136,INDIRECT(#REF!),0),1,1),0)</f>
        <v>0</v>
      </c>
      <c r="E139" s="266"/>
      <c r="F139" s="260">
        <f ca="1">IFERROR(OFFSET(INDIRECT(#REF!),MATCH([2]Development_Schedule_EK!I$6,INDIRECT(#REF!),0)-1,MATCH([2]Development_Schedule_EK!$B136,INDIRECT(#REF!),0),1,1)*$D139,0)</f>
        <v>0</v>
      </c>
      <c r="G139" s="260">
        <f ca="1">IFERROR(OFFSET(INDIRECT(#REF!),MATCH([2]Development_Schedule_EK!J$6,INDIRECT(#REF!),0)-1,MATCH([2]Development_Schedule_EK!$B136,INDIRECT(#REF!),0),1,1)*$D139,0)</f>
        <v>0</v>
      </c>
      <c r="H139" s="265">
        <f ca="1">IFERROR(OFFSET(INDIRECT(#REF!),MATCH([2]Development_Schedule_EK!K$6,INDIRECT(#REF!),0)-1,MATCH([2]Development_Schedule_EK!$B136,INDIRECT(#REF!),0),1,1)*$D139,0)</f>
        <v>0</v>
      </c>
      <c r="I139" s="260">
        <f ca="1">IFERROR(OFFSET(INDIRECT(#REF!),MATCH([2]Development_Schedule_EK!L$6,INDIRECT(#REF!),0)-1,MATCH([2]Development_Schedule_EK!$B136,INDIRECT(#REF!),0),1,1)*$D139,0)</f>
        <v>0</v>
      </c>
      <c r="J139" s="260">
        <f ca="1">IFERROR(OFFSET(INDIRECT(#REF!),MATCH([2]Development_Schedule_EK!M$6,INDIRECT(#REF!),0)-1,MATCH([2]Development_Schedule_EK!$B136,INDIRECT(#REF!),0),1,1)*$D139,0)</f>
        <v>0</v>
      </c>
      <c r="K139" s="260">
        <f ca="1">IFERROR(OFFSET(INDIRECT(#REF!),MATCH([2]Development_Schedule_EK!N$6,INDIRECT(#REF!),0)-1,MATCH([2]Development_Schedule_EK!$B136,INDIRECT(#REF!),0),1,1)*$D139,0)</f>
        <v>0</v>
      </c>
      <c r="L139" s="265">
        <f ca="1">IFERROR(OFFSET(INDIRECT(#REF!),MATCH([2]Development_Schedule_EK!O$6,INDIRECT(#REF!),0)-1,MATCH([2]Development_Schedule_EK!$B136,INDIRECT(#REF!),0),1,1)*$D139,0)</f>
        <v>0</v>
      </c>
      <c r="M139" s="260">
        <f ca="1">IFERROR(OFFSET(INDIRECT(#REF!),MATCH([2]Development_Schedule_EK!P$6,INDIRECT(#REF!),0)-1,MATCH([2]Development_Schedule_EK!$B136,INDIRECT(#REF!),0),1,1)*$D139,0)</f>
        <v>0</v>
      </c>
      <c r="N139" s="260">
        <f ca="1">IFERROR(OFFSET(INDIRECT(#REF!),MATCH([2]Development_Schedule_EK!Q$6,INDIRECT(#REF!),0)-1,MATCH([2]Development_Schedule_EK!$B136,INDIRECT(#REF!),0),1,1)*$D139,0)</f>
        <v>0</v>
      </c>
      <c r="O139" s="265">
        <f ca="1">IFERROR(OFFSET(INDIRECT(#REF!),MATCH([2]Development_Schedule_EK!R$6,INDIRECT(#REF!),0)-1,MATCH([2]Development_Schedule_EK!$B136,INDIRECT(#REF!),0),1,1)*$D139,0)</f>
        <v>0</v>
      </c>
      <c r="P139" s="183"/>
      <c r="Q139" s="184"/>
      <c r="R139" s="183"/>
    </row>
    <row r="140" spans="1:18" x14ac:dyDescent="0.25">
      <c r="A140" s="284">
        <v>1</v>
      </c>
      <c r="B140" s="774" t="s">
        <v>33</v>
      </c>
      <c r="C140" s="262"/>
      <c r="D140" s="270">
        <f ca="1">IFERROR(OFFSET(INDIRECT(#REF!),MATCH([2]Development_Schedule_EK!$E137,INDIRECT(#REF!),0)-1,MATCH([2]Development_Schedule_EK!$B137,INDIRECT(#REF!),0),1,1),0)</f>
        <v>0</v>
      </c>
      <c r="E140" s="266"/>
      <c r="F140" s="260">
        <f ca="1">IFERROR(OFFSET(INDIRECT(#REF!),MATCH([2]Development_Schedule_EK!I$6,INDIRECT(#REF!),0)-1,MATCH([2]Development_Schedule_EK!$B137,INDIRECT(#REF!),0),1,1)*$D140,0)</f>
        <v>0</v>
      </c>
      <c r="G140" s="260">
        <f ca="1">IFERROR(OFFSET(INDIRECT(#REF!),MATCH([2]Development_Schedule_EK!J$6,INDIRECT(#REF!),0)-1,MATCH([2]Development_Schedule_EK!$B137,INDIRECT(#REF!),0),1,1)*$D140,0)</f>
        <v>0</v>
      </c>
      <c r="H140" s="265">
        <f ca="1">IFERROR(OFFSET(INDIRECT(#REF!),MATCH([2]Development_Schedule_EK!K$6,INDIRECT(#REF!),0)-1,MATCH([2]Development_Schedule_EK!$B137,INDIRECT(#REF!),0),1,1)*$D140,0)</f>
        <v>0</v>
      </c>
      <c r="I140" s="260">
        <f ca="1">IFERROR(OFFSET(INDIRECT(#REF!),MATCH([2]Development_Schedule_EK!L$6,INDIRECT(#REF!),0)-1,MATCH([2]Development_Schedule_EK!$B137,INDIRECT(#REF!),0),1,1)*$D140,0)</f>
        <v>0</v>
      </c>
      <c r="J140" s="260">
        <f ca="1">IFERROR(OFFSET(INDIRECT(#REF!),MATCH([2]Development_Schedule_EK!M$6,INDIRECT(#REF!),0)-1,MATCH([2]Development_Schedule_EK!$B137,INDIRECT(#REF!),0),1,1)*$D140,0)</f>
        <v>0</v>
      </c>
      <c r="K140" s="260">
        <f ca="1">IFERROR(OFFSET(INDIRECT(#REF!),MATCH([2]Development_Schedule_EK!N$6,INDIRECT(#REF!),0)-1,MATCH([2]Development_Schedule_EK!$B137,INDIRECT(#REF!),0),1,1)*$D140,0)</f>
        <v>0</v>
      </c>
      <c r="L140" s="265">
        <f ca="1">IFERROR(OFFSET(INDIRECT(#REF!),MATCH([2]Development_Schedule_EK!O$6,INDIRECT(#REF!),0)-1,MATCH([2]Development_Schedule_EK!$B137,INDIRECT(#REF!),0),1,1)*$D140,0)</f>
        <v>0</v>
      </c>
      <c r="M140" s="260">
        <f ca="1">IFERROR(OFFSET(INDIRECT(#REF!),MATCH([2]Development_Schedule_EK!P$6,INDIRECT(#REF!),0)-1,MATCH([2]Development_Schedule_EK!$B137,INDIRECT(#REF!),0),1,1)*$D140,0)</f>
        <v>0</v>
      </c>
      <c r="N140" s="260">
        <f ca="1">IFERROR(OFFSET(INDIRECT(#REF!),MATCH([2]Development_Schedule_EK!Q$6,INDIRECT(#REF!),0)-1,MATCH([2]Development_Schedule_EK!$B137,INDIRECT(#REF!),0),1,1)*$D140,0)</f>
        <v>0</v>
      </c>
      <c r="O140" s="265">
        <f ca="1">IFERROR(OFFSET(INDIRECT(#REF!),MATCH([2]Development_Schedule_EK!R$6,INDIRECT(#REF!),0)-1,MATCH([2]Development_Schedule_EK!$B137,INDIRECT(#REF!),0),1,1)*$D140,0)</f>
        <v>0</v>
      </c>
      <c r="P140" s="183"/>
      <c r="Q140" s="184"/>
      <c r="R140" s="183"/>
    </row>
    <row r="141" spans="1:18" x14ac:dyDescent="0.25">
      <c r="A141" s="284">
        <v>1</v>
      </c>
      <c r="B141" s="774" t="s">
        <v>42</v>
      </c>
      <c r="C141" s="262"/>
      <c r="D141" s="270">
        <f ca="1">IFERROR(OFFSET(INDIRECT(#REF!),MATCH([2]Development_Schedule_EK!$E138,INDIRECT(#REF!),0)-1,MATCH([2]Development_Schedule_EK!$B138,INDIRECT(#REF!),0),1,1),0)</f>
        <v>0</v>
      </c>
      <c r="E141" s="266"/>
      <c r="F141" s="260">
        <f ca="1">IFERROR(OFFSET(INDIRECT(#REF!),MATCH([2]Development_Schedule_EK!I$6,INDIRECT(#REF!),0)-1,MATCH([2]Development_Schedule_EK!$B138,INDIRECT(#REF!),0),1,1)*$D141,0)</f>
        <v>0</v>
      </c>
      <c r="G141" s="260">
        <f ca="1">IFERROR(OFFSET(INDIRECT(#REF!),MATCH([2]Development_Schedule_EK!J$6,INDIRECT(#REF!),0)-1,MATCH([2]Development_Schedule_EK!$B138,INDIRECT(#REF!),0),1,1)*$D141,0)</f>
        <v>0</v>
      </c>
      <c r="H141" s="265">
        <f ca="1">IFERROR(OFFSET(INDIRECT(#REF!),MATCH([2]Development_Schedule_EK!K$6,INDIRECT(#REF!),0)-1,MATCH([2]Development_Schedule_EK!$B138,INDIRECT(#REF!),0),1,1)*$D141,0)</f>
        <v>0</v>
      </c>
      <c r="I141" s="260">
        <f ca="1">IFERROR(OFFSET(INDIRECT(#REF!),MATCH([2]Development_Schedule_EK!L$6,INDIRECT(#REF!),0)-1,MATCH([2]Development_Schedule_EK!$B138,INDIRECT(#REF!),0),1,1)*$D141,0)</f>
        <v>0</v>
      </c>
      <c r="J141" s="260">
        <f ca="1">IFERROR(OFFSET(INDIRECT(#REF!),MATCH([2]Development_Schedule_EK!M$6,INDIRECT(#REF!),0)-1,MATCH([2]Development_Schedule_EK!$B138,INDIRECT(#REF!),0),1,1)*$D141,0)</f>
        <v>0</v>
      </c>
      <c r="K141" s="260">
        <f ca="1">IFERROR(OFFSET(INDIRECT(#REF!),MATCH([2]Development_Schedule_EK!N$6,INDIRECT(#REF!),0)-1,MATCH([2]Development_Schedule_EK!$B138,INDIRECT(#REF!),0),1,1)*$D141,0)</f>
        <v>0</v>
      </c>
      <c r="L141" s="265">
        <f ca="1">IFERROR(OFFSET(INDIRECT(#REF!),MATCH([2]Development_Schedule_EK!O$6,INDIRECT(#REF!),0)-1,MATCH([2]Development_Schedule_EK!$B138,INDIRECT(#REF!),0),1,1)*$D141,0)</f>
        <v>0</v>
      </c>
      <c r="M141" s="260">
        <f ca="1">IFERROR(OFFSET(INDIRECT(#REF!),MATCH([2]Development_Schedule_EK!P$6,INDIRECT(#REF!),0)-1,MATCH([2]Development_Schedule_EK!$B138,INDIRECT(#REF!),0),1,1)*$D141,0)</f>
        <v>0</v>
      </c>
      <c r="N141" s="260">
        <f ca="1">IFERROR(OFFSET(INDIRECT(#REF!),MATCH([2]Development_Schedule_EK!Q$6,INDIRECT(#REF!),0)-1,MATCH([2]Development_Schedule_EK!$B138,INDIRECT(#REF!),0),1,1)*$D141,0)</f>
        <v>0</v>
      </c>
      <c r="O141" s="265">
        <f ca="1">IFERROR(OFFSET(INDIRECT(#REF!),MATCH([2]Development_Schedule_EK!R$6,INDIRECT(#REF!),0)-1,MATCH([2]Development_Schedule_EK!$B138,INDIRECT(#REF!),0),1,1)*$D141,0)</f>
        <v>0</v>
      </c>
      <c r="P141" s="183"/>
      <c r="Q141" s="184"/>
      <c r="R141" s="183"/>
    </row>
    <row r="142" spans="1:18" x14ac:dyDescent="0.25">
      <c r="B142" s="774"/>
      <c r="C142" s="262"/>
      <c r="D142" s="270"/>
      <c r="E142" s="266"/>
      <c r="F142" s="256"/>
      <c r="G142" s="256"/>
      <c r="H142" s="263"/>
      <c r="I142" s="256"/>
      <c r="J142" s="256"/>
      <c r="K142" s="256"/>
      <c r="L142" s="263"/>
      <c r="M142" s="256"/>
      <c r="N142" s="256"/>
      <c r="O142" s="263"/>
      <c r="P142" s="183"/>
      <c r="Q142" s="184"/>
      <c r="R142" s="183"/>
    </row>
    <row r="143" spans="1:18" x14ac:dyDescent="0.25">
      <c r="B143" s="769"/>
      <c r="C143" s="262"/>
      <c r="D143" s="270"/>
      <c r="E143" s="266"/>
      <c r="F143" s="256"/>
      <c r="G143" s="256"/>
      <c r="H143" s="263"/>
      <c r="I143" s="256"/>
      <c r="J143" s="256"/>
      <c r="K143" s="256"/>
      <c r="L143" s="263"/>
      <c r="M143" s="256"/>
      <c r="N143" s="256"/>
      <c r="O143" s="263"/>
      <c r="P143" s="183"/>
      <c r="Q143" s="184"/>
      <c r="R143" s="183"/>
    </row>
    <row r="144" spans="1:18" x14ac:dyDescent="0.25">
      <c r="B144" s="773" t="s">
        <v>368</v>
      </c>
      <c r="C144" s="262"/>
      <c r="D144" s="270"/>
      <c r="E144" s="266"/>
      <c r="F144" s="256"/>
      <c r="G144" s="256"/>
      <c r="H144" s="263"/>
      <c r="I144" s="256"/>
      <c r="J144" s="256"/>
      <c r="K144" s="256"/>
      <c r="L144" s="263"/>
      <c r="M144" s="256"/>
      <c r="N144" s="256"/>
      <c r="O144" s="263"/>
      <c r="P144" s="183"/>
      <c r="Q144" s="184"/>
      <c r="R144" s="183"/>
    </row>
    <row r="145" spans="1:18" x14ac:dyDescent="0.25">
      <c r="A145" s="284">
        <v>1</v>
      </c>
      <c r="B145" s="774" t="s">
        <v>381</v>
      </c>
      <c r="C145" s="262"/>
      <c r="D145" s="270">
        <f>(115214-D149)*0.8</f>
        <v>78115.199999999997</v>
      </c>
      <c r="E145" s="266"/>
      <c r="F145" s="260">
        <f ca="1">IFERROR(OFFSET(INDIRECT(#REF!),MATCH([2]Development_Schedule_EK!I$6,INDIRECT(#REF!),0)-1,MATCH([2]Development_Schedule_EK!$B142,INDIRECT(#REF!),0),1,1)*$D145,0)</f>
        <v>0</v>
      </c>
      <c r="G145" s="260">
        <f>D145/2</f>
        <v>39057.599999999999</v>
      </c>
      <c r="H145" s="265">
        <f>G145</f>
        <v>39057.599999999999</v>
      </c>
      <c r="I145" s="260">
        <f ca="1">IFERROR(OFFSET(INDIRECT(#REF!),MATCH([2]Development_Schedule_EK!L$6,INDIRECT(#REF!),0)-1,MATCH([2]Development_Schedule_EK!$B142,INDIRECT(#REF!),0),1,1)*$D145,0)</f>
        <v>0</v>
      </c>
      <c r="J145" s="260">
        <f ca="1">IFERROR(OFFSET(INDIRECT(#REF!),MATCH([2]Development_Schedule_EK!M$6,INDIRECT(#REF!),0)-1,MATCH([2]Development_Schedule_EK!$B142,INDIRECT(#REF!),0),1,1)*$D145,0)</f>
        <v>0</v>
      </c>
      <c r="K145" s="260">
        <f ca="1">IFERROR(OFFSET(INDIRECT(#REF!),MATCH([2]Development_Schedule_EK!N$6,INDIRECT(#REF!),0)-1,MATCH([2]Development_Schedule_EK!$B142,INDIRECT(#REF!),0),1,1)*$D145,0)</f>
        <v>0</v>
      </c>
      <c r="L145" s="265">
        <f ca="1">IFERROR(OFFSET(INDIRECT(#REF!),MATCH([2]Development_Schedule_EK!O$6,INDIRECT(#REF!),0)-1,MATCH([2]Development_Schedule_EK!$B142,INDIRECT(#REF!),0),1,1)*$D145,0)</f>
        <v>0</v>
      </c>
      <c r="M145" s="260">
        <f ca="1">IFERROR(OFFSET(INDIRECT(#REF!),MATCH([2]Development_Schedule_EK!P$6,INDIRECT(#REF!),0)-1,MATCH([2]Development_Schedule_EK!$B142,INDIRECT(#REF!),0),1,1)*$D145,0)</f>
        <v>0</v>
      </c>
      <c r="N145" s="260">
        <f ca="1">IFERROR(OFFSET(INDIRECT(#REF!),MATCH([2]Development_Schedule_EK!Q$6,INDIRECT(#REF!),0)-1,MATCH([2]Development_Schedule_EK!$B142,INDIRECT(#REF!),0),1,1)*$D145,0)</f>
        <v>0</v>
      </c>
      <c r="O145" s="265">
        <f ca="1">IFERROR(OFFSET(INDIRECT(#REF!),MATCH([2]Development_Schedule_EK!R$6,INDIRECT(#REF!),0)-1,MATCH([2]Development_Schedule_EK!$B142,INDIRECT(#REF!),0),1,1)*$D145,0)</f>
        <v>0</v>
      </c>
      <c r="P145" s="183"/>
      <c r="Q145" s="184"/>
      <c r="R145" s="183"/>
    </row>
    <row r="146" spans="1:18" x14ac:dyDescent="0.25">
      <c r="A146" s="284">
        <v>1</v>
      </c>
      <c r="B146" s="774" t="s">
        <v>382</v>
      </c>
      <c r="C146" s="262"/>
      <c r="D146" s="270">
        <f ca="1">IFERROR(OFFSET(INDIRECT(#REF!),MATCH([2]Development_Schedule_EK!$E143,INDIRECT(#REF!),0)-1,MATCH([2]Development_Schedule_EK!$B143,INDIRECT(#REF!),0),1,1),0)</f>
        <v>0</v>
      </c>
      <c r="E146" s="266"/>
      <c r="F146" s="260">
        <f ca="1">IFERROR(OFFSET(INDIRECT(#REF!),MATCH([2]Development_Schedule_EK!I$6,INDIRECT(#REF!),0)-1,MATCH([2]Development_Schedule_EK!$B143,INDIRECT(#REF!),0),1,1)*$D146,0)</f>
        <v>0</v>
      </c>
      <c r="G146" s="260">
        <f ca="1">IFERROR(OFFSET(INDIRECT(#REF!),MATCH([2]Development_Schedule_EK!J$6,INDIRECT(#REF!),0)-1,MATCH([2]Development_Schedule_EK!$B143,INDIRECT(#REF!),0),1,1)*$D146,0)</f>
        <v>0</v>
      </c>
      <c r="H146" s="265">
        <f ca="1">IFERROR(OFFSET(INDIRECT(#REF!),MATCH([2]Development_Schedule_EK!K$6,INDIRECT(#REF!),0)-1,MATCH([2]Development_Schedule_EK!$B143,INDIRECT(#REF!),0),1,1)*$D146,0)</f>
        <v>0</v>
      </c>
      <c r="I146" s="260">
        <f ca="1">IFERROR(OFFSET(INDIRECT(#REF!),MATCH([2]Development_Schedule_EK!L$6,INDIRECT(#REF!),0)-1,MATCH([2]Development_Schedule_EK!$B143,INDIRECT(#REF!),0),1,1)*$D146,0)</f>
        <v>0</v>
      </c>
      <c r="J146" s="260">
        <f ca="1">IFERROR(OFFSET(INDIRECT(#REF!),MATCH([2]Development_Schedule_EK!M$6,INDIRECT(#REF!),0)-1,MATCH([2]Development_Schedule_EK!$B143,INDIRECT(#REF!),0),1,1)*$D146,0)</f>
        <v>0</v>
      </c>
      <c r="K146" s="260">
        <f ca="1">IFERROR(OFFSET(INDIRECT(#REF!),MATCH([2]Development_Schedule_EK!N$6,INDIRECT(#REF!),0)-1,MATCH([2]Development_Schedule_EK!$B143,INDIRECT(#REF!),0),1,1)*$D146,0)</f>
        <v>0</v>
      </c>
      <c r="L146" s="265">
        <f ca="1">IFERROR(OFFSET(INDIRECT(#REF!),MATCH([2]Development_Schedule_EK!O$6,INDIRECT(#REF!),0)-1,MATCH([2]Development_Schedule_EK!$B143,INDIRECT(#REF!),0),1,1)*$D146,0)</f>
        <v>0</v>
      </c>
      <c r="M146" s="260">
        <f ca="1">IFERROR(OFFSET(INDIRECT(#REF!),MATCH([2]Development_Schedule_EK!P$6,INDIRECT(#REF!),0)-1,MATCH([2]Development_Schedule_EK!$B143,INDIRECT(#REF!),0),1,1)*$D146,0)</f>
        <v>0</v>
      </c>
      <c r="N146" s="260">
        <f ca="1">IFERROR(OFFSET(INDIRECT(#REF!),MATCH([2]Development_Schedule_EK!Q$6,INDIRECT(#REF!),0)-1,MATCH([2]Development_Schedule_EK!$B143,INDIRECT(#REF!),0),1,1)*$D146,0)</f>
        <v>0</v>
      </c>
      <c r="O146" s="265">
        <f ca="1">IFERROR(OFFSET(INDIRECT(#REF!),MATCH([2]Development_Schedule_EK!R$6,INDIRECT(#REF!),0)-1,MATCH([2]Development_Schedule_EK!$B143,INDIRECT(#REF!),0),1,1)*$D146,0)</f>
        <v>0</v>
      </c>
      <c r="P146" s="183"/>
      <c r="Q146" s="184"/>
      <c r="R146" s="183"/>
    </row>
    <row r="147" spans="1:18" x14ac:dyDescent="0.25">
      <c r="A147" s="284">
        <v>1</v>
      </c>
      <c r="B147" s="774" t="s">
        <v>383</v>
      </c>
      <c r="C147" s="262"/>
      <c r="D147" s="270">
        <f>D145/4</f>
        <v>19528.8</v>
      </c>
      <c r="E147" s="266"/>
      <c r="F147" s="260">
        <f ca="1">F145/4</f>
        <v>0</v>
      </c>
      <c r="G147" s="260">
        <f t="shared" ref="G147:H147" si="11">G145/4</f>
        <v>9764.4</v>
      </c>
      <c r="H147" s="265">
        <f t="shared" si="11"/>
        <v>9764.4</v>
      </c>
      <c r="I147" s="260">
        <f ca="1">IFERROR(OFFSET(INDIRECT(#REF!),MATCH([2]Development_Schedule_EK!L$6,INDIRECT(#REF!),0)-1,MATCH([2]Development_Schedule_EK!$B144,INDIRECT(#REF!),0),1,1)*$D147,0)</f>
        <v>0</v>
      </c>
      <c r="J147" s="260">
        <f ca="1">IFERROR(OFFSET(INDIRECT(#REF!),MATCH([2]Development_Schedule_EK!M$6,INDIRECT(#REF!),0)-1,MATCH([2]Development_Schedule_EK!$B144,INDIRECT(#REF!),0),1,1)*$D147,0)</f>
        <v>0</v>
      </c>
      <c r="K147" s="260">
        <f ca="1">IFERROR(OFFSET(INDIRECT(#REF!),MATCH([2]Development_Schedule_EK!N$6,INDIRECT(#REF!),0)-1,MATCH([2]Development_Schedule_EK!$B144,INDIRECT(#REF!),0),1,1)*$D147,0)</f>
        <v>0</v>
      </c>
      <c r="L147" s="265">
        <f ca="1">IFERROR(OFFSET(INDIRECT(#REF!),MATCH([2]Development_Schedule_EK!O$6,INDIRECT(#REF!),0)-1,MATCH([2]Development_Schedule_EK!$B144,INDIRECT(#REF!),0),1,1)*$D147,0)</f>
        <v>0</v>
      </c>
      <c r="M147" s="260">
        <f ca="1">IFERROR(OFFSET(INDIRECT(#REF!),MATCH([2]Development_Schedule_EK!P$6,INDIRECT(#REF!),0)-1,MATCH([2]Development_Schedule_EK!$B144,INDIRECT(#REF!),0),1,1)*$D147,0)</f>
        <v>0</v>
      </c>
      <c r="N147" s="260">
        <f ca="1">IFERROR(OFFSET(INDIRECT(#REF!),MATCH([2]Development_Schedule_EK!Q$6,INDIRECT(#REF!),0)-1,MATCH([2]Development_Schedule_EK!$B144,INDIRECT(#REF!),0),1,1)*$D147,0)</f>
        <v>0</v>
      </c>
      <c r="O147" s="265">
        <f ca="1">IFERROR(OFFSET(INDIRECT(#REF!),MATCH([2]Development_Schedule_EK!R$6,INDIRECT(#REF!),0)-1,MATCH([2]Development_Schedule_EK!$B144,INDIRECT(#REF!),0),1,1)*$D147,0)</f>
        <v>0</v>
      </c>
      <c r="P147" s="183"/>
      <c r="Q147" s="184"/>
      <c r="R147" s="183"/>
    </row>
    <row r="148" spans="1:18" x14ac:dyDescent="0.25">
      <c r="A148" s="284">
        <v>1</v>
      </c>
      <c r="B148" s="774" t="s">
        <v>384</v>
      </c>
      <c r="C148" s="262"/>
      <c r="D148" s="270">
        <f ca="1">IFERROR(OFFSET(INDIRECT(#REF!),MATCH([2]Development_Schedule_EK!$E145,INDIRECT(#REF!),0)-1,MATCH([2]Development_Schedule_EK!$B145,INDIRECT(#REF!),0),1,1),0)</f>
        <v>0</v>
      </c>
      <c r="E148" s="266"/>
      <c r="F148" s="260">
        <f ca="1">IFERROR(OFFSET(INDIRECT(#REF!),MATCH([2]Development_Schedule_EK!I$6,INDIRECT(#REF!),0)-1,MATCH([2]Development_Schedule_EK!$B145,INDIRECT(#REF!),0),1,1)*$D148,0)</f>
        <v>0</v>
      </c>
      <c r="G148" s="260">
        <f ca="1">IFERROR(OFFSET(INDIRECT(#REF!),MATCH([2]Development_Schedule_EK!J$6,INDIRECT(#REF!),0)-1,MATCH([2]Development_Schedule_EK!$B145,INDIRECT(#REF!),0),1,1)*$D148,0)</f>
        <v>0</v>
      </c>
      <c r="H148" s="265">
        <f ca="1">IFERROR(OFFSET(INDIRECT(#REF!),MATCH([2]Development_Schedule_EK!K$6,INDIRECT(#REF!),0)-1,MATCH([2]Development_Schedule_EK!$B145,INDIRECT(#REF!),0),1,1)*$D148,0)</f>
        <v>0</v>
      </c>
      <c r="I148" s="260">
        <f ca="1">IFERROR(OFFSET(INDIRECT(#REF!),MATCH([2]Development_Schedule_EK!L$6,INDIRECT(#REF!),0)-1,MATCH([2]Development_Schedule_EK!$B145,INDIRECT(#REF!),0),1,1)*$D148,0)</f>
        <v>0</v>
      </c>
      <c r="J148" s="260">
        <f ca="1">IFERROR(OFFSET(INDIRECT(#REF!),MATCH([2]Development_Schedule_EK!M$6,INDIRECT(#REF!),0)-1,MATCH([2]Development_Schedule_EK!$B145,INDIRECT(#REF!),0),1,1)*$D148,0)</f>
        <v>0</v>
      </c>
      <c r="K148" s="260">
        <f ca="1">IFERROR(OFFSET(INDIRECT(#REF!),MATCH([2]Development_Schedule_EK!N$6,INDIRECT(#REF!),0)-1,MATCH([2]Development_Schedule_EK!$B145,INDIRECT(#REF!),0),1,1)*$D148,0)</f>
        <v>0</v>
      </c>
      <c r="L148" s="265">
        <f ca="1">IFERROR(OFFSET(INDIRECT(#REF!),MATCH([2]Development_Schedule_EK!O$6,INDIRECT(#REF!),0)-1,MATCH([2]Development_Schedule_EK!$B145,INDIRECT(#REF!),0),1,1)*$D148,0)</f>
        <v>0</v>
      </c>
      <c r="M148" s="260">
        <f ca="1">IFERROR(OFFSET(INDIRECT(#REF!),MATCH([2]Development_Schedule_EK!P$6,INDIRECT(#REF!),0)-1,MATCH([2]Development_Schedule_EK!$B145,INDIRECT(#REF!),0),1,1)*$D148,0)</f>
        <v>0</v>
      </c>
      <c r="N148" s="260">
        <f ca="1">IFERROR(OFFSET(INDIRECT(#REF!),MATCH([2]Development_Schedule_EK!Q$6,INDIRECT(#REF!),0)-1,MATCH([2]Development_Schedule_EK!$B145,INDIRECT(#REF!),0),1,1)*$D148,0)</f>
        <v>0</v>
      </c>
      <c r="O148" s="265">
        <f ca="1">IFERROR(OFFSET(INDIRECT(#REF!),MATCH([2]Development_Schedule_EK!R$6,INDIRECT(#REF!),0)-1,MATCH([2]Development_Schedule_EK!$B145,INDIRECT(#REF!),0),1,1)*$D148,0)</f>
        <v>0</v>
      </c>
      <c r="P148" s="183"/>
      <c r="Q148" s="184"/>
      <c r="R148" s="183"/>
    </row>
    <row r="149" spans="1:18" x14ac:dyDescent="0.25">
      <c r="A149" s="284">
        <v>1</v>
      </c>
      <c r="B149" s="774" t="s">
        <v>35</v>
      </c>
      <c r="C149" s="262"/>
      <c r="D149" s="270">
        <v>17570</v>
      </c>
      <c r="E149" s="266"/>
      <c r="F149" s="260">
        <f ca="1">IFERROR(OFFSET(INDIRECT(#REF!),MATCH([2]Development_Schedule_EK!I$6,INDIRECT(#REF!),0)-1,MATCH([2]Development_Schedule_EK!$B146,INDIRECT(#REF!),0),1,1)*$D149,0)</f>
        <v>0</v>
      </c>
      <c r="G149" s="260">
        <f>D149</f>
        <v>17570</v>
      </c>
      <c r="H149" s="265">
        <f ca="1">IFERROR(OFFSET(INDIRECT(#REF!),MATCH([2]Development_Schedule_EK!K$6,INDIRECT(#REF!),0)-1,MATCH([2]Development_Schedule_EK!$B146,INDIRECT(#REF!),0),1,1)*$D149,0)</f>
        <v>0</v>
      </c>
      <c r="I149" s="260">
        <f ca="1">IFERROR(OFFSET(INDIRECT(#REF!),MATCH([2]Development_Schedule_EK!L$6,INDIRECT(#REF!),0)-1,MATCH([2]Development_Schedule_EK!$B146,INDIRECT(#REF!),0),1,1)*$D149,0)</f>
        <v>0</v>
      </c>
      <c r="J149" s="260">
        <f ca="1">IFERROR(OFFSET(INDIRECT(#REF!),MATCH([2]Development_Schedule_EK!M$6,INDIRECT(#REF!),0)-1,MATCH([2]Development_Schedule_EK!$B146,INDIRECT(#REF!),0),1,1)*$D149,0)</f>
        <v>0</v>
      </c>
      <c r="K149" s="260">
        <f ca="1">IFERROR(OFFSET(INDIRECT(#REF!),MATCH([2]Development_Schedule_EK!N$6,INDIRECT(#REF!),0)-1,MATCH([2]Development_Schedule_EK!$B146,INDIRECT(#REF!),0),1,1)*$D149,0)</f>
        <v>0</v>
      </c>
      <c r="L149" s="265">
        <f ca="1">IFERROR(OFFSET(INDIRECT(#REF!),MATCH([2]Development_Schedule_EK!O$6,INDIRECT(#REF!),0)-1,MATCH([2]Development_Schedule_EK!$B146,INDIRECT(#REF!),0),1,1)*$D149,0)</f>
        <v>0</v>
      </c>
      <c r="M149" s="260">
        <f ca="1">IFERROR(OFFSET(INDIRECT(#REF!),MATCH([2]Development_Schedule_EK!P$6,INDIRECT(#REF!),0)-1,MATCH([2]Development_Schedule_EK!$B146,INDIRECT(#REF!),0),1,1)*$D149,0)</f>
        <v>0</v>
      </c>
      <c r="N149" s="260">
        <f ca="1">IFERROR(OFFSET(INDIRECT(#REF!),MATCH([2]Development_Schedule_EK!Q$6,INDIRECT(#REF!),0)-1,MATCH([2]Development_Schedule_EK!$B146,INDIRECT(#REF!),0),1,1)*$D149,0)</f>
        <v>0</v>
      </c>
      <c r="O149" s="265">
        <f ca="1">IFERROR(OFFSET(INDIRECT(#REF!),MATCH([2]Development_Schedule_EK!R$6,INDIRECT(#REF!),0)-1,MATCH([2]Development_Schedule_EK!$B146,INDIRECT(#REF!),0),1,1)*$D149,0)</f>
        <v>0</v>
      </c>
      <c r="P149" s="183"/>
      <c r="Q149" s="184"/>
      <c r="R149" s="183"/>
    </row>
    <row r="150" spans="1:18" x14ac:dyDescent="0.25">
      <c r="A150" s="284">
        <v>1</v>
      </c>
      <c r="B150" s="774" t="s">
        <v>355</v>
      </c>
      <c r="C150" s="262"/>
      <c r="D150" s="270">
        <f ca="1">IFERROR(OFFSET(INDIRECT(#REF!),MATCH([2]Development_Schedule_EK!$E147,INDIRECT(#REF!),0)-1,MATCH([2]Development_Schedule_EK!$B147,INDIRECT(#REF!),0),1,1),0)</f>
        <v>0</v>
      </c>
      <c r="E150" s="266"/>
      <c r="F150" s="260">
        <f ca="1">IFERROR(OFFSET(INDIRECT(#REF!),MATCH([2]Development_Schedule_EK!I$6,INDIRECT(#REF!),0)-1,MATCH([2]Development_Schedule_EK!$B147,INDIRECT(#REF!),0),1,1)*$D150,0)</f>
        <v>0</v>
      </c>
      <c r="G150" s="260">
        <f ca="1">IFERROR(OFFSET(INDIRECT(#REF!),MATCH([2]Development_Schedule_EK!J$6,INDIRECT(#REF!),0)-1,MATCH([2]Development_Schedule_EK!$B147,INDIRECT(#REF!),0),1,1)*$D150,0)</f>
        <v>0</v>
      </c>
      <c r="H150" s="265">
        <f ca="1">IFERROR(OFFSET(INDIRECT(#REF!),MATCH([2]Development_Schedule_EK!K$6,INDIRECT(#REF!),0)-1,MATCH([2]Development_Schedule_EK!$B147,INDIRECT(#REF!),0),1,1)*$D150,0)</f>
        <v>0</v>
      </c>
      <c r="I150" s="260">
        <f ca="1">IFERROR(OFFSET(INDIRECT(#REF!),MATCH([2]Development_Schedule_EK!L$6,INDIRECT(#REF!),0)-1,MATCH([2]Development_Schedule_EK!$B147,INDIRECT(#REF!),0),1,1)*$D150,0)</f>
        <v>0</v>
      </c>
      <c r="J150" s="260">
        <f ca="1">IFERROR(OFFSET(INDIRECT(#REF!),MATCH([2]Development_Schedule_EK!M$6,INDIRECT(#REF!),0)-1,MATCH([2]Development_Schedule_EK!$B147,INDIRECT(#REF!),0),1,1)*$D150,0)</f>
        <v>0</v>
      </c>
      <c r="K150" s="260">
        <f ca="1">IFERROR(OFFSET(INDIRECT(#REF!),MATCH([2]Development_Schedule_EK!N$6,INDIRECT(#REF!),0)-1,MATCH([2]Development_Schedule_EK!$B147,INDIRECT(#REF!),0),1,1)*$D150,0)</f>
        <v>0</v>
      </c>
      <c r="L150" s="265">
        <f ca="1">IFERROR(OFFSET(INDIRECT(#REF!),MATCH([2]Development_Schedule_EK!O$6,INDIRECT(#REF!),0)-1,MATCH([2]Development_Schedule_EK!$B147,INDIRECT(#REF!),0),1,1)*$D150,0)</f>
        <v>0</v>
      </c>
      <c r="M150" s="260">
        <f ca="1">IFERROR(OFFSET(INDIRECT(#REF!),MATCH([2]Development_Schedule_EK!P$6,INDIRECT(#REF!),0)-1,MATCH([2]Development_Schedule_EK!$B147,INDIRECT(#REF!),0),1,1)*$D150,0)</f>
        <v>0</v>
      </c>
      <c r="N150" s="260">
        <f ca="1">IFERROR(OFFSET(INDIRECT(#REF!),MATCH([2]Development_Schedule_EK!Q$6,INDIRECT(#REF!),0)-1,MATCH([2]Development_Schedule_EK!$B147,INDIRECT(#REF!),0),1,1)*$D150,0)</f>
        <v>0</v>
      </c>
      <c r="O150" s="265">
        <f ca="1">IFERROR(OFFSET(INDIRECT(#REF!),MATCH([2]Development_Schedule_EK!R$6,INDIRECT(#REF!),0)-1,MATCH([2]Development_Schedule_EK!$B147,INDIRECT(#REF!),0),1,1)*$D150,0)</f>
        <v>0</v>
      </c>
      <c r="P150" s="183"/>
      <c r="Q150" s="184"/>
      <c r="R150" s="183"/>
    </row>
    <row r="151" spans="1:18" x14ac:dyDescent="0.25">
      <c r="A151" s="284">
        <v>1</v>
      </c>
      <c r="B151" s="774" t="s">
        <v>356</v>
      </c>
      <c r="C151" s="262"/>
      <c r="D151" s="270">
        <f ca="1">IFERROR(OFFSET(INDIRECT(#REF!),MATCH([2]Development_Schedule_EK!$E148,INDIRECT(#REF!),0)-1,MATCH([2]Development_Schedule_EK!$B148,INDIRECT(#REF!),0),1,1),0)</f>
        <v>0</v>
      </c>
      <c r="E151" s="266"/>
      <c r="F151" s="260">
        <f ca="1">IFERROR(OFFSET(INDIRECT(#REF!),MATCH([2]Development_Schedule_EK!I$6,INDIRECT(#REF!),0)-1,MATCH([2]Development_Schedule_EK!$B148,INDIRECT(#REF!),0),1,1)*$D151,0)</f>
        <v>0</v>
      </c>
      <c r="G151" s="260">
        <f ca="1">IFERROR(OFFSET(INDIRECT(#REF!),MATCH([2]Development_Schedule_EK!J$6,INDIRECT(#REF!),0)-1,MATCH([2]Development_Schedule_EK!$B148,INDIRECT(#REF!),0),1,1)*$D151,0)</f>
        <v>0</v>
      </c>
      <c r="H151" s="265">
        <f ca="1">IFERROR(OFFSET(INDIRECT(#REF!),MATCH([2]Development_Schedule_EK!K$6,INDIRECT(#REF!),0)-1,MATCH([2]Development_Schedule_EK!$B148,INDIRECT(#REF!),0),1,1)*$D151,0)</f>
        <v>0</v>
      </c>
      <c r="I151" s="260">
        <f ca="1">IFERROR(OFFSET(INDIRECT(#REF!),MATCH([2]Development_Schedule_EK!L$6,INDIRECT(#REF!),0)-1,MATCH([2]Development_Schedule_EK!$B148,INDIRECT(#REF!),0),1,1)*$D151,0)</f>
        <v>0</v>
      </c>
      <c r="J151" s="260">
        <f ca="1">IFERROR(OFFSET(INDIRECT(#REF!),MATCH([2]Development_Schedule_EK!M$6,INDIRECT(#REF!),0)-1,MATCH([2]Development_Schedule_EK!$B148,INDIRECT(#REF!),0),1,1)*$D151,0)</f>
        <v>0</v>
      </c>
      <c r="K151" s="260">
        <f ca="1">IFERROR(OFFSET(INDIRECT(#REF!),MATCH([2]Development_Schedule_EK!N$6,INDIRECT(#REF!),0)-1,MATCH([2]Development_Schedule_EK!$B148,INDIRECT(#REF!),0),1,1)*$D151,0)</f>
        <v>0</v>
      </c>
      <c r="L151" s="265">
        <f ca="1">IFERROR(OFFSET(INDIRECT(#REF!),MATCH([2]Development_Schedule_EK!O$6,INDIRECT(#REF!),0)-1,MATCH([2]Development_Schedule_EK!$B148,INDIRECT(#REF!),0),1,1)*$D151,0)</f>
        <v>0</v>
      </c>
      <c r="M151" s="260">
        <f ca="1">IFERROR(OFFSET(INDIRECT(#REF!),MATCH([2]Development_Schedule_EK!P$6,INDIRECT(#REF!),0)-1,MATCH([2]Development_Schedule_EK!$B148,INDIRECT(#REF!),0),1,1)*$D151,0)</f>
        <v>0</v>
      </c>
      <c r="N151" s="260">
        <f ca="1">IFERROR(OFFSET(INDIRECT(#REF!),MATCH([2]Development_Schedule_EK!Q$6,INDIRECT(#REF!),0)-1,MATCH([2]Development_Schedule_EK!$B148,INDIRECT(#REF!),0),1,1)*$D151,0)</f>
        <v>0</v>
      </c>
      <c r="O151" s="265">
        <f ca="1">IFERROR(OFFSET(INDIRECT(#REF!),MATCH([2]Development_Schedule_EK!R$6,INDIRECT(#REF!),0)-1,MATCH([2]Development_Schedule_EK!$B148,INDIRECT(#REF!),0),1,1)*$D151,0)</f>
        <v>0</v>
      </c>
      <c r="P151" s="183"/>
      <c r="Q151" s="184"/>
      <c r="R151" s="183"/>
    </row>
    <row r="152" spans="1:18" x14ac:dyDescent="0.25">
      <c r="A152" s="284">
        <v>1</v>
      </c>
      <c r="B152" s="774" t="s">
        <v>357</v>
      </c>
      <c r="C152" s="262"/>
      <c r="D152" s="270">
        <f ca="1">IFERROR(OFFSET(INDIRECT(#REF!),MATCH([2]Development_Schedule_EK!$E149,INDIRECT(#REF!),0)-1,MATCH([2]Development_Schedule_EK!$B149,INDIRECT(#REF!),0),1,1),0)</f>
        <v>0</v>
      </c>
      <c r="E152" s="266"/>
      <c r="F152" s="260">
        <f ca="1">IFERROR(OFFSET(INDIRECT(#REF!),MATCH([2]Development_Schedule_EK!I$6,INDIRECT(#REF!),0)-1,MATCH([2]Development_Schedule_EK!$B149,INDIRECT(#REF!),0),1,1)*$D152,0)</f>
        <v>0</v>
      </c>
      <c r="G152" s="260">
        <f ca="1">IFERROR(OFFSET(INDIRECT(#REF!),MATCH([2]Development_Schedule_EK!J$6,INDIRECT(#REF!),0)-1,MATCH([2]Development_Schedule_EK!$B149,INDIRECT(#REF!),0),1,1)*$D152,0)</f>
        <v>0</v>
      </c>
      <c r="H152" s="265">
        <f ca="1">IFERROR(OFFSET(INDIRECT(#REF!),MATCH([2]Development_Schedule_EK!K$6,INDIRECT(#REF!),0)-1,MATCH([2]Development_Schedule_EK!$B149,INDIRECT(#REF!),0),1,1)*$D152,0)</f>
        <v>0</v>
      </c>
      <c r="I152" s="260">
        <f ca="1">IFERROR(OFFSET(INDIRECT(#REF!),MATCH([2]Development_Schedule_EK!L$6,INDIRECT(#REF!),0)-1,MATCH([2]Development_Schedule_EK!$B149,INDIRECT(#REF!),0),1,1)*$D152,0)</f>
        <v>0</v>
      </c>
      <c r="J152" s="260">
        <f ca="1">IFERROR(OFFSET(INDIRECT(#REF!),MATCH([2]Development_Schedule_EK!M$6,INDIRECT(#REF!),0)-1,MATCH([2]Development_Schedule_EK!$B149,INDIRECT(#REF!),0),1,1)*$D152,0)</f>
        <v>0</v>
      </c>
      <c r="K152" s="260">
        <f ca="1">IFERROR(OFFSET(INDIRECT(#REF!),MATCH([2]Development_Schedule_EK!N$6,INDIRECT(#REF!),0)-1,MATCH([2]Development_Schedule_EK!$B149,INDIRECT(#REF!),0),1,1)*$D152,0)</f>
        <v>0</v>
      </c>
      <c r="L152" s="265">
        <f ca="1">IFERROR(OFFSET(INDIRECT(#REF!),MATCH([2]Development_Schedule_EK!O$6,INDIRECT(#REF!),0)-1,MATCH([2]Development_Schedule_EK!$B149,INDIRECT(#REF!),0),1,1)*$D152,0)</f>
        <v>0</v>
      </c>
      <c r="M152" s="260">
        <f ca="1">IFERROR(OFFSET(INDIRECT(#REF!),MATCH([2]Development_Schedule_EK!P$6,INDIRECT(#REF!),0)-1,MATCH([2]Development_Schedule_EK!$B149,INDIRECT(#REF!),0),1,1)*$D152,0)</f>
        <v>0</v>
      </c>
      <c r="N152" s="260">
        <f ca="1">IFERROR(OFFSET(INDIRECT(#REF!),MATCH([2]Development_Schedule_EK!Q$6,INDIRECT(#REF!),0)-1,MATCH([2]Development_Schedule_EK!$B149,INDIRECT(#REF!),0),1,1)*$D152,0)</f>
        <v>0</v>
      </c>
      <c r="O152" s="265">
        <f ca="1">IFERROR(OFFSET(INDIRECT(#REF!),MATCH([2]Development_Schedule_EK!R$6,INDIRECT(#REF!),0)-1,MATCH([2]Development_Schedule_EK!$B149,INDIRECT(#REF!),0),1,1)*$D152,0)</f>
        <v>0</v>
      </c>
      <c r="P152" s="183"/>
      <c r="Q152" s="184"/>
      <c r="R152" s="183"/>
    </row>
    <row r="153" spans="1:18" x14ac:dyDescent="0.25">
      <c r="A153" s="284">
        <v>1</v>
      </c>
      <c r="B153" s="774" t="s">
        <v>358</v>
      </c>
      <c r="C153" s="262"/>
      <c r="D153" s="270">
        <f ca="1">IFERROR(OFFSET(INDIRECT(#REF!),MATCH([2]Development_Schedule_EK!$E150,INDIRECT(#REF!),0)-1,MATCH([2]Development_Schedule_EK!$B150,INDIRECT(#REF!),0),1,1),0)</f>
        <v>0</v>
      </c>
      <c r="E153" s="266"/>
      <c r="F153" s="260">
        <f ca="1">IFERROR(OFFSET(INDIRECT(#REF!),MATCH([2]Development_Schedule_EK!I$6,INDIRECT(#REF!),0)-1,MATCH([2]Development_Schedule_EK!$B150,INDIRECT(#REF!),0),1,1)*$D153,0)</f>
        <v>0</v>
      </c>
      <c r="G153" s="260">
        <f ca="1">IFERROR(OFFSET(INDIRECT(#REF!),MATCH([2]Development_Schedule_EK!J$6,INDIRECT(#REF!),0)-1,MATCH([2]Development_Schedule_EK!$B150,INDIRECT(#REF!),0),1,1)*$D153,0)</f>
        <v>0</v>
      </c>
      <c r="H153" s="265">
        <f ca="1">IFERROR(OFFSET(INDIRECT(#REF!),MATCH([2]Development_Schedule_EK!K$6,INDIRECT(#REF!),0)-1,MATCH([2]Development_Schedule_EK!$B150,INDIRECT(#REF!),0),1,1)*$D153,0)</f>
        <v>0</v>
      </c>
      <c r="I153" s="260">
        <f ca="1">IFERROR(OFFSET(INDIRECT(#REF!),MATCH([2]Development_Schedule_EK!L$6,INDIRECT(#REF!),0)-1,MATCH([2]Development_Schedule_EK!$B150,INDIRECT(#REF!),0),1,1)*$D153,0)</f>
        <v>0</v>
      </c>
      <c r="J153" s="260">
        <f ca="1">IFERROR(OFFSET(INDIRECT(#REF!),MATCH([2]Development_Schedule_EK!M$6,INDIRECT(#REF!),0)-1,MATCH([2]Development_Schedule_EK!$B150,INDIRECT(#REF!),0),1,1)*$D153,0)</f>
        <v>0</v>
      </c>
      <c r="K153" s="260">
        <f ca="1">IFERROR(OFFSET(INDIRECT(#REF!),MATCH([2]Development_Schedule_EK!N$6,INDIRECT(#REF!),0)-1,MATCH([2]Development_Schedule_EK!$B150,INDIRECT(#REF!),0),1,1)*$D153,0)</f>
        <v>0</v>
      </c>
      <c r="L153" s="265">
        <f ca="1">IFERROR(OFFSET(INDIRECT(#REF!),MATCH([2]Development_Schedule_EK!O$6,INDIRECT(#REF!),0)-1,MATCH([2]Development_Schedule_EK!$B150,INDIRECT(#REF!),0),1,1)*$D153,0)</f>
        <v>0</v>
      </c>
      <c r="M153" s="260">
        <f ca="1">IFERROR(OFFSET(INDIRECT(#REF!),MATCH([2]Development_Schedule_EK!P$6,INDIRECT(#REF!),0)-1,MATCH([2]Development_Schedule_EK!$B150,INDIRECT(#REF!),0),1,1)*$D153,0)</f>
        <v>0</v>
      </c>
      <c r="N153" s="260">
        <f ca="1">IFERROR(OFFSET(INDIRECT(#REF!),MATCH([2]Development_Schedule_EK!Q$6,INDIRECT(#REF!),0)-1,MATCH([2]Development_Schedule_EK!$B150,INDIRECT(#REF!),0),1,1)*$D153,0)</f>
        <v>0</v>
      </c>
      <c r="O153" s="265">
        <f ca="1">IFERROR(OFFSET(INDIRECT(#REF!),MATCH([2]Development_Schedule_EK!R$6,INDIRECT(#REF!),0)-1,MATCH([2]Development_Schedule_EK!$B150,INDIRECT(#REF!),0),1,1)*$D153,0)</f>
        <v>0</v>
      </c>
      <c r="P153" s="183"/>
      <c r="Q153" s="184"/>
      <c r="R153" s="183"/>
    </row>
    <row r="154" spans="1:18" x14ac:dyDescent="0.25">
      <c r="A154" s="284">
        <v>1</v>
      </c>
      <c r="B154" s="774" t="s">
        <v>359</v>
      </c>
      <c r="C154" s="262"/>
      <c r="D154" s="270">
        <f ca="1">IFERROR(OFFSET(INDIRECT(#REF!),MATCH([2]Development_Schedule_EK!$E151,INDIRECT(#REF!),0)-1,MATCH([2]Development_Schedule_EK!$B151,INDIRECT(#REF!),0),1,1),0)</f>
        <v>0</v>
      </c>
      <c r="E154" s="266"/>
      <c r="F154" s="260">
        <f ca="1">IFERROR(OFFSET(INDIRECT(#REF!),MATCH([2]Development_Schedule_EK!I$6,INDIRECT(#REF!),0)-1,MATCH([2]Development_Schedule_EK!$B151,INDIRECT(#REF!),0),1,1)*$D154,0)</f>
        <v>0</v>
      </c>
      <c r="G154" s="260">
        <f ca="1">IFERROR(OFFSET(INDIRECT(#REF!),MATCH([2]Development_Schedule_EK!J$6,INDIRECT(#REF!),0)-1,MATCH([2]Development_Schedule_EK!$B151,INDIRECT(#REF!),0),1,1)*$D154,0)</f>
        <v>0</v>
      </c>
      <c r="H154" s="265">
        <f ca="1">IFERROR(OFFSET(INDIRECT(#REF!),MATCH([2]Development_Schedule_EK!K$6,INDIRECT(#REF!),0)-1,MATCH([2]Development_Schedule_EK!$B151,INDIRECT(#REF!),0),1,1)*$D154,0)</f>
        <v>0</v>
      </c>
      <c r="I154" s="260">
        <f ca="1">IFERROR(OFFSET(INDIRECT(#REF!),MATCH([2]Development_Schedule_EK!L$6,INDIRECT(#REF!),0)-1,MATCH([2]Development_Schedule_EK!$B151,INDIRECT(#REF!),0),1,1)*$D154,0)</f>
        <v>0</v>
      </c>
      <c r="J154" s="260">
        <f ca="1">IFERROR(OFFSET(INDIRECT(#REF!),MATCH([2]Development_Schedule_EK!M$6,INDIRECT(#REF!),0)-1,MATCH([2]Development_Schedule_EK!$B151,INDIRECT(#REF!),0),1,1)*$D154,0)</f>
        <v>0</v>
      </c>
      <c r="K154" s="260">
        <f ca="1">IFERROR(OFFSET(INDIRECT(#REF!),MATCH([2]Development_Schedule_EK!N$6,INDIRECT(#REF!),0)-1,MATCH([2]Development_Schedule_EK!$B151,INDIRECT(#REF!),0),1,1)*$D154,0)</f>
        <v>0</v>
      </c>
      <c r="L154" s="265">
        <f ca="1">IFERROR(OFFSET(INDIRECT(#REF!),MATCH([2]Development_Schedule_EK!O$6,INDIRECT(#REF!),0)-1,MATCH([2]Development_Schedule_EK!$B151,INDIRECT(#REF!),0),1,1)*$D154,0)</f>
        <v>0</v>
      </c>
      <c r="M154" s="260">
        <f ca="1">IFERROR(OFFSET(INDIRECT(#REF!),MATCH([2]Development_Schedule_EK!P$6,INDIRECT(#REF!),0)-1,MATCH([2]Development_Schedule_EK!$B151,INDIRECT(#REF!),0),1,1)*$D154,0)</f>
        <v>0</v>
      </c>
      <c r="N154" s="260">
        <f ca="1">IFERROR(OFFSET(INDIRECT(#REF!),MATCH([2]Development_Schedule_EK!Q$6,INDIRECT(#REF!),0)-1,MATCH([2]Development_Schedule_EK!$B151,INDIRECT(#REF!),0),1,1)*$D154,0)</f>
        <v>0</v>
      </c>
      <c r="O154" s="265">
        <f ca="1">IFERROR(OFFSET(INDIRECT(#REF!),MATCH([2]Development_Schedule_EK!R$6,INDIRECT(#REF!),0)-1,MATCH([2]Development_Schedule_EK!$B151,INDIRECT(#REF!),0),1,1)*$D154,0)</f>
        <v>0</v>
      </c>
      <c r="P154" s="183"/>
      <c r="Q154" s="184"/>
      <c r="R154" s="183"/>
    </row>
    <row r="155" spans="1:18" x14ac:dyDescent="0.25">
      <c r="A155" s="284">
        <v>1</v>
      </c>
      <c r="B155" s="774" t="s">
        <v>33</v>
      </c>
      <c r="C155" s="262"/>
      <c r="D155" s="270">
        <f ca="1">IFERROR(OFFSET(INDIRECT(#REF!),MATCH([2]Development_Schedule_EK!$E152,INDIRECT(#REF!),0)-1,MATCH([2]Development_Schedule_EK!$B152,INDIRECT(#REF!),0),1,1),0)</f>
        <v>0</v>
      </c>
      <c r="E155" s="266"/>
      <c r="F155" s="260">
        <f ca="1">IFERROR(OFFSET(INDIRECT(#REF!),MATCH([2]Development_Schedule_EK!I$6,INDIRECT(#REF!),0)-1,MATCH([2]Development_Schedule_EK!$B152,INDIRECT(#REF!),0),1,1)*$D155,0)</f>
        <v>0</v>
      </c>
      <c r="G155" s="260">
        <f ca="1">IFERROR(OFFSET(INDIRECT(#REF!),MATCH([2]Development_Schedule_EK!J$6,INDIRECT(#REF!),0)-1,MATCH([2]Development_Schedule_EK!$B152,INDIRECT(#REF!),0),1,1)*$D155,0)</f>
        <v>0</v>
      </c>
      <c r="H155" s="265">
        <f ca="1">IFERROR(OFFSET(INDIRECT(#REF!),MATCH([2]Development_Schedule_EK!K$6,INDIRECT(#REF!),0)-1,MATCH([2]Development_Schedule_EK!$B152,INDIRECT(#REF!),0),1,1)*$D155,0)</f>
        <v>0</v>
      </c>
      <c r="I155" s="260">
        <f ca="1">IFERROR(OFFSET(INDIRECT(#REF!),MATCH([2]Development_Schedule_EK!L$6,INDIRECT(#REF!),0)-1,MATCH([2]Development_Schedule_EK!$B152,INDIRECT(#REF!),0),1,1)*$D155,0)</f>
        <v>0</v>
      </c>
      <c r="J155" s="260">
        <f ca="1">IFERROR(OFFSET(INDIRECT(#REF!),MATCH([2]Development_Schedule_EK!M$6,INDIRECT(#REF!),0)-1,MATCH([2]Development_Schedule_EK!$B152,INDIRECT(#REF!),0),1,1)*$D155,0)</f>
        <v>0</v>
      </c>
      <c r="K155" s="260">
        <f ca="1">IFERROR(OFFSET(INDIRECT(#REF!),MATCH([2]Development_Schedule_EK!N$6,INDIRECT(#REF!),0)-1,MATCH([2]Development_Schedule_EK!$B152,INDIRECT(#REF!),0),1,1)*$D155,0)</f>
        <v>0</v>
      </c>
      <c r="L155" s="265">
        <f ca="1">IFERROR(OFFSET(INDIRECT(#REF!),MATCH([2]Development_Schedule_EK!O$6,INDIRECT(#REF!),0)-1,MATCH([2]Development_Schedule_EK!$B152,INDIRECT(#REF!),0),1,1)*$D155,0)</f>
        <v>0</v>
      </c>
      <c r="M155" s="260">
        <f ca="1">IFERROR(OFFSET(INDIRECT(#REF!),MATCH([2]Development_Schedule_EK!P$6,INDIRECT(#REF!),0)-1,MATCH([2]Development_Schedule_EK!$B152,INDIRECT(#REF!),0),1,1)*$D155,0)</f>
        <v>0</v>
      </c>
      <c r="N155" s="260">
        <f ca="1">IFERROR(OFFSET(INDIRECT(#REF!),MATCH([2]Development_Schedule_EK!Q$6,INDIRECT(#REF!),0)-1,MATCH([2]Development_Schedule_EK!$B152,INDIRECT(#REF!),0),1,1)*$D155,0)</f>
        <v>0</v>
      </c>
      <c r="O155" s="265">
        <f ca="1">IFERROR(OFFSET(INDIRECT(#REF!),MATCH([2]Development_Schedule_EK!R$6,INDIRECT(#REF!),0)-1,MATCH([2]Development_Schedule_EK!$B152,INDIRECT(#REF!),0),1,1)*$D155,0)</f>
        <v>0</v>
      </c>
      <c r="P155" s="183"/>
      <c r="Q155" s="184"/>
      <c r="R155" s="183"/>
    </row>
    <row r="156" spans="1:18" x14ac:dyDescent="0.25">
      <c r="A156" s="284">
        <v>1</v>
      </c>
      <c r="B156" s="774" t="s">
        <v>42</v>
      </c>
      <c r="C156" s="262"/>
      <c r="D156" s="270">
        <v>14401</v>
      </c>
      <c r="E156" s="266"/>
      <c r="F156" s="260">
        <f ca="1">IFERROR(OFFSET(INDIRECT(#REF!),MATCH([2]Development_Schedule_EK!I$6,INDIRECT(#REF!),0)-1,MATCH([2]Development_Schedule_EK!$B153,INDIRECT(#REF!),0),1,1)*$D156,0)</f>
        <v>0</v>
      </c>
      <c r="G156" s="260">
        <f>$D$156</f>
        <v>14401</v>
      </c>
      <c r="H156" s="265">
        <f ca="1">IFERROR(OFFSET(INDIRECT(#REF!),MATCH([2]Development_Schedule_EK!K$6,INDIRECT(#REF!),0)-1,MATCH([2]Development_Schedule_EK!$B153,INDIRECT(#REF!),0),1,1)*$D156,0)</f>
        <v>0</v>
      </c>
      <c r="I156" s="260">
        <f ca="1">IFERROR(OFFSET(INDIRECT(#REF!),MATCH([2]Development_Schedule_EK!L$6,INDIRECT(#REF!),0)-1,MATCH([2]Development_Schedule_EK!$B153,INDIRECT(#REF!),0),1,1)*$D156,0)</f>
        <v>0</v>
      </c>
      <c r="J156" s="260">
        <f ca="1">IFERROR(OFFSET(INDIRECT(#REF!),MATCH([2]Development_Schedule_EK!M$6,INDIRECT(#REF!),0)-1,MATCH([2]Development_Schedule_EK!$B153,INDIRECT(#REF!),0),1,1)*$D156,0)</f>
        <v>0</v>
      </c>
      <c r="K156" s="260">
        <f ca="1">IFERROR(OFFSET(INDIRECT(#REF!),MATCH([2]Development_Schedule_EK!N$6,INDIRECT(#REF!),0)-1,MATCH([2]Development_Schedule_EK!$B153,INDIRECT(#REF!),0),1,1)*$D156,0)</f>
        <v>0</v>
      </c>
      <c r="L156" s="265">
        <f ca="1">IFERROR(OFFSET(INDIRECT(#REF!),MATCH([2]Development_Schedule_EK!O$6,INDIRECT(#REF!),0)-1,MATCH([2]Development_Schedule_EK!$B153,INDIRECT(#REF!),0),1,1)*$D156,0)</f>
        <v>0</v>
      </c>
      <c r="M156" s="260">
        <f ca="1">IFERROR(OFFSET(INDIRECT(#REF!),MATCH([2]Development_Schedule_EK!P$6,INDIRECT(#REF!),0)-1,MATCH([2]Development_Schedule_EK!$B153,INDIRECT(#REF!),0),1,1)*$D156,0)</f>
        <v>0</v>
      </c>
      <c r="N156" s="260">
        <f ca="1">IFERROR(OFFSET(INDIRECT(#REF!),MATCH([2]Development_Schedule_EK!Q$6,INDIRECT(#REF!),0)-1,MATCH([2]Development_Schedule_EK!$B153,INDIRECT(#REF!),0),1,1)*$D156,0)</f>
        <v>0</v>
      </c>
      <c r="O156" s="265">
        <f ca="1">IFERROR(OFFSET(INDIRECT(#REF!),MATCH([2]Development_Schedule_EK!R$6,INDIRECT(#REF!),0)-1,MATCH([2]Development_Schedule_EK!$B153,INDIRECT(#REF!),0),1,1)*$D156,0)</f>
        <v>0</v>
      </c>
      <c r="P156" s="183"/>
      <c r="Q156" s="184"/>
      <c r="R156" s="183"/>
    </row>
    <row r="157" spans="1:18" x14ac:dyDescent="0.25">
      <c r="B157" s="774"/>
      <c r="C157" s="262"/>
      <c r="D157" s="270"/>
      <c r="E157" s="266"/>
      <c r="F157" s="256"/>
      <c r="G157" s="256"/>
      <c r="H157" s="263"/>
      <c r="I157" s="256"/>
      <c r="J157" s="256"/>
      <c r="K157" s="256"/>
      <c r="L157" s="263"/>
      <c r="M157" s="256"/>
      <c r="N157" s="256"/>
      <c r="O157" s="263"/>
      <c r="P157" s="183"/>
      <c r="Q157" s="184"/>
      <c r="R157" s="183"/>
    </row>
    <row r="158" spans="1:18" x14ac:dyDescent="0.25">
      <c r="B158" s="769"/>
      <c r="C158" s="262"/>
      <c r="D158" s="270"/>
      <c r="E158" s="266"/>
      <c r="F158" s="256"/>
      <c r="G158" s="256"/>
      <c r="H158" s="263"/>
      <c r="I158" s="256"/>
      <c r="J158" s="256"/>
      <c r="K158" s="256"/>
      <c r="L158" s="263"/>
      <c r="M158" s="256"/>
      <c r="N158" s="256"/>
      <c r="O158" s="263"/>
      <c r="P158" s="183"/>
      <c r="Q158" s="184"/>
      <c r="R158" s="183"/>
    </row>
    <row r="159" spans="1:18" x14ac:dyDescent="0.25">
      <c r="B159" s="773" t="s">
        <v>369</v>
      </c>
      <c r="C159" s="262"/>
      <c r="D159" s="270"/>
      <c r="E159" s="266"/>
      <c r="F159" s="256"/>
      <c r="G159" s="256"/>
      <c r="H159" s="263"/>
      <c r="I159" s="256"/>
      <c r="J159" s="256"/>
      <c r="K159" s="256"/>
      <c r="L159" s="263"/>
      <c r="M159" s="256"/>
      <c r="N159" s="256"/>
      <c r="O159" s="263"/>
      <c r="P159" s="183"/>
      <c r="Q159" s="184"/>
      <c r="R159" s="183"/>
    </row>
    <row r="160" spans="1:18" x14ac:dyDescent="0.25">
      <c r="A160" s="284">
        <v>1</v>
      </c>
      <c r="B160" s="774" t="s">
        <v>381</v>
      </c>
      <c r="C160" s="262"/>
      <c r="D160" s="270">
        <f>(57607-D164)*0.8</f>
        <v>39057.599999999999</v>
      </c>
      <c r="E160" s="266"/>
      <c r="F160" s="260">
        <f>D160/2</f>
        <v>19528.8</v>
      </c>
      <c r="G160" s="260">
        <f>F160</f>
        <v>19528.8</v>
      </c>
      <c r="H160" s="265">
        <v>0</v>
      </c>
      <c r="I160" s="260">
        <f ca="1">IFERROR(OFFSET(INDIRECT(#REF!),MATCH([2]Development_Schedule_EK!L$6,INDIRECT(#REF!),0)-1,MATCH([2]Development_Schedule_EK!$B157,INDIRECT(#REF!),0),1,1)*$D160,0)</f>
        <v>0</v>
      </c>
      <c r="J160" s="260">
        <f ca="1">IFERROR(OFFSET(INDIRECT(#REF!),MATCH([2]Development_Schedule_EK!M$6,INDIRECT(#REF!),0)-1,MATCH([2]Development_Schedule_EK!$B157,INDIRECT(#REF!),0),1,1)*$D160,0)</f>
        <v>0</v>
      </c>
      <c r="K160" s="260">
        <f ca="1">IFERROR(OFFSET(INDIRECT(#REF!),MATCH([2]Development_Schedule_EK!N$6,INDIRECT(#REF!),0)-1,MATCH([2]Development_Schedule_EK!$B157,INDIRECT(#REF!),0),1,1)*$D160,0)</f>
        <v>0</v>
      </c>
      <c r="L160" s="265">
        <f ca="1">IFERROR(OFFSET(INDIRECT(#REF!),MATCH([2]Development_Schedule_EK!O$6,INDIRECT(#REF!),0)-1,MATCH([2]Development_Schedule_EK!$B157,INDIRECT(#REF!),0),1,1)*$D160,0)</f>
        <v>0</v>
      </c>
      <c r="M160" s="260">
        <f ca="1">IFERROR(OFFSET(INDIRECT(#REF!),MATCH([2]Development_Schedule_EK!P$6,INDIRECT(#REF!),0)-1,MATCH([2]Development_Schedule_EK!$B157,INDIRECT(#REF!),0),1,1)*$D160,0)</f>
        <v>0</v>
      </c>
      <c r="N160" s="260">
        <f ca="1">IFERROR(OFFSET(INDIRECT(#REF!),MATCH([2]Development_Schedule_EK!Q$6,INDIRECT(#REF!),0)-1,MATCH([2]Development_Schedule_EK!$B157,INDIRECT(#REF!),0),1,1)*$D160,0)</f>
        <v>0</v>
      </c>
      <c r="O160" s="265">
        <f ca="1">IFERROR(OFFSET(INDIRECT(#REF!),MATCH([2]Development_Schedule_EK!R$6,INDIRECT(#REF!),0)-1,MATCH([2]Development_Schedule_EK!$B157,INDIRECT(#REF!),0),1,1)*$D160,0)</f>
        <v>0</v>
      </c>
      <c r="P160" s="183"/>
      <c r="Q160" s="184"/>
      <c r="R160" s="183"/>
    </row>
    <row r="161" spans="1:18" x14ac:dyDescent="0.25">
      <c r="A161" s="284">
        <v>1</v>
      </c>
      <c r="B161" s="774" t="s">
        <v>382</v>
      </c>
      <c r="C161" s="262"/>
      <c r="D161" s="270">
        <f ca="1">IFERROR(OFFSET(INDIRECT(#REF!),MATCH([2]Development_Schedule_EK!$E158,INDIRECT(#REF!),0)-1,MATCH([2]Development_Schedule_EK!$B158,INDIRECT(#REF!),0),1,1),0)</f>
        <v>0</v>
      </c>
      <c r="E161" s="266"/>
      <c r="F161" s="260">
        <f ca="1">IFERROR(OFFSET(INDIRECT(#REF!),MATCH([2]Development_Schedule_EK!I$6,INDIRECT(#REF!),0)-1,MATCH([2]Development_Schedule_EK!$B158,INDIRECT(#REF!),0),1,1)*$D161,0)</f>
        <v>0</v>
      </c>
      <c r="G161" s="260">
        <f ca="1">IFERROR(OFFSET(INDIRECT(#REF!),MATCH([2]Development_Schedule_EK!J$6,INDIRECT(#REF!),0)-1,MATCH([2]Development_Schedule_EK!$B158,INDIRECT(#REF!),0),1,1)*$D161,0)</f>
        <v>0</v>
      </c>
      <c r="H161" s="265">
        <f ca="1">IFERROR(OFFSET(INDIRECT(#REF!),MATCH([2]Development_Schedule_EK!K$6,INDIRECT(#REF!),0)-1,MATCH([2]Development_Schedule_EK!$B158,INDIRECT(#REF!),0),1,1)*$D161,0)</f>
        <v>0</v>
      </c>
      <c r="I161" s="260">
        <f ca="1">IFERROR(OFFSET(INDIRECT(#REF!),MATCH([2]Development_Schedule_EK!L$6,INDIRECT(#REF!),0)-1,MATCH([2]Development_Schedule_EK!$B158,INDIRECT(#REF!),0),1,1)*$D161,0)</f>
        <v>0</v>
      </c>
      <c r="J161" s="260">
        <f ca="1">IFERROR(OFFSET(INDIRECT(#REF!),MATCH([2]Development_Schedule_EK!M$6,INDIRECT(#REF!),0)-1,MATCH([2]Development_Schedule_EK!$B158,INDIRECT(#REF!),0),1,1)*$D161,0)</f>
        <v>0</v>
      </c>
      <c r="K161" s="260">
        <f ca="1">IFERROR(OFFSET(INDIRECT(#REF!),MATCH([2]Development_Schedule_EK!N$6,INDIRECT(#REF!),0)-1,MATCH([2]Development_Schedule_EK!$B158,INDIRECT(#REF!),0),1,1)*$D161,0)</f>
        <v>0</v>
      </c>
      <c r="L161" s="265">
        <f ca="1">IFERROR(OFFSET(INDIRECT(#REF!),MATCH([2]Development_Schedule_EK!O$6,INDIRECT(#REF!),0)-1,MATCH([2]Development_Schedule_EK!$B158,INDIRECT(#REF!),0),1,1)*$D161,0)</f>
        <v>0</v>
      </c>
      <c r="M161" s="260">
        <f ca="1">IFERROR(OFFSET(INDIRECT(#REF!),MATCH([2]Development_Schedule_EK!P$6,INDIRECT(#REF!),0)-1,MATCH([2]Development_Schedule_EK!$B158,INDIRECT(#REF!),0),1,1)*$D161,0)</f>
        <v>0</v>
      </c>
      <c r="N161" s="260">
        <f ca="1">IFERROR(OFFSET(INDIRECT(#REF!),MATCH([2]Development_Schedule_EK!Q$6,INDIRECT(#REF!),0)-1,MATCH([2]Development_Schedule_EK!$B158,INDIRECT(#REF!),0),1,1)*$D161,0)</f>
        <v>0</v>
      </c>
      <c r="O161" s="265">
        <f ca="1">IFERROR(OFFSET(INDIRECT(#REF!),MATCH([2]Development_Schedule_EK!R$6,INDIRECT(#REF!),0)-1,MATCH([2]Development_Schedule_EK!$B158,INDIRECT(#REF!),0),1,1)*$D161,0)</f>
        <v>0</v>
      </c>
      <c r="P161" s="183"/>
      <c r="Q161" s="184"/>
      <c r="R161" s="183"/>
    </row>
    <row r="162" spans="1:18" x14ac:dyDescent="0.25">
      <c r="A162" s="284">
        <v>1</v>
      </c>
      <c r="B162" s="774" t="s">
        <v>383</v>
      </c>
      <c r="C162" s="262"/>
      <c r="D162" s="270">
        <f>D160/4</f>
        <v>9764.4</v>
      </c>
      <c r="E162" s="266"/>
      <c r="F162" s="260">
        <f>F160/4</f>
        <v>4882.2</v>
      </c>
      <c r="G162" s="260">
        <f t="shared" ref="G162:H162" si="12">G160/4</f>
        <v>4882.2</v>
      </c>
      <c r="H162" s="265">
        <f t="shared" si="12"/>
        <v>0</v>
      </c>
      <c r="I162" s="260">
        <f ca="1">IFERROR(OFFSET(INDIRECT(#REF!),MATCH([2]Development_Schedule_EK!L$6,INDIRECT(#REF!),0)-1,MATCH([2]Development_Schedule_EK!$B159,INDIRECT(#REF!),0),1,1)*$D162,0)</f>
        <v>0</v>
      </c>
      <c r="J162" s="260">
        <f ca="1">IFERROR(OFFSET(INDIRECT(#REF!),MATCH([2]Development_Schedule_EK!M$6,INDIRECT(#REF!),0)-1,MATCH([2]Development_Schedule_EK!$B159,INDIRECT(#REF!),0),1,1)*$D162,0)</f>
        <v>0</v>
      </c>
      <c r="K162" s="260">
        <f ca="1">IFERROR(OFFSET(INDIRECT(#REF!),MATCH([2]Development_Schedule_EK!N$6,INDIRECT(#REF!),0)-1,MATCH([2]Development_Schedule_EK!$B159,INDIRECT(#REF!),0),1,1)*$D162,0)</f>
        <v>0</v>
      </c>
      <c r="L162" s="265">
        <f ca="1">IFERROR(OFFSET(INDIRECT(#REF!),MATCH([2]Development_Schedule_EK!O$6,INDIRECT(#REF!),0)-1,MATCH([2]Development_Schedule_EK!$B159,INDIRECT(#REF!),0),1,1)*$D162,0)</f>
        <v>0</v>
      </c>
      <c r="M162" s="260">
        <f ca="1">IFERROR(OFFSET(INDIRECT(#REF!),MATCH([2]Development_Schedule_EK!P$6,INDIRECT(#REF!),0)-1,MATCH([2]Development_Schedule_EK!$B159,INDIRECT(#REF!),0),1,1)*$D162,0)</f>
        <v>0</v>
      </c>
      <c r="N162" s="260">
        <f ca="1">IFERROR(OFFSET(INDIRECT(#REF!),MATCH([2]Development_Schedule_EK!Q$6,INDIRECT(#REF!),0)-1,MATCH([2]Development_Schedule_EK!$B159,INDIRECT(#REF!),0),1,1)*$D162,0)</f>
        <v>0</v>
      </c>
      <c r="O162" s="265">
        <f ca="1">IFERROR(OFFSET(INDIRECT(#REF!),MATCH([2]Development_Schedule_EK!R$6,INDIRECT(#REF!),0)-1,MATCH([2]Development_Schedule_EK!$B159,INDIRECT(#REF!),0),1,1)*$D162,0)</f>
        <v>0</v>
      </c>
      <c r="P162" s="183"/>
      <c r="Q162" s="184"/>
      <c r="R162" s="183"/>
    </row>
    <row r="163" spans="1:18" x14ac:dyDescent="0.25">
      <c r="A163" s="284">
        <v>1</v>
      </c>
      <c r="B163" s="774" t="s">
        <v>384</v>
      </c>
      <c r="C163" s="262"/>
      <c r="D163" s="270">
        <f ca="1">IFERROR(OFFSET(INDIRECT(#REF!),MATCH([2]Development_Schedule_EK!$E160,INDIRECT(#REF!),0)-1,MATCH([2]Development_Schedule_EK!$B160,INDIRECT(#REF!),0),1,1),0)</f>
        <v>0</v>
      </c>
      <c r="E163" s="266"/>
      <c r="F163" s="260">
        <f ca="1">IFERROR(OFFSET(INDIRECT(#REF!),MATCH([2]Development_Schedule_EK!I$6,INDIRECT(#REF!),0)-1,MATCH([2]Development_Schedule_EK!$B160,INDIRECT(#REF!),0),1,1)*$D163,0)</f>
        <v>0</v>
      </c>
      <c r="G163" s="260">
        <f ca="1">IFERROR(OFFSET(INDIRECT(#REF!),MATCH([2]Development_Schedule_EK!J$6,INDIRECT(#REF!),0)-1,MATCH([2]Development_Schedule_EK!$B160,INDIRECT(#REF!),0),1,1)*$D163,0)</f>
        <v>0</v>
      </c>
      <c r="H163" s="265">
        <f ca="1">IFERROR(OFFSET(INDIRECT(#REF!),MATCH([2]Development_Schedule_EK!K$6,INDIRECT(#REF!),0)-1,MATCH([2]Development_Schedule_EK!$B160,INDIRECT(#REF!),0),1,1)*$D163,0)</f>
        <v>0</v>
      </c>
      <c r="I163" s="260">
        <f ca="1">IFERROR(OFFSET(INDIRECT(#REF!),MATCH([2]Development_Schedule_EK!L$6,INDIRECT(#REF!),0)-1,MATCH([2]Development_Schedule_EK!$B160,INDIRECT(#REF!),0),1,1)*$D163,0)</f>
        <v>0</v>
      </c>
      <c r="J163" s="260">
        <f ca="1">IFERROR(OFFSET(INDIRECT(#REF!),MATCH([2]Development_Schedule_EK!M$6,INDIRECT(#REF!),0)-1,MATCH([2]Development_Schedule_EK!$B160,INDIRECT(#REF!),0),1,1)*$D163,0)</f>
        <v>0</v>
      </c>
      <c r="K163" s="260">
        <f ca="1">IFERROR(OFFSET(INDIRECT(#REF!),MATCH([2]Development_Schedule_EK!N$6,INDIRECT(#REF!),0)-1,MATCH([2]Development_Schedule_EK!$B160,INDIRECT(#REF!),0),1,1)*$D163,0)</f>
        <v>0</v>
      </c>
      <c r="L163" s="265">
        <f ca="1">IFERROR(OFFSET(INDIRECT(#REF!),MATCH([2]Development_Schedule_EK!O$6,INDIRECT(#REF!),0)-1,MATCH([2]Development_Schedule_EK!$B160,INDIRECT(#REF!),0),1,1)*$D163,0)</f>
        <v>0</v>
      </c>
      <c r="M163" s="260">
        <f ca="1">IFERROR(OFFSET(INDIRECT(#REF!),MATCH([2]Development_Schedule_EK!P$6,INDIRECT(#REF!),0)-1,MATCH([2]Development_Schedule_EK!$B160,INDIRECT(#REF!),0),1,1)*$D163,0)</f>
        <v>0</v>
      </c>
      <c r="N163" s="260">
        <f ca="1">IFERROR(OFFSET(INDIRECT(#REF!),MATCH([2]Development_Schedule_EK!Q$6,INDIRECT(#REF!),0)-1,MATCH([2]Development_Schedule_EK!$B160,INDIRECT(#REF!),0),1,1)*$D163,0)</f>
        <v>0</v>
      </c>
      <c r="O163" s="265">
        <f ca="1">IFERROR(OFFSET(INDIRECT(#REF!),MATCH([2]Development_Schedule_EK!R$6,INDIRECT(#REF!),0)-1,MATCH([2]Development_Schedule_EK!$B160,INDIRECT(#REF!),0),1,1)*$D163,0)</f>
        <v>0</v>
      </c>
      <c r="P163" s="183"/>
      <c r="Q163" s="184"/>
      <c r="R163" s="183"/>
    </row>
    <row r="164" spans="1:18" x14ac:dyDescent="0.25">
      <c r="A164" s="284">
        <v>1</v>
      </c>
      <c r="B164" s="774" t="s">
        <v>35</v>
      </c>
      <c r="C164" s="262"/>
      <c r="D164" s="270">
        <v>8785</v>
      </c>
      <c r="E164" s="266"/>
      <c r="F164" s="260">
        <f>D164</f>
        <v>8785</v>
      </c>
      <c r="G164" s="260">
        <f ca="1">IFERROR(OFFSET(INDIRECT(#REF!),MATCH([2]Development_Schedule_EK!J$6,INDIRECT(#REF!),0)-1,MATCH([2]Development_Schedule_EK!$B161,INDIRECT(#REF!),0),1,1)*$D164,0)</f>
        <v>0</v>
      </c>
      <c r="H164" s="265">
        <f ca="1">IFERROR(OFFSET(INDIRECT(#REF!),MATCH([2]Development_Schedule_EK!K$6,INDIRECT(#REF!),0)-1,MATCH([2]Development_Schedule_EK!$B161,INDIRECT(#REF!),0),1,1)*$D164,0)</f>
        <v>0</v>
      </c>
      <c r="I164" s="260">
        <f ca="1">IFERROR(OFFSET(INDIRECT(#REF!),MATCH([2]Development_Schedule_EK!L$6,INDIRECT(#REF!),0)-1,MATCH([2]Development_Schedule_EK!$B161,INDIRECT(#REF!),0),1,1)*$D164,0)</f>
        <v>0</v>
      </c>
      <c r="J164" s="260">
        <f ca="1">IFERROR(OFFSET(INDIRECT(#REF!),MATCH([2]Development_Schedule_EK!M$6,INDIRECT(#REF!),0)-1,MATCH([2]Development_Schedule_EK!$B161,INDIRECT(#REF!),0),1,1)*$D164,0)</f>
        <v>0</v>
      </c>
      <c r="K164" s="260">
        <f ca="1">IFERROR(OFFSET(INDIRECT(#REF!),MATCH([2]Development_Schedule_EK!N$6,INDIRECT(#REF!),0)-1,MATCH([2]Development_Schedule_EK!$B161,INDIRECT(#REF!),0),1,1)*$D164,0)</f>
        <v>0</v>
      </c>
      <c r="L164" s="265">
        <f ca="1">IFERROR(OFFSET(INDIRECT(#REF!),MATCH([2]Development_Schedule_EK!O$6,INDIRECT(#REF!),0)-1,MATCH([2]Development_Schedule_EK!$B161,INDIRECT(#REF!),0),1,1)*$D164,0)</f>
        <v>0</v>
      </c>
      <c r="M164" s="260">
        <f ca="1">IFERROR(OFFSET(INDIRECT(#REF!),MATCH([2]Development_Schedule_EK!P$6,INDIRECT(#REF!),0)-1,MATCH([2]Development_Schedule_EK!$B161,INDIRECT(#REF!),0),1,1)*$D164,0)</f>
        <v>0</v>
      </c>
      <c r="N164" s="260">
        <f ca="1">IFERROR(OFFSET(INDIRECT(#REF!),MATCH([2]Development_Schedule_EK!Q$6,INDIRECT(#REF!),0)-1,MATCH([2]Development_Schedule_EK!$B161,INDIRECT(#REF!),0),1,1)*$D164,0)</f>
        <v>0</v>
      </c>
      <c r="O164" s="265">
        <f ca="1">IFERROR(OFFSET(INDIRECT(#REF!),MATCH([2]Development_Schedule_EK!R$6,INDIRECT(#REF!),0)-1,MATCH([2]Development_Schedule_EK!$B161,INDIRECT(#REF!),0),1,1)*$D164,0)</f>
        <v>0</v>
      </c>
      <c r="P164" s="183"/>
      <c r="Q164" s="184"/>
      <c r="R164" s="183"/>
    </row>
    <row r="165" spans="1:18" x14ac:dyDescent="0.25">
      <c r="A165" s="284">
        <v>1</v>
      </c>
      <c r="B165" s="774" t="s">
        <v>355</v>
      </c>
      <c r="C165" s="262"/>
      <c r="D165" s="270">
        <f ca="1">IFERROR(OFFSET(INDIRECT(#REF!),MATCH([2]Development_Schedule_EK!$E162,INDIRECT(#REF!),0)-1,MATCH([2]Development_Schedule_EK!$B162,INDIRECT(#REF!),0),1,1),0)</f>
        <v>0</v>
      </c>
      <c r="E165" s="266"/>
      <c r="F165" s="260">
        <f ca="1">IFERROR(OFFSET(INDIRECT(#REF!),MATCH([2]Development_Schedule_EK!I$6,INDIRECT(#REF!),0)-1,MATCH([2]Development_Schedule_EK!$B162,INDIRECT(#REF!),0),1,1)*$D165,0)</f>
        <v>0</v>
      </c>
      <c r="G165" s="260">
        <f ca="1">IFERROR(OFFSET(INDIRECT(#REF!),MATCH([2]Development_Schedule_EK!J$6,INDIRECT(#REF!),0)-1,MATCH([2]Development_Schedule_EK!$B162,INDIRECT(#REF!),0),1,1)*$D165,0)</f>
        <v>0</v>
      </c>
      <c r="H165" s="265">
        <f ca="1">IFERROR(OFFSET(INDIRECT(#REF!),MATCH([2]Development_Schedule_EK!K$6,INDIRECT(#REF!),0)-1,MATCH([2]Development_Schedule_EK!$B162,INDIRECT(#REF!),0),1,1)*$D165,0)</f>
        <v>0</v>
      </c>
      <c r="I165" s="260">
        <f ca="1">IFERROR(OFFSET(INDIRECT(#REF!),MATCH([2]Development_Schedule_EK!L$6,INDIRECT(#REF!),0)-1,MATCH([2]Development_Schedule_EK!$B162,INDIRECT(#REF!),0),1,1)*$D165,0)</f>
        <v>0</v>
      </c>
      <c r="J165" s="260">
        <f ca="1">IFERROR(OFFSET(INDIRECT(#REF!),MATCH([2]Development_Schedule_EK!M$6,INDIRECT(#REF!),0)-1,MATCH([2]Development_Schedule_EK!$B162,INDIRECT(#REF!),0),1,1)*$D165,0)</f>
        <v>0</v>
      </c>
      <c r="K165" s="260">
        <f ca="1">IFERROR(OFFSET(INDIRECT(#REF!),MATCH([2]Development_Schedule_EK!N$6,INDIRECT(#REF!),0)-1,MATCH([2]Development_Schedule_EK!$B162,INDIRECT(#REF!),0),1,1)*$D165,0)</f>
        <v>0</v>
      </c>
      <c r="L165" s="265">
        <f ca="1">IFERROR(OFFSET(INDIRECT(#REF!),MATCH([2]Development_Schedule_EK!O$6,INDIRECT(#REF!),0)-1,MATCH([2]Development_Schedule_EK!$B162,INDIRECT(#REF!),0),1,1)*$D165,0)</f>
        <v>0</v>
      </c>
      <c r="M165" s="260">
        <f ca="1">IFERROR(OFFSET(INDIRECT(#REF!),MATCH([2]Development_Schedule_EK!P$6,INDIRECT(#REF!),0)-1,MATCH([2]Development_Schedule_EK!$B162,INDIRECT(#REF!),0),1,1)*$D165,0)</f>
        <v>0</v>
      </c>
      <c r="N165" s="260">
        <f ca="1">IFERROR(OFFSET(INDIRECT(#REF!),MATCH([2]Development_Schedule_EK!Q$6,INDIRECT(#REF!),0)-1,MATCH([2]Development_Schedule_EK!$B162,INDIRECT(#REF!),0),1,1)*$D165,0)</f>
        <v>0</v>
      </c>
      <c r="O165" s="265">
        <f ca="1">IFERROR(OFFSET(INDIRECT(#REF!),MATCH([2]Development_Schedule_EK!R$6,INDIRECT(#REF!),0)-1,MATCH([2]Development_Schedule_EK!$B162,INDIRECT(#REF!),0),1,1)*$D165,0)</f>
        <v>0</v>
      </c>
      <c r="P165" s="183"/>
      <c r="Q165" s="184"/>
      <c r="R165" s="183"/>
    </row>
    <row r="166" spans="1:18" x14ac:dyDescent="0.25">
      <c r="A166" s="284">
        <v>1</v>
      </c>
      <c r="B166" s="774" t="s">
        <v>356</v>
      </c>
      <c r="C166" s="262"/>
      <c r="D166" s="270">
        <f ca="1">IFERROR(OFFSET(INDIRECT(#REF!),MATCH([2]Development_Schedule_EK!$E163,INDIRECT(#REF!),0)-1,MATCH([2]Development_Schedule_EK!$B163,INDIRECT(#REF!),0),1,1),0)</f>
        <v>0</v>
      </c>
      <c r="E166" s="266"/>
      <c r="F166" s="260">
        <f ca="1">IFERROR(OFFSET(INDIRECT(#REF!),MATCH([2]Development_Schedule_EK!I$6,INDIRECT(#REF!),0)-1,MATCH([2]Development_Schedule_EK!$B163,INDIRECT(#REF!),0),1,1)*$D166,0)</f>
        <v>0</v>
      </c>
      <c r="G166" s="260">
        <f ca="1">IFERROR(OFFSET(INDIRECT(#REF!),MATCH([2]Development_Schedule_EK!J$6,INDIRECT(#REF!),0)-1,MATCH([2]Development_Schedule_EK!$B163,INDIRECT(#REF!),0),1,1)*$D166,0)</f>
        <v>0</v>
      </c>
      <c r="H166" s="265">
        <f ca="1">IFERROR(OFFSET(INDIRECT(#REF!),MATCH([2]Development_Schedule_EK!K$6,INDIRECT(#REF!),0)-1,MATCH([2]Development_Schedule_EK!$B163,INDIRECT(#REF!),0),1,1)*$D166,0)</f>
        <v>0</v>
      </c>
      <c r="I166" s="260">
        <f ca="1">IFERROR(OFFSET(INDIRECT(#REF!),MATCH([2]Development_Schedule_EK!L$6,INDIRECT(#REF!),0)-1,MATCH([2]Development_Schedule_EK!$B163,INDIRECT(#REF!),0),1,1)*$D166,0)</f>
        <v>0</v>
      </c>
      <c r="J166" s="260">
        <f ca="1">IFERROR(OFFSET(INDIRECT(#REF!),MATCH([2]Development_Schedule_EK!M$6,INDIRECT(#REF!),0)-1,MATCH([2]Development_Schedule_EK!$B163,INDIRECT(#REF!),0),1,1)*$D166,0)</f>
        <v>0</v>
      </c>
      <c r="K166" s="260">
        <f ca="1">IFERROR(OFFSET(INDIRECT(#REF!),MATCH([2]Development_Schedule_EK!N$6,INDIRECT(#REF!),0)-1,MATCH([2]Development_Schedule_EK!$B163,INDIRECT(#REF!),0),1,1)*$D166,0)</f>
        <v>0</v>
      </c>
      <c r="L166" s="265">
        <f ca="1">IFERROR(OFFSET(INDIRECT(#REF!),MATCH([2]Development_Schedule_EK!O$6,INDIRECT(#REF!),0)-1,MATCH([2]Development_Schedule_EK!$B163,INDIRECT(#REF!),0),1,1)*$D166,0)</f>
        <v>0</v>
      </c>
      <c r="M166" s="260">
        <f ca="1">IFERROR(OFFSET(INDIRECT(#REF!),MATCH([2]Development_Schedule_EK!P$6,INDIRECT(#REF!),0)-1,MATCH([2]Development_Schedule_EK!$B163,INDIRECT(#REF!),0),1,1)*$D166,0)</f>
        <v>0</v>
      </c>
      <c r="N166" s="260">
        <f ca="1">IFERROR(OFFSET(INDIRECT(#REF!),MATCH([2]Development_Schedule_EK!Q$6,INDIRECT(#REF!),0)-1,MATCH([2]Development_Schedule_EK!$B163,INDIRECT(#REF!),0),1,1)*$D166,0)</f>
        <v>0</v>
      </c>
      <c r="O166" s="265">
        <f ca="1">IFERROR(OFFSET(INDIRECT(#REF!),MATCH([2]Development_Schedule_EK!R$6,INDIRECT(#REF!),0)-1,MATCH([2]Development_Schedule_EK!$B163,INDIRECT(#REF!),0),1,1)*$D166,0)</f>
        <v>0</v>
      </c>
      <c r="P166" s="183"/>
      <c r="Q166" s="184"/>
      <c r="R166" s="183"/>
    </row>
    <row r="167" spans="1:18" x14ac:dyDescent="0.25">
      <c r="A167" s="284">
        <v>1</v>
      </c>
      <c r="B167" s="774" t="s">
        <v>357</v>
      </c>
      <c r="C167" s="262"/>
      <c r="D167" s="270">
        <f ca="1">IFERROR(OFFSET(INDIRECT(#REF!),MATCH([2]Development_Schedule_EK!$E164,INDIRECT(#REF!),0)-1,MATCH([2]Development_Schedule_EK!$B164,INDIRECT(#REF!),0),1,1),0)</f>
        <v>0</v>
      </c>
      <c r="E167" s="266"/>
      <c r="F167" s="260">
        <f ca="1">IFERROR(OFFSET(INDIRECT(#REF!),MATCH([2]Development_Schedule_EK!I$6,INDIRECT(#REF!),0)-1,MATCH([2]Development_Schedule_EK!$B164,INDIRECT(#REF!),0),1,1)*$D167,0)</f>
        <v>0</v>
      </c>
      <c r="G167" s="260">
        <f ca="1">IFERROR(OFFSET(INDIRECT(#REF!),MATCH([2]Development_Schedule_EK!J$6,INDIRECT(#REF!),0)-1,MATCH([2]Development_Schedule_EK!$B164,INDIRECT(#REF!),0),1,1)*$D167,0)</f>
        <v>0</v>
      </c>
      <c r="H167" s="265">
        <f ca="1">IFERROR(OFFSET(INDIRECT(#REF!),MATCH([2]Development_Schedule_EK!K$6,INDIRECT(#REF!),0)-1,MATCH([2]Development_Schedule_EK!$B164,INDIRECT(#REF!),0),1,1)*$D167,0)</f>
        <v>0</v>
      </c>
      <c r="I167" s="260">
        <f ca="1">IFERROR(OFFSET(INDIRECT(#REF!),MATCH([2]Development_Schedule_EK!L$6,INDIRECT(#REF!),0)-1,MATCH([2]Development_Schedule_EK!$B164,INDIRECT(#REF!),0),1,1)*$D167,0)</f>
        <v>0</v>
      </c>
      <c r="J167" s="260">
        <f ca="1">IFERROR(OFFSET(INDIRECT(#REF!),MATCH([2]Development_Schedule_EK!M$6,INDIRECT(#REF!),0)-1,MATCH([2]Development_Schedule_EK!$B164,INDIRECT(#REF!),0),1,1)*$D167,0)</f>
        <v>0</v>
      </c>
      <c r="K167" s="260">
        <f ca="1">IFERROR(OFFSET(INDIRECT(#REF!),MATCH([2]Development_Schedule_EK!N$6,INDIRECT(#REF!),0)-1,MATCH([2]Development_Schedule_EK!$B164,INDIRECT(#REF!),0),1,1)*$D167,0)</f>
        <v>0</v>
      </c>
      <c r="L167" s="265">
        <f ca="1">IFERROR(OFFSET(INDIRECT(#REF!),MATCH([2]Development_Schedule_EK!O$6,INDIRECT(#REF!),0)-1,MATCH([2]Development_Schedule_EK!$B164,INDIRECT(#REF!),0),1,1)*$D167,0)</f>
        <v>0</v>
      </c>
      <c r="M167" s="260">
        <f ca="1">IFERROR(OFFSET(INDIRECT(#REF!),MATCH([2]Development_Schedule_EK!P$6,INDIRECT(#REF!),0)-1,MATCH([2]Development_Schedule_EK!$B164,INDIRECT(#REF!),0),1,1)*$D167,0)</f>
        <v>0</v>
      </c>
      <c r="N167" s="260">
        <f ca="1">IFERROR(OFFSET(INDIRECT(#REF!),MATCH([2]Development_Schedule_EK!Q$6,INDIRECT(#REF!),0)-1,MATCH([2]Development_Schedule_EK!$B164,INDIRECT(#REF!),0),1,1)*$D167,0)</f>
        <v>0</v>
      </c>
      <c r="O167" s="265">
        <f ca="1">IFERROR(OFFSET(INDIRECT(#REF!),MATCH([2]Development_Schedule_EK!R$6,INDIRECT(#REF!),0)-1,MATCH([2]Development_Schedule_EK!$B164,INDIRECT(#REF!),0),1,1)*$D167,0)</f>
        <v>0</v>
      </c>
      <c r="P167" s="183"/>
      <c r="Q167" s="184"/>
      <c r="R167" s="183"/>
    </row>
    <row r="168" spans="1:18" x14ac:dyDescent="0.25">
      <c r="A168" s="284">
        <v>1</v>
      </c>
      <c r="B168" s="774" t="s">
        <v>358</v>
      </c>
      <c r="C168" s="262"/>
      <c r="D168" s="270">
        <f ca="1">IFERROR(OFFSET(INDIRECT(#REF!),MATCH([2]Development_Schedule_EK!$E165,INDIRECT(#REF!),0)-1,MATCH([2]Development_Schedule_EK!$B165,INDIRECT(#REF!),0),1,1),0)</f>
        <v>0</v>
      </c>
      <c r="E168" s="266"/>
      <c r="F168" s="260">
        <f ca="1">IFERROR(OFFSET(INDIRECT(#REF!),MATCH([2]Development_Schedule_EK!I$6,INDIRECT(#REF!),0)-1,MATCH([2]Development_Schedule_EK!$B165,INDIRECT(#REF!),0),1,1)*$D168,0)</f>
        <v>0</v>
      </c>
      <c r="G168" s="260">
        <f ca="1">IFERROR(OFFSET(INDIRECT(#REF!),MATCH([2]Development_Schedule_EK!J$6,INDIRECT(#REF!),0)-1,MATCH([2]Development_Schedule_EK!$B165,INDIRECT(#REF!),0),1,1)*$D168,0)</f>
        <v>0</v>
      </c>
      <c r="H168" s="265">
        <f ca="1">IFERROR(OFFSET(INDIRECT(#REF!),MATCH([2]Development_Schedule_EK!K$6,INDIRECT(#REF!),0)-1,MATCH([2]Development_Schedule_EK!$B165,INDIRECT(#REF!),0),1,1)*$D168,0)</f>
        <v>0</v>
      </c>
      <c r="I168" s="260">
        <f ca="1">IFERROR(OFFSET(INDIRECT(#REF!),MATCH([2]Development_Schedule_EK!L$6,INDIRECT(#REF!),0)-1,MATCH([2]Development_Schedule_EK!$B165,INDIRECT(#REF!),0),1,1)*$D168,0)</f>
        <v>0</v>
      </c>
      <c r="J168" s="260">
        <f ca="1">IFERROR(OFFSET(INDIRECT(#REF!),MATCH([2]Development_Schedule_EK!M$6,INDIRECT(#REF!),0)-1,MATCH([2]Development_Schedule_EK!$B165,INDIRECT(#REF!),0),1,1)*$D168,0)</f>
        <v>0</v>
      </c>
      <c r="K168" s="260">
        <f ca="1">IFERROR(OFFSET(INDIRECT(#REF!),MATCH([2]Development_Schedule_EK!N$6,INDIRECT(#REF!),0)-1,MATCH([2]Development_Schedule_EK!$B165,INDIRECT(#REF!),0),1,1)*$D168,0)</f>
        <v>0</v>
      </c>
      <c r="L168" s="265">
        <f ca="1">IFERROR(OFFSET(INDIRECT(#REF!),MATCH([2]Development_Schedule_EK!O$6,INDIRECT(#REF!),0)-1,MATCH([2]Development_Schedule_EK!$B165,INDIRECT(#REF!),0),1,1)*$D168,0)</f>
        <v>0</v>
      </c>
      <c r="M168" s="260">
        <f ca="1">IFERROR(OFFSET(INDIRECT(#REF!),MATCH([2]Development_Schedule_EK!P$6,INDIRECT(#REF!),0)-1,MATCH([2]Development_Schedule_EK!$B165,INDIRECT(#REF!),0),1,1)*$D168,0)</f>
        <v>0</v>
      </c>
      <c r="N168" s="260">
        <f ca="1">IFERROR(OFFSET(INDIRECT(#REF!),MATCH([2]Development_Schedule_EK!Q$6,INDIRECT(#REF!),0)-1,MATCH([2]Development_Schedule_EK!$B165,INDIRECT(#REF!),0),1,1)*$D168,0)</f>
        <v>0</v>
      </c>
      <c r="O168" s="265">
        <f ca="1">IFERROR(OFFSET(INDIRECT(#REF!),MATCH([2]Development_Schedule_EK!R$6,INDIRECT(#REF!),0)-1,MATCH([2]Development_Schedule_EK!$B165,INDIRECT(#REF!),0),1,1)*$D168,0)</f>
        <v>0</v>
      </c>
      <c r="P168" s="183"/>
      <c r="Q168" s="184"/>
      <c r="R168" s="183"/>
    </row>
    <row r="169" spans="1:18" x14ac:dyDescent="0.25">
      <c r="A169" s="284">
        <v>1</v>
      </c>
      <c r="B169" s="774" t="s">
        <v>359</v>
      </c>
      <c r="C169" s="262"/>
      <c r="D169" s="270">
        <f ca="1">IFERROR(OFFSET(INDIRECT(#REF!),MATCH([2]Development_Schedule_EK!$E166,INDIRECT(#REF!),0)-1,MATCH([2]Development_Schedule_EK!$B166,INDIRECT(#REF!),0),1,1),0)</f>
        <v>0</v>
      </c>
      <c r="E169" s="266"/>
      <c r="F169" s="260">
        <f ca="1">IFERROR(OFFSET(INDIRECT(#REF!),MATCH([2]Development_Schedule_EK!I$6,INDIRECT(#REF!),0)-1,MATCH([2]Development_Schedule_EK!$B166,INDIRECT(#REF!),0),1,1)*$D169,0)</f>
        <v>0</v>
      </c>
      <c r="G169" s="260">
        <f ca="1">IFERROR(OFFSET(INDIRECT(#REF!),MATCH([2]Development_Schedule_EK!J$6,INDIRECT(#REF!),0)-1,MATCH([2]Development_Schedule_EK!$B166,INDIRECT(#REF!),0),1,1)*$D169,0)</f>
        <v>0</v>
      </c>
      <c r="H169" s="265">
        <f ca="1">IFERROR(OFFSET(INDIRECT(#REF!),MATCH([2]Development_Schedule_EK!K$6,INDIRECT(#REF!),0)-1,MATCH([2]Development_Schedule_EK!$B166,INDIRECT(#REF!),0),1,1)*$D169,0)</f>
        <v>0</v>
      </c>
      <c r="I169" s="260">
        <f ca="1">IFERROR(OFFSET(INDIRECT(#REF!),MATCH([2]Development_Schedule_EK!L$6,INDIRECT(#REF!),0)-1,MATCH([2]Development_Schedule_EK!$B166,INDIRECT(#REF!),0),1,1)*$D169,0)</f>
        <v>0</v>
      </c>
      <c r="J169" s="260">
        <f ca="1">IFERROR(OFFSET(INDIRECT(#REF!),MATCH([2]Development_Schedule_EK!M$6,INDIRECT(#REF!),0)-1,MATCH([2]Development_Schedule_EK!$B166,INDIRECT(#REF!),0),1,1)*$D169,0)</f>
        <v>0</v>
      </c>
      <c r="K169" s="260">
        <f ca="1">IFERROR(OFFSET(INDIRECT(#REF!),MATCH([2]Development_Schedule_EK!N$6,INDIRECT(#REF!),0)-1,MATCH([2]Development_Schedule_EK!$B166,INDIRECT(#REF!),0),1,1)*$D169,0)</f>
        <v>0</v>
      </c>
      <c r="L169" s="265">
        <f ca="1">IFERROR(OFFSET(INDIRECT(#REF!),MATCH([2]Development_Schedule_EK!O$6,INDIRECT(#REF!),0)-1,MATCH([2]Development_Schedule_EK!$B166,INDIRECT(#REF!),0),1,1)*$D169,0)</f>
        <v>0</v>
      </c>
      <c r="M169" s="260">
        <f ca="1">IFERROR(OFFSET(INDIRECT(#REF!),MATCH([2]Development_Schedule_EK!P$6,INDIRECT(#REF!),0)-1,MATCH([2]Development_Schedule_EK!$B166,INDIRECT(#REF!),0),1,1)*$D169,0)</f>
        <v>0</v>
      </c>
      <c r="N169" s="260">
        <f ca="1">IFERROR(OFFSET(INDIRECT(#REF!),MATCH([2]Development_Schedule_EK!Q$6,INDIRECT(#REF!),0)-1,MATCH([2]Development_Schedule_EK!$B166,INDIRECT(#REF!),0),1,1)*$D169,0)</f>
        <v>0</v>
      </c>
      <c r="O169" s="265">
        <f ca="1">IFERROR(OFFSET(INDIRECT(#REF!),MATCH([2]Development_Schedule_EK!R$6,INDIRECT(#REF!),0)-1,MATCH([2]Development_Schedule_EK!$B166,INDIRECT(#REF!),0),1,1)*$D169,0)</f>
        <v>0</v>
      </c>
      <c r="P169" s="183"/>
      <c r="Q169" s="184"/>
      <c r="R169" s="183"/>
    </row>
    <row r="170" spans="1:18" x14ac:dyDescent="0.25">
      <c r="A170" s="284">
        <v>1</v>
      </c>
      <c r="B170" s="774" t="s">
        <v>33</v>
      </c>
      <c r="C170" s="262"/>
      <c r="D170" s="270">
        <f ca="1">IFERROR(OFFSET(INDIRECT(#REF!),MATCH([2]Development_Schedule_EK!$E167,INDIRECT(#REF!),0)-1,MATCH([2]Development_Schedule_EK!$B167,INDIRECT(#REF!),0),1,1),0)</f>
        <v>0</v>
      </c>
      <c r="E170" s="266"/>
      <c r="F170" s="260">
        <f ca="1">IFERROR(OFFSET(INDIRECT(#REF!),MATCH([2]Development_Schedule_EK!I$6,INDIRECT(#REF!),0)-1,MATCH([2]Development_Schedule_EK!$B167,INDIRECT(#REF!),0),1,1)*$D170,0)</f>
        <v>0</v>
      </c>
      <c r="G170" s="260">
        <f ca="1">IFERROR(OFFSET(INDIRECT(#REF!),MATCH([2]Development_Schedule_EK!J$6,INDIRECT(#REF!),0)-1,MATCH([2]Development_Schedule_EK!$B167,INDIRECT(#REF!),0),1,1)*$D170,0)</f>
        <v>0</v>
      </c>
      <c r="H170" s="265">
        <f ca="1">IFERROR(OFFSET(INDIRECT(#REF!),MATCH([2]Development_Schedule_EK!K$6,INDIRECT(#REF!),0)-1,MATCH([2]Development_Schedule_EK!$B167,INDIRECT(#REF!),0),1,1)*$D170,0)</f>
        <v>0</v>
      </c>
      <c r="I170" s="260">
        <f ca="1">IFERROR(OFFSET(INDIRECT(#REF!),MATCH([2]Development_Schedule_EK!L$6,INDIRECT(#REF!),0)-1,MATCH([2]Development_Schedule_EK!$B167,INDIRECT(#REF!),0),1,1)*$D170,0)</f>
        <v>0</v>
      </c>
      <c r="J170" s="260">
        <f ca="1">IFERROR(OFFSET(INDIRECT(#REF!),MATCH([2]Development_Schedule_EK!M$6,INDIRECT(#REF!),0)-1,MATCH([2]Development_Schedule_EK!$B167,INDIRECT(#REF!),0),1,1)*$D170,0)</f>
        <v>0</v>
      </c>
      <c r="K170" s="260">
        <f ca="1">IFERROR(OFFSET(INDIRECT(#REF!),MATCH([2]Development_Schedule_EK!N$6,INDIRECT(#REF!),0)-1,MATCH([2]Development_Schedule_EK!$B167,INDIRECT(#REF!),0),1,1)*$D170,0)</f>
        <v>0</v>
      </c>
      <c r="L170" s="265">
        <f ca="1">IFERROR(OFFSET(INDIRECT(#REF!),MATCH([2]Development_Schedule_EK!O$6,INDIRECT(#REF!),0)-1,MATCH([2]Development_Schedule_EK!$B167,INDIRECT(#REF!),0),1,1)*$D170,0)</f>
        <v>0</v>
      </c>
      <c r="M170" s="260">
        <f ca="1">IFERROR(OFFSET(INDIRECT(#REF!),MATCH([2]Development_Schedule_EK!P$6,INDIRECT(#REF!),0)-1,MATCH([2]Development_Schedule_EK!$B167,INDIRECT(#REF!),0),1,1)*$D170,0)</f>
        <v>0</v>
      </c>
      <c r="N170" s="260">
        <f ca="1">IFERROR(OFFSET(INDIRECT(#REF!),MATCH([2]Development_Schedule_EK!Q$6,INDIRECT(#REF!),0)-1,MATCH([2]Development_Schedule_EK!$B167,INDIRECT(#REF!),0),1,1)*$D170,0)</f>
        <v>0</v>
      </c>
      <c r="O170" s="265">
        <f ca="1">IFERROR(OFFSET(INDIRECT(#REF!),MATCH([2]Development_Schedule_EK!R$6,INDIRECT(#REF!),0)-1,MATCH([2]Development_Schedule_EK!$B167,INDIRECT(#REF!),0),1,1)*$D170,0)</f>
        <v>0</v>
      </c>
      <c r="P170" s="183"/>
      <c r="Q170" s="184"/>
      <c r="R170" s="183"/>
    </row>
    <row r="171" spans="1:18" x14ac:dyDescent="0.25">
      <c r="A171" s="284">
        <v>1</v>
      </c>
      <c r="B171" s="774" t="s">
        <v>42</v>
      </c>
      <c r="C171" s="262"/>
      <c r="D171" s="270">
        <f ca="1">IFERROR(OFFSET(INDIRECT(#REF!),MATCH([2]Development_Schedule_EK!$E168,INDIRECT(#REF!),0)-1,MATCH([2]Development_Schedule_EK!$B168,INDIRECT(#REF!),0),1,1),0)</f>
        <v>0</v>
      </c>
      <c r="E171" s="266"/>
      <c r="F171" s="260">
        <f ca="1">IFERROR(OFFSET(INDIRECT(#REF!),MATCH([2]Development_Schedule_EK!I$6,INDIRECT(#REF!),0)-1,MATCH([2]Development_Schedule_EK!$B168,INDIRECT(#REF!),0),1,1)*$D171,0)</f>
        <v>0</v>
      </c>
      <c r="G171" s="260">
        <f ca="1">IFERROR(OFFSET(INDIRECT(#REF!),MATCH([2]Development_Schedule_EK!J$6,INDIRECT(#REF!),0)-1,MATCH([2]Development_Schedule_EK!$B168,INDIRECT(#REF!),0),1,1)*$D171,0)</f>
        <v>0</v>
      </c>
      <c r="H171" s="265">
        <f ca="1">IFERROR(OFFSET(INDIRECT(#REF!),MATCH([2]Development_Schedule_EK!K$6,INDIRECT(#REF!),0)-1,MATCH([2]Development_Schedule_EK!$B168,INDIRECT(#REF!),0),1,1)*$D171,0)</f>
        <v>0</v>
      </c>
      <c r="I171" s="260">
        <f ca="1">IFERROR(OFFSET(INDIRECT(#REF!),MATCH([2]Development_Schedule_EK!L$6,INDIRECT(#REF!),0)-1,MATCH([2]Development_Schedule_EK!$B168,INDIRECT(#REF!),0),1,1)*$D171,0)</f>
        <v>0</v>
      </c>
      <c r="J171" s="260">
        <f ca="1">IFERROR(OFFSET(INDIRECT(#REF!),MATCH([2]Development_Schedule_EK!M$6,INDIRECT(#REF!),0)-1,MATCH([2]Development_Schedule_EK!$B168,INDIRECT(#REF!),0),1,1)*$D171,0)</f>
        <v>0</v>
      </c>
      <c r="K171" s="260">
        <f ca="1">IFERROR(OFFSET(INDIRECT(#REF!),MATCH([2]Development_Schedule_EK!N$6,INDIRECT(#REF!),0)-1,MATCH([2]Development_Schedule_EK!$B168,INDIRECT(#REF!),0),1,1)*$D171,0)</f>
        <v>0</v>
      </c>
      <c r="L171" s="265">
        <f ca="1">IFERROR(OFFSET(INDIRECT(#REF!),MATCH([2]Development_Schedule_EK!O$6,INDIRECT(#REF!),0)-1,MATCH([2]Development_Schedule_EK!$B168,INDIRECT(#REF!),0),1,1)*$D171,0)</f>
        <v>0</v>
      </c>
      <c r="M171" s="260">
        <f ca="1">IFERROR(OFFSET(INDIRECT(#REF!),MATCH([2]Development_Schedule_EK!P$6,INDIRECT(#REF!),0)-1,MATCH([2]Development_Schedule_EK!$B168,INDIRECT(#REF!),0),1,1)*$D171,0)</f>
        <v>0</v>
      </c>
      <c r="N171" s="260">
        <f ca="1">IFERROR(OFFSET(INDIRECT(#REF!),MATCH([2]Development_Schedule_EK!Q$6,INDIRECT(#REF!),0)-1,MATCH([2]Development_Schedule_EK!$B168,INDIRECT(#REF!),0),1,1)*$D171,0)</f>
        <v>0</v>
      </c>
      <c r="O171" s="265">
        <f ca="1">IFERROR(OFFSET(INDIRECT(#REF!),MATCH([2]Development_Schedule_EK!R$6,INDIRECT(#REF!),0)-1,MATCH([2]Development_Schedule_EK!$B168,INDIRECT(#REF!),0),1,1)*$D171,0)</f>
        <v>0</v>
      </c>
      <c r="P171" s="183"/>
      <c r="Q171" s="184"/>
      <c r="R171" s="183"/>
    </row>
    <row r="172" spans="1:18" x14ac:dyDescent="0.25">
      <c r="B172" s="774"/>
      <c r="C172" s="262"/>
      <c r="D172" s="270"/>
      <c r="E172" s="266"/>
      <c r="F172" s="256"/>
      <c r="G172" s="256"/>
      <c r="H172" s="263"/>
      <c r="I172" s="256"/>
      <c r="J172" s="256"/>
      <c r="K172" s="256"/>
      <c r="L172" s="263"/>
      <c r="M172" s="256"/>
      <c r="N172" s="256"/>
      <c r="O172" s="263"/>
      <c r="P172" s="183"/>
      <c r="Q172" s="184"/>
      <c r="R172" s="183"/>
    </row>
    <row r="173" spans="1:18" x14ac:dyDescent="0.25">
      <c r="B173" s="774"/>
      <c r="C173" s="262"/>
      <c r="D173" s="270"/>
      <c r="E173" s="266"/>
      <c r="F173" s="256"/>
      <c r="G173" s="256"/>
      <c r="H173" s="263"/>
      <c r="I173" s="256"/>
      <c r="J173" s="256"/>
      <c r="K173" s="256"/>
      <c r="L173" s="263"/>
      <c r="M173" s="256"/>
      <c r="N173" s="256"/>
      <c r="O173" s="263"/>
      <c r="P173" s="183"/>
      <c r="Q173" s="184"/>
      <c r="R173" s="183"/>
    </row>
    <row r="174" spans="1:18" x14ac:dyDescent="0.25">
      <c r="B174" s="773" t="s">
        <v>370</v>
      </c>
      <c r="C174" s="262"/>
      <c r="D174" s="270"/>
      <c r="E174" s="266"/>
      <c r="F174" s="256"/>
      <c r="G174" s="256"/>
      <c r="H174" s="263"/>
      <c r="I174" s="256"/>
      <c r="J174" s="256"/>
      <c r="K174" s="256"/>
      <c r="L174" s="263"/>
      <c r="M174" s="256"/>
      <c r="N174" s="256"/>
      <c r="O174" s="263"/>
      <c r="P174" s="183"/>
      <c r="Q174" s="184"/>
      <c r="R174" s="183"/>
    </row>
    <row r="175" spans="1:18" x14ac:dyDescent="0.25">
      <c r="A175" s="284">
        <v>1</v>
      </c>
      <c r="B175" s="774" t="s">
        <v>381</v>
      </c>
      <c r="C175" s="262"/>
      <c r="D175" s="270">
        <f>(80092.31-D179)*0.8</f>
        <v>53052.248</v>
      </c>
      <c r="E175" s="266"/>
      <c r="F175" s="260">
        <f>D175/2</f>
        <v>26526.124</v>
      </c>
      <c r="G175" s="260">
        <f>F175</f>
        <v>26526.124</v>
      </c>
      <c r="H175" s="265">
        <f ca="1">IFERROR(OFFSET(INDIRECT(#REF!),MATCH([2]Development_Schedule_EK!K$6,INDIRECT(#REF!),0)-1,MATCH([2]Development_Schedule_EK!$B172,INDIRECT(#REF!),0),1,1)*$D175,0)</f>
        <v>0</v>
      </c>
      <c r="I175" s="260">
        <f ca="1">IFERROR(OFFSET(INDIRECT(#REF!),MATCH([2]Development_Schedule_EK!L$6,INDIRECT(#REF!),0)-1,MATCH([2]Development_Schedule_EK!$B172,INDIRECT(#REF!),0),1,1)*$D175,0)</f>
        <v>0</v>
      </c>
      <c r="J175" s="260">
        <f ca="1">IFERROR(OFFSET(INDIRECT(#REF!),MATCH([2]Development_Schedule_EK!M$6,INDIRECT(#REF!),0)-1,MATCH([2]Development_Schedule_EK!$B172,INDIRECT(#REF!),0),1,1)*$D175,0)</f>
        <v>0</v>
      </c>
      <c r="K175" s="260">
        <f ca="1">IFERROR(OFFSET(INDIRECT(#REF!),MATCH([2]Development_Schedule_EK!N$6,INDIRECT(#REF!),0)-1,MATCH([2]Development_Schedule_EK!$B172,INDIRECT(#REF!),0),1,1)*$D175,0)</f>
        <v>0</v>
      </c>
      <c r="L175" s="265">
        <f ca="1">IFERROR(OFFSET(INDIRECT(#REF!),MATCH([2]Development_Schedule_EK!O$6,INDIRECT(#REF!),0)-1,MATCH([2]Development_Schedule_EK!$B172,INDIRECT(#REF!),0),1,1)*$D175,0)</f>
        <v>0</v>
      </c>
      <c r="M175" s="260">
        <f ca="1">IFERROR(OFFSET(INDIRECT(#REF!),MATCH([2]Development_Schedule_EK!P$6,INDIRECT(#REF!),0)-1,MATCH([2]Development_Schedule_EK!$B172,INDIRECT(#REF!),0),1,1)*$D175,0)</f>
        <v>0</v>
      </c>
      <c r="N175" s="260">
        <f ca="1">IFERROR(OFFSET(INDIRECT(#REF!),MATCH([2]Development_Schedule_EK!Q$6,INDIRECT(#REF!),0)-1,MATCH([2]Development_Schedule_EK!$B172,INDIRECT(#REF!),0),1,1)*$D175,0)</f>
        <v>0</v>
      </c>
      <c r="O175" s="265">
        <f ca="1">IFERROR(OFFSET(INDIRECT(#REF!),MATCH([2]Development_Schedule_EK!R$6,INDIRECT(#REF!),0)-1,MATCH([2]Development_Schedule_EK!$B172,INDIRECT(#REF!),0),1,1)*$D175,0)</f>
        <v>0</v>
      </c>
      <c r="P175" s="183"/>
      <c r="Q175" s="184"/>
      <c r="R175" s="183"/>
    </row>
    <row r="176" spans="1:18" x14ac:dyDescent="0.25">
      <c r="A176" s="284">
        <v>1</v>
      </c>
      <c r="B176" s="774" t="s">
        <v>382</v>
      </c>
      <c r="C176" s="262"/>
      <c r="D176" s="270">
        <f ca="1">IFERROR(OFFSET(INDIRECT(#REF!),MATCH([2]Development_Schedule_EK!$E173,INDIRECT(#REF!),0)-1,MATCH([2]Development_Schedule_EK!$B173,INDIRECT(#REF!),0),1,1),0)</f>
        <v>0</v>
      </c>
      <c r="E176" s="266"/>
      <c r="F176" s="260">
        <f ca="1">IFERROR(OFFSET(INDIRECT(#REF!),MATCH([2]Development_Schedule_EK!I$6,INDIRECT(#REF!),0)-1,MATCH([2]Development_Schedule_EK!$B173,INDIRECT(#REF!),0),1,1)*$D176,0)</f>
        <v>0</v>
      </c>
      <c r="G176" s="260">
        <f ca="1">IFERROR(OFFSET(INDIRECT(#REF!),MATCH([2]Development_Schedule_EK!J$6,INDIRECT(#REF!),0)-1,MATCH([2]Development_Schedule_EK!$B173,INDIRECT(#REF!),0),1,1)*$D176,0)</f>
        <v>0</v>
      </c>
      <c r="H176" s="265">
        <f ca="1">IFERROR(OFFSET(INDIRECT(#REF!),MATCH([2]Development_Schedule_EK!K$6,INDIRECT(#REF!),0)-1,MATCH([2]Development_Schedule_EK!$B173,INDIRECT(#REF!),0),1,1)*$D176,0)</f>
        <v>0</v>
      </c>
      <c r="I176" s="260">
        <f ca="1">IFERROR(OFFSET(INDIRECT(#REF!),MATCH([2]Development_Schedule_EK!L$6,INDIRECT(#REF!),0)-1,MATCH([2]Development_Schedule_EK!$B173,INDIRECT(#REF!),0),1,1)*$D176,0)</f>
        <v>0</v>
      </c>
      <c r="J176" s="260">
        <f ca="1">IFERROR(OFFSET(INDIRECT(#REF!),MATCH([2]Development_Schedule_EK!M$6,INDIRECT(#REF!),0)-1,MATCH([2]Development_Schedule_EK!$B173,INDIRECT(#REF!),0),1,1)*$D176,0)</f>
        <v>0</v>
      </c>
      <c r="K176" s="260">
        <f ca="1">IFERROR(OFFSET(INDIRECT(#REF!),MATCH([2]Development_Schedule_EK!N$6,INDIRECT(#REF!),0)-1,MATCH([2]Development_Schedule_EK!$B173,INDIRECT(#REF!),0),1,1)*$D176,0)</f>
        <v>0</v>
      </c>
      <c r="L176" s="265">
        <f ca="1">IFERROR(OFFSET(INDIRECT(#REF!),MATCH([2]Development_Schedule_EK!O$6,INDIRECT(#REF!),0)-1,MATCH([2]Development_Schedule_EK!$B173,INDIRECT(#REF!),0),1,1)*$D176,0)</f>
        <v>0</v>
      </c>
      <c r="M176" s="260">
        <f ca="1">IFERROR(OFFSET(INDIRECT(#REF!),MATCH([2]Development_Schedule_EK!P$6,INDIRECT(#REF!),0)-1,MATCH([2]Development_Schedule_EK!$B173,INDIRECT(#REF!),0),1,1)*$D176,0)</f>
        <v>0</v>
      </c>
      <c r="N176" s="260">
        <f ca="1">IFERROR(OFFSET(INDIRECT(#REF!),MATCH([2]Development_Schedule_EK!Q$6,INDIRECT(#REF!),0)-1,MATCH([2]Development_Schedule_EK!$B173,INDIRECT(#REF!),0),1,1)*$D176,0)</f>
        <v>0</v>
      </c>
      <c r="O176" s="265">
        <f ca="1">IFERROR(OFFSET(INDIRECT(#REF!),MATCH([2]Development_Schedule_EK!R$6,INDIRECT(#REF!),0)-1,MATCH([2]Development_Schedule_EK!$B173,INDIRECT(#REF!),0),1,1)*$D176,0)</f>
        <v>0</v>
      </c>
      <c r="P176" s="183"/>
      <c r="Q176" s="184"/>
      <c r="R176" s="183"/>
    </row>
    <row r="177" spans="1:18" x14ac:dyDescent="0.25">
      <c r="A177" s="284">
        <v>1</v>
      </c>
      <c r="B177" s="774" t="s">
        <v>383</v>
      </c>
      <c r="C177" s="262"/>
      <c r="D177" s="270">
        <f>D175/4</f>
        <v>13263.062</v>
      </c>
      <c r="E177" s="266"/>
      <c r="F177" s="260">
        <f>F175/4</f>
        <v>6631.5309999999999</v>
      </c>
      <c r="G177" s="260">
        <f t="shared" ref="G177:H177" si="13">G175/4</f>
        <v>6631.5309999999999</v>
      </c>
      <c r="H177" s="265">
        <f t="shared" ca="1" si="13"/>
        <v>0</v>
      </c>
      <c r="I177" s="260">
        <f ca="1">IFERROR(OFFSET(INDIRECT(#REF!),MATCH([2]Development_Schedule_EK!L$6,INDIRECT(#REF!),0)-1,MATCH([2]Development_Schedule_EK!$B174,INDIRECT(#REF!),0),1,1)*$D177,0)</f>
        <v>0</v>
      </c>
      <c r="J177" s="260">
        <f ca="1">IFERROR(OFFSET(INDIRECT(#REF!),MATCH([2]Development_Schedule_EK!M$6,INDIRECT(#REF!),0)-1,MATCH([2]Development_Schedule_EK!$B174,INDIRECT(#REF!),0),1,1)*$D177,0)</f>
        <v>0</v>
      </c>
      <c r="K177" s="260">
        <f ca="1">IFERROR(OFFSET(INDIRECT(#REF!),MATCH([2]Development_Schedule_EK!N$6,INDIRECT(#REF!),0)-1,MATCH([2]Development_Schedule_EK!$B174,INDIRECT(#REF!),0),1,1)*$D177,0)</f>
        <v>0</v>
      </c>
      <c r="L177" s="265">
        <f ca="1">IFERROR(OFFSET(INDIRECT(#REF!),MATCH([2]Development_Schedule_EK!O$6,INDIRECT(#REF!),0)-1,MATCH([2]Development_Schedule_EK!$B174,INDIRECT(#REF!),0),1,1)*$D177,0)</f>
        <v>0</v>
      </c>
      <c r="M177" s="260">
        <f ca="1">IFERROR(OFFSET(INDIRECT(#REF!),MATCH([2]Development_Schedule_EK!P$6,INDIRECT(#REF!),0)-1,MATCH([2]Development_Schedule_EK!$B174,INDIRECT(#REF!),0),1,1)*$D177,0)</f>
        <v>0</v>
      </c>
      <c r="N177" s="260">
        <f ca="1">IFERROR(OFFSET(INDIRECT(#REF!),MATCH([2]Development_Schedule_EK!Q$6,INDIRECT(#REF!),0)-1,MATCH([2]Development_Schedule_EK!$B174,INDIRECT(#REF!),0),1,1)*$D177,0)</f>
        <v>0</v>
      </c>
      <c r="O177" s="265">
        <f ca="1">IFERROR(OFFSET(INDIRECT(#REF!),MATCH([2]Development_Schedule_EK!R$6,INDIRECT(#REF!),0)-1,MATCH([2]Development_Schedule_EK!$B174,INDIRECT(#REF!),0),1,1)*$D177,0)</f>
        <v>0</v>
      </c>
      <c r="P177" s="183"/>
      <c r="Q177" s="184"/>
      <c r="R177" s="183"/>
    </row>
    <row r="178" spans="1:18" x14ac:dyDescent="0.25">
      <c r="A178" s="284">
        <v>1</v>
      </c>
      <c r="B178" s="774" t="s">
        <v>384</v>
      </c>
      <c r="C178" s="262"/>
      <c r="D178" s="270">
        <f ca="1">IFERROR(OFFSET(INDIRECT(#REF!),MATCH([2]Development_Schedule_EK!$E175,INDIRECT(#REF!),0)-1,MATCH([2]Development_Schedule_EK!$B175,INDIRECT(#REF!),0),1,1),0)</f>
        <v>0</v>
      </c>
      <c r="E178" s="266"/>
      <c r="F178" s="260">
        <f ca="1">IFERROR(OFFSET(INDIRECT(#REF!),MATCH([2]Development_Schedule_EK!I$6,INDIRECT(#REF!),0)-1,MATCH([2]Development_Schedule_EK!$B175,INDIRECT(#REF!),0),1,1)*$D178,0)</f>
        <v>0</v>
      </c>
      <c r="G178" s="260">
        <f ca="1">IFERROR(OFFSET(INDIRECT(#REF!),MATCH([2]Development_Schedule_EK!J$6,INDIRECT(#REF!),0)-1,MATCH([2]Development_Schedule_EK!$B175,INDIRECT(#REF!),0),1,1)*$D178,0)</f>
        <v>0</v>
      </c>
      <c r="H178" s="265">
        <f ca="1">IFERROR(OFFSET(INDIRECT(#REF!),MATCH([2]Development_Schedule_EK!K$6,INDIRECT(#REF!),0)-1,MATCH([2]Development_Schedule_EK!$B175,INDIRECT(#REF!),0),1,1)*$D178,0)</f>
        <v>0</v>
      </c>
      <c r="I178" s="260">
        <f ca="1">IFERROR(OFFSET(INDIRECT(#REF!),MATCH([2]Development_Schedule_EK!L$6,INDIRECT(#REF!),0)-1,MATCH([2]Development_Schedule_EK!$B175,INDIRECT(#REF!),0),1,1)*$D178,0)</f>
        <v>0</v>
      </c>
      <c r="J178" s="260">
        <f ca="1">IFERROR(OFFSET(INDIRECT(#REF!),MATCH([2]Development_Schedule_EK!M$6,INDIRECT(#REF!),0)-1,MATCH([2]Development_Schedule_EK!$B175,INDIRECT(#REF!),0),1,1)*$D178,0)</f>
        <v>0</v>
      </c>
      <c r="K178" s="260">
        <f ca="1">IFERROR(OFFSET(INDIRECT(#REF!),MATCH([2]Development_Schedule_EK!N$6,INDIRECT(#REF!),0)-1,MATCH([2]Development_Schedule_EK!$B175,INDIRECT(#REF!),0),1,1)*$D178,0)</f>
        <v>0</v>
      </c>
      <c r="L178" s="265">
        <f ca="1">IFERROR(OFFSET(INDIRECT(#REF!),MATCH([2]Development_Schedule_EK!O$6,INDIRECT(#REF!),0)-1,MATCH([2]Development_Schedule_EK!$B175,INDIRECT(#REF!),0),1,1)*$D178,0)</f>
        <v>0</v>
      </c>
      <c r="M178" s="260">
        <f ca="1">IFERROR(OFFSET(INDIRECT(#REF!),MATCH([2]Development_Schedule_EK!P$6,INDIRECT(#REF!),0)-1,MATCH([2]Development_Schedule_EK!$B175,INDIRECT(#REF!),0),1,1)*$D178,0)</f>
        <v>0</v>
      </c>
      <c r="N178" s="260">
        <f ca="1">IFERROR(OFFSET(INDIRECT(#REF!),MATCH([2]Development_Schedule_EK!Q$6,INDIRECT(#REF!),0)-1,MATCH([2]Development_Schedule_EK!$B175,INDIRECT(#REF!),0),1,1)*$D178,0)</f>
        <v>0</v>
      </c>
      <c r="O178" s="265">
        <f ca="1">IFERROR(OFFSET(INDIRECT(#REF!),MATCH([2]Development_Schedule_EK!R$6,INDIRECT(#REF!),0)-1,MATCH([2]Development_Schedule_EK!$B175,INDIRECT(#REF!),0),1,1)*$D178,0)</f>
        <v>0</v>
      </c>
      <c r="P178" s="183"/>
      <c r="Q178" s="184"/>
      <c r="R178" s="183"/>
    </row>
    <row r="179" spans="1:18" x14ac:dyDescent="0.25">
      <c r="A179" s="284">
        <v>1</v>
      </c>
      <c r="B179" s="774" t="s">
        <v>35</v>
      </c>
      <c r="C179" s="262"/>
      <c r="D179" s="270">
        <v>13777</v>
      </c>
      <c r="E179" s="266"/>
      <c r="F179" s="260">
        <f>D179/2</f>
        <v>6888.5</v>
      </c>
      <c r="G179" s="260">
        <f>F179</f>
        <v>6888.5</v>
      </c>
      <c r="H179" s="265">
        <f ca="1">IFERROR(OFFSET(INDIRECT(#REF!),MATCH([2]Development_Schedule_EK!K$6,INDIRECT(#REF!),0)-1,MATCH([2]Development_Schedule_EK!$B176,INDIRECT(#REF!),0),1,1)*$D179,0)</f>
        <v>0</v>
      </c>
      <c r="I179" s="260">
        <f ca="1">IFERROR(OFFSET(INDIRECT(#REF!),MATCH([2]Development_Schedule_EK!L$6,INDIRECT(#REF!),0)-1,MATCH([2]Development_Schedule_EK!$B176,INDIRECT(#REF!),0),1,1)*$D179,0)</f>
        <v>0</v>
      </c>
      <c r="J179" s="260">
        <f ca="1">IFERROR(OFFSET(INDIRECT(#REF!),MATCH([2]Development_Schedule_EK!M$6,INDIRECT(#REF!),0)-1,MATCH([2]Development_Schedule_EK!$B176,INDIRECT(#REF!),0),1,1)*$D179,0)</f>
        <v>0</v>
      </c>
      <c r="K179" s="260">
        <f ca="1">IFERROR(OFFSET(INDIRECT(#REF!),MATCH([2]Development_Schedule_EK!N$6,INDIRECT(#REF!),0)-1,MATCH([2]Development_Schedule_EK!$B176,INDIRECT(#REF!),0),1,1)*$D179,0)</f>
        <v>0</v>
      </c>
      <c r="L179" s="265">
        <f ca="1">IFERROR(OFFSET(INDIRECT(#REF!),MATCH([2]Development_Schedule_EK!O$6,INDIRECT(#REF!),0)-1,MATCH([2]Development_Schedule_EK!$B176,INDIRECT(#REF!),0),1,1)*$D179,0)</f>
        <v>0</v>
      </c>
      <c r="M179" s="260">
        <f ca="1">IFERROR(OFFSET(INDIRECT(#REF!),MATCH([2]Development_Schedule_EK!P$6,INDIRECT(#REF!),0)-1,MATCH([2]Development_Schedule_EK!$B176,INDIRECT(#REF!),0),1,1)*$D179,0)</f>
        <v>0</v>
      </c>
      <c r="N179" s="260">
        <f ca="1">IFERROR(OFFSET(INDIRECT(#REF!),MATCH([2]Development_Schedule_EK!Q$6,INDIRECT(#REF!),0)-1,MATCH([2]Development_Schedule_EK!$B176,INDIRECT(#REF!),0),1,1)*$D179,0)</f>
        <v>0</v>
      </c>
      <c r="O179" s="265">
        <f ca="1">IFERROR(OFFSET(INDIRECT(#REF!),MATCH([2]Development_Schedule_EK!R$6,INDIRECT(#REF!),0)-1,MATCH([2]Development_Schedule_EK!$B176,INDIRECT(#REF!),0),1,1)*$D179,0)</f>
        <v>0</v>
      </c>
      <c r="P179" s="183"/>
      <c r="Q179" s="184"/>
      <c r="R179" s="183"/>
    </row>
    <row r="180" spans="1:18" x14ac:dyDescent="0.25">
      <c r="A180" s="284">
        <v>1</v>
      </c>
      <c r="B180" s="774" t="s">
        <v>355</v>
      </c>
      <c r="C180" s="262"/>
      <c r="D180" s="270">
        <f ca="1">IFERROR(OFFSET(INDIRECT(#REF!),MATCH([2]Development_Schedule_EK!$E177,INDIRECT(#REF!),0)-1,MATCH([2]Development_Schedule_EK!$B177,INDIRECT(#REF!),0),1,1),0)</f>
        <v>0</v>
      </c>
      <c r="E180" s="266"/>
      <c r="F180" s="260">
        <f ca="1">IFERROR(OFFSET(INDIRECT(#REF!),MATCH([2]Development_Schedule_EK!I$6,INDIRECT(#REF!),0)-1,MATCH([2]Development_Schedule_EK!$B177,INDIRECT(#REF!),0),1,1)*$D180,0)</f>
        <v>0</v>
      </c>
      <c r="G180" s="260">
        <f ca="1">IFERROR(OFFSET(INDIRECT(#REF!),MATCH([2]Development_Schedule_EK!J$6,INDIRECT(#REF!),0)-1,MATCH([2]Development_Schedule_EK!$B177,INDIRECT(#REF!),0),1,1)*$D180,0)</f>
        <v>0</v>
      </c>
      <c r="H180" s="265">
        <f ca="1">IFERROR(OFFSET(INDIRECT(#REF!),MATCH([2]Development_Schedule_EK!K$6,INDIRECT(#REF!),0)-1,MATCH([2]Development_Schedule_EK!$B177,INDIRECT(#REF!),0),1,1)*$D180,0)</f>
        <v>0</v>
      </c>
      <c r="I180" s="260">
        <f ca="1">IFERROR(OFFSET(INDIRECT(#REF!),MATCH([2]Development_Schedule_EK!L$6,INDIRECT(#REF!),0)-1,MATCH([2]Development_Schedule_EK!$B177,INDIRECT(#REF!),0),1,1)*$D180,0)</f>
        <v>0</v>
      </c>
      <c r="J180" s="260">
        <f ca="1">IFERROR(OFFSET(INDIRECT(#REF!),MATCH([2]Development_Schedule_EK!M$6,INDIRECT(#REF!),0)-1,MATCH([2]Development_Schedule_EK!$B177,INDIRECT(#REF!),0),1,1)*$D180,0)</f>
        <v>0</v>
      </c>
      <c r="K180" s="260">
        <f ca="1">IFERROR(OFFSET(INDIRECT(#REF!),MATCH([2]Development_Schedule_EK!N$6,INDIRECT(#REF!),0)-1,MATCH([2]Development_Schedule_EK!$B177,INDIRECT(#REF!),0),1,1)*$D180,0)</f>
        <v>0</v>
      </c>
      <c r="L180" s="265">
        <f ca="1">IFERROR(OFFSET(INDIRECT(#REF!),MATCH([2]Development_Schedule_EK!O$6,INDIRECT(#REF!),0)-1,MATCH([2]Development_Schedule_EK!$B177,INDIRECT(#REF!),0),1,1)*$D180,0)</f>
        <v>0</v>
      </c>
      <c r="M180" s="260">
        <f ca="1">IFERROR(OFFSET(INDIRECT(#REF!),MATCH([2]Development_Schedule_EK!P$6,INDIRECT(#REF!),0)-1,MATCH([2]Development_Schedule_EK!$B177,INDIRECT(#REF!),0),1,1)*$D180,0)</f>
        <v>0</v>
      </c>
      <c r="N180" s="260">
        <f ca="1">IFERROR(OFFSET(INDIRECT(#REF!),MATCH([2]Development_Schedule_EK!Q$6,INDIRECT(#REF!),0)-1,MATCH([2]Development_Schedule_EK!$B177,INDIRECT(#REF!),0),1,1)*$D180,0)</f>
        <v>0</v>
      </c>
      <c r="O180" s="265">
        <f ca="1">IFERROR(OFFSET(INDIRECT(#REF!),MATCH([2]Development_Schedule_EK!R$6,INDIRECT(#REF!),0)-1,MATCH([2]Development_Schedule_EK!$B177,INDIRECT(#REF!),0),1,1)*$D180,0)</f>
        <v>0</v>
      </c>
      <c r="P180" s="183"/>
      <c r="Q180" s="184"/>
      <c r="R180" s="183"/>
    </row>
    <row r="181" spans="1:18" x14ac:dyDescent="0.25">
      <c r="A181" s="284">
        <v>1</v>
      </c>
      <c r="B181" s="774" t="s">
        <v>356</v>
      </c>
      <c r="C181" s="262"/>
      <c r="D181" s="270">
        <f ca="1">IFERROR(OFFSET(INDIRECT(#REF!),MATCH([2]Development_Schedule_EK!$E178,INDIRECT(#REF!),0)-1,MATCH([2]Development_Schedule_EK!$B178,INDIRECT(#REF!),0),1,1),0)</f>
        <v>0</v>
      </c>
      <c r="E181" s="266"/>
      <c r="F181" s="260">
        <f ca="1">IFERROR(OFFSET(INDIRECT(#REF!),MATCH([2]Development_Schedule_EK!I$6,INDIRECT(#REF!),0)-1,MATCH([2]Development_Schedule_EK!$B178,INDIRECT(#REF!),0),1,1)*$D181,0)</f>
        <v>0</v>
      </c>
      <c r="G181" s="260">
        <f ca="1">IFERROR(OFFSET(INDIRECT(#REF!),MATCH([2]Development_Schedule_EK!J$6,INDIRECT(#REF!),0)-1,MATCH([2]Development_Schedule_EK!$B178,INDIRECT(#REF!),0),1,1)*$D181,0)</f>
        <v>0</v>
      </c>
      <c r="H181" s="265">
        <f ca="1">IFERROR(OFFSET(INDIRECT(#REF!),MATCH([2]Development_Schedule_EK!K$6,INDIRECT(#REF!),0)-1,MATCH([2]Development_Schedule_EK!$B178,INDIRECT(#REF!),0),1,1)*$D181,0)</f>
        <v>0</v>
      </c>
      <c r="I181" s="260">
        <f ca="1">IFERROR(OFFSET(INDIRECT(#REF!),MATCH([2]Development_Schedule_EK!L$6,INDIRECT(#REF!),0)-1,MATCH([2]Development_Schedule_EK!$B178,INDIRECT(#REF!),0),1,1)*$D181,0)</f>
        <v>0</v>
      </c>
      <c r="J181" s="260">
        <f ca="1">IFERROR(OFFSET(INDIRECT(#REF!),MATCH([2]Development_Schedule_EK!M$6,INDIRECT(#REF!),0)-1,MATCH([2]Development_Schedule_EK!$B178,INDIRECT(#REF!),0),1,1)*$D181,0)</f>
        <v>0</v>
      </c>
      <c r="K181" s="260">
        <f ca="1">IFERROR(OFFSET(INDIRECT(#REF!),MATCH([2]Development_Schedule_EK!N$6,INDIRECT(#REF!),0)-1,MATCH([2]Development_Schedule_EK!$B178,INDIRECT(#REF!),0),1,1)*$D181,0)</f>
        <v>0</v>
      </c>
      <c r="L181" s="265">
        <f ca="1">IFERROR(OFFSET(INDIRECT(#REF!),MATCH([2]Development_Schedule_EK!O$6,INDIRECT(#REF!),0)-1,MATCH([2]Development_Schedule_EK!$B178,INDIRECT(#REF!),0),1,1)*$D181,0)</f>
        <v>0</v>
      </c>
      <c r="M181" s="260">
        <f ca="1">IFERROR(OFFSET(INDIRECT(#REF!),MATCH([2]Development_Schedule_EK!P$6,INDIRECT(#REF!),0)-1,MATCH([2]Development_Schedule_EK!$B178,INDIRECT(#REF!),0),1,1)*$D181,0)</f>
        <v>0</v>
      </c>
      <c r="N181" s="260">
        <f ca="1">IFERROR(OFFSET(INDIRECT(#REF!),MATCH([2]Development_Schedule_EK!Q$6,INDIRECT(#REF!),0)-1,MATCH([2]Development_Schedule_EK!$B178,INDIRECT(#REF!),0),1,1)*$D181,0)</f>
        <v>0</v>
      </c>
      <c r="O181" s="265">
        <f ca="1">IFERROR(OFFSET(INDIRECT(#REF!),MATCH([2]Development_Schedule_EK!R$6,INDIRECT(#REF!),0)-1,MATCH([2]Development_Schedule_EK!$B178,INDIRECT(#REF!),0),1,1)*$D181,0)</f>
        <v>0</v>
      </c>
      <c r="P181" s="183"/>
      <c r="Q181" s="184"/>
      <c r="R181" s="183"/>
    </row>
    <row r="182" spans="1:18" x14ac:dyDescent="0.25">
      <c r="A182" s="284">
        <v>1</v>
      </c>
      <c r="B182" s="774" t="s">
        <v>357</v>
      </c>
      <c r="C182" s="262"/>
      <c r="D182" s="270">
        <f ca="1">IFERROR(OFFSET(INDIRECT(#REF!),MATCH([2]Development_Schedule_EK!$E179,INDIRECT(#REF!),0)-1,MATCH([2]Development_Schedule_EK!$B179,INDIRECT(#REF!),0),1,1),0)</f>
        <v>0</v>
      </c>
      <c r="E182" s="266"/>
      <c r="F182" s="260">
        <f ca="1">IFERROR(OFFSET(INDIRECT(#REF!),MATCH([2]Development_Schedule_EK!I$6,INDIRECT(#REF!),0)-1,MATCH([2]Development_Schedule_EK!$B179,INDIRECT(#REF!),0),1,1)*$D182,0)</f>
        <v>0</v>
      </c>
      <c r="G182" s="260">
        <f ca="1">IFERROR(OFFSET(INDIRECT(#REF!),MATCH([2]Development_Schedule_EK!J$6,INDIRECT(#REF!),0)-1,MATCH([2]Development_Schedule_EK!$B179,INDIRECT(#REF!),0),1,1)*$D182,0)</f>
        <v>0</v>
      </c>
      <c r="H182" s="265">
        <f ca="1">IFERROR(OFFSET(INDIRECT(#REF!),MATCH([2]Development_Schedule_EK!K$6,INDIRECT(#REF!),0)-1,MATCH([2]Development_Schedule_EK!$B179,INDIRECT(#REF!),0),1,1)*$D182,0)</f>
        <v>0</v>
      </c>
      <c r="I182" s="260">
        <f ca="1">IFERROR(OFFSET(INDIRECT(#REF!),MATCH([2]Development_Schedule_EK!L$6,INDIRECT(#REF!),0)-1,MATCH([2]Development_Schedule_EK!$B179,INDIRECT(#REF!),0),1,1)*$D182,0)</f>
        <v>0</v>
      </c>
      <c r="J182" s="260">
        <f ca="1">IFERROR(OFFSET(INDIRECT(#REF!),MATCH([2]Development_Schedule_EK!M$6,INDIRECT(#REF!),0)-1,MATCH([2]Development_Schedule_EK!$B179,INDIRECT(#REF!),0),1,1)*$D182,0)</f>
        <v>0</v>
      </c>
      <c r="K182" s="260">
        <f ca="1">IFERROR(OFFSET(INDIRECT(#REF!),MATCH([2]Development_Schedule_EK!N$6,INDIRECT(#REF!),0)-1,MATCH([2]Development_Schedule_EK!$B179,INDIRECT(#REF!),0),1,1)*$D182,0)</f>
        <v>0</v>
      </c>
      <c r="L182" s="265">
        <f ca="1">IFERROR(OFFSET(INDIRECT(#REF!),MATCH([2]Development_Schedule_EK!O$6,INDIRECT(#REF!),0)-1,MATCH([2]Development_Schedule_EK!$B179,INDIRECT(#REF!),0),1,1)*$D182,0)</f>
        <v>0</v>
      </c>
      <c r="M182" s="260">
        <f ca="1">IFERROR(OFFSET(INDIRECT(#REF!),MATCH([2]Development_Schedule_EK!P$6,INDIRECT(#REF!),0)-1,MATCH([2]Development_Schedule_EK!$B179,INDIRECT(#REF!),0),1,1)*$D182,0)</f>
        <v>0</v>
      </c>
      <c r="N182" s="260">
        <f ca="1">IFERROR(OFFSET(INDIRECT(#REF!),MATCH([2]Development_Schedule_EK!Q$6,INDIRECT(#REF!),0)-1,MATCH([2]Development_Schedule_EK!$B179,INDIRECT(#REF!),0),1,1)*$D182,0)</f>
        <v>0</v>
      </c>
      <c r="O182" s="265">
        <f ca="1">IFERROR(OFFSET(INDIRECT(#REF!),MATCH([2]Development_Schedule_EK!R$6,INDIRECT(#REF!),0)-1,MATCH([2]Development_Schedule_EK!$B179,INDIRECT(#REF!),0),1,1)*$D182,0)</f>
        <v>0</v>
      </c>
      <c r="P182" s="183"/>
      <c r="Q182" s="184"/>
      <c r="R182" s="183"/>
    </row>
    <row r="183" spans="1:18" x14ac:dyDescent="0.25">
      <c r="A183" s="284">
        <v>1</v>
      </c>
      <c r="B183" s="774" t="s">
        <v>358</v>
      </c>
      <c r="C183" s="262"/>
      <c r="D183" s="270">
        <f ca="1">IFERROR(OFFSET(INDIRECT(#REF!),MATCH([2]Development_Schedule_EK!$E180,INDIRECT(#REF!),0)-1,MATCH([2]Development_Schedule_EK!$B180,INDIRECT(#REF!),0),1,1),0)</f>
        <v>0</v>
      </c>
      <c r="E183" s="266"/>
      <c r="F183" s="260">
        <f ca="1">IFERROR(OFFSET(INDIRECT(#REF!),MATCH([2]Development_Schedule_EK!I$6,INDIRECT(#REF!),0)-1,MATCH([2]Development_Schedule_EK!$B180,INDIRECT(#REF!),0),1,1)*$D183,0)</f>
        <v>0</v>
      </c>
      <c r="G183" s="260">
        <f ca="1">IFERROR(OFFSET(INDIRECT(#REF!),MATCH([2]Development_Schedule_EK!J$6,INDIRECT(#REF!),0)-1,MATCH([2]Development_Schedule_EK!$B180,INDIRECT(#REF!),0),1,1)*$D183,0)</f>
        <v>0</v>
      </c>
      <c r="H183" s="265">
        <f ca="1">IFERROR(OFFSET(INDIRECT(#REF!),MATCH([2]Development_Schedule_EK!K$6,INDIRECT(#REF!),0)-1,MATCH([2]Development_Schedule_EK!$B180,INDIRECT(#REF!),0),1,1)*$D183,0)</f>
        <v>0</v>
      </c>
      <c r="I183" s="260">
        <f ca="1">IFERROR(OFFSET(INDIRECT(#REF!),MATCH([2]Development_Schedule_EK!L$6,INDIRECT(#REF!),0)-1,MATCH([2]Development_Schedule_EK!$B180,INDIRECT(#REF!),0),1,1)*$D183,0)</f>
        <v>0</v>
      </c>
      <c r="J183" s="260">
        <f ca="1">IFERROR(OFFSET(INDIRECT(#REF!),MATCH([2]Development_Schedule_EK!M$6,INDIRECT(#REF!),0)-1,MATCH([2]Development_Schedule_EK!$B180,INDIRECT(#REF!),0),1,1)*$D183,0)</f>
        <v>0</v>
      </c>
      <c r="K183" s="260">
        <f ca="1">IFERROR(OFFSET(INDIRECT(#REF!),MATCH([2]Development_Schedule_EK!N$6,INDIRECT(#REF!),0)-1,MATCH([2]Development_Schedule_EK!$B180,INDIRECT(#REF!),0),1,1)*$D183,0)</f>
        <v>0</v>
      </c>
      <c r="L183" s="265">
        <f ca="1">IFERROR(OFFSET(INDIRECT(#REF!),MATCH([2]Development_Schedule_EK!O$6,INDIRECT(#REF!),0)-1,MATCH([2]Development_Schedule_EK!$B180,INDIRECT(#REF!),0),1,1)*$D183,0)</f>
        <v>0</v>
      </c>
      <c r="M183" s="260">
        <f ca="1">IFERROR(OFFSET(INDIRECT(#REF!),MATCH([2]Development_Schedule_EK!P$6,INDIRECT(#REF!),0)-1,MATCH([2]Development_Schedule_EK!$B180,INDIRECT(#REF!),0),1,1)*$D183,0)</f>
        <v>0</v>
      </c>
      <c r="N183" s="260">
        <f ca="1">IFERROR(OFFSET(INDIRECT(#REF!),MATCH([2]Development_Schedule_EK!Q$6,INDIRECT(#REF!),0)-1,MATCH([2]Development_Schedule_EK!$B180,INDIRECT(#REF!),0),1,1)*$D183,0)</f>
        <v>0</v>
      </c>
      <c r="O183" s="265">
        <f ca="1">IFERROR(OFFSET(INDIRECT(#REF!),MATCH([2]Development_Schedule_EK!R$6,INDIRECT(#REF!),0)-1,MATCH([2]Development_Schedule_EK!$B180,INDIRECT(#REF!),0),1,1)*$D183,0)</f>
        <v>0</v>
      </c>
      <c r="P183" s="183"/>
      <c r="Q183" s="184"/>
      <c r="R183" s="183"/>
    </row>
    <row r="184" spans="1:18" x14ac:dyDescent="0.25">
      <c r="A184" s="284">
        <v>1</v>
      </c>
      <c r="B184" s="774" t="s">
        <v>359</v>
      </c>
      <c r="C184" s="262"/>
      <c r="D184" s="270">
        <f ca="1">IFERROR(OFFSET(INDIRECT(#REF!),MATCH([2]Development_Schedule_EK!$E181,INDIRECT(#REF!),0)-1,MATCH([2]Development_Schedule_EK!$B181,INDIRECT(#REF!),0),1,1),0)</f>
        <v>0</v>
      </c>
      <c r="E184" s="266"/>
      <c r="F184" s="260">
        <f ca="1">IFERROR(OFFSET(INDIRECT(#REF!),MATCH([2]Development_Schedule_EK!I$6,INDIRECT(#REF!),0)-1,MATCH([2]Development_Schedule_EK!$B181,INDIRECT(#REF!),0),1,1)*$D184,0)</f>
        <v>0</v>
      </c>
      <c r="G184" s="260">
        <f ca="1">IFERROR(OFFSET(INDIRECT(#REF!),MATCH([2]Development_Schedule_EK!J$6,INDIRECT(#REF!),0)-1,MATCH([2]Development_Schedule_EK!$B181,INDIRECT(#REF!),0),1,1)*$D184,0)</f>
        <v>0</v>
      </c>
      <c r="H184" s="265">
        <f ca="1">IFERROR(OFFSET(INDIRECT(#REF!),MATCH([2]Development_Schedule_EK!K$6,INDIRECT(#REF!),0)-1,MATCH([2]Development_Schedule_EK!$B181,INDIRECT(#REF!),0),1,1)*$D184,0)</f>
        <v>0</v>
      </c>
      <c r="I184" s="260">
        <f ca="1">IFERROR(OFFSET(INDIRECT(#REF!),MATCH([2]Development_Schedule_EK!L$6,INDIRECT(#REF!),0)-1,MATCH([2]Development_Schedule_EK!$B181,INDIRECT(#REF!),0),1,1)*$D184,0)</f>
        <v>0</v>
      </c>
      <c r="J184" s="260">
        <f ca="1">IFERROR(OFFSET(INDIRECT(#REF!),MATCH([2]Development_Schedule_EK!M$6,INDIRECT(#REF!),0)-1,MATCH([2]Development_Schedule_EK!$B181,INDIRECT(#REF!),0),1,1)*$D184,0)</f>
        <v>0</v>
      </c>
      <c r="K184" s="260">
        <f ca="1">IFERROR(OFFSET(INDIRECT(#REF!),MATCH([2]Development_Schedule_EK!N$6,INDIRECT(#REF!),0)-1,MATCH([2]Development_Schedule_EK!$B181,INDIRECT(#REF!),0),1,1)*$D184,0)</f>
        <v>0</v>
      </c>
      <c r="L184" s="265">
        <f ca="1">IFERROR(OFFSET(INDIRECT(#REF!),MATCH([2]Development_Schedule_EK!O$6,INDIRECT(#REF!),0)-1,MATCH([2]Development_Schedule_EK!$B181,INDIRECT(#REF!),0),1,1)*$D184,0)</f>
        <v>0</v>
      </c>
      <c r="M184" s="260">
        <f ca="1">IFERROR(OFFSET(INDIRECT(#REF!),MATCH([2]Development_Schedule_EK!P$6,INDIRECT(#REF!),0)-1,MATCH([2]Development_Schedule_EK!$B181,INDIRECT(#REF!),0),1,1)*$D184,0)</f>
        <v>0</v>
      </c>
      <c r="N184" s="260">
        <f ca="1">IFERROR(OFFSET(INDIRECT(#REF!),MATCH([2]Development_Schedule_EK!Q$6,INDIRECT(#REF!),0)-1,MATCH([2]Development_Schedule_EK!$B181,INDIRECT(#REF!),0),1,1)*$D184,0)</f>
        <v>0</v>
      </c>
      <c r="O184" s="265">
        <f ca="1">IFERROR(OFFSET(INDIRECT(#REF!),MATCH([2]Development_Schedule_EK!R$6,INDIRECT(#REF!),0)-1,MATCH([2]Development_Schedule_EK!$B181,INDIRECT(#REF!),0),1,1)*$D184,0)</f>
        <v>0</v>
      </c>
      <c r="P184" s="183"/>
      <c r="Q184" s="184"/>
      <c r="R184" s="183"/>
    </row>
    <row r="185" spans="1:18" x14ac:dyDescent="0.25">
      <c r="A185" s="284">
        <v>1</v>
      </c>
      <c r="B185" s="774" t="s">
        <v>33</v>
      </c>
      <c r="C185" s="262"/>
      <c r="D185" s="270">
        <f ca="1">IFERROR(OFFSET(INDIRECT(#REF!),MATCH([2]Development_Schedule_EK!$E182,INDIRECT(#REF!),0)-1,MATCH([2]Development_Schedule_EK!$B182,INDIRECT(#REF!),0),1,1),0)</f>
        <v>0</v>
      </c>
      <c r="E185" s="266"/>
      <c r="F185" s="260">
        <f ca="1">IFERROR(OFFSET(INDIRECT(#REF!),MATCH([2]Development_Schedule_EK!I$6,INDIRECT(#REF!),0)-1,MATCH([2]Development_Schedule_EK!$B182,INDIRECT(#REF!),0),1,1)*$D185,0)</f>
        <v>0</v>
      </c>
      <c r="G185" s="260">
        <f ca="1">IFERROR(OFFSET(INDIRECT(#REF!),MATCH([2]Development_Schedule_EK!J$6,INDIRECT(#REF!),0)-1,MATCH([2]Development_Schedule_EK!$B182,INDIRECT(#REF!),0),1,1)*$D185,0)</f>
        <v>0</v>
      </c>
      <c r="H185" s="265">
        <f ca="1">IFERROR(OFFSET(INDIRECT(#REF!),MATCH([2]Development_Schedule_EK!K$6,INDIRECT(#REF!),0)-1,MATCH([2]Development_Schedule_EK!$B182,INDIRECT(#REF!),0),1,1)*$D185,0)</f>
        <v>0</v>
      </c>
      <c r="I185" s="260">
        <f ca="1">IFERROR(OFFSET(INDIRECT(#REF!),MATCH([2]Development_Schedule_EK!L$6,INDIRECT(#REF!),0)-1,MATCH([2]Development_Schedule_EK!$B182,INDIRECT(#REF!),0),1,1)*$D185,0)</f>
        <v>0</v>
      </c>
      <c r="J185" s="260">
        <f ca="1">IFERROR(OFFSET(INDIRECT(#REF!),MATCH([2]Development_Schedule_EK!M$6,INDIRECT(#REF!),0)-1,MATCH([2]Development_Schedule_EK!$B182,INDIRECT(#REF!),0),1,1)*$D185,0)</f>
        <v>0</v>
      </c>
      <c r="K185" s="260">
        <f ca="1">IFERROR(OFFSET(INDIRECT(#REF!),MATCH([2]Development_Schedule_EK!N$6,INDIRECT(#REF!),0)-1,MATCH([2]Development_Schedule_EK!$B182,INDIRECT(#REF!),0),1,1)*$D185,0)</f>
        <v>0</v>
      </c>
      <c r="L185" s="265">
        <f ca="1">IFERROR(OFFSET(INDIRECT(#REF!),MATCH([2]Development_Schedule_EK!O$6,INDIRECT(#REF!),0)-1,MATCH([2]Development_Schedule_EK!$B182,INDIRECT(#REF!),0),1,1)*$D185,0)</f>
        <v>0</v>
      </c>
      <c r="M185" s="260">
        <f ca="1">IFERROR(OFFSET(INDIRECT(#REF!),MATCH([2]Development_Schedule_EK!P$6,INDIRECT(#REF!),0)-1,MATCH([2]Development_Schedule_EK!$B182,INDIRECT(#REF!),0),1,1)*$D185,0)</f>
        <v>0</v>
      </c>
      <c r="N185" s="260">
        <f ca="1">IFERROR(OFFSET(INDIRECT(#REF!),MATCH([2]Development_Schedule_EK!Q$6,INDIRECT(#REF!),0)-1,MATCH([2]Development_Schedule_EK!$B182,INDIRECT(#REF!),0),1,1)*$D185,0)</f>
        <v>0</v>
      </c>
      <c r="O185" s="265">
        <f ca="1">IFERROR(OFFSET(INDIRECT(#REF!),MATCH([2]Development_Schedule_EK!R$6,INDIRECT(#REF!),0)-1,MATCH([2]Development_Schedule_EK!$B182,INDIRECT(#REF!),0),1,1)*$D185,0)</f>
        <v>0</v>
      </c>
      <c r="P185" s="183"/>
      <c r="Q185" s="184"/>
      <c r="R185" s="183"/>
    </row>
    <row r="186" spans="1:18" x14ac:dyDescent="0.25">
      <c r="A186" s="284">
        <v>1</v>
      </c>
      <c r="B186" s="774" t="s">
        <v>42</v>
      </c>
      <c r="C186" s="262"/>
      <c r="D186" s="270">
        <f ca="1">IFERROR(OFFSET(INDIRECT(#REF!),MATCH([2]Development_Schedule_EK!$E183,INDIRECT(#REF!),0)-1,MATCH([2]Development_Schedule_EK!$B183,INDIRECT(#REF!),0),1,1),0)</f>
        <v>0</v>
      </c>
      <c r="E186" s="266"/>
      <c r="F186" s="260">
        <f ca="1">IFERROR(OFFSET(INDIRECT(#REF!),MATCH([2]Development_Schedule_EK!I$6,INDIRECT(#REF!),0)-1,MATCH([2]Development_Schedule_EK!$B183,INDIRECT(#REF!),0),1,1)*$D186,0)</f>
        <v>0</v>
      </c>
      <c r="G186" s="260">
        <f ca="1">IFERROR(OFFSET(INDIRECT(#REF!),MATCH([2]Development_Schedule_EK!J$6,INDIRECT(#REF!),0)-1,MATCH([2]Development_Schedule_EK!$B183,INDIRECT(#REF!),0),1,1)*$D186,0)</f>
        <v>0</v>
      </c>
      <c r="H186" s="265">
        <f ca="1">IFERROR(OFFSET(INDIRECT(#REF!),MATCH([2]Development_Schedule_EK!K$6,INDIRECT(#REF!),0)-1,MATCH([2]Development_Schedule_EK!$B183,INDIRECT(#REF!),0),1,1)*$D186,0)</f>
        <v>0</v>
      </c>
      <c r="I186" s="260">
        <f ca="1">IFERROR(OFFSET(INDIRECT(#REF!),MATCH([2]Development_Schedule_EK!L$6,INDIRECT(#REF!),0)-1,MATCH([2]Development_Schedule_EK!$B183,INDIRECT(#REF!),0),1,1)*$D186,0)</f>
        <v>0</v>
      </c>
      <c r="J186" s="260">
        <f ca="1">IFERROR(OFFSET(INDIRECT(#REF!),MATCH([2]Development_Schedule_EK!M$6,INDIRECT(#REF!),0)-1,MATCH([2]Development_Schedule_EK!$B183,INDIRECT(#REF!),0),1,1)*$D186,0)</f>
        <v>0</v>
      </c>
      <c r="K186" s="260">
        <f ca="1">IFERROR(OFFSET(INDIRECT(#REF!),MATCH([2]Development_Schedule_EK!N$6,INDIRECT(#REF!),0)-1,MATCH([2]Development_Schedule_EK!$B183,INDIRECT(#REF!),0),1,1)*$D186,0)</f>
        <v>0</v>
      </c>
      <c r="L186" s="265">
        <f ca="1">IFERROR(OFFSET(INDIRECT(#REF!),MATCH([2]Development_Schedule_EK!O$6,INDIRECT(#REF!),0)-1,MATCH([2]Development_Schedule_EK!$B183,INDIRECT(#REF!),0),1,1)*$D186,0)</f>
        <v>0</v>
      </c>
      <c r="M186" s="260">
        <f ca="1">IFERROR(OFFSET(INDIRECT(#REF!),MATCH([2]Development_Schedule_EK!P$6,INDIRECT(#REF!),0)-1,MATCH([2]Development_Schedule_EK!$B183,INDIRECT(#REF!),0),1,1)*$D186,0)</f>
        <v>0</v>
      </c>
      <c r="N186" s="260">
        <f ca="1">IFERROR(OFFSET(INDIRECT(#REF!),MATCH([2]Development_Schedule_EK!Q$6,INDIRECT(#REF!),0)-1,MATCH([2]Development_Schedule_EK!$B183,INDIRECT(#REF!),0),1,1)*$D186,0)</f>
        <v>0</v>
      </c>
      <c r="O186" s="265">
        <f ca="1">IFERROR(OFFSET(INDIRECT(#REF!),MATCH([2]Development_Schedule_EK!R$6,INDIRECT(#REF!),0)-1,MATCH([2]Development_Schedule_EK!$B183,INDIRECT(#REF!),0),1,1)*$D186,0)</f>
        <v>0</v>
      </c>
      <c r="P186" s="183"/>
      <c r="Q186" s="184"/>
      <c r="R186" s="183"/>
    </row>
    <row r="187" spans="1:18" x14ac:dyDescent="0.25">
      <c r="B187" s="774"/>
      <c r="C187" s="262"/>
      <c r="D187" s="270"/>
      <c r="E187" s="266"/>
      <c r="F187" s="256"/>
      <c r="G187" s="256"/>
      <c r="H187" s="263"/>
      <c r="I187" s="256"/>
      <c r="J187" s="256"/>
      <c r="K187" s="256"/>
      <c r="L187" s="263"/>
      <c r="M187" s="256"/>
      <c r="N187" s="256"/>
      <c r="O187" s="263"/>
      <c r="P187" s="183"/>
      <c r="Q187" s="184"/>
      <c r="R187" s="183"/>
    </row>
    <row r="188" spans="1:18" x14ac:dyDescent="0.25">
      <c r="B188" s="774"/>
      <c r="C188" s="262"/>
      <c r="D188" s="270"/>
      <c r="E188" s="266"/>
      <c r="F188" s="256"/>
      <c r="G188" s="256"/>
      <c r="H188" s="263"/>
      <c r="I188" s="256"/>
      <c r="J188" s="256"/>
      <c r="K188" s="256"/>
      <c r="L188" s="263"/>
      <c r="M188" s="256"/>
      <c r="N188" s="256"/>
      <c r="O188" s="263"/>
      <c r="P188" s="183"/>
      <c r="Q188" s="184"/>
      <c r="R188" s="183"/>
    </row>
    <row r="189" spans="1:18" x14ac:dyDescent="0.25">
      <c r="B189" s="773" t="s">
        <v>371</v>
      </c>
      <c r="C189" s="262"/>
      <c r="D189" s="270"/>
      <c r="E189" s="266"/>
      <c r="F189" s="256"/>
      <c r="G189" s="256"/>
      <c r="H189" s="263"/>
      <c r="I189" s="256"/>
      <c r="J189" s="256"/>
      <c r="K189" s="256"/>
      <c r="L189" s="263"/>
      <c r="M189" s="256"/>
      <c r="N189" s="256"/>
      <c r="O189" s="263"/>
      <c r="P189" s="183"/>
      <c r="Q189" s="184"/>
      <c r="R189" s="183"/>
    </row>
    <row r="190" spans="1:18" x14ac:dyDescent="0.25">
      <c r="A190" s="284">
        <v>3</v>
      </c>
      <c r="B190" s="774" t="s">
        <v>381</v>
      </c>
      <c r="C190" s="262"/>
      <c r="D190" s="270">
        <f ca="1">IFERROR(OFFSET(INDIRECT(#REF!),MATCH([2]Development_Schedule_EK!$E187,INDIRECT(#REF!),0)-1,MATCH([2]Development_Schedule_EK!$B187,INDIRECT(#REF!),0),1,1),0)</f>
        <v>0</v>
      </c>
      <c r="E190" s="266"/>
      <c r="F190" s="260">
        <f ca="1">IFERROR(OFFSET(INDIRECT(#REF!),MATCH([2]Development_Schedule_EK!I$6,INDIRECT(#REF!),0)-1,MATCH([2]Development_Schedule_EK!$B187,INDIRECT(#REF!),0),1,1)*$D190,0)</f>
        <v>0</v>
      </c>
      <c r="G190" s="260">
        <f ca="1">IFERROR(OFFSET(INDIRECT(#REF!),MATCH([2]Development_Schedule_EK!J$6,INDIRECT(#REF!),0)-1,MATCH([2]Development_Schedule_EK!$B187,INDIRECT(#REF!),0),1,1)*$D190,0)</f>
        <v>0</v>
      </c>
      <c r="H190" s="265">
        <f ca="1">IFERROR(OFFSET(INDIRECT(#REF!),MATCH([2]Development_Schedule_EK!K$6,INDIRECT(#REF!),0)-1,MATCH([2]Development_Schedule_EK!$B187,INDIRECT(#REF!),0),1,1)*$D190,0)</f>
        <v>0</v>
      </c>
      <c r="I190" s="260">
        <f ca="1">IFERROR(OFFSET(INDIRECT(#REF!),MATCH([2]Development_Schedule_EK!L$6,INDIRECT(#REF!),0)-1,MATCH([2]Development_Schedule_EK!$B187,INDIRECT(#REF!),0),1,1)*$D190,0)</f>
        <v>0</v>
      </c>
      <c r="J190" s="260">
        <f ca="1">IFERROR(OFFSET(INDIRECT(#REF!),MATCH([2]Development_Schedule_EK!M$6,INDIRECT(#REF!),0)-1,MATCH([2]Development_Schedule_EK!$B187,INDIRECT(#REF!),0),1,1)*$D190,0)</f>
        <v>0</v>
      </c>
      <c r="K190" s="260">
        <f ca="1">IFERROR(OFFSET(INDIRECT(#REF!),MATCH([2]Development_Schedule_EK!N$6,INDIRECT(#REF!),0)-1,MATCH([2]Development_Schedule_EK!$B187,INDIRECT(#REF!),0),1,1)*$D190,0)</f>
        <v>0</v>
      </c>
      <c r="L190" s="265">
        <f ca="1">IFERROR(OFFSET(INDIRECT(#REF!),MATCH([2]Development_Schedule_EK!O$6,INDIRECT(#REF!),0)-1,MATCH([2]Development_Schedule_EK!$B187,INDIRECT(#REF!),0),1,1)*$D190,0)</f>
        <v>0</v>
      </c>
      <c r="M190" s="260">
        <f ca="1">IFERROR(OFFSET(INDIRECT(#REF!),MATCH([2]Development_Schedule_EK!P$6,INDIRECT(#REF!),0)-1,MATCH([2]Development_Schedule_EK!$B187,INDIRECT(#REF!),0),1,1)*$D190,0)</f>
        <v>0</v>
      </c>
      <c r="N190" s="260">
        <f ca="1">IFERROR(OFFSET(INDIRECT(#REF!),MATCH([2]Development_Schedule_EK!Q$6,INDIRECT(#REF!),0)-1,MATCH([2]Development_Schedule_EK!$B187,INDIRECT(#REF!),0),1,1)*$D190,0)</f>
        <v>0</v>
      </c>
      <c r="O190" s="265">
        <f ca="1">IFERROR(OFFSET(INDIRECT(#REF!),MATCH([2]Development_Schedule_EK!R$6,INDIRECT(#REF!),0)-1,MATCH([2]Development_Schedule_EK!$B187,INDIRECT(#REF!),0),1,1)*$D190,0)</f>
        <v>0</v>
      </c>
      <c r="P190" s="183"/>
      <c r="Q190" s="184"/>
      <c r="R190" s="183"/>
    </row>
    <row r="191" spans="1:18" x14ac:dyDescent="0.25">
      <c r="A191" s="284">
        <v>3</v>
      </c>
      <c r="B191" s="774" t="s">
        <v>382</v>
      </c>
      <c r="C191" s="262"/>
      <c r="D191" s="270">
        <f ca="1">IFERROR(OFFSET(INDIRECT(#REF!),MATCH([2]Development_Schedule_EK!$E188,INDIRECT(#REF!),0)-1,MATCH([2]Development_Schedule_EK!$B188,INDIRECT(#REF!),0),1,1),0)</f>
        <v>0</v>
      </c>
      <c r="E191" s="266"/>
      <c r="F191" s="260">
        <f ca="1">IFERROR(OFFSET(INDIRECT(#REF!),MATCH([2]Development_Schedule_EK!I$6,INDIRECT(#REF!),0)-1,MATCH([2]Development_Schedule_EK!$B188,INDIRECT(#REF!),0),1,1)*$D191,0)</f>
        <v>0</v>
      </c>
      <c r="G191" s="260">
        <f ca="1">IFERROR(OFFSET(INDIRECT(#REF!),MATCH([2]Development_Schedule_EK!J$6,INDIRECT(#REF!),0)-1,MATCH([2]Development_Schedule_EK!$B188,INDIRECT(#REF!),0),1,1)*$D191,0)</f>
        <v>0</v>
      </c>
      <c r="H191" s="265">
        <f ca="1">IFERROR(OFFSET(INDIRECT(#REF!),MATCH([2]Development_Schedule_EK!K$6,INDIRECT(#REF!),0)-1,MATCH([2]Development_Schedule_EK!$B188,INDIRECT(#REF!),0),1,1)*$D191,0)</f>
        <v>0</v>
      </c>
      <c r="I191" s="260">
        <f ca="1">IFERROR(OFFSET(INDIRECT(#REF!),MATCH([2]Development_Schedule_EK!L$6,INDIRECT(#REF!),0)-1,MATCH([2]Development_Schedule_EK!$B188,INDIRECT(#REF!),0),1,1)*$D191,0)</f>
        <v>0</v>
      </c>
      <c r="J191" s="260">
        <f ca="1">IFERROR(OFFSET(INDIRECT(#REF!),MATCH([2]Development_Schedule_EK!M$6,INDIRECT(#REF!),0)-1,MATCH([2]Development_Schedule_EK!$B188,INDIRECT(#REF!),0),1,1)*$D191,0)</f>
        <v>0</v>
      </c>
      <c r="K191" s="260">
        <f ca="1">IFERROR(OFFSET(INDIRECT(#REF!),MATCH([2]Development_Schedule_EK!N$6,INDIRECT(#REF!),0)-1,MATCH([2]Development_Schedule_EK!$B188,INDIRECT(#REF!),0),1,1)*$D191,0)</f>
        <v>0</v>
      </c>
      <c r="L191" s="265">
        <f ca="1">IFERROR(OFFSET(INDIRECT(#REF!),MATCH([2]Development_Schedule_EK!O$6,INDIRECT(#REF!),0)-1,MATCH([2]Development_Schedule_EK!$B188,INDIRECT(#REF!),0),1,1)*$D191,0)</f>
        <v>0</v>
      </c>
      <c r="M191" s="260">
        <f ca="1">IFERROR(OFFSET(INDIRECT(#REF!),MATCH([2]Development_Schedule_EK!P$6,INDIRECT(#REF!),0)-1,MATCH([2]Development_Schedule_EK!$B188,INDIRECT(#REF!),0),1,1)*$D191,0)</f>
        <v>0</v>
      </c>
      <c r="N191" s="260">
        <f ca="1">IFERROR(OFFSET(INDIRECT(#REF!),MATCH([2]Development_Schedule_EK!Q$6,INDIRECT(#REF!),0)-1,MATCH([2]Development_Schedule_EK!$B188,INDIRECT(#REF!),0),1,1)*$D191,0)</f>
        <v>0</v>
      </c>
      <c r="O191" s="265">
        <f ca="1">IFERROR(OFFSET(INDIRECT(#REF!),MATCH([2]Development_Schedule_EK!R$6,INDIRECT(#REF!),0)-1,MATCH([2]Development_Schedule_EK!$B188,INDIRECT(#REF!),0),1,1)*$D191,0)</f>
        <v>0</v>
      </c>
      <c r="P191" s="183"/>
      <c r="Q191" s="184"/>
      <c r="R191" s="183"/>
    </row>
    <row r="192" spans="1:18" x14ac:dyDescent="0.25">
      <c r="A192" s="284">
        <v>3</v>
      </c>
      <c r="B192" s="774" t="s">
        <v>383</v>
      </c>
      <c r="C192" s="262"/>
      <c r="D192" s="270">
        <f ca="1">IFERROR(OFFSET(INDIRECT(#REF!),MATCH([2]Development_Schedule_EK!$E189,INDIRECT(#REF!),0)-1,MATCH([2]Development_Schedule_EK!$B189,INDIRECT(#REF!),0),1,1),0)</f>
        <v>0</v>
      </c>
      <c r="E192" s="266"/>
      <c r="F192" s="260">
        <f ca="1">IFERROR(OFFSET(INDIRECT(#REF!),MATCH([2]Development_Schedule_EK!I$6,INDIRECT(#REF!),0)-1,MATCH([2]Development_Schedule_EK!$B189,INDIRECT(#REF!),0),1,1)*$D192,0)</f>
        <v>0</v>
      </c>
      <c r="G192" s="260">
        <f ca="1">IFERROR(OFFSET(INDIRECT(#REF!),MATCH([2]Development_Schedule_EK!J$6,INDIRECT(#REF!),0)-1,MATCH([2]Development_Schedule_EK!$B189,INDIRECT(#REF!),0),1,1)*$D192,0)</f>
        <v>0</v>
      </c>
      <c r="H192" s="265">
        <f ca="1">IFERROR(OFFSET(INDIRECT(#REF!),MATCH([2]Development_Schedule_EK!K$6,INDIRECT(#REF!),0)-1,MATCH([2]Development_Schedule_EK!$B189,INDIRECT(#REF!),0),1,1)*$D192,0)</f>
        <v>0</v>
      </c>
      <c r="I192" s="260">
        <f ca="1">IFERROR(OFFSET(INDIRECT(#REF!),MATCH([2]Development_Schedule_EK!L$6,INDIRECT(#REF!),0)-1,MATCH([2]Development_Schedule_EK!$B189,INDIRECT(#REF!),0),1,1)*$D192,0)</f>
        <v>0</v>
      </c>
      <c r="J192" s="260">
        <f ca="1">IFERROR(OFFSET(INDIRECT(#REF!),MATCH([2]Development_Schedule_EK!M$6,INDIRECT(#REF!),0)-1,MATCH([2]Development_Schedule_EK!$B189,INDIRECT(#REF!),0),1,1)*$D192,0)</f>
        <v>0</v>
      </c>
      <c r="K192" s="260">
        <f ca="1">IFERROR(OFFSET(INDIRECT(#REF!),MATCH([2]Development_Schedule_EK!N$6,INDIRECT(#REF!),0)-1,MATCH([2]Development_Schedule_EK!$B189,INDIRECT(#REF!),0),1,1)*$D192,0)</f>
        <v>0</v>
      </c>
      <c r="L192" s="265">
        <f ca="1">IFERROR(OFFSET(INDIRECT(#REF!),MATCH([2]Development_Schedule_EK!O$6,INDIRECT(#REF!),0)-1,MATCH([2]Development_Schedule_EK!$B189,INDIRECT(#REF!),0),1,1)*$D192,0)</f>
        <v>0</v>
      </c>
      <c r="M192" s="260">
        <f ca="1">IFERROR(OFFSET(INDIRECT(#REF!),MATCH([2]Development_Schedule_EK!P$6,INDIRECT(#REF!),0)-1,MATCH([2]Development_Schedule_EK!$B189,INDIRECT(#REF!),0),1,1)*$D192,0)</f>
        <v>0</v>
      </c>
      <c r="N192" s="260">
        <f ca="1">IFERROR(OFFSET(INDIRECT(#REF!),MATCH([2]Development_Schedule_EK!Q$6,INDIRECT(#REF!),0)-1,MATCH([2]Development_Schedule_EK!$B189,INDIRECT(#REF!),0),1,1)*$D192,0)</f>
        <v>0</v>
      </c>
      <c r="O192" s="265">
        <f ca="1">IFERROR(OFFSET(INDIRECT(#REF!),MATCH([2]Development_Schedule_EK!R$6,INDIRECT(#REF!),0)-1,MATCH([2]Development_Schedule_EK!$B189,INDIRECT(#REF!),0),1,1)*$D192,0)</f>
        <v>0</v>
      </c>
      <c r="P192" s="183"/>
      <c r="Q192" s="184"/>
      <c r="R192" s="183"/>
    </row>
    <row r="193" spans="1:18" x14ac:dyDescent="0.25">
      <c r="A193" s="284">
        <v>3</v>
      </c>
      <c r="B193" s="774" t="s">
        <v>384</v>
      </c>
      <c r="C193" s="262"/>
      <c r="D193" s="270">
        <f ca="1">IFERROR(OFFSET(INDIRECT(#REF!),MATCH([2]Development_Schedule_EK!$E190,INDIRECT(#REF!),0)-1,MATCH([2]Development_Schedule_EK!$B190,INDIRECT(#REF!),0),1,1),0)</f>
        <v>0</v>
      </c>
      <c r="E193" s="266"/>
      <c r="F193" s="260">
        <f ca="1">IFERROR(OFFSET(INDIRECT(#REF!),MATCH([2]Development_Schedule_EK!I$6,INDIRECT(#REF!),0)-1,MATCH([2]Development_Schedule_EK!$B190,INDIRECT(#REF!),0),1,1)*$D193,0)</f>
        <v>0</v>
      </c>
      <c r="G193" s="260">
        <f ca="1">IFERROR(OFFSET(INDIRECT(#REF!),MATCH([2]Development_Schedule_EK!J$6,INDIRECT(#REF!),0)-1,MATCH([2]Development_Schedule_EK!$B190,INDIRECT(#REF!),0),1,1)*$D193,0)</f>
        <v>0</v>
      </c>
      <c r="H193" s="265">
        <f ca="1">IFERROR(OFFSET(INDIRECT(#REF!),MATCH([2]Development_Schedule_EK!K$6,INDIRECT(#REF!),0)-1,MATCH([2]Development_Schedule_EK!$B190,INDIRECT(#REF!),0),1,1)*$D193,0)</f>
        <v>0</v>
      </c>
      <c r="I193" s="260">
        <f ca="1">IFERROR(OFFSET(INDIRECT(#REF!),MATCH([2]Development_Schedule_EK!L$6,INDIRECT(#REF!),0)-1,MATCH([2]Development_Schedule_EK!$B190,INDIRECT(#REF!),0),1,1)*$D193,0)</f>
        <v>0</v>
      </c>
      <c r="J193" s="260">
        <f ca="1">IFERROR(OFFSET(INDIRECT(#REF!),MATCH([2]Development_Schedule_EK!M$6,INDIRECT(#REF!),0)-1,MATCH([2]Development_Schedule_EK!$B190,INDIRECT(#REF!),0),1,1)*$D193,0)</f>
        <v>0</v>
      </c>
      <c r="K193" s="260">
        <f ca="1">IFERROR(OFFSET(INDIRECT(#REF!),MATCH([2]Development_Schedule_EK!N$6,INDIRECT(#REF!),0)-1,MATCH([2]Development_Schedule_EK!$B190,INDIRECT(#REF!),0),1,1)*$D193,0)</f>
        <v>0</v>
      </c>
      <c r="L193" s="265">
        <f ca="1">IFERROR(OFFSET(INDIRECT(#REF!),MATCH([2]Development_Schedule_EK!O$6,INDIRECT(#REF!),0)-1,MATCH([2]Development_Schedule_EK!$B190,INDIRECT(#REF!),0),1,1)*$D193,0)</f>
        <v>0</v>
      </c>
      <c r="M193" s="260">
        <f ca="1">IFERROR(OFFSET(INDIRECT(#REF!),MATCH([2]Development_Schedule_EK!P$6,INDIRECT(#REF!),0)-1,MATCH([2]Development_Schedule_EK!$B190,INDIRECT(#REF!),0),1,1)*$D193,0)</f>
        <v>0</v>
      </c>
      <c r="N193" s="260">
        <f ca="1">IFERROR(OFFSET(INDIRECT(#REF!),MATCH([2]Development_Schedule_EK!Q$6,INDIRECT(#REF!),0)-1,MATCH([2]Development_Schedule_EK!$B190,INDIRECT(#REF!),0),1,1)*$D193,0)</f>
        <v>0</v>
      </c>
      <c r="O193" s="265">
        <f ca="1">IFERROR(OFFSET(INDIRECT(#REF!),MATCH([2]Development_Schedule_EK!R$6,INDIRECT(#REF!),0)-1,MATCH([2]Development_Schedule_EK!$B190,INDIRECT(#REF!),0),1,1)*$D193,0)</f>
        <v>0</v>
      </c>
      <c r="P193" s="183"/>
      <c r="Q193" s="184"/>
      <c r="R193" s="183"/>
    </row>
    <row r="194" spans="1:18" x14ac:dyDescent="0.25">
      <c r="A194" s="284">
        <v>3</v>
      </c>
      <c r="B194" s="774" t="s">
        <v>35</v>
      </c>
      <c r="C194" s="262"/>
      <c r="D194" s="270">
        <f ca="1">IFERROR(OFFSET(INDIRECT(#REF!),MATCH([2]Development_Schedule_EK!$E191,INDIRECT(#REF!),0)-1,MATCH([2]Development_Schedule_EK!$B191,INDIRECT(#REF!),0),1,1),0)</f>
        <v>0</v>
      </c>
      <c r="E194" s="266"/>
      <c r="F194" s="260">
        <f ca="1">IFERROR(OFFSET(INDIRECT(#REF!),MATCH([2]Development_Schedule_EK!I$6,INDIRECT(#REF!),0)-1,MATCH([2]Development_Schedule_EK!$B191,INDIRECT(#REF!),0),1,1)*$D194,0)</f>
        <v>0</v>
      </c>
      <c r="G194" s="260">
        <f ca="1">IFERROR(OFFSET(INDIRECT(#REF!),MATCH([2]Development_Schedule_EK!J$6,INDIRECT(#REF!),0)-1,MATCH([2]Development_Schedule_EK!$B191,INDIRECT(#REF!),0),1,1)*$D194,0)</f>
        <v>0</v>
      </c>
      <c r="H194" s="265">
        <f ca="1">IFERROR(OFFSET(INDIRECT(#REF!),MATCH([2]Development_Schedule_EK!K$6,INDIRECT(#REF!),0)-1,MATCH([2]Development_Schedule_EK!$B191,INDIRECT(#REF!),0),1,1)*$D194,0)</f>
        <v>0</v>
      </c>
      <c r="I194" s="260">
        <f ca="1">IFERROR(OFFSET(INDIRECT(#REF!),MATCH([2]Development_Schedule_EK!L$6,INDIRECT(#REF!),0)-1,MATCH([2]Development_Schedule_EK!$B191,INDIRECT(#REF!),0),1,1)*$D194,0)</f>
        <v>0</v>
      </c>
      <c r="J194" s="260">
        <f ca="1">IFERROR(OFFSET(INDIRECT(#REF!),MATCH([2]Development_Schedule_EK!M$6,INDIRECT(#REF!),0)-1,MATCH([2]Development_Schedule_EK!$B191,INDIRECT(#REF!),0),1,1)*$D194,0)</f>
        <v>0</v>
      </c>
      <c r="K194" s="260">
        <f ca="1">IFERROR(OFFSET(INDIRECT(#REF!),MATCH([2]Development_Schedule_EK!N$6,INDIRECT(#REF!),0)-1,MATCH([2]Development_Schedule_EK!$B191,INDIRECT(#REF!),0),1,1)*$D194,0)</f>
        <v>0</v>
      </c>
      <c r="L194" s="265">
        <f ca="1">IFERROR(OFFSET(INDIRECT(#REF!),MATCH([2]Development_Schedule_EK!O$6,INDIRECT(#REF!),0)-1,MATCH([2]Development_Schedule_EK!$B191,INDIRECT(#REF!),0),1,1)*$D194,0)</f>
        <v>0</v>
      </c>
      <c r="M194" s="260">
        <f ca="1">IFERROR(OFFSET(INDIRECT(#REF!),MATCH([2]Development_Schedule_EK!P$6,INDIRECT(#REF!),0)-1,MATCH([2]Development_Schedule_EK!$B191,INDIRECT(#REF!),0),1,1)*$D194,0)</f>
        <v>0</v>
      </c>
      <c r="N194" s="260">
        <f ca="1">IFERROR(OFFSET(INDIRECT(#REF!),MATCH([2]Development_Schedule_EK!Q$6,INDIRECT(#REF!),0)-1,MATCH([2]Development_Schedule_EK!$B191,INDIRECT(#REF!),0),1,1)*$D194,0)</f>
        <v>0</v>
      </c>
      <c r="O194" s="265">
        <f ca="1">IFERROR(OFFSET(INDIRECT(#REF!),MATCH([2]Development_Schedule_EK!R$6,INDIRECT(#REF!),0)-1,MATCH([2]Development_Schedule_EK!$B191,INDIRECT(#REF!),0),1,1)*$D194,0)</f>
        <v>0</v>
      </c>
      <c r="P194" s="183"/>
      <c r="Q194" s="184"/>
      <c r="R194" s="183"/>
    </row>
    <row r="195" spans="1:18" x14ac:dyDescent="0.25">
      <c r="A195" s="284">
        <v>3</v>
      </c>
      <c r="B195" s="774" t="s">
        <v>355</v>
      </c>
      <c r="C195" s="262"/>
      <c r="D195" s="270">
        <f ca="1">IFERROR(OFFSET(INDIRECT(#REF!),MATCH([2]Development_Schedule_EK!$E192,INDIRECT(#REF!),0)-1,MATCH([2]Development_Schedule_EK!$B192,INDIRECT(#REF!),0),1,1),0)</f>
        <v>0</v>
      </c>
      <c r="E195" s="266"/>
      <c r="F195" s="260">
        <f ca="1">IFERROR(OFFSET(INDIRECT(#REF!),MATCH([2]Development_Schedule_EK!I$6,INDIRECT(#REF!),0)-1,MATCH([2]Development_Schedule_EK!$B192,INDIRECT(#REF!),0),1,1)*$D195,0)</f>
        <v>0</v>
      </c>
      <c r="G195" s="260">
        <f ca="1">IFERROR(OFFSET(INDIRECT(#REF!),MATCH([2]Development_Schedule_EK!J$6,INDIRECT(#REF!),0)-1,MATCH([2]Development_Schedule_EK!$B192,INDIRECT(#REF!),0),1,1)*$D195,0)</f>
        <v>0</v>
      </c>
      <c r="H195" s="265">
        <f ca="1">IFERROR(OFFSET(INDIRECT(#REF!),MATCH([2]Development_Schedule_EK!K$6,INDIRECT(#REF!),0)-1,MATCH([2]Development_Schedule_EK!$B192,INDIRECT(#REF!),0),1,1)*$D195,0)</f>
        <v>0</v>
      </c>
      <c r="I195" s="260">
        <f ca="1">IFERROR(OFFSET(INDIRECT(#REF!),MATCH([2]Development_Schedule_EK!L$6,INDIRECT(#REF!),0)-1,MATCH([2]Development_Schedule_EK!$B192,INDIRECT(#REF!),0),1,1)*$D195,0)</f>
        <v>0</v>
      </c>
      <c r="J195" s="260">
        <f ca="1">IFERROR(OFFSET(INDIRECT(#REF!),MATCH([2]Development_Schedule_EK!M$6,INDIRECT(#REF!),0)-1,MATCH([2]Development_Schedule_EK!$B192,INDIRECT(#REF!),0),1,1)*$D195,0)</f>
        <v>0</v>
      </c>
      <c r="K195" s="260">
        <f ca="1">IFERROR(OFFSET(INDIRECT(#REF!),MATCH([2]Development_Schedule_EK!N$6,INDIRECT(#REF!),0)-1,MATCH([2]Development_Schedule_EK!$B192,INDIRECT(#REF!),0),1,1)*$D195,0)</f>
        <v>0</v>
      </c>
      <c r="L195" s="265">
        <f ca="1">IFERROR(OFFSET(INDIRECT(#REF!),MATCH([2]Development_Schedule_EK!O$6,INDIRECT(#REF!),0)-1,MATCH([2]Development_Schedule_EK!$B192,INDIRECT(#REF!),0),1,1)*$D195,0)</f>
        <v>0</v>
      </c>
      <c r="M195" s="260">
        <f ca="1">IFERROR(OFFSET(INDIRECT(#REF!),MATCH([2]Development_Schedule_EK!P$6,INDIRECT(#REF!),0)-1,MATCH([2]Development_Schedule_EK!$B192,INDIRECT(#REF!),0),1,1)*$D195,0)</f>
        <v>0</v>
      </c>
      <c r="N195" s="260">
        <f ca="1">IFERROR(OFFSET(INDIRECT(#REF!),MATCH([2]Development_Schedule_EK!Q$6,INDIRECT(#REF!),0)-1,MATCH([2]Development_Schedule_EK!$B192,INDIRECT(#REF!),0),1,1)*$D195,0)</f>
        <v>0</v>
      </c>
      <c r="O195" s="265">
        <f ca="1">IFERROR(OFFSET(INDIRECT(#REF!),MATCH([2]Development_Schedule_EK!R$6,INDIRECT(#REF!),0)-1,MATCH([2]Development_Schedule_EK!$B192,INDIRECT(#REF!),0),1,1)*$D195,0)</f>
        <v>0</v>
      </c>
      <c r="P195" s="183"/>
      <c r="Q195" s="184"/>
      <c r="R195" s="183"/>
    </row>
    <row r="196" spans="1:18" x14ac:dyDescent="0.25">
      <c r="A196" s="284">
        <v>3</v>
      </c>
      <c r="B196" s="774" t="s">
        <v>356</v>
      </c>
      <c r="C196" s="262"/>
      <c r="D196" s="270">
        <v>152743.21</v>
      </c>
      <c r="E196" s="266"/>
      <c r="F196" s="260">
        <f ca="1">IFERROR(OFFSET(INDIRECT(#REF!),MATCH([2]Development_Schedule_EK!I$6,INDIRECT(#REF!),0)-1,MATCH([2]Development_Schedule_EK!$B193,INDIRECT(#REF!),0),1,1)*$D196,0)</f>
        <v>0</v>
      </c>
      <c r="G196" s="260">
        <f ca="1">IFERROR(OFFSET(INDIRECT(#REF!),MATCH([2]Development_Schedule_EK!J$6,INDIRECT(#REF!),0)-1,MATCH([2]Development_Schedule_EK!$B193,INDIRECT(#REF!),0),1,1)*$D196,0)</f>
        <v>0</v>
      </c>
      <c r="H196" s="265">
        <f ca="1">IFERROR(OFFSET(INDIRECT(#REF!),MATCH([2]Development_Schedule_EK!K$6,INDIRECT(#REF!),0)-1,MATCH([2]Development_Schedule_EK!$B193,INDIRECT(#REF!),0),1,1)*$D196,0)</f>
        <v>0</v>
      </c>
      <c r="I196" s="260">
        <f ca="1">IFERROR(OFFSET(INDIRECT(#REF!),MATCH([2]Development_Schedule_EK!L$6,INDIRECT(#REF!),0)-1,MATCH([2]Development_Schedule_EK!$B193,INDIRECT(#REF!),0),1,1)*$D196,0)</f>
        <v>0</v>
      </c>
      <c r="J196" s="260">
        <f ca="1">IFERROR(OFFSET(INDIRECT(#REF!),MATCH([2]Development_Schedule_EK!M$6,INDIRECT(#REF!),0)-1,MATCH([2]Development_Schedule_EK!$B193,INDIRECT(#REF!),0),1,1)*$D196,0)</f>
        <v>0</v>
      </c>
      <c r="K196" s="260">
        <f ca="1">IFERROR(OFFSET(INDIRECT(#REF!),MATCH([2]Development_Schedule_EK!N$6,INDIRECT(#REF!),0)-1,MATCH([2]Development_Schedule_EK!$B193,INDIRECT(#REF!),0),1,1)*$D196,0)</f>
        <v>0</v>
      </c>
      <c r="L196" s="265">
        <f ca="1">IFERROR(OFFSET(INDIRECT(#REF!),MATCH([2]Development_Schedule_EK!O$6,INDIRECT(#REF!),0)-1,MATCH([2]Development_Schedule_EK!$B193,INDIRECT(#REF!),0),1,1)*$D196,0)</f>
        <v>0</v>
      </c>
      <c r="M196" s="260">
        <f>$D196/2</f>
        <v>76371.604999999996</v>
      </c>
      <c r="N196" s="260">
        <f>M196</f>
        <v>76371.604999999996</v>
      </c>
      <c r="O196" s="265">
        <f ca="1">IFERROR(OFFSET(INDIRECT(#REF!),MATCH([2]Development_Schedule_EK!R$6,INDIRECT(#REF!),0)-1,MATCH([2]Development_Schedule_EK!$B193,INDIRECT(#REF!),0),1,1)*$D196,0)</f>
        <v>0</v>
      </c>
      <c r="P196" s="183"/>
      <c r="Q196" s="184"/>
      <c r="R196" s="183"/>
    </row>
    <row r="197" spans="1:18" x14ac:dyDescent="0.25">
      <c r="A197" s="284">
        <v>3</v>
      </c>
      <c r="B197" s="774" t="s">
        <v>357</v>
      </c>
      <c r="C197" s="262"/>
      <c r="D197" s="270">
        <f ca="1">IFERROR(OFFSET(INDIRECT(#REF!),MATCH([2]Development_Schedule_EK!$E194,INDIRECT(#REF!),0)-1,MATCH([2]Development_Schedule_EK!$B194,INDIRECT(#REF!),0),1,1),0)</f>
        <v>0</v>
      </c>
      <c r="E197" s="266"/>
      <c r="F197" s="260">
        <f ca="1">IFERROR(OFFSET(INDIRECT(#REF!),MATCH([2]Development_Schedule_EK!I$6,INDIRECT(#REF!),0)-1,MATCH([2]Development_Schedule_EK!$B194,INDIRECT(#REF!),0),1,1)*$D197,0)</f>
        <v>0</v>
      </c>
      <c r="G197" s="260">
        <f ca="1">IFERROR(OFFSET(INDIRECT(#REF!),MATCH([2]Development_Schedule_EK!J$6,INDIRECT(#REF!),0)-1,MATCH([2]Development_Schedule_EK!$B194,INDIRECT(#REF!),0),1,1)*$D197,0)</f>
        <v>0</v>
      </c>
      <c r="H197" s="265">
        <f ca="1">IFERROR(OFFSET(INDIRECT(#REF!),MATCH([2]Development_Schedule_EK!K$6,INDIRECT(#REF!),0)-1,MATCH([2]Development_Schedule_EK!$B194,INDIRECT(#REF!),0),1,1)*$D197,0)</f>
        <v>0</v>
      </c>
      <c r="I197" s="260">
        <f ca="1">IFERROR(OFFSET(INDIRECT(#REF!),MATCH([2]Development_Schedule_EK!L$6,INDIRECT(#REF!),0)-1,MATCH([2]Development_Schedule_EK!$B194,INDIRECT(#REF!),0),1,1)*$D197,0)</f>
        <v>0</v>
      </c>
      <c r="J197" s="260">
        <f ca="1">IFERROR(OFFSET(INDIRECT(#REF!),MATCH([2]Development_Schedule_EK!M$6,INDIRECT(#REF!),0)-1,MATCH([2]Development_Schedule_EK!$B194,INDIRECT(#REF!),0),1,1)*$D197,0)</f>
        <v>0</v>
      </c>
      <c r="K197" s="260">
        <f ca="1">IFERROR(OFFSET(INDIRECT(#REF!),MATCH([2]Development_Schedule_EK!N$6,INDIRECT(#REF!),0)-1,MATCH([2]Development_Schedule_EK!$B194,INDIRECT(#REF!),0),1,1)*$D197,0)</f>
        <v>0</v>
      </c>
      <c r="L197" s="265">
        <f ca="1">IFERROR(OFFSET(INDIRECT(#REF!),MATCH([2]Development_Schedule_EK!O$6,INDIRECT(#REF!),0)-1,MATCH([2]Development_Schedule_EK!$B194,INDIRECT(#REF!),0),1,1)*$D197,0)</f>
        <v>0</v>
      </c>
      <c r="M197" s="260">
        <f ca="1">IFERROR(OFFSET(INDIRECT(#REF!),MATCH([2]Development_Schedule_EK!P$6,INDIRECT(#REF!),0)-1,MATCH([2]Development_Schedule_EK!$B194,INDIRECT(#REF!),0),1,1)*$D197,0)</f>
        <v>0</v>
      </c>
      <c r="N197" s="260">
        <f ca="1">IFERROR(OFFSET(INDIRECT(#REF!),MATCH([2]Development_Schedule_EK!Q$6,INDIRECT(#REF!),0)-1,MATCH([2]Development_Schedule_EK!$B194,INDIRECT(#REF!),0),1,1)*$D197,0)</f>
        <v>0</v>
      </c>
      <c r="O197" s="265">
        <f ca="1">IFERROR(OFFSET(INDIRECT(#REF!),MATCH([2]Development_Schedule_EK!R$6,INDIRECT(#REF!),0)-1,MATCH([2]Development_Schedule_EK!$B194,INDIRECT(#REF!),0),1,1)*$D197,0)</f>
        <v>0</v>
      </c>
      <c r="P197" s="183"/>
      <c r="Q197" s="184"/>
      <c r="R197" s="183"/>
    </row>
    <row r="198" spans="1:18" x14ac:dyDescent="0.25">
      <c r="A198" s="284">
        <v>3</v>
      </c>
      <c r="B198" s="774" t="s">
        <v>358</v>
      </c>
      <c r="C198" s="262"/>
      <c r="D198" s="270">
        <f ca="1">IFERROR(OFFSET(INDIRECT(#REF!),MATCH([2]Development_Schedule_EK!$E195,INDIRECT(#REF!),0)-1,MATCH([2]Development_Schedule_EK!$B195,INDIRECT(#REF!),0),1,1),0)</f>
        <v>0</v>
      </c>
      <c r="E198" s="266"/>
      <c r="F198" s="260">
        <f ca="1">IFERROR(OFFSET(INDIRECT(#REF!),MATCH([2]Development_Schedule_EK!I$6,INDIRECT(#REF!),0)-1,MATCH([2]Development_Schedule_EK!$B195,INDIRECT(#REF!),0),1,1)*$D198,0)</f>
        <v>0</v>
      </c>
      <c r="G198" s="260">
        <f ca="1">IFERROR(OFFSET(INDIRECT(#REF!),MATCH([2]Development_Schedule_EK!J$6,INDIRECT(#REF!),0)-1,MATCH([2]Development_Schedule_EK!$B195,INDIRECT(#REF!),0),1,1)*$D198,0)</f>
        <v>0</v>
      </c>
      <c r="H198" s="265">
        <f ca="1">IFERROR(OFFSET(INDIRECT(#REF!),MATCH([2]Development_Schedule_EK!K$6,INDIRECT(#REF!),0)-1,MATCH([2]Development_Schedule_EK!$B195,INDIRECT(#REF!),0),1,1)*$D198,0)</f>
        <v>0</v>
      </c>
      <c r="I198" s="260">
        <f ca="1">IFERROR(OFFSET(INDIRECT(#REF!),MATCH([2]Development_Schedule_EK!L$6,INDIRECT(#REF!),0)-1,MATCH([2]Development_Schedule_EK!$B195,INDIRECT(#REF!),0),1,1)*$D198,0)</f>
        <v>0</v>
      </c>
      <c r="J198" s="260">
        <f ca="1">IFERROR(OFFSET(INDIRECT(#REF!),MATCH([2]Development_Schedule_EK!M$6,INDIRECT(#REF!),0)-1,MATCH([2]Development_Schedule_EK!$B195,INDIRECT(#REF!),0),1,1)*$D198,0)</f>
        <v>0</v>
      </c>
      <c r="K198" s="260">
        <f ca="1">IFERROR(OFFSET(INDIRECT(#REF!),MATCH([2]Development_Schedule_EK!N$6,INDIRECT(#REF!),0)-1,MATCH([2]Development_Schedule_EK!$B195,INDIRECT(#REF!),0),1,1)*$D198,0)</f>
        <v>0</v>
      </c>
      <c r="L198" s="265">
        <f ca="1">IFERROR(OFFSET(INDIRECT(#REF!),MATCH([2]Development_Schedule_EK!O$6,INDIRECT(#REF!),0)-1,MATCH([2]Development_Schedule_EK!$B195,INDIRECT(#REF!),0),1,1)*$D198,0)</f>
        <v>0</v>
      </c>
      <c r="M198" s="260">
        <f ca="1">IFERROR(OFFSET(INDIRECT(#REF!),MATCH([2]Development_Schedule_EK!P$6,INDIRECT(#REF!),0)-1,MATCH([2]Development_Schedule_EK!$B195,INDIRECT(#REF!),0),1,1)*$D198,0)</f>
        <v>0</v>
      </c>
      <c r="N198" s="260">
        <f ca="1">IFERROR(OFFSET(INDIRECT(#REF!),MATCH([2]Development_Schedule_EK!Q$6,INDIRECT(#REF!),0)-1,MATCH([2]Development_Schedule_EK!$B195,INDIRECT(#REF!),0),1,1)*$D198,0)</f>
        <v>0</v>
      </c>
      <c r="O198" s="265">
        <f ca="1">IFERROR(OFFSET(INDIRECT(#REF!),MATCH([2]Development_Schedule_EK!R$6,INDIRECT(#REF!),0)-1,MATCH([2]Development_Schedule_EK!$B195,INDIRECT(#REF!),0),1,1)*$D198,0)</f>
        <v>0</v>
      </c>
      <c r="P198" s="183"/>
      <c r="Q198" s="184"/>
      <c r="R198" s="183"/>
    </row>
    <row r="199" spans="1:18" x14ac:dyDescent="0.25">
      <c r="A199" s="284">
        <v>3</v>
      </c>
      <c r="B199" s="774" t="s">
        <v>359</v>
      </c>
      <c r="C199" s="262"/>
      <c r="D199" s="270">
        <f ca="1">IFERROR(OFFSET(INDIRECT(#REF!),MATCH([2]Development_Schedule_EK!$E196,INDIRECT(#REF!),0)-1,MATCH([2]Development_Schedule_EK!$B196,INDIRECT(#REF!),0),1,1),0)</f>
        <v>0</v>
      </c>
      <c r="E199" s="266"/>
      <c r="F199" s="260">
        <f ca="1">IFERROR(OFFSET(INDIRECT(#REF!),MATCH([2]Development_Schedule_EK!I$6,INDIRECT(#REF!),0)-1,MATCH([2]Development_Schedule_EK!$B196,INDIRECT(#REF!),0),1,1)*$D199,0)</f>
        <v>0</v>
      </c>
      <c r="G199" s="260">
        <f ca="1">IFERROR(OFFSET(INDIRECT(#REF!),MATCH([2]Development_Schedule_EK!J$6,INDIRECT(#REF!),0)-1,MATCH([2]Development_Schedule_EK!$B196,INDIRECT(#REF!),0),1,1)*$D199,0)</f>
        <v>0</v>
      </c>
      <c r="H199" s="265">
        <f ca="1">IFERROR(OFFSET(INDIRECT(#REF!),MATCH([2]Development_Schedule_EK!K$6,INDIRECT(#REF!),0)-1,MATCH([2]Development_Schedule_EK!$B196,INDIRECT(#REF!),0),1,1)*$D199,0)</f>
        <v>0</v>
      </c>
      <c r="I199" s="260">
        <f ca="1">IFERROR(OFFSET(INDIRECT(#REF!),MATCH([2]Development_Schedule_EK!L$6,INDIRECT(#REF!),0)-1,MATCH([2]Development_Schedule_EK!$B196,INDIRECT(#REF!),0),1,1)*$D199,0)</f>
        <v>0</v>
      </c>
      <c r="J199" s="260">
        <f ca="1">IFERROR(OFFSET(INDIRECT(#REF!),MATCH([2]Development_Schedule_EK!M$6,INDIRECT(#REF!),0)-1,MATCH([2]Development_Schedule_EK!$B196,INDIRECT(#REF!),0),1,1)*$D199,0)</f>
        <v>0</v>
      </c>
      <c r="K199" s="260">
        <f ca="1">IFERROR(OFFSET(INDIRECT(#REF!),MATCH([2]Development_Schedule_EK!N$6,INDIRECT(#REF!),0)-1,MATCH([2]Development_Schedule_EK!$B196,INDIRECT(#REF!),0),1,1)*$D199,0)</f>
        <v>0</v>
      </c>
      <c r="L199" s="265">
        <f ca="1">IFERROR(OFFSET(INDIRECT(#REF!),MATCH([2]Development_Schedule_EK!O$6,INDIRECT(#REF!),0)-1,MATCH([2]Development_Schedule_EK!$B196,INDIRECT(#REF!),0),1,1)*$D199,0)</f>
        <v>0</v>
      </c>
      <c r="M199" s="260">
        <f ca="1">IFERROR(OFFSET(INDIRECT(#REF!),MATCH([2]Development_Schedule_EK!P$6,INDIRECT(#REF!),0)-1,MATCH([2]Development_Schedule_EK!$B196,INDIRECT(#REF!),0),1,1)*$D199,0)</f>
        <v>0</v>
      </c>
      <c r="N199" s="260">
        <f ca="1">IFERROR(OFFSET(INDIRECT(#REF!),MATCH([2]Development_Schedule_EK!Q$6,INDIRECT(#REF!),0)-1,MATCH([2]Development_Schedule_EK!$B196,INDIRECT(#REF!),0),1,1)*$D199,0)</f>
        <v>0</v>
      </c>
      <c r="O199" s="265">
        <f ca="1">IFERROR(OFFSET(INDIRECT(#REF!),MATCH([2]Development_Schedule_EK!R$6,INDIRECT(#REF!),0)-1,MATCH([2]Development_Schedule_EK!$B196,INDIRECT(#REF!),0),1,1)*$D199,0)</f>
        <v>0</v>
      </c>
      <c r="P199" s="183"/>
      <c r="Q199" s="184"/>
      <c r="R199" s="183"/>
    </row>
    <row r="200" spans="1:18" x14ac:dyDescent="0.25">
      <c r="A200" s="284">
        <v>3</v>
      </c>
      <c r="B200" s="774" t="s">
        <v>33</v>
      </c>
      <c r="C200" s="262"/>
      <c r="D200" s="270">
        <f ca="1">IFERROR(OFFSET(INDIRECT(#REF!),MATCH([2]Development_Schedule_EK!$E197,INDIRECT(#REF!),0)-1,MATCH([2]Development_Schedule_EK!$B197,INDIRECT(#REF!),0),1,1),0)</f>
        <v>0</v>
      </c>
      <c r="E200" s="266"/>
      <c r="F200" s="260">
        <f ca="1">IFERROR(OFFSET(INDIRECT(#REF!),MATCH([2]Development_Schedule_EK!I$6,INDIRECT(#REF!),0)-1,MATCH([2]Development_Schedule_EK!$B197,INDIRECT(#REF!),0),1,1)*$D200,0)</f>
        <v>0</v>
      </c>
      <c r="G200" s="260">
        <f ca="1">IFERROR(OFFSET(INDIRECT(#REF!),MATCH([2]Development_Schedule_EK!J$6,INDIRECT(#REF!),0)-1,MATCH([2]Development_Schedule_EK!$B197,INDIRECT(#REF!),0),1,1)*$D200,0)</f>
        <v>0</v>
      </c>
      <c r="H200" s="265">
        <f ca="1">IFERROR(OFFSET(INDIRECT(#REF!),MATCH([2]Development_Schedule_EK!K$6,INDIRECT(#REF!),0)-1,MATCH([2]Development_Schedule_EK!$B197,INDIRECT(#REF!),0),1,1)*$D200,0)</f>
        <v>0</v>
      </c>
      <c r="I200" s="260">
        <f ca="1">IFERROR(OFFSET(INDIRECT(#REF!),MATCH([2]Development_Schedule_EK!L$6,INDIRECT(#REF!),0)-1,MATCH([2]Development_Schedule_EK!$B197,INDIRECT(#REF!),0),1,1)*$D200,0)</f>
        <v>0</v>
      </c>
      <c r="J200" s="260">
        <f ca="1">IFERROR(OFFSET(INDIRECT(#REF!),MATCH([2]Development_Schedule_EK!M$6,INDIRECT(#REF!),0)-1,MATCH([2]Development_Schedule_EK!$B197,INDIRECT(#REF!),0),1,1)*$D200,0)</f>
        <v>0</v>
      </c>
      <c r="K200" s="260">
        <f ca="1">IFERROR(OFFSET(INDIRECT(#REF!),MATCH([2]Development_Schedule_EK!N$6,INDIRECT(#REF!),0)-1,MATCH([2]Development_Schedule_EK!$B197,INDIRECT(#REF!),0),1,1)*$D200,0)</f>
        <v>0</v>
      </c>
      <c r="L200" s="265">
        <f ca="1">IFERROR(OFFSET(INDIRECT(#REF!),MATCH([2]Development_Schedule_EK!O$6,INDIRECT(#REF!),0)-1,MATCH([2]Development_Schedule_EK!$B197,INDIRECT(#REF!),0),1,1)*$D200,0)</f>
        <v>0</v>
      </c>
      <c r="M200" s="260">
        <f ca="1">IFERROR(OFFSET(INDIRECT(#REF!),MATCH([2]Development_Schedule_EK!P$6,INDIRECT(#REF!),0)-1,MATCH([2]Development_Schedule_EK!$B197,INDIRECT(#REF!),0),1,1)*$D200,0)</f>
        <v>0</v>
      </c>
      <c r="N200" s="260">
        <f ca="1">IFERROR(OFFSET(INDIRECT(#REF!),MATCH([2]Development_Schedule_EK!Q$6,INDIRECT(#REF!),0)-1,MATCH([2]Development_Schedule_EK!$B197,INDIRECT(#REF!),0),1,1)*$D200,0)</f>
        <v>0</v>
      </c>
      <c r="O200" s="265">
        <f ca="1">IFERROR(OFFSET(INDIRECT(#REF!),MATCH([2]Development_Schedule_EK!R$6,INDIRECT(#REF!),0)-1,MATCH([2]Development_Schedule_EK!$B197,INDIRECT(#REF!),0),1,1)*$D200,0)</f>
        <v>0</v>
      </c>
      <c r="P200" s="183"/>
      <c r="Q200" s="184"/>
      <c r="R200" s="183"/>
    </row>
    <row r="201" spans="1:18" x14ac:dyDescent="0.25">
      <c r="A201" s="284">
        <v>3</v>
      </c>
      <c r="B201" s="774" t="s">
        <v>42</v>
      </c>
      <c r="C201" s="262"/>
      <c r="D201" s="270">
        <v>50914</v>
      </c>
      <c r="E201" s="266"/>
      <c r="F201" s="260">
        <f ca="1">IFERROR(OFFSET(INDIRECT(#REF!),MATCH([2]Development_Schedule_EK!I$6,INDIRECT(#REF!),0)-1,MATCH([2]Development_Schedule_EK!$B198,INDIRECT(#REF!),0),1,1)*$D201,0)</f>
        <v>0</v>
      </c>
      <c r="G201" s="260">
        <f ca="1">IFERROR(OFFSET(INDIRECT(#REF!),MATCH([2]Development_Schedule_EK!J$6,INDIRECT(#REF!),0)-1,MATCH([2]Development_Schedule_EK!$B198,INDIRECT(#REF!),0),1,1)*$D201,0)</f>
        <v>0</v>
      </c>
      <c r="H201" s="265">
        <f ca="1">IFERROR(OFFSET(INDIRECT(#REF!),MATCH([2]Development_Schedule_EK!K$6,INDIRECT(#REF!),0)-1,MATCH([2]Development_Schedule_EK!$B198,INDIRECT(#REF!),0),1,1)*$D201,0)</f>
        <v>0</v>
      </c>
      <c r="I201" s="260">
        <f ca="1">IFERROR(OFFSET(INDIRECT(#REF!),MATCH([2]Development_Schedule_EK!L$6,INDIRECT(#REF!),0)-1,MATCH([2]Development_Schedule_EK!$B198,INDIRECT(#REF!),0),1,1)*$D201,0)</f>
        <v>0</v>
      </c>
      <c r="J201" s="260">
        <f ca="1">IFERROR(OFFSET(INDIRECT(#REF!),MATCH([2]Development_Schedule_EK!M$6,INDIRECT(#REF!),0)-1,MATCH([2]Development_Schedule_EK!$B198,INDIRECT(#REF!),0),1,1)*$D201,0)</f>
        <v>0</v>
      </c>
      <c r="K201" s="260">
        <f ca="1">IFERROR(OFFSET(INDIRECT(#REF!),MATCH([2]Development_Schedule_EK!N$6,INDIRECT(#REF!),0)-1,MATCH([2]Development_Schedule_EK!$B198,INDIRECT(#REF!),0),1,1)*$D201,0)</f>
        <v>0</v>
      </c>
      <c r="L201" s="265"/>
      <c r="M201" s="260">
        <f>D201/2</f>
        <v>25457</v>
      </c>
      <c r="N201" s="260">
        <f>M201</f>
        <v>25457</v>
      </c>
      <c r="O201" s="265">
        <f ca="1">IFERROR(OFFSET(INDIRECT(#REF!),MATCH([2]Development_Schedule_EK!R$6,INDIRECT(#REF!),0)-1,MATCH([2]Development_Schedule_EK!$B198,INDIRECT(#REF!),0),1,1)*$D201,0)</f>
        <v>0</v>
      </c>
      <c r="P201" s="183"/>
      <c r="Q201" s="184"/>
      <c r="R201" s="183"/>
    </row>
    <row r="202" spans="1:18" x14ac:dyDescent="0.25">
      <c r="B202" s="774"/>
      <c r="C202" s="262"/>
      <c r="D202" s="270"/>
      <c r="E202" s="266"/>
      <c r="F202" s="256"/>
      <c r="G202" s="256"/>
      <c r="H202" s="263"/>
      <c r="I202" s="256"/>
      <c r="J202" s="256"/>
      <c r="K202" s="256"/>
      <c r="L202" s="263"/>
      <c r="M202" s="256"/>
      <c r="N202" s="256"/>
      <c r="O202" s="263"/>
      <c r="P202" s="183"/>
      <c r="Q202" s="184"/>
      <c r="R202" s="183"/>
    </row>
    <row r="203" spans="1:18" x14ac:dyDescent="0.25">
      <c r="B203" s="774"/>
      <c r="C203" s="262"/>
      <c r="D203" s="270"/>
      <c r="E203" s="266"/>
      <c r="F203" s="256"/>
      <c r="G203" s="256"/>
      <c r="H203" s="263"/>
      <c r="I203" s="256"/>
      <c r="J203" s="256"/>
      <c r="K203" s="256"/>
      <c r="L203" s="263"/>
      <c r="M203" s="256"/>
      <c r="N203" s="256"/>
      <c r="O203" s="263"/>
      <c r="P203" s="183"/>
      <c r="Q203" s="184"/>
      <c r="R203" s="183"/>
    </row>
    <row r="204" spans="1:18" x14ac:dyDescent="0.25">
      <c r="B204" s="773" t="s">
        <v>372</v>
      </c>
      <c r="C204" s="262"/>
      <c r="D204" s="270"/>
      <c r="E204" s="266"/>
      <c r="F204" s="256"/>
      <c r="G204" s="256"/>
      <c r="H204" s="263"/>
      <c r="I204" s="256"/>
      <c r="J204" s="256"/>
      <c r="K204" s="256"/>
      <c r="L204" s="263"/>
      <c r="M204" s="256"/>
      <c r="N204" s="256"/>
      <c r="O204" s="263"/>
      <c r="P204" s="183"/>
      <c r="Q204" s="184"/>
      <c r="R204" s="183"/>
    </row>
    <row r="205" spans="1:18" x14ac:dyDescent="0.25">
      <c r="A205" s="284">
        <v>3</v>
      </c>
      <c r="B205" s="774" t="s">
        <v>381</v>
      </c>
      <c r="C205" s="262"/>
      <c r="D205" s="270">
        <f ca="1">IFERROR(OFFSET(INDIRECT(#REF!),MATCH([2]Development_Schedule_EK!$E202,INDIRECT(#REF!),0)-1,MATCH([2]Development_Schedule_EK!$B202,INDIRECT(#REF!),0),1,1),0)</f>
        <v>0</v>
      </c>
      <c r="E205" s="266"/>
      <c r="F205" s="260">
        <f ca="1">IFERROR(OFFSET(INDIRECT(#REF!),MATCH([2]Development_Schedule_EK!I$6,INDIRECT(#REF!),0)-1,MATCH([2]Development_Schedule_EK!$B202,INDIRECT(#REF!),0),1,1)*$D205,0)</f>
        <v>0</v>
      </c>
      <c r="G205" s="260">
        <f ca="1">IFERROR(OFFSET(INDIRECT(#REF!),MATCH([2]Development_Schedule_EK!J$6,INDIRECT(#REF!),0)-1,MATCH([2]Development_Schedule_EK!$B202,INDIRECT(#REF!),0),1,1)*$D205,0)</f>
        <v>0</v>
      </c>
      <c r="H205" s="265">
        <f ca="1">IFERROR(OFFSET(INDIRECT(#REF!),MATCH([2]Development_Schedule_EK!K$6,INDIRECT(#REF!),0)-1,MATCH([2]Development_Schedule_EK!$B202,INDIRECT(#REF!),0),1,1)*$D205,0)</f>
        <v>0</v>
      </c>
      <c r="I205" s="260">
        <f ca="1">IFERROR(OFFSET(INDIRECT(#REF!),MATCH([2]Development_Schedule_EK!L$6,INDIRECT(#REF!),0)-1,MATCH([2]Development_Schedule_EK!$B202,INDIRECT(#REF!),0),1,1)*$D205,0)</f>
        <v>0</v>
      </c>
      <c r="J205" s="260">
        <f ca="1">IFERROR(OFFSET(INDIRECT(#REF!),MATCH([2]Development_Schedule_EK!M$6,INDIRECT(#REF!),0)-1,MATCH([2]Development_Schedule_EK!$B202,INDIRECT(#REF!),0),1,1)*$D205,0)</f>
        <v>0</v>
      </c>
      <c r="K205" s="260">
        <f ca="1">IFERROR(OFFSET(INDIRECT(#REF!),MATCH([2]Development_Schedule_EK!N$6,INDIRECT(#REF!),0)-1,MATCH([2]Development_Schedule_EK!$B202,INDIRECT(#REF!),0),1,1)*$D205,0)</f>
        <v>0</v>
      </c>
      <c r="L205" s="265">
        <f ca="1">IFERROR(OFFSET(INDIRECT(#REF!),MATCH([2]Development_Schedule_EK!O$6,INDIRECT(#REF!),0)-1,MATCH([2]Development_Schedule_EK!$B202,INDIRECT(#REF!),0),1,1)*$D205,0)</f>
        <v>0</v>
      </c>
      <c r="M205" s="260">
        <f ca="1">IFERROR(OFFSET(INDIRECT(#REF!),MATCH([2]Development_Schedule_EK!P$6,INDIRECT(#REF!),0)-1,MATCH([2]Development_Schedule_EK!$B202,INDIRECT(#REF!),0),1,1)*$D205,0)</f>
        <v>0</v>
      </c>
      <c r="N205" s="260">
        <f ca="1">IFERROR(OFFSET(INDIRECT(#REF!),MATCH([2]Development_Schedule_EK!Q$6,INDIRECT(#REF!),0)-1,MATCH([2]Development_Schedule_EK!$B202,INDIRECT(#REF!),0),1,1)*$D205,0)</f>
        <v>0</v>
      </c>
      <c r="O205" s="265">
        <f ca="1">IFERROR(OFFSET(INDIRECT(#REF!),MATCH([2]Development_Schedule_EK!R$6,INDIRECT(#REF!),0)-1,MATCH([2]Development_Schedule_EK!$B202,INDIRECT(#REF!),0),1,1)*$D205,0)</f>
        <v>0</v>
      </c>
      <c r="P205" s="183"/>
      <c r="Q205" s="184"/>
      <c r="R205" s="183"/>
    </row>
    <row r="206" spans="1:18" x14ac:dyDescent="0.25">
      <c r="A206" s="284">
        <v>3</v>
      </c>
      <c r="B206" s="774" t="s">
        <v>382</v>
      </c>
      <c r="C206" s="262"/>
      <c r="D206" s="270">
        <v>104384</v>
      </c>
      <c r="E206" s="266"/>
      <c r="F206" s="260"/>
      <c r="G206" s="260"/>
      <c r="H206" s="265"/>
      <c r="I206" s="260">
        <f ca="1">IFERROR(OFFSET(INDIRECT(#REF!),MATCH([2]Development_Schedule_EK!L$6,INDIRECT(#REF!),0)-1,MATCH([2]Development_Schedule_EK!$B203,INDIRECT(#REF!),0),1,1)*$D206,0)</f>
        <v>0</v>
      </c>
      <c r="J206" s="260">
        <f ca="1">IFERROR(OFFSET(INDIRECT(#REF!),MATCH([2]Development_Schedule_EK!M$6,INDIRECT(#REF!),0)-1,MATCH([2]Development_Schedule_EK!$B203,INDIRECT(#REF!),0),1,1)*$D206,0)</f>
        <v>0</v>
      </c>
      <c r="K206" s="260">
        <f ca="1">IFERROR(OFFSET(INDIRECT(#REF!),MATCH([2]Development_Schedule_EK!N$6,INDIRECT(#REF!),0)-1,MATCH([2]Development_Schedule_EK!$B203,INDIRECT(#REF!),0),1,1)*$D206,0)</f>
        <v>0</v>
      </c>
      <c r="L206" s="265">
        <f ca="1">IFERROR(OFFSET(INDIRECT(#REF!),MATCH([2]Development_Schedule_EK!O$6,INDIRECT(#REF!),0)-1,MATCH([2]Development_Schedule_EK!$B203,INDIRECT(#REF!),0),1,1)*$D206,0)</f>
        <v>0</v>
      </c>
      <c r="M206" s="260">
        <f>D206/2</f>
        <v>52192</v>
      </c>
      <c r="N206" s="260">
        <f>M206</f>
        <v>52192</v>
      </c>
      <c r="O206" s="265">
        <f ca="1">IFERROR(OFFSET(INDIRECT(#REF!),MATCH([2]Development_Schedule_EK!R$6,INDIRECT(#REF!),0)-1,MATCH([2]Development_Schedule_EK!$B203,INDIRECT(#REF!),0),1,1)*$D206,0)</f>
        <v>0</v>
      </c>
      <c r="P206" s="183"/>
      <c r="Q206" s="184"/>
      <c r="R206" s="183"/>
    </row>
    <row r="207" spans="1:18" x14ac:dyDescent="0.25">
      <c r="A207" s="284">
        <v>3</v>
      </c>
      <c r="B207" s="774" t="s">
        <v>383</v>
      </c>
      <c r="C207" s="262"/>
      <c r="D207" s="270">
        <f ca="1">IFERROR(OFFSET(INDIRECT(#REF!),MATCH([2]Development_Schedule_EK!$E204,INDIRECT(#REF!),0)-1,MATCH([2]Development_Schedule_EK!$B204,INDIRECT(#REF!),0),1,1),0)</f>
        <v>0</v>
      </c>
      <c r="E207" s="266"/>
      <c r="F207" s="260"/>
      <c r="G207" s="260"/>
      <c r="H207" s="265"/>
      <c r="I207" s="260">
        <f ca="1">IFERROR(OFFSET(INDIRECT(#REF!),MATCH([2]Development_Schedule_EK!L$6,INDIRECT(#REF!),0)-1,MATCH([2]Development_Schedule_EK!$B204,INDIRECT(#REF!),0),1,1)*$D207,0)</f>
        <v>0</v>
      </c>
      <c r="J207" s="260">
        <f ca="1">IFERROR(OFFSET(INDIRECT(#REF!),MATCH([2]Development_Schedule_EK!M$6,INDIRECT(#REF!),0)-1,MATCH([2]Development_Schedule_EK!$B204,INDIRECT(#REF!),0),1,1)*$D207,0)</f>
        <v>0</v>
      </c>
      <c r="K207" s="260">
        <f ca="1">IFERROR(OFFSET(INDIRECT(#REF!),MATCH([2]Development_Schedule_EK!N$6,INDIRECT(#REF!),0)-1,MATCH([2]Development_Schedule_EK!$B204,INDIRECT(#REF!),0),1,1)*$D207,0)</f>
        <v>0</v>
      </c>
      <c r="L207" s="265">
        <f ca="1">IFERROR(OFFSET(INDIRECT(#REF!),MATCH([2]Development_Schedule_EK!O$6,INDIRECT(#REF!),0)-1,MATCH([2]Development_Schedule_EK!$B204,INDIRECT(#REF!),0),1,1)*$D207,0)</f>
        <v>0</v>
      </c>
      <c r="M207" s="260">
        <f ca="1">IFERROR(OFFSET(INDIRECT(#REF!),MATCH([2]Development_Schedule_EK!P$6,INDIRECT(#REF!),0)-1,MATCH([2]Development_Schedule_EK!$B204,INDIRECT(#REF!),0),1,1)*$D207,0)</f>
        <v>0</v>
      </c>
      <c r="N207" s="260">
        <f ca="1">IFERROR(OFFSET(INDIRECT(#REF!),MATCH([2]Development_Schedule_EK!Q$6,INDIRECT(#REF!),0)-1,MATCH([2]Development_Schedule_EK!$B204,INDIRECT(#REF!),0),1,1)*$D207,0)</f>
        <v>0</v>
      </c>
      <c r="O207" s="265">
        <f ca="1">IFERROR(OFFSET(INDIRECT(#REF!),MATCH([2]Development_Schedule_EK!R$6,INDIRECT(#REF!),0)-1,MATCH([2]Development_Schedule_EK!$B204,INDIRECT(#REF!),0),1,1)*$D207,0)</f>
        <v>0</v>
      </c>
      <c r="P207" s="183"/>
      <c r="Q207" s="184"/>
      <c r="R207" s="183"/>
    </row>
    <row r="208" spans="1:18" x14ac:dyDescent="0.25">
      <c r="A208" s="284">
        <v>3</v>
      </c>
      <c r="B208" s="774" t="s">
        <v>384</v>
      </c>
      <c r="C208" s="262"/>
      <c r="D208" s="270">
        <f>D206/4</f>
        <v>26096</v>
      </c>
      <c r="E208" s="266"/>
      <c r="F208" s="260"/>
      <c r="G208" s="260"/>
      <c r="H208" s="265"/>
      <c r="I208" s="260">
        <f ca="1">IFERROR(OFFSET(INDIRECT(#REF!),MATCH([2]Development_Schedule_EK!L$6,INDIRECT(#REF!),0)-1,MATCH([2]Development_Schedule_EK!$B205,INDIRECT(#REF!),0),1,1)*$D208,0)</f>
        <v>0</v>
      </c>
      <c r="J208" s="260">
        <f ca="1">IFERROR(OFFSET(INDIRECT(#REF!),MATCH([2]Development_Schedule_EK!M$6,INDIRECT(#REF!),0)-1,MATCH([2]Development_Schedule_EK!$B205,INDIRECT(#REF!),0),1,1)*$D208,0)</f>
        <v>0</v>
      </c>
      <c r="K208" s="260">
        <f ca="1">IFERROR(OFFSET(INDIRECT(#REF!),MATCH([2]Development_Schedule_EK!N$6,INDIRECT(#REF!),0)-1,MATCH([2]Development_Schedule_EK!$B205,INDIRECT(#REF!),0),1,1)*$D208,0)</f>
        <v>0</v>
      </c>
      <c r="L208" s="265">
        <f ca="1">IFERROR(OFFSET(INDIRECT(#REF!),MATCH([2]Development_Schedule_EK!O$6,INDIRECT(#REF!),0)-1,MATCH([2]Development_Schedule_EK!$B205,INDIRECT(#REF!),0),1,1)*$D208,0)</f>
        <v>0</v>
      </c>
      <c r="M208" s="260">
        <f>M206/4</f>
        <v>13048</v>
      </c>
      <c r="N208" s="260">
        <f t="shared" ref="N208:O208" si="14">N206/4</f>
        <v>13048</v>
      </c>
      <c r="O208" s="265">
        <f t="shared" ca="1" si="14"/>
        <v>0</v>
      </c>
      <c r="P208" s="183"/>
      <c r="Q208" s="184"/>
      <c r="R208" s="183"/>
    </row>
    <row r="209" spans="1:18" x14ac:dyDescent="0.25">
      <c r="A209" s="284">
        <v>3</v>
      </c>
      <c r="B209" s="774" t="s">
        <v>35</v>
      </c>
      <c r="C209" s="262"/>
      <c r="D209" s="270">
        <v>18640</v>
      </c>
      <c r="E209" s="266"/>
      <c r="F209" s="260"/>
      <c r="G209" s="260"/>
      <c r="H209" s="265"/>
      <c r="I209" s="260">
        <f ca="1">IFERROR(OFFSET(INDIRECT(#REF!),MATCH([2]Development_Schedule_EK!L$6,INDIRECT(#REF!),0)-1,MATCH([2]Development_Schedule_EK!$B206,INDIRECT(#REF!),0),1,1)*$D209,0)</f>
        <v>0</v>
      </c>
      <c r="J209" s="260">
        <f ca="1">IFERROR(OFFSET(INDIRECT(#REF!),MATCH([2]Development_Schedule_EK!M$6,INDIRECT(#REF!),0)-1,MATCH([2]Development_Schedule_EK!$B206,INDIRECT(#REF!),0),1,1)*$D209,0)</f>
        <v>0</v>
      </c>
      <c r="K209" s="260">
        <f ca="1">IFERROR(OFFSET(INDIRECT(#REF!),MATCH([2]Development_Schedule_EK!N$6,INDIRECT(#REF!),0)-1,MATCH([2]Development_Schedule_EK!$B206,INDIRECT(#REF!),0),1,1)*$D209,0)</f>
        <v>0</v>
      </c>
      <c r="L209" s="265">
        <f ca="1">IFERROR(OFFSET(INDIRECT(#REF!),MATCH([2]Development_Schedule_EK!O$6,INDIRECT(#REF!),0)-1,MATCH([2]Development_Schedule_EK!$B206,INDIRECT(#REF!),0),1,1)*$D209,0)</f>
        <v>0</v>
      </c>
      <c r="M209" s="260">
        <f>D209/2</f>
        <v>9320</v>
      </c>
      <c r="N209" s="260">
        <f>M209</f>
        <v>9320</v>
      </c>
      <c r="O209" s="265">
        <f ca="1">IFERROR(OFFSET(INDIRECT(#REF!),MATCH([2]Development_Schedule_EK!R$6,INDIRECT(#REF!),0)-1,MATCH([2]Development_Schedule_EK!$B206,INDIRECT(#REF!),0),1,1)*$D209,0)</f>
        <v>0</v>
      </c>
      <c r="P209" s="183"/>
      <c r="Q209" s="184"/>
      <c r="R209" s="183"/>
    </row>
    <row r="210" spans="1:18" x14ac:dyDescent="0.25">
      <c r="A210" s="284">
        <v>3</v>
      </c>
      <c r="B210" s="774" t="s">
        <v>355</v>
      </c>
      <c r="C210" s="262"/>
      <c r="D210" s="270">
        <f ca="1">IFERROR(OFFSET(INDIRECT(#REF!),MATCH([2]Development_Schedule_EK!$E207,INDIRECT(#REF!),0)-1,MATCH([2]Development_Schedule_EK!$B207,INDIRECT(#REF!),0),1,1),0)</f>
        <v>0</v>
      </c>
      <c r="E210" s="266"/>
      <c r="F210" s="260">
        <f ca="1">IFERROR(OFFSET(INDIRECT(#REF!),MATCH([2]Development_Schedule_EK!I$6,INDIRECT(#REF!),0)-1,MATCH([2]Development_Schedule_EK!$B207,INDIRECT(#REF!),0),1,1)*$D210,0)</f>
        <v>0</v>
      </c>
      <c r="G210" s="260">
        <f ca="1">IFERROR(OFFSET(INDIRECT(#REF!),MATCH([2]Development_Schedule_EK!J$6,INDIRECT(#REF!),0)-1,MATCH([2]Development_Schedule_EK!$B207,INDIRECT(#REF!),0),1,1)*$D210,0)</f>
        <v>0</v>
      </c>
      <c r="H210" s="265">
        <f ca="1">IFERROR(OFFSET(INDIRECT(#REF!),MATCH([2]Development_Schedule_EK!K$6,INDIRECT(#REF!),0)-1,MATCH([2]Development_Schedule_EK!$B207,INDIRECT(#REF!),0),1,1)*$D210,0)</f>
        <v>0</v>
      </c>
      <c r="I210" s="260">
        <f ca="1">IFERROR(OFFSET(INDIRECT(#REF!),MATCH([2]Development_Schedule_EK!L$6,INDIRECT(#REF!),0)-1,MATCH([2]Development_Schedule_EK!$B207,INDIRECT(#REF!),0),1,1)*$D210,0)</f>
        <v>0</v>
      </c>
      <c r="J210" s="260">
        <f ca="1">IFERROR(OFFSET(INDIRECT(#REF!),MATCH([2]Development_Schedule_EK!M$6,INDIRECT(#REF!),0)-1,MATCH([2]Development_Schedule_EK!$B207,INDIRECT(#REF!),0),1,1)*$D210,0)</f>
        <v>0</v>
      </c>
      <c r="K210" s="260">
        <f ca="1">IFERROR(OFFSET(INDIRECT(#REF!),MATCH([2]Development_Schedule_EK!N$6,INDIRECT(#REF!),0)-1,MATCH([2]Development_Schedule_EK!$B207,INDIRECT(#REF!),0),1,1)*$D210,0)</f>
        <v>0</v>
      </c>
      <c r="L210" s="265">
        <f ca="1">IFERROR(OFFSET(INDIRECT(#REF!),MATCH([2]Development_Schedule_EK!O$6,INDIRECT(#REF!),0)-1,MATCH([2]Development_Schedule_EK!$B207,INDIRECT(#REF!),0),1,1)*$D210,0)</f>
        <v>0</v>
      </c>
      <c r="M210" s="260">
        <f ca="1">IFERROR(OFFSET(INDIRECT(#REF!),MATCH([2]Development_Schedule_EK!P$6,INDIRECT(#REF!),0)-1,MATCH([2]Development_Schedule_EK!$B207,INDIRECT(#REF!),0),1,1)*$D210,0)</f>
        <v>0</v>
      </c>
      <c r="N210" s="260">
        <f ca="1">IFERROR(OFFSET(INDIRECT(#REF!),MATCH([2]Development_Schedule_EK!Q$6,INDIRECT(#REF!),0)-1,MATCH([2]Development_Schedule_EK!$B207,INDIRECT(#REF!),0),1,1)*$D210,0)</f>
        <v>0</v>
      </c>
      <c r="O210" s="265">
        <f ca="1">IFERROR(OFFSET(INDIRECT(#REF!),MATCH([2]Development_Schedule_EK!R$6,INDIRECT(#REF!),0)-1,MATCH([2]Development_Schedule_EK!$B207,INDIRECT(#REF!),0),1,1)*$D210,0)</f>
        <v>0</v>
      </c>
      <c r="P210" s="183"/>
      <c r="Q210" s="184"/>
      <c r="R210" s="183"/>
    </row>
    <row r="211" spans="1:18" x14ac:dyDescent="0.25">
      <c r="A211" s="284">
        <v>3</v>
      </c>
      <c r="B211" s="774" t="s">
        <v>356</v>
      </c>
      <c r="C211" s="262"/>
      <c r="D211" s="270">
        <f ca="1">IFERROR(OFFSET(INDIRECT(#REF!),MATCH([2]Development_Schedule_EK!$E208,INDIRECT(#REF!),0)-1,MATCH([2]Development_Schedule_EK!$B208,INDIRECT(#REF!),0),1,1),0)</f>
        <v>0</v>
      </c>
      <c r="E211" s="266"/>
      <c r="F211" s="260">
        <f ca="1">IFERROR(OFFSET(INDIRECT(#REF!),MATCH([2]Development_Schedule_EK!I$6,INDIRECT(#REF!),0)-1,MATCH([2]Development_Schedule_EK!$B208,INDIRECT(#REF!),0),1,1)*$D211,0)</f>
        <v>0</v>
      </c>
      <c r="G211" s="260">
        <f ca="1">IFERROR(OFFSET(INDIRECT(#REF!),MATCH([2]Development_Schedule_EK!J$6,INDIRECT(#REF!),0)-1,MATCH([2]Development_Schedule_EK!$B208,INDIRECT(#REF!),0),1,1)*$D211,0)</f>
        <v>0</v>
      </c>
      <c r="H211" s="265">
        <f ca="1">IFERROR(OFFSET(INDIRECT(#REF!),MATCH([2]Development_Schedule_EK!K$6,INDIRECT(#REF!),0)-1,MATCH([2]Development_Schedule_EK!$B208,INDIRECT(#REF!),0),1,1)*$D211,0)</f>
        <v>0</v>
      </c>
      <c r="I211" s="260">
        <f ca="1">IFERROR(OFFSET(INDIRECT(#REF!),MATCH([2]Development_Schedule_EK!L$6,INDIRECT(#REF!),0)-1,MATCH([2]Development_Schedule_EK!$B208,INDIRECT(#REF!),0),1,1)*$D211,0)</f>
        <v>0</v>
      </c>
      <c r="J211" s="260">
        <f ca="1">IFERROR(OFFSET(INDIRECT(#REF!),MATCH([2]Development_Schedule_EK!M$6,INDIRECT(#REF!),0)-1,MATCH([2]Development_Schedule_EK!$B208,INDIRECT(#REF!),0),1,1)*$D211,0)</f>
        <v>0</v>
      </c>
      <c r="K211" s="260">
        <f ca="1">IFERROR(OFFSET(INDIRECT(#REF!),MATCH([2]Development_Schedule_EK!N$6,INDIRECT(#REF!),0)-1,MATCH([2]Development_Schedule_EK!$B208,INDIRECT(#REF!),0),1,1)*$D211,0)</f>
        <v>0</v>
      </c>
      <c r="L211" s="265">
        <f ca="1">IFERROR(OFFSET(INDIRECT(#REF!),MATCH([2]Development_Schedule_EK!O$6,INDIRECT(#REF!),0)-1,MATCH([2]Development_Schedule_EK!$B208,INDIRECT(#REF!),0),1,1)*$D211,0)</f>
        <v>0</v>
      </c>
      <c r="M211" s="260">
        <f ca="1">IFERROR(OFFSET(INDIRECT(#REF!),MATCH([2]Development_Schedule_EK!P$6,INDIRECT(#REF!),0)-1,MATCH([2]Development_Schedule_EK!$B208,INDIRECT(#REF!),0),1,1)*$D211,0)</f>
        <v>0</v>
      </c>
      <c r="N211" s="260">
        <f ca="1">IFERROR(OFFSET(INDIRECT(#REF!),MATCH([2]Development_Schedule_EK!Q$6,INDIRECT(#REF!),0)-1,MATCH([2]Development_Schedule_EK!$B208,INDIRECT(#REF!),0),1,1)*$D211,0)</f>
        <v>0</v>
      </c>
      <c r="O211" s="265">
        <f ca="1">IFERROR(OFFSET(INDIRECT(#REF!),MATCH([2]Development_Schedule_EK!R$6,INDIRECT(#REF!),0)-1,MATCH([2]Development_Schedule_EK!$B208,INDIRECT(#REF!),0),1,1)*$D211,0)</f>
        <v>0</v>
      </c>
      <c r="P211" s="183"/>
      <c r="Q211" s="184"/>
      <c r="R211" s="183"/>
    </row>
    <row r="212" spans="1:18" x14ac:dyDescent="0.25">
      <c r="A212" s="284">
        <v>3</v>
      </c>
      <c r="B212" s="774" t="s">
        <v>357</v>
      </c>
      <c r="C212" s="262"/>
      <c r="D212" s="270">
        <f ca="1">IFERROR(OFFSET(INDIRECT(#REF!),MATCH([2]Development_Schedule_EK!$E209,INDIRECT(#REF!),0)-1,MATCH([2]Development_Schedule_EK!$B209,INDIRECT(#REF!),0),1,1),0)</f>
        <v>0</v>
      </c>
      <c r="E212" s="266"/>
      <c r="F212" s="260">
        <f ca="1">IFERROR(OFFSET(INDIRECT(#REF!),MATCH([2]Development_Schedule_EK!I$6,INDIRECT(#REF!),0)-1,MATCH([2]Development_Schedule_EK!$B209,INDIRECT(#REF!),0),1,1)*$D212,0)</f>
        <v>0</v>
      </c>
      <c r="G212" s="260">
        <f ca="1">IFERROR(OFFSET(INDIRECT(#REF!),MATCH([2]Development_Schedule_EK!J$6,INDIRECT(#REF!),0)-1,MATCH([2]Development_Schedule_EK!$B209,INDIRECT(#REF!),0),1,1)*$D212,0)</f>
        <v>0</v>
      </c>
      <c r="H212" s="265">
        <f ca="1">IFERROR(OFFSET(INDIRECT(#REF!),MATCH([2]Development_Schedule_EK!K$6,INDIRECT(#REF!),0)-1,MATCH([2]Development_Schedule_EK!$B209,INDIRECT(#REF!),0),1,1)*$D212,0)</f>
        <v>0</v>
      </c>
      <c r="I212" s="260">
        <f ca="1">IFERROR(OFFSET(INDIRECT(#REF!),MATCH([2]Development_Schedule_EK!L$6,INDIRECT(#REF!),0)-1,MATCH([2]Development_Schedule_EK!$B209,INDIRECT(#REF!),0),1,1)*$D212,0)</f>
        <v>0</v>
      </c>
      <c r="J212" s="260">
        <f ca="1">IFERROR(OFFSET(INDIRECT(#REF!),MATCH([2]Development_Schedule_EK!M$6,INDIRECT(#REF!),0)-1,MATCH([2]Development_Schedule_EK!$B209,INDIRECT(#REF!),0),1,1)*$D212,0)</f>
        <v>0</v>
      </c>
      <c r="K212" s="260">
        <f ca="1">IFERROR(OFFSET(INDIRECT(#REF!),MATCH([2]Development_Schedule_EK!N$6,INDIRECT(#REF!),0)-1,MATCH([2]Development_Schedule_EK!$B209,INDIRECT(#REF!),0),1,1)*$D212,0)</f>
        <v>0</v>
      </c>
      <c r="L212" s="265">
        <f ca="1">IFERROR(OFFSET(INDIRECT(#REF!),MATCH([2]Development_Schedule_EK!O$6,INDIRECT(#REF!),0)-1,MATCH([2]Development_Schedule_EK!$B209,INDIRECT(#REF!),0),1,1)*$D212,0)</f>
        <v>0</v>
      </c>
      <c r="M212" s="260">
        <f ca="1">IFERROR(OFFSET(INDIRECT(#REF!),MATCH([2]Development_Schedule_EK!P$6,INDIRECT(#REF!),0)-1,MATCH([2]Development_Schedule_EK!$B209,INDIRECT(#REF!),0),1,1)*$D212,0)</f>
        <v>0</v>
      </c>
      <c r="N212" s="260">
        <f ca="1">IFERROR(OFFSET(INDIRECT(#REF!),MATCH([2]Development_Schedule_EK!Q$6,INDIRECT(#REF!),0)-1,MATCH([2]Development_Schedule_EK!$B209,INDIRECT(#REF!),0),1,1)*$D212,0)</f>
        <v>0</v>
      </c>
      <c r="O212" s="265">
        <f ca="1">IFERROR(OFFSET(INDIRECT(#REF!),MATCH([2]Development_Schedule_EK!R$6,INDIRECT(#REF!),0)-1,MATCH([2]Development_Schedule_EK!$B209,INDIRECT(#REF!),0),1,1)*$D212,0)</f>
        <v>0</v>
      </c>
      <c r="P212" s="183"/>
      <c r="Q212" s="184"/>
      <c r="R212" s="183"/>
    </row>
    <row r="213" spans="1:18" x14ac:dyDescent="0.25">
      <c r="A213" s="284">
        <v>3</v>
      </c>
      <c r="B213" s="774" t="s">
        <v>358</v>
      </c>
      <c r="C213" s="262"/>
      <c r="D213" s="270">
        <f ca="1">IFERROR(OFFSET(INDIRECT(#REF!),MATCH([2]Development_Schedule_EK!$E210,INDIRECT(#REF!),0)-1,MATCH([2]Development_Schedule_EK!$B210,INDIRECT(#REF!),0),1,1),0)</f>
        <v>0</v>
      </c>
      <c r="E213" s="266"/>
      <c r="F213" s="260">
        <f ca="1">IFERROR(OFFSET(INDIRECT(#REF!),MATCH([2]Development_Schedule_EK!I$6,INDIRECT(#REF!),0)-1,MATCH([2]Development_Schedule_EK!$B210,INDIRECT(#REF!),0),1,1)*$D213,0)</f>
        <v>0</v>
      </c>
      <c r="G213" s="260">
        <f ca="1">IFERROR(OFFSET(INDIRECT(#REF!),MATCH([2]Development_Schedule_EK!J$6,INDIRECT(#REF!),0)-1,MATCH([2]Development_Schedule_EK!$B210,INDIRECT(#REF!),0),1,1)*$D213,0)</f>
        <v>0</v>
      </c>
      <c r="H213" s="265">
        <f ca="1">IFERROR(OFFSET(INDIRECT(#REF!),MATCH([2]Development_Schedule_EK!K$6,INDIRECT(#REF!),0)-1,MATCH([2]Development_Schedule_EK!$B210,INDIRECT(#REF!),0),1,1)*$D213,0)</f>
        <v>0</v>
      </c>
      <c r="I213" s="260">
        <f ca="1">IFERROR(OFFSET(INDIRECT(#REF!),MATCH([2]Development_Schedule_EK!L$6,INDIRECT(#REF!),0)-1,MATCH([2]Development_Schedule_EK!$B210,INDIRECT(#REF!),0),1,1)*$D213,0)</f>
        <v>0</v>
      </c>
      <c r="J213" s="260">
        <f ca="1">IFERROR(OFFSET(INDIRECT(#REF!),MATCH([2]Development_Schedule_EK!M$6,INDIRECT(#REF!),0)-1,MATCH([2]Development_Schedule_EK!$B210,INDIRECT(#REF!),0),1,1)*$D213,0)</f>
        <v>0</v>
      </c>
      <c r="K213" s="260">
        <f ca="1">IFERROR(OFFSET(INDIRECT(#REF!),MATCH([2]Development_Schedule_EK!N$6,INDIRECT(#REF!),0)-1,MATCH([2]Development_Schedule_EK!$B210,INDIRECT(#REF!),0),1,1)*$D213,0)</f>
        <v>0</v>
      </c>
      <c r="L213" s="265">
        <f ca="1">IFERROR(OFFSET(INDIRECT(#REF!),MATCH([2]Development_Schedule_EK!O$6,INDIRECT(#REF!),0)-1,MATCH([2]Development_Schedule_EK!$B210,INDIRECT(#REF!),0),1,1)*$D213,0)</f>
        <v>0</v>
      </c>
      <c r="M213" s="260">
        <f ca="1">IFERROR(OFFSET(INDIRECT(#REF!),MATCH([2]Development_Schedule_EK!P$6,INDIRECT(#REF!),0)-1,MATCH([2]Development_Schedule_EK!$B210,INDIRECT(#REF!),0),1,1)*$D213,0)</f>
        <v>0</v>
      </c>
      <c r="N213" s="260">
        <f ca="1">IFERROR(OFFSET(INDIRECT(#REF!),MATCH([2]Development_Schedule_EK!Q$6,INDIRECT(#REF!),0)-1,MATCH([2]Development_Schedule_EK!$B210,INDIRECT(#REF!),0),1,1)*$D213,0)</f>
        <v>0</v>
      </c>
      <c r="O213" s="265">
        <f ca="1">IFERROR(OFFSET(INDIRECT(#REF!),MATCH([2]Development_Schedule_EK!R$6,INDIRECT(#REF!),0)-1,MATCH([2]Development_Schedule_EK!$B210,INDIRECT(#REF!),0),1,1)*$D213,0)</f>
        <v>0</v>
      </c>
      <c r="P213" s="183"/>
      <c r="Q213" s="184"/>
      <c r="R213" s="183"/>
    </row>
    <row r="214" spans="1:18" x14ac:dyDescent="0.25">
      <c r="A214" s="284">
        <v>3</v>
      </c>
      <c r="B214" s="774" t="s">
        <v>359</v>
      </c>
      <c r="C214" s="262"/>
      <c r="D214" s="270">
        <f ca="1">IFERROR(OFFSET(INDIRECT(#REF!),MATCH([2]Development_Schedule_EK!$E211,INDIRECT(#REF!),0)-1,MATCH([2]Development_Schedule_EK!$B211,INDIRECT(#REF!),0),1,1),0)</f>
        <v>0</v>
      </c>
      <c r="E214" s="266"/>
      <c r="F214" s="260">
        <f ca="1">IFERROR(OFFSET(INDIRECT(#REF!),MATCH([2]Development_Schedule_EK!I$6,INDIRECT(#REF!),0)-1,MATCH([2]Development_Schedule_EK!$B211,INDIRECT(#REF!),0),1,1)*$D214,0)</f>
        <v>0</v>
      </c>
      <c r="G214" s="260">
        <f ca="1">IFERROR(OFFSET(INDIRECT(#REF!),MATCH([2]Development_Schedule_EK!J$6,INDIRECT(#REF!),0)-1,MATCH([2]Development_Schedule_EK!$B211,INDIRECT(#REF!),0),1,1)*$D214,0)</f>
        <v>0</v>
      </c>
      <c r="H214" s="265">
        <f ca="1">IFERROR(OFFSET(INDIRECT(#REF!),MATCH([2]Development_Schedule_EK!K$6,INDIRECT(#REF!),0)-1,MATCH([2]Development_Schedule_EK!$B211,INDIRECT(#REF!),0),1,1)*$D214,0)</f>
        <v>0</v>
      </c>
      <c r="I214" s="260">
        <f ca="1">IFERROR(OFFSET(INDIRECT(#REF!),MATCH([2]Development_Schedule_EK!L$6,INDIRECT(#REF!),0)-1,MATCH([2]Development_Schedule_EK!$B211,INDIRECT(#REF!),0),1,1)*$D214,0)</f>
        <v>0</v>
      </c>
      <c r="J214" s="260">
        <f ca="1">IFERROR(OFFSET(INDIRECT(#REF!),MATCH([2]Development_Schedule_EK!M$6,INDIRECT(#REF!),0)-1,MATCH([2]Development_Schedule_EK!$B211,INDIRECT(#REF!),0),1,1)*$D214,0)</f>
        <v>0</v>
      </c>
      <c r="K214" s="260">
        <f ca="1">IFERROR(OFFSET(INDIRECT(#REF!),MATCH([2]Development_Schedule_EK!N$6,INDIRECT(#REF!),0)-1,MATCH([2]Development_Schedule_EK!$B211,INDIRECT(#REF!),0),1,1)*$D214,0)</f>
        <v>0</v>
      </c>
      <c r="L214" s="265">
        <f ca="1">IFERROR(OFFSET(INDIRECT(#REF!),MATCH([2]Development_Schedule_EK!O$6,INDIRECT(#REF!),0)-1,MATCH([2]Development_Schedule_EK!$B211,INDIRECT(#REF!),0),1,1)*$D214,0)</f>
        <v>0</v>
      </c>
      <c r="M214" s="260">
        <f ca="1">IFERROR(OFFSET(INDIRECT(#REF!),MATCH([2]Development_Schedule_EK!P$6,INDIRECT(#REF!),0)-1,MATCH([2]Development_Schedule_EK!$B211,INDIRECT(#REF!),0),1,1)*$D214,0)</f>
        <v>0</v>
      </c>
      <c r="N214" s="260">
        <f ca="1">IFERROR(OFFSET(INDIRECT(#REF!),MATCH([2]Development_Schedule_EK!Q$6,INDIRECT(#REF!),0)-1,MATCH([2]Development_Schedule_EK!$B211,INDIRECT(#REF!),0),1,1)*$D214,0)</f>
        <v>0</v>
      </c>
      <c r="O214" s="265">
        <f ca="1">IFERROR(OFFSET(INDIRECT(#REF!),MATCH([2]Development_Schedule_EK!R$6,INDIRECT(#REF!),0)-1,MATCH([2]Development_Schedule_EK!$B211,INDIRECT(#REF!),0),1,1)*$D214,0)</f>
        <v>0</v>
      </c>
      <c r="P214" s="183"/>
      <c r="Q214" s="184"/>
      <c r="R214" s="183"/>
    </row>
    <row r="215" spans="1:18" x14ac:dyDescent="0.25">
      <c r="A215" s="284">
        <v>3</v>
      </c>
      <c r="B215" s="774" t="s">
        <v>33</v>
      </c>
      <c r="C215" s="262"/>
      <c r="D215" s="270">
        <f ca="1">IFERROR(OFFSET(INDIRECT(#REF!),MATCH([2]Development_Schedule_EK!$E212,INDIRECT(#REF!),0)-1,MATCH([2]Development_Schedule_EK!$B212,INDIRECT(#REF!),0),1,1),0)</f>
        <v>0</v>
      </c>
      <c r="E215" s="266"/>
      <c r="F215" s="260">
        <f ca="1">IFERROR(OFFSET(INDIRECT(#REF!),MATCH([2]Development_Schedule_EK!I$6,INDIRECT(#REF!),0)-1,MATCH([2]Development_Schedule_EK!$B212,INDIRECT(#REF!),0),1,1)*$D215,0)</f>
        <v>0</v>
      </c>
      <c r="G215" s="260">
        <f ca="1">IFERROR(OFFSET(INDIRECT(#REF!),MATCH([2]Development_Schedule_EK!J$6,INDIRECT(#REF!),0)-1,MATCH([2]Development_Schedule_EK!$B212,INDIRECT(#REF!),0),1,1)*$D215,0)</f>
        <v>0</v>
      </c>
      <c r="H215" s="265">
        <f ca="1">IFERROR(OFFSET(INDIRECT(#REF!),MATCH([2]Development_Schedule_EK!K$6,INDIRECT(#REF!),0)-1,MATCH([2]Development_Schedule_EK!$B212,INDIRECT(#REF!),0),1,1)*$D215,0)</f>
        <v>0</v>
      </c>
      <c r="I215" s="260">
        <f ca="1">IFERROR(OFFSET(INDIRECT(#REF!),MATCH([2]Development_Schedule_EK!L$6,INDIRECT(#REF!),0)-1,MATCH([2]Development_Schedule_EK!$B212,INDIRECT(#REF!),0),1,1)*$D215,0)</f>
        <v>0</v>
      </c>
      <c r="J215" s="260">
        <f ca="1">IFERROR(OFFSET(INDIRECT(#REF!),MATCH([2]Development_Schedule_EK!M$6,INDIRECT(#REF!),0)-1,MATCH([2]Development_Schedule_EK!$B212,INDIRECT(#REF!),0),1,1)*$D215,0)</f>
        <v>0</v>
      </c>
      <c r="K215" s="260">
        <f ca="1">IFERROR(OFFSET(INDIRECT(#REF!),MATCH([2]Development_Schedule_EK!N$6,INDIRECT(#REF!),0)-1,MATCH([2]Development_Schedule_EK!$B212,INDIRECT(#REF!),0),1,1)*$D215,0)</f>
        <v>0</v>
      </c>
      <c r="L215" s="265">
        <f ca="1">IFERROR(OFFSET(INDIRECT(#REF!),MATCH([2]Development_Schedule_EK!O$6,INDIRECT(#REF!),0)-1,MATCH([2]Development_Schedule_EK!$B212,INDIRECT(#REF!),0),1,1)*$D215,0)</f>
        <v>0</v>
      </c>
      <c r="M215" s="260">
        <f ca="1">IFERROR(OFFSET(INDIRECT(#REF!),MATCH([2]Development_Schedule_EK!P$6,INDIRECT(#REF!),0)-1,MATCH([2]Development_Schedule_EK!$B212,INDIRECT(#REF!),0),1,1)*$D215,0)</f>
        <v>0</v>
      </c>
      <c r="N215" s="260">
        <f ca="1">IFERROR(OFFSET(INDIRECT(#REF!),MATCH([2]Development_Schedule_EK!Q$6,INDIRECT(#REF!),0)-1,MATCH([2]Development_Schedule_EK!$B212,INDIRECT(#REF!),0),1,1)*$D215,0)</f>
        <v>0</v>
      </c>
      <c r="O215" s="265">
        <f ca="1">IFERROR(OFFSET(INDIRECT(#REF!),MATCH([2]Development_Schedule_EK!R$6,INDIRECT(#REF!),0)-1,MATCH([2]Development_Schedule_EK!$B212,INDIRECT(#REF!),0),1,1)*$D215,0)</f>
        <v>0</v>
      </c>
      <c r="P215" s="183"/>
      <c r="Q215" s="184"/>
      <c r="R215" s="183"/>
    </row>
    <row r="216" spans="1:18" x14ac:dyDescent="0.25">
      <c r="A216" s="284">
        <v>3</v>
      </c>
      <c r="B216" s="774" t="s">
        <v>42</v>
      </c>
      <c r="C216" s="262"/>
      <c r="D216" s="270">
        <v>18640</v>
      </c>
      <c r="E216" s="266"/>
      <c r="F216" s="260">
        <f ca="1">IFERROR(OFFSET(INDIRECT(#REF!),MATCH([2]Development_Schedule_EK!I$6,INDIRECT(#REF!),0)-1,MATCH([2]Development_Schedule_EK!$B213,INDIRECT(#REF!),0),1,1)*$D216,0)</f>
        <v>0</v>
      </c>
      <c r="G216" s="260">
        <f ca="1">IFERROR(OFFSET(INDIRECT(#REF!),MATCH([2]Development_Schedule_EK!J$6,INDIRECT(#REF!),0)-1,MATCH([2]Development_Schedule_EK!$B213,INDIRECT(#REF!),0),1,1)*$D216,0)</f>
        <v>0</v>
      </c>
      <c r="H216" s="265">
        <f ca="1">IFERROR(OFFSET(INDIRECT(#REF!),MATCH([2]Development_Schedule_EK!K$6,INDIRECT(#REF!),0)-1,MATCH([2]Development_Schedule_EK!$B213,INDIRECT(#REF!),0),1,1)*$D216,0)</f>
        <v>0</v>
      </c>
      <c r="I216" s="260">
        <f ca="1">IFERROR(OFFSET(INDIRECT(#REF!),MATCH([2]Development_Schedule_EK!L$6,INDIRECT(#REF!),0)-1,MATCH([2]Development_Schedule_EK!$B213,INDIRECT(#REF!),0),1,1)*$D216,0)</f>
        <v>0</v>
      </c>
      <c r="J216" s="260">
        <f ca="1">IFERROR(OFFSET(INDIRECT(#REF!),MATCH([2]Development_Schedule_EK!M$6,INDIRECT(#REF!),0)-1,MATCH([2]Development_Schedule_EK!$B213,INDIRECT(#REF!),0),1,1)*$D216,0)</f>
        <v>0</v>
      </c>
      <c r="K216" s="260">
        <f ca="1">IFERROR(OFFSET(INDIRECT(#REF!),MATCH([2]Development_Schedule_EK!N$6,INDIRECT(#REF!),0)-1,MATCH([2]Development_Schedule_EK!$B213,INDIRECT(#REF!),0),1,1)*$D216,0)</f>
        <v>0</v>
      </c>
      <c r="L216" s="265">
        <f ca="1">IFERROR(OFFSET(INDIRECT(#REF!),MATCH([2]Development_Schedule_EK!O$6,INDIRECT(#REF!),0)-1,MATCH([2]Development_Schedule_EK!$B213,INDIRECT(#REF!),0),1,1)*$D216,0)</f>
        <v>0</v>
      </c>
      <c r="M216" s="260">
        <f>D216/2</f>
        <v>9320</v>
      </c>
      <c r="N216" s="260">
        <f>M216</f>
        <v>9320</v>
      </c>
      <c r="O216" s="265">
        <f ca="1">IFERROR(OFFSET(INDIRECT(#REF!),MATCH([2]Development_Schedule_EK!R$6,INDIRECT(#REF!),0)-1,MATCH([2]Development_Schedule_EK!$B213,INDIRECT(#REF!),0),1,1)*$D216,0)</f>
        <v>0</v>
      </c>
      <c r="P216" s="183"/>
      <c r="Q216" s="184"/>
      <c r="R216" s="183"/>
    </row>
    <row r="217" spans="1:18" x14ac:dyDescent="0.25">
      <c r="B217" s="774"/>
      <c r="C217" s="262"/>
      <c r="D217" s="270"/>
      <c r="E217" s="266"/>
      <c r="F217" s="256"/>
      <c r="G217" s="256"/>
      <c r="H217" s="263"/>
      <c r="I217" s="256"/>
      <c r="J217" s="256"/>
      <c r="K217" s="256"/>
      <c r="L217" s="263"/>
      <c r="M217" s="256"/>
      <c r="N217" s="256"/>
      <c r="O217" s="263"/>
      <c r="P217" s="183"/>
      <c r="Q217" s="184"/>
      <c r="R217" s="183"/>
    </row>
    <row r="218" spans="1:18" x14ac:dyDescent="0.25">
      <c r="B218" s="774"/>
      <c r="C218" s="262"/>
      <c r="D218" s="270"/>
      <c r="E218" s="266"/>
      <c r="F218" s="256"/>
      <c r="G218" s="256"/>
      <c r="H218" s="263"/>
      <c r="I218" s="256"/>
      <c r="J218" s="256"/>
      <c r="K218" s="256"/>
      <c r="L218" s="263"/>
      <c r="M218" s="256"/>
      <c r="N218" s="256"/>
      <c r="O218" s="263"/>
      <c r="P218" s="183"/>
      <c r="Q218" s="184"/>
      <c r="R218" s="183"/>
    </row>
    <row r="219" spans="1:18" x14ac:dyDescent="0.25">
      <c r="B219" s="773" t="s">
        <v>373</v>
      </c>
      <c r="C219" s="262"/>
      <c r="D219" s="270"/>
      <c r="E219" s="266"/>
      <c r="F219" s="256"/>
      <c r="G219" s="256"/>
      <c r="H219" s="263"/>
      <c r="I219" s="256"/>
      <c r="J219" s="256"/>
      <c r="K219" s="256"/>
      <c r="L219" s="263"/>
      <c r="M219" s="256"/>
      <c r="N219" s="256"/>
      <c r="O219" s="263"/>
      <c r="P219" s="183"/>
      <c r="Q219" s="184"/>
      <c r="R219" s="183"/>
    </row>
    <row r="220" spans="1:18" x14ac:dyDescent="0.25">
      <c r="A220" s="284">
        <v>2</v>
      </c>
      <c r="B220" s="774" t="s">
        <v>381</v>
      </c>
      <c r="C220" s="262"/>
      <c r="D220" s="270">
        <f ca="1">IFERROR(OFFSET(INDIRECT(#REF!),MATCH([2]Development_Schedule_EK!$E217,INDIRECT(#REF!),0)-1,MATCH([2]Development_Schedule_EK!$B217,INDIRECT(#REF!),0),1,1),0)</f>
        <v>0</v>
      </c>
      <c r="E220" s="266"/>
      <c r="F220" s="260">
        <f ca="1">IFERROR(OFFSET(INDIRECT(#REF!),MATCH([2]Development_Schedule_EK!I$6,INDIRECT(#REF!),0)-1,MATCH([2]Development_Schedule_EK!$B217,INDIRECT(#REF!),0),1,1)*$D220,0)</f>
        <v>0</v>
      </c>
      <c r="G220" s="260">
        <f ca="1">IFERROR(OFFSET(INDIRECT(#REF!),MATCH([2]Development_Schedule_EK!J$6,INDIRECT(#REF!),0)-1,MATCH([2]Development_Schedule_EK!$B217,INDIRECT(#REF!),0),1,1)*$D220,0)</f>
        <v>0</v>
      </c>
      <c r="H220" s="265">
        <f ca="1">IFERROR(OFFSET(INDIRECT(#REF!),MATCH([2]Development_Schedule_EK!K$6,INDIRECT(#REF!),0)-1,MATCH([2]Development_Schedule_EK!$B217,INDIRECT(#REF!),0),1,1)*$D220,0)</f>
        <v>0</v>
      </c>
      <c r="I220" s="260">
        <f ca="1">IFERROR(OFFSET(INDIRECT(#REF!),MATCH([2]Development_Schedule_EK!L$6,INDIRECT(#REF!),0)-1,MATCH([2]Development_Schedule_EK!$B217,INDIRECT(#REF!),0),1,1)*$D220,0)</f>
        <v>0</v>
      </c>
      <c r="J220" s="260">
        <f ca="1">IFERROR(OFFSET(INDIRECT(#REF!),MATCH([2]Development_Schedule_EK!M$6,INDIRECT(#REF!),0)-1,MATCH([2]Development_Schedule_EK!$B217,INDIRECT(#REF!),0),1,1)*$D220,0)</f>
        <v>0</v>
      </c>
      <c r="K220" s="260">
        <f ca="1">IFERROR(OFFSET(INDIRECT(#REF!),MATCH([2]Development_Schedule_EK!N$6,INDIRECT(#REF!),0)-1,MATCH([2]Development_Schedule_EK!$B217,INDIRECT(#REF!),0),1,1)*$D220,0)</f>
        <v>0</v>
      </c>
      <c r="L220" s="265">
        <f ca="1">IFERROR(OFFSET(INDIRECT(#REF!),MATCH([2]Development_Schedule_EK!O$6,INDIRECT(#REF!),0)-1,MATCH([2]Development_Schedule_EK!$B217,INDIRECT(#REF!),0),1,1)*$D220,0)</f>
        <v>0</v>
      </c>
      <c r="M220" s="260">
        <f ca="1">IFERROR(OFFSET(INDIRECT(#REF!),MATCH([2]Development_Schedule_EK!P$6,INDIRECT(#REF!),0)-1,MATCH([2]Development_Schedule_EK!$B217,INDIRECT(#REF!),0),1,1)*$D220,0)</f>
        <v>0</v>
      </c>
      <c r="N220" s="260">
        <f ca="1">IFERROR(OFFSET(INDIRECT(#REF!),MATCH([2]Development_Schedule_EK!Q$6,INDIRECT(#REF!),0)-1,MATCH([2]Development_Schedule_EK!$B217,INDIRECT(#REF!),0),1,1)*$D220,0)</f>
        <v>0</v>
      </c>
      <c r="O220" s="265">
        <f ca="1">IFERROR(OFFSET(INDIRECT(#REF!),MATCH([2]Development_Schedule_EK!R$6,INDIRECT(#REF!),0)-1,MATCH([2]Development_Schedule_EK!$B217,INDIRECT(#REF!),0),1,1)*$D220,0)</f>
        <v>0</v>
      </c>
      <c r="P220" s="183"/>
      <c r="Q220" s="184"/>
      <c r="R220" s="183"/>
    </row>
    <row r="221" spans="1:18" x14ac:dyDescent="0.25">
      <c r="A221" s="284">
        <v>2</v>
      </c>
      <c r="B221" s="774" t="s">
        <v>382</v>
      </c>
      <c r="C221" s="262"/>
      <c r="D221" s="270">
        <f ca="1">IFERROR(OFFSET(INDIRECT(#REF!),MATCH([2]Development_Schedule_EK!$E218,INDIRECT(#REF!),0)-1,MATCH([2]Development_Schedule_EK!$B218,INDIRECT(#REF!),0),1,1),0)</f>
        <v>0</v>
      </c>
      <c r="E221" s="266"/>
      <c r="F221" s="260">
        <f ca="1">IFERROR(OFFSET(INDIRECT(#REF!),MATCH([2]Development_Schedule_EK!I$6,INDIRECT(#REF!),0)-1,MATCH([2]Development_Schedule_EK!$B218,INDIRECT(#REF!),0),1,1)*$D221,0)</f>
        <v>0</v>
      </c>
      <c r="G221" s="260">
        <f ca="1">IFERROR(OFFSET(INDIRECT(#REF!),MATCH([2]Development_Schedule_EK!J$6,INDIRECT(#REF!),0)-1,MATCH([2]Development_Schedule_EK!$B218,INDIRECT(#REF!),0),1,1)*$D221,0)</f>
        <v>0</v>
      </c>
      <c r="H221" s="265">
        <f ca="1">IFERROR(OFFSET(INDIRECT(#REF!),MATCH([2]Development_Schedule_EK!K$6,INDIRECT(#REF!),0)-1,MATCH([2]Development_Schedule_EK!$B218,INDIRECT(#REF!),0),1,1)*$D221,0)</f>
        <v>0</v>
      </c>
      <c r="I221" s="260">
        <f ca="1">IFERROR(OFFSET(INDIRECT(#REF!),MATCH([2]Development_Schedule_EK!L$6,INDIRECT(#REF!),0)-1,MATCH([2]Development_Schedule_EK!$B218,INDIRECT(#REF!),0),1,1)*$D221,0)</f>
        <v>0</v>
      </c>
      <c r="J221" s="260">
        <f ca="1">IFERROR(OFFSET(INDIRECT(#REF!),MATCH([2]Development_Schedule_EK!M$6,INDIRECT(#REF!),0)-1,MATCH([2]Development_Schedule_EK!$B218,INDIRECT(#REF!),0),1,1)*$D221,0)</f>
        <v>0</v>
      </c>
      <c r="K221" s="260">
        <f ca="1">IFERROR(OFFSET(INDIRECT(#REF!),MATCH([2]Development_Schedule_EK!N$6,INDIRECT(#REF!),0)-1,MATCH([2]Development_Schedule_EK!$B218,INDIRECT(#REF!),0),1,1)*$D221,0)</f>
        <v>0</v>
      </c>
      <c r="L221" s="265">
        <f ca="1">IFERROR(OFFSET(INDIRECT(#REF!),MATCH([2]Development_Schedule_EK!O$6,INDIRECT(#REF!),0)-1,MATCH([2]Development_Schedule_EK!$B218,INDIRECT(#REF!),0),1,1)*$D221,0)</f>
        <v>0</v>
      </c>
      <c r="M221" s="260">
        <f ca="1">IFERROR(OFFSET(INDIRECT(#REF!),MATCH([2]Development_Schedule_EK!P$6,INDIRECT(#REF!),0)-1,MATCH([2]Development_Schedule_EK!$B218,INDIRECT(#REF!),0),1,1)*$D221,0)</f>
        <v>0</v>
      </c>
      <c r="N221" s="260">
        <f ca="1">IFERROR(OFFSET(INDIRECT(#REF!),MATCH([2]Development_Schedule_EK!Q$6,INDIRECT(#REF!),0)-1,MATCH([2]Development_Schedule_EK!$B218,INDIRECT(#REF!),0),1,1)*$D221,0)</f>
        <v>0</v>
      </c>
      <c r="O221" s="265">
        <f ca="1">IFERROR(OFFSET(INDIRECT(#REF!),MATCH([2]Development_Schedule_EK!R$6,INDIRECT(#REF!),0)-1,MATCH([2]Development_Schedule_EK!$B218,INDIRECT(#REF!),0),1,1)*$D221,0)</f>
        <v>0</v>
      </c>
      <c r="P221" s="183"/>
      <c r="Q221" s="184"/>
      <c r="R221" s="183"/>
    </row>
    <row r="222" spans="1:18" x14ac:dyDescent="0.25">
      <c r="A222" s="284">
        <v>2</v>
      </c>
      <c r="B222" s="774" t="s">
        <v>383</v>
      </c>
      <c r="C222" s="262"/>
      <c r="D222" s="270">
        <f ca="1">IFERROR(OFFSET(INDIRECT(#REF!),MATCH([2]Development_Schedule_EK!$E219,INDIRECT(#REF!),0)-1,MATCH([2]Development_Schedule_EK!$B219,INDIRECT(#REF!),0),1,1),0)</f>
        <v>0</v>
      </c>
      <c r="E222" s="266"/>
      <c r="F222" s="260">
        <f ca="1">IFERROR(OFFSET(INDIRECT(#REF!),MATCH([2]Development_Schedule_EK!I$6,INDIRECT(#REF!),0)-1,MATCH([2]Development_Schedule_EK!$B219,INDIRECT(#REF!),0),1,1)*$D222,0)</f>
        <v>0</v>
      </c>
      <c r="G222" s="260">
        <f ca="1">IFERROR(OFFSET(INDIRECT(#REF!),MATCH([2]Development_Schedule_EK!J$6,INDIRECT(#REF!),0)-1,MATCH([2]Development_Schedule_EK!$B219,INDIRECT(#REF!),0),1,1)*$D222,0)</f>
        <v>0</v>
      </c>
      <c r="H222" s="265">
        <f ca="1">IFERROR(OFFSET(INDIRECT(#REF!),MATCH([2]Development_Schedule_EK!K$6,INDIRECT(#REF!),0)-1,MATCH([2]Development_Schedule_EK!$B219,INDIRECT(#REF!),0),1,1)*$D222,0)</f>
        <v>0</v>
      </c>
      <c r="I222" s="260">
        <f ca="1">IFERROR(OFFSET(INDIRECT(#REF!),MATCH([2]Development_Schedule_EK!L$6,INDIRECT(#REF!),0)-1,MATCH([2]Development_Schedule_EK!$B219,INDIRECT(#REF!),0),1,1)*$D222,0)</f>
        <v>0</v>
      </c>
      <c r="J222" s="260">
        <f ca="1">IFERROR(OFFSET(INDIRECT(#REF!),MATCH([2]Development_Schedule_EK!M$6,INDIRECT(#REF!),0)-1,MATCH([2]Development_Schedule_EK!$B219,INDIRECT(#REF!),0),1,1)*$D222,0)</f>
        <v>0</v>
      </c>
      <c r="K222" s="260">
        <f ca="1">IFERROR(OFFSET(INDIRECT(#REF!),MATCH([2]Development_Schedule_EK!N$6,INDIRECT(#REF!),0)-1,MATCH([2]Development_Schedule_EK!$B219,INDIRECT(#REF!),0),1,1)*$D222,0)</f>
        <v>0</v>
      </c>
      <c r="L222" s="265">
        <f ca="1">IFERROR(OFFSET(INDIRECT(#REF!),MATCH([2]Development_Schedule_EK!O$6,INDIRECT(#REF!),0)-1,MATCH([2]Development_Schedule_EK!$B219,INDIRECT(#REF!),0),1,1)*$D222,0)</f>
        <v>0</v>
      </c>
      <c r="M222" s="260">
        <f ca="1">IFERROR(OFFSET(INDIRECT(#REF!),MATCH([2]Development_Schedule_EK!P$6,INDIRECT(#REF!),0)-1,MATCH([2]Development_Schedule_EK!$B219,INDIRECT(#REF!),0),1,1)*$D222,0)</f>
        <v>0</v>
      </c>
      <c r="N222" s="260">
        <f ca="1">IFERROR(OFFSET(INDIRECT(#REF!),MATCH([2]Development_Schedule_EK!Q$6,INDIRECT(#REF!),0)-1,MATCH([2]Development_Schedule_EK!$B219,INDIRECT(#REF!),0),1,1)*$D222,0)</f>
        <v>0</v>
      </c>
      <c r="O222" s="265">
        <f ca="1">IFERROR(OFFSET(INDIRECT(#REF!),MATCH([2]Development_Schedule_EK!R$6,INDIRECT(#REF!),0)-1,MATCH([2]Development_Schedule_EK!$B219,INDIRECT(#REF!),0),1,1)*$D222,0)</f>
        <v>0</v>
      </c>
      <c r="P222" s="183"/>
      <c r="Q222" s="184"/>
      <c r="R222" s="183"/>
    </row>
    <row r="223" spans="1:18" x14ac:dyDescent="0.25">
      <c r="A223" s="284">
        <v>2</v>
      </c>
      <c r="B223" s="774" t="s">
        <v>384</v>
      </c>
      <c r="C223" s="262"/>
      <c r="D223" s="270">
        <f ca="1">IFERROR(OFFSET(INDIRECT(#REF!),MATCH([2]Development_Schedule_EK!$E220,INDIRECT(#REF!),0)-1,MATCH([2]Development_Schedule_EK!$B220,INDIRECT(#REF!),0),1,1),0)</f>
        <v>0</v>
      </c>
      <c r="E223" s="266"/>
      <c r="F223" s="260">
        <f ca="1">IFERROR(OFFSET(INDIRECT(#REF!),MATCH([2]Development_Schedule_EK!I$6,INDIRECT(#REF!),0)-1,MATCH([2]Development_Schedule_EK!$B220,INDIRECT(#REF!),0),1,1)*$D223,0)</f>
        <v>0</v>
      </c>
      <c r="G223" s="260">
        <f ca="1">IFERROR(OFFSET(INDIRECT(#REF!),MATCH([2]Development_Schedule_EK!J$6,INDIRECT(#REF!),0)-1,MATCH([2]Development_Schedule_EK!$B220,INDIRECT(#REF!),0),1,1)*$D223,0)</f>
        <v>0</v>
      </c>
      <c r="H223" s="265">
        <f ca="1">IFERROR(OFFSET(INDIRECT(#REF!),MATCH([2]Development_Schedule_EK!K$6,INDIRECT(#REF!),0)-1,MATCH([2]Development_Schedule_EK!$B220,INDIRECT(#REF!),0),1,1)*$D223,0)</f>
        <v>0</v>
      </c>
      <c r="I223" s="260">
        <f ca="1">IFERROR(OFFSET(INDIRECT(#REF!),MATCH([2]Development_Schedule_EK!L$6,INDIRECT(#REF!),0)-1,MATCH([2]Development_Schedule_EK!$B220,INDIRECT(#REF!),0),1,1)*$D223,0)</f>
        <v>0</v>
      </c>
      <c r="J223" s="260">
        <f ca="1">IFERROR(OFFSET(INDIRECT(#REF!),MATCH([2]Development_Schedule_EK!M$6,INDIRECT(#REF!),0)-1,MATCH([2]Development_Schedule_EK!$B220,INDIRECT(#REF!),0),1,1)*$D223,0)</f>
        <v>0</v>
      </c>
      <c r="K223" s="260">
        <f ca="1">IFERROR(OFFSET(INDIRECT(#REF!),MATCH([2]Development_Schedule_EK!N$6,INDIRECT(#REF!),0)-1,MATCH([2]Development_Schedule_EK!$B220,INDIRECT(#REF!),0),1,1)*$D223,0)</f>
        <v>0</v>
      </c>
      <c r="L223" s="265">
        <f ca="1">IFERROR(OFFSET(INDIRECT(#REF!),MATCH([2]Development_Schedule_EK!O$6,INDIRECT(#REF!),0)-1,MATCH([2]Development_Schedule_EK!$B220,INDIRECT(#REF!),0),1,1)*$D223,0)</f>
        <v>0</v>
      </c>
      <c r="M223" s="260">
        <f ca="1">IFERROR(OFFSET(INDIRECT(#REF!),MATCH([2]Development_Schedule_EK!P$6,INDIRECT(#REF!),0)-1,MATCH([2]Development_Schedule_EK!$B220,INDIRECT(#REF!),0),1,1)*$D223,0)</f>
        <v>0</v>
      </c>
      <c r="N223" s="260">
        <f ca="1">IFERROR(OFFSET(INDIRECT(#REF!),MATCH([2]Development_Schedule_EK!Q$6,INDIRECT(#REF!),0)-1,MATCH([2]Development_Schedule_EK!$B220,INDIRECT(#REF!),0),1,1)*$D223,0)</f>
        <v>0</v>
      </c>
      <c r="O223" s="265">
        <f ca="1">IFERROR(OFFSET(INDIRECT(#REF!),MATCH([2]Development_Schedule_EK!R$6,INDIRECT(#REF!),0)-1,MATCH([2]Development_Schedule_EK!$B220,INDIRECT(#REF!),0),1,1)*$D223,0)</f>
        <v>0</v>
      </c>
      <c r="P223" s="183"/>
      <c r="Q223" s="184"/>
      <c r="R223" s="183"/>
    </row>
    <row r="224" spans="1:18" x14ac:dyDescent="0.25">
      <c r="A224" s="284">
        <v>2</v>
      </c>
      <c r="B224" s="774" t="s">
        <v>35</v>
      </c>
      <c r="C224" s="262"/>
      <c r="D224" s="270">
        <f ca="1">IFERROR(OFFSET(INDIRECT(#REF!),MATCH([2]Development_Schedule_EK!$E221,INDIRECT(#REF!),0)-1,MATCH([2]Development_Schedule_EK!$B221,INDIRECT(#REF!),0),1,1),0)</f>
        <v>0</v>
      </c>
      <c r="E224" s="266"/>
      <c r="F224" s="260">
        <f ca="1">IFERROR(OFFSET(INDIRECT(#REF!),MATCH([2]Development_Schedule_EK!I$6,INDIRECT(#REF!),0)-1,MATCH([2]Development_Schedule_EK!$B221,INDIRECT(#REF!),0),1,1)*$D224,0)</f>
        <v>0</v>
      </c>
      <c r="G224" s="260">
        <f ca="1">IFERROR(OFFSET(INDIRECT(#REF!),MATCH([2]Development_Schedule_EK!J$6,INDIRECT(#REF!),0)-1,MATCH([2]Development_Schedule_EK!$B221,INDIRECT(#REF!),0),1,1)*$D224,0)</f>
        <v>0</v>
      </c>
      <c r="H224" s="265">
        <f ca="1">IFERROR(OFFSET(INDIRECT(#REF!),MATCH([2]Development_Schedule_EK!K$6,INDIRECT(#REF!),0)-1,MATCH([2]Development_Schedule_EK!$B221,INDIRECT(#REF!),0),1,1)*$D224,0)</f>
        <v>0</v>
      </c>
      <c r="I224" s="260">
        <f ca="1">IFERROR(OFFSET(INDIRECT(#REF!),MATCH([2]Development_Schedule_EK!L$6,INDIRECT(#REF!),0)-1,MATCH([2]Development_Schedule_EK!$B221,INDIRECT(#REF!),0),1,1)*$D224,0)</f>
        <v>0</v>
      </c>
      <c r="J224" s="260">
        <f ca="1">IFERROR(OFFSET(INDIRECT(#REF!),MATCH([2]Development_Schedule_EK!M$6,INDIRECT(#REF!),0)-1,MATCH([2]Development_Schedule_EK!$B221,INDIRECT(#REF!),0),1,1)*$D224,0)</f>
        <v>0</v>
      </c>
      <c r="K224" s="260">
        <f ca="1">IFERROR(OFFSET(INDIRECT(#REF!),MATCH([2]Development_Schedule_EK!N$6,INDIRECT(#REF!),0)-1,MATCH([2]Development_Schedule_EK!$B221,INDIRECT(#REF!),0),1,1)*$D224,0)</f>
        <v>0</v>
      </c>
      <c r="L224" s="265">
        <f ca="1">IFERROR(OFFSET(INDIRECT(#REF!),MATCH([2]Development_Schedule_EK!O$6,INDIRECT(#REF!),0)-1,MATCH([2]Development_Schedule_EK!$B221,INDIRECT(#REF!),0),1,1)*$D224,0)</f>
        <v>0</v>
      </c>
      <c r="M224" s="260">
        <f ca="1">IFERROR(OFFSET(INDIRECT(#REF!),MATCH([2]Development_Schedule_EK!P$6,INDIRECT(#REF!),0)-1,MATCH([2]Development_Schedule_EK!$B221,INDIRECT(#REF!),0),1,1)*$D224,0)</f>
        <v>0</v>
      </c>
      <c r="N224" s="260">
        <f ca="1">IFERROR(OFFSET(INDIRECT(#REF!),MATCH([2]Development_Schedule_EK!Q$6,INDIRECT(#REF!),0)-1,MATCH([2]Development_Schedule_EK!$B221,INDIRECT(#REF!),0),1,1)*$D224,0)</f>
        <v>0</v>
      </c>
      <c r="O224" s="265">
        <f ca="1">IFERROR(OFFSET(INDIRECT(#REF!),MATCH([2]Development_Schedule_EK!R$6,INDIRECT(#REF!),0)-1,MATCH([2]Development_Schedule_EK!$B221,INDIRECT(#REF!),0),1,1)*$D224,0)</f>
        <v>0</v>
      </c>
      <c r="P224" s="183"/>
      <c r="Q224" s="184"/>
      <c r="R224" s="183"/>
    </row>
    <row r="225" spans="1:18" x14ac:dyDescent="0.25">
      <c r="A225" s="284">
        <v>2</v>
      </c>
      <c r="B225" s="774" t="s">
        <v>355</v>
      </c>
      <c r="C225" s="262"/>
      <c r="D225" s="270">
        <f ca="1">IFERROR(OFFSET(INDIRECT(#REF!),MATCH([2]Development_Schedule_EK!$E222,INDIRECT(#REF!),0)-1,MATCH([2]Development_Schedule_EK!$B222,INDIRECT(#REF!),0),1,1),0)</f>
        <v>0</v>
      </c>
      <c r="E225" s="266"/>
      <c r="F225" s="260">
        <f ca="1">IFERROR(OFFSET(INDIRECT(#REF!),MATCH([2]Development_Schedule_EK!I$6,INDIRECT(#REF!),0)-1,MATCH([2]Development_Schedule_EK!$B222,INDIRECT(#REF!),0),1,1)*$D225,0)</f>
        <v>0</v>
      </c>
      <c r="G225" s="260">
        <f ca="1">IFERROR(OFFSET(INDIRECT(#REF!),MATCH([2]Development_Schedule_EK!J$6,INDIRECT(#REF!),0)-1,MATCH([2]Development_Schedule_EK!$B222,INDIRECT(#REF!),0),1,1)*$D225,0)</f>
        <v>0</v>
      </c>
      <c r="H225" s="265">
        <f ca="1">IFERROR(OFFSET(INDIRECT(#REF!),MATCH([2]Development_Schedule_EK!K$6,INDIRECT(#REF!),0)-1,MATCH([2]Development_Schedule_EK!$B222,INDIRECT(#REF!),0),1,1)*$D225,0)</f>
        <v>0</v>
      </c>
      <c r="I225" s="260">
        <f ca="1">IFERROR(OFFSET(INDIRECT(#REF!),MATCH([2]Development_Schedule_EK!L$6,INDIRECT(#REF!),0)-1,MATCH([2]Development_Schedule_EK!$B222,INDIRECT(#REF!),0),1,1)*$D225,0)</f>
        <v>0</v>
      </c>
      <c r="J225" s="260">
        <f ca="1">IFERROR(OFFSET(INDIRECT(#REF!),MATCH([2]Development_Schedule_EK!M$6,INDIRECT(#REF!),0)-1,MATCH([2]Development_Schedule_EK!$B222,INDIRECT(#REF!),0),1,1)*$D225,0)</f>
        <v>0</v>
      </c>
      <c r="K225" s="260">
        <f ca="1">IFERROR(OFFSET(INDIRECT(#REF!),MATCH([2]Development_Schedule_EK!N$6,INDIRECT(#REF!),0)-1,MATCH([2]Development_Schedule_EK!$B222,INDIRECT(#REF!),0),1,1)*$D225,0)</f>
        <v>0</v>
      </c>
      <c r="L225" s="265">
        <f ca="1">IFERROR(OFFSET(INDIRECT(#REF!),MATCH([2]Development_Schedule_EK!O$6,INDIRECT(#REF!),0)-1,MATCH([2]Development_Schedule_EK!$B222,INDIRECT(#REF!),0),1,1)*$D225,0)</f>
        <v>0</v>
      </c>
      <c r="M225" s="260">
        <f ca="1">IFERROR(OFFSET(INDIRECT(#REF!),MATCH([2]Development_Schedule_EK!P$6,INDIRECT(#REF!),0)-1,MATCH([2]Development_Schedule_EK!$B222,INDIRECT(#REF!),0),1,1)*$D225,0)</f>
        <v>0</v>
      </c>
      <c r="N225" s="260">
        <f ca="1">IFERROR(OFFSET(INDIRECT(#REF!),MATCH([2]Development_Schedule_EK!Q$6,INDIRECT(#REF!),0)-1,MATCH([2]Development_Schedule_EK!$B222,INDIRECT(#REF!),0),1,1)*$D225,0)</f>
        <v>0</v>
      </c>
      <c r="O225" s="265">
        <f ca="1">IFERROR(OFFSET(INDIRECT(#REF!),MATCH([2]Development_Schedule_EK!R$6,INDIRECT(#REF!),0)-1,MATCH([2]Development_Schedule_EK!$B222,INDIRECT(#REF!),0),1,1)*$D225,0)</f>
        <v>0</v>
      </c>
      <c r="P225" s="183"/>
      <c r="Q225" s="184"/>
      <c r="R225" s="183"/>
    </row>
    <row r="226" spans="1:18" x14ac:dyDescent="0.25">
      <c r="A226" s="284">
        <v>2</v>
      </c>
      <c r="B226" s="774" t="s">
        <v>356</v>
      </c>
      <c r="C226" s="262"/>
      <c r="D226" s="270">
        <f ca="1">IFERROR(OFFSET(INDIRECT(#REF!),MATCH([2]Development_Schedule_EK!$E223,INDIRECT(#REF!),0)-1,MATCH([2]Development_Schedule_EK!$B223,INDIRECT(#REF!),0),1,1),0)</f>
        <v>0</v>
      </c>
      <c r="E226" s="266"/>
      <c r="F226" s="260">
        <f ca="1">IFERROR(OFFSET(INDIRECT(#REF!),MATCH([2]Development_Schedule_EK!I$6,INDIRECT(#REF!),0)-1,MATCH([2]Development_Schedule_EK!$B223,INDIRECT(#REF!),0),1,1)*$D226,0)</f>
        <v>0</v>
      </c>
      <c r="G226" s="260">
        <f ca="1">IFERROR(OFFSET(INDIRECT(#REF!),MATCH([2]Development_Schedule_EK!J$6,INDIRECT(#REF!),0)-1,MATCH([2]Development_Schedule_EK!$B223,INDIRECT(#REF!),0),1,1)*$D226,0)</f>
        <v>0</v>
      </c>
      <c r="H226" s="265">
        <f ca="1">IFERROR(OFFSET(INDIRECT(#REF!),MATCH([2]Development_Schedule_EK!K$6,INDIRECT(#REF!),0)-1,MATCH([2]Development_Schedule_EK!$B223,INDIRECT(#REF!),0),1,1)*$D226,0)</f>
        <v>0</v>
      </c>
      <c r="I226" s="260">
        <f ca="1">IFERROR(OFFSET(INDIRECT(#REF!),MATCH([2]Development_Schedule_EK!L$6,INDIRECT(#REF!),0)-1,MATCH([2]Development_Schedule_EK!$B223,INDIRECT(#REF!),0),1,1)*$D226,0)</f>
        <v>0</v>
      </c>
      <c r="J226" s="260">
        <f ca="1">IFERROR(OFFSET(INDIRECT(#REF!),MATCH([2]Development_Schedule_EK!M$6,INDIRECT(#REF!),0)-1,MATCH([2]Development_Schedule_EK!$B223,INDIRECT(#REF!),0),1,1)*$D226,0)</f>
        <v>0</v>
      </c>
      <c r="K226" s="260">
        <f ca="1">IFERROR(OFFSET(INDIRECT(#REF!),MATCH([2]Development_Schedule_EK!N$6,INDIRECT(#REF!),0)-1,MATCH([2]Development_Schedule_EK!$B223,INDIRECT(#REF!),0),1,1)*$D226,0)</f>
        <v>0</v>
      </c>
      <c r="L226" s="265">
        <f ca="1">IFERROR(OFFSET(INDIRECT(#REF!),MATCH([2]Development_Schedule_EK!O$6,INDIRECT(#REF!),0)-1,MATCH([2]Development_Schedule_EK!$B223,INDIRECT(#REF!),0),1,1)*$D226,0)</f>
        <v>0</v>
      </c>
      <c r="M226" s="260">
        <f ca="1">IFERROR(OFFSET(INDIRECT(#REF!),MATCH([2]Development_Schedule_EK!P$6,INDIRECT(#REF!),0)-1,MATCH([2]Development_Schedule_EK!$B223,INDIRECT(#REF!),0),1,1)*$D226,0)</f>
        <v>0</v>
      </c>
      <c r="N226" s="260">
        <f ca="1">IFERROR(OFFSET(INDIRECT(#REF!),MATCH([2]Development_Schedule_EK!Q$6,INDIRECT(#REF!),0)-1,MATCH([2]Development_Schedule_EK!$B223,INDIRECT(#REF!),0),1,1)*$D226,0)</f>
        <v>0</v>
      </c>
      <c r="O226" s="265">
        <f ca="1">IFERROR(OFFSET(INDIRECT(#REF!),MATCH([2]Development_Schedule_EK!R$6,INDIRECT(#REF!),0)-1,MATCH([2]Development_Schedule_EK!$B223,INDIRECT(#REF!),0),1,1)*$D226,0)</f>
        <v>0</v>
      </c>
      <c r="P226" s="183"/>
      <c r="Q226" s="184"/>
      <c r="R226" s="183"/>
    </row>
    <row r="227" spans="1:18" x14ac:dyDescent="0.25">
      <c r="A227" s="284">
        <v>2</v>
      </c>
      <c r="B227" s="774" t="s">
        <v>357</v>
      </c>
      <c r="C227" s="262"/>
      <c r="D227" s="270">
        <v>131190</v>
      </c>
      <c r="E227" s="266"/>
      <c r="F227" s="260">
        <f ca="1">IFERROR(OFFSET(INDIRECT(#REF!),MATCH([2]Development_Schedule_EK!I$6,INDIRECT(#REF!),0)-1,MATCH([2]Development_Schedule_EK!$B224,INDIRECT(#REF!),0),1,1)*$D227,0)</f>
        <v>0</v>
      </c>
      <c r="G227" s="260">
        <f ca="1">IFERROR(OFFSET(INDIRECT(#REF!),MATCH([2]Development_Schedule_EK!J$6,INDIRECT(#REF!),0)-1,MATCH([2]Development_Schedule_EK!$B224,INDIRECT(#REF!),0),1,1)*$D227,0)</f>
        <v>0</v>
      </c>
      <c r="H227" s="265">
        <f ca="1">IFERROR(OFFSET(INDIRECT(#REF!),MATCH([2]Development_Schedule_EK!K$6,INDIRECT(#REF!),0)-1,MATCH([2]Development_Schedule_EK!$B224,INDIRECT(#REF!),0),1,1)*$D227,0)</f>
        <v>0</v>
      </c>
      <c r="I227" s="260">
        <f ca="1">IFERROR(OFFSET(INDIRECT(#REF!),MATCH([2]Development_Schedule_EK!L$6,INDIRECT(#REF!),0)-1,MATCH([2]Development_Schedule_EK!$B224,INDIRECT(#REF!),0),1,1)*$D227,0)</f>
        <v>0</v>
      </c>
      <c r="J227" s="260">
        <f ca="1">IFERROR(OFFSET(INDIRECT(#REF!),MATCH([2]Development_Schedule_EK!M$6,INDIRECT(#REF!),0)-1,MATCH([2]Development_Schedule_EK!$B224,INDIRECT(#REF!),0),1,1)*$D227,0)</f>
        <v>0</v>
      </c>
      <c r="K227" s="260">
        <f ca="1">IFERROR(OFFSET(INDIRECT(#REF!),MATCH([2]Development_Schedule_EK!N$6,INDIRECT(#REF!),0)-1,MATCH([2]Development_Schedule_EK!$B224,INDIRECT(#REF!),0),1,1)*$D227,0)</f>
        <v>0</v>
      </c>
      <c r="L227" s="265"/>
      <c r="M227" s="260">
        <f>D227/2</f>
        <v>65595</v>
      </c>
      <c r="N227" s="260">
        <f>M227</f>
        <v>65595</v>
      </c>
      <c r="O227" s="265">
        <f ca="1">IFERROR(OFFSET(INDIRECT(#REF!),MATCH([2]Development_Schedule_EK!R$6,INDIRECT(#REF!),0)-1,MATCH([2]Development_Schedule_EK!$B224,INDIRECT(#REF!),0),1,1)*$D227,0)</f>
        <v>0</v>
      </c>
      <c r="P227" s="183"/>
      <c r="Q227" s="184"/>
      <c r="R227" s="183"/>
    </row>
    <row r="228" spans="1:18" x14ac:dyDescent="0.25">
      <c r="A228" s="284">
        <v>2</v>
      </c>
      <c r="B228" s="774" t="s">
        <v>358</v>
      </c>
      <c r="C228" s="262"/>
      <c r="D228" s="270">
        <f ca="1">IFERROR(OFFSET(INDIRECT(#REF!),MATCH([2]Development_Schedule_EK!$E225,INDIRECT(#REF!),0)-1,MATCH([2]Development_Schedule_EK!$B225,INDIRECT(#REF!),0),1,1),0)</f>
        <v>0</v>
      </c>
      <c r="E228" s="266"/>
      <c r="F228" s="260">
        <f ca="1">IFERROR(OFFSET(INDIRECT(#REF!),MATCH([2]Development_Schedule_EK!I$6,INDIRECT(#REF!),0)-1,MATCH([2]Development_Schedule_EK!$B225,INDIRECT(#REF!),0),1,1)*$D228,0)</f>
        <v>0</v>
      </c>
      <c r="G228" s="260">
        <f ca="1">IFERROR(OFFSET(INDIRECT(#REF!),MATCH([2]Development_Schedule_EK!J$6,INDIRECT(#REF!),0)-1,MATCH([2]Development_Schedule_EK!$B225,INDIRECT(#REF!),0),1,1)*$D228,0)</f>
        <v>0</v>
      </c>
      <c r="H228" s="265">
        <f ca="1">IFERROR(OFFSET(INDIRECT(#REF!),MATCH([2]Development_Schedule_EK!K$6,INDIRECT(#REF!),0)-1,MATCH([2]Development_Schedule_EK!$B225,INDIRECT(#REF!),0),1,1)*$D228,0)</f>
        <v>0</v>
      </c>
      <c r="I228" s="260">
        <f ca="1">IFERROR(OFFSET(INDIRECT(#REF!),MATCH([2]Development_Schedule_EK!L$6,INDIRECT(#REF!),0)-1,MATCH([2]Development_Schedule_EK!$B225,INDIRECT(#REF!),0),1,1)*$D228,0)</f>
        <v>0</v>
      </c>
      <c r="J228" s="260">
        <f ca="1">IFERROR(OFFSET(INDIRECT(#REF!),MATCH([2]Development_Schedule_EK!M$6,INDIRECT(#REF!),0)-1,MATCH([2]Development_Schedule_EK!$B225,INDIRECT(#REF!),0),1,1)*$D228,0)</f>
        <v>0</v>
      </c>
      <c r="K228" s="260">
        <f ca="1">IFERROR(OFFSET(INDIRECT(#REF!),MATCH([2]Development_Schedule_EK!N$6,INDIRECT(#REF!),0)-1,MATCH([2]Development_Schedule_EK!$B225,INDIRECT(#REF!),0),1,1)*$D228,0)</f>
        <v>0</v>
      </c>
      <c r="L228" s="265">
        <f ca="1">IFERROR(OFFSET(INDIRECT(#REF!),MATCH([2]Development_Schedule_EK!O$6,INDIRECT(#REF!),0)-1,MATCH([2]Development_Schedule_EK!$B225,INDIRECT(#REF!),0),1,1)*$D228,0)</f>
        <v>0</v>
      </c>
      <c r="M228" s="260">
        <f ca="1">IFERROR(OFFSET(INDIRECT(#REF!),MATCH([2]Development_Schedule_EK!P$6,INDIRECT(#REF!),0)-1,MATCH([2]Development_Schedule_EK!$B225,INDIRECT(#REF!),0),1,1)*$D228,0)</f>
        <v>0</v>
      </c>
      <c r="N228" s="260">
        <f ca="1">IFERROR(OFFSET(INDIRECT(#REF!),MATCH([2]Development_Schedule_EK!Q$6,INDIRECT(#REF!),0)-1,MATCH([2]Development_Schedule_EK!$B225,INDIRECT(#REF!),0),1,1)*$D228,0)</f>
        <v>0</v>
      </c>
      <c r="O228" s="265">
        <f ca="1">IFERROR(OFFSET(INDIRECT(#REF!),MATCH([2]Development_Schedule_EK!R$6,INDIRECT(#REF!),0)-1,MATCH([2]Development_Schedule_EK!$B225,INDIRECT(#REF!),0),1,1)*$D228,0)</f>
        <v>0</v>
      </c>
      <c r="P228" s="183"/>
      <c r="Q228" s="184"/>
      <c r="R228" s="183"/>
    </row>
    <row r="229" spans="1:18" x14ac:dyDescent="0.25">
      <c r="A229" s="284">
        <v>2</v>
      </c>
      <c r="B229" s="774" t="s">
        <v>359</v>
      </c>
      <c r="C229" s="262"/>
      <c r="D229" s="270">
        <f ca="1">IFERROR(OFFSET(INDIRECT(#REF!),MATCH([2]Development_Schedule_EK!$E226,INDIRECT(#REF!),0)-1,MATCH([2]Development_Schedule_EK!$B226,INDIRECT(#REF!),0),1,1),0)</f>
        <v>0</v>
      </c>
      <c r="E229" s="266"/>
      <c r="F229" s="260">
        <f ca="1">IFERROR(OFFSET(INDIRECT(#REF!),MATCH([2]Development_Schedule_EK!I$6,INDIRECT(#REF!),0)-1,MATCH([2]Development_Schedule_EK!$B226,INDIRECT(#REF!),0),1,1)*$D229,0)</f>
        <v>0</v>
      </c>
      <c r="G229" s="260">
        <f ca="1">IFERROR(OFFSET(INDIRECT(#REF!),MATCH([2]Development_Schedule_EK!J$6,INDIRECT(#REF!),0)-1,MATCH([2]Development_Schedule_EK!$B226,INDIRECT(#REF!),0),1,1)*$D229,0)</f>
        <v>0</v>
      </c>
      <c r="H229" s="265">
        <f ca="1">IFERROR(OFFSET(INDIRECT(#REF!),MATCH([2]Development_Schedule_EK!K$6,INDIRECT(#REF!),0)-1,MATCH([2]Development_Schedule_EK!$B226,INDIRECT(#REF!),0),1,1)*$D229,0)</f>
        <v>0</v>
      </c>
      <c r="I229" s="260">
        <f ca="1">IFERROR(OFFSET(INDIRECT(#REF!),MATCH([2]Development_Schedule_EK!L$6,INDIRECT(#REF!),0)-1,MATCH([2]Development_Schedule_EK!$B226,INDIRECT(#REF!),0),1,1)*$D229,0)</f>
        <v>0</v>
      </c>
      <c r="J229" s="260">
        <f ca="1">IFERROR(OFFSET(INDIRECT(#REF!),MATCH([2]Development_Schedule_EK!M$6,INDIRECT(#REF!),0)-1,MATCH([2]Development_Schedule_EK!$B226,INDIRECT(#REF!),0),1,1)*$D229,0)</f>
        <v>0</v>
      </c>
      <c r="K229" s="260">
        <f ca="1">IFERROR(OFFSET(INDIRECT(#REF!),MATCH([2]Development_Schedule_EK!N$6,INDIRECT(#REF!),0)-1,MATCH([2]Development_Schedule_EK!$B226,INDIRECT(#REF!),0),1,1)*$D229,0)</f>
        <v>0</v>
      </c>
      <c r="L229" s="265">
        <f ca="1">IFERROR(OFFSET(INDIRECT(#REF!),MATCH([2]Development_Schedule_EK!O$6,INDIRECT(#REF!),0)-1,MATCH([2]Development_Schedule_EK!$B226,INDIRECT(#REF!),0),1,1)*$D229,0)</f>
        <v>0</v>
      </c>
      <c r="M229" s="260">
        <f ca="1">IFERROR(OFFSET(INDIRECT(#REF!),MATCH([2]Development_Schedule_EK!P$6,INDIRECT(#REF!),0)-1,MATCH([2]Development_Schedule_EK!$B226,INDIRECT(#REF!),0),1,1)*$D229,0)</f>
        <v>0</v>
      </c>
      <c r="N229" s="260">
        <f ca="1">IFERROR(OFFSET(INDIRECT(#REF!),MATCH([2]Development_Schedule_EK!Q$6,INDIRECT(#REF!),0)-1,MATCH([2]Development_Schedule_EK!$B226,INDIRECT(#REF!),0),1,1)*$D229,0)</f>
        <v>0</v>
      </c>
      <c r="O229" s="265">
        <f ca="1">IFERROR(OFFSET(INDIRECT(#REF!),MATCH([2]Development_Schedule_EK!R$6,INDIRECT(#REF!),0)-1,MATCH([2]Development_Schedule_EK!$B226,INDIRECT(#REF!),0),1,1)*$D229,0)</f>
        <v>0</v>
      </c>
      <c r="P229" s="183"/>
      <c r="Q229" s="184"/>
      <c r="R229" s="183"/>
    </row>
    <row r="230" spans="1:18" x14ac:dyDescent="0.25">
      <c r="A230" s="284">
        <v>2</v>
      </c>
      <c r="B230" s="774" t="s">
        <v>33</v>
      </c>
      <c r="C230" s="262"/>
      <c r="D230" s="270">
        <f ca="1">IFERROR(OFFSET(INDIRECT(#REF!),MATCH([2]Development_Schedule_EK!$E227,INDIRECT(#REF!),0)-1,MATCH([2]Development_Schedule_EK!$B227,INDIRECT(#REF!),0),1,1),0)</f>
        <v>0</v>
      </c>
      <c r="E230" s="266"/>
      <c r="F230" s="260">
        <f ca="1">IFERROR(OFFSET(INDIRECT(#REF!),MATCH([2]Development_Schedule_EK!I$6,INDIRECT(#REF!),0)-1,MATCH([2]Development_Schedule_EK!$B227,INDIRECT(#REF!),0),1,1)*$D230,0)</f>
        <v>0</v>
      </c>
      <c r="G230" s="260">
        <f ca="1">IFERROR(OFFSET(INDIRECT(#REF!),MATCH([2]Development_Schedule_EK!J$6,INDIRECT(#REF!),0)-1,MATCH([2]Development_Schedule_EK!$B227,INDIRECT(#REF!),0),1,1)*$D230,0)</f>
        <v>0</v>
      </c>
      <c r="H230" s="265">
        <f ca="1">IFERROR(OFFSET(INDIRECT(#REF!),MATCH([2]Development_Schedule_EK!K$6,INDIRECT(#REF!),0)-1,MATCH([2]Development_Schedule_EK!$B227,INDIRECT(#REF!),0),1,1)*$D230,0)</f>
        <v>0</v>
      </c>
      <c r="I230" s="260">
        <f ca="1">IFERROR(OFFSET(INDIRECT(#REF!),MATCH([2]Development_Schedule_EK!L$6,INDIRECT(#REF!),0)-1,MATCH([2]Development_Schedule_EK!$B227,INDIRECT(#REF!),0),1,1)*$D230,0)</f>
        <v>0</v>
      </c>
      <c r="J230" s="260">
        <f ca="1">IFERROR(OFFSET(INDIRECT(#REF!),MATCH([2]Development_Schedule_EK!M$6,INDIRECT(#REF!),0)-1,MATCH([2]Development_Schedule_EK!$B227,INDIRECT(#REF!),0),1,1)*$D230,0)</f>
        <v>0</v>
      </c>
      <c r="K230" s="260">
        <f ca="1">IFERROR(OFFSET(INDIRECT(#REF!),MATCH([2]Development_Schedule_EK!N$6,INDIRECT(#REF!),0)-1,MATCH([2]Development_Schedule_EK!$B227,INDIRECT(#REF!),0),1,1)*$D230,0)</f>
        <v>0</v>
      </c>
      <c r="L230" s="265">
        <f ca="1">IFERROR(OFFSET(INDIRECT(#REF!),MATCH([2]Development_Schedule_EK!O$6,INDIRECT(#REF!),0)-1,MATCH([2]Development_Schedule_EK!$B227,INDIRECT(#REF!),0),1,1)*$D230,0)</f>
        <v>0</v>
      </c>
      <c r="M230" s="260">
        <f ca="1">IFERROR(OFFSET(INDIRECT(#REF!),MATCH([2]Development_Schedule_EK!P$6,INDIRECT(#REF!),0)-1,MATCH([2]Development_Schedule_EK!$B227,INDIRECT(#REF!),0),1,1)*$D230,0)</f>
        <v>0</v>
      </c>
      <c r="N230" s="260">
        <f ca="1">IFERROR(OFFSET(INDIRECT(#REF!),MATCH([2]Development_Schedule_EK!Q$6,INDIRECT(#REF!),0)-1,MATCH([2]Development_Schedule_EK!$B227,INDIRECT(#REF!),0),1,1)*$D230,0)</f>
        <v>0</v>
      </c>
      <c r="O230" s="265">
        <f ca="1">IFERROR(OFFSET(INDIRECT(#REF!),MATCH([2]Development_Schedule_EK!R$6,INDIRECT(#REF!),0)-1,MATCH([2]Development_Schedule_EK!$B227,INDIRECT(#REF!),0),1,1)*$D230,0)</f>
        <v>0</v>
      </c>
      <c r="P230" s="183"/>
      <c r="Q230" s="184"/>
      <c r="R230" s="183"/>
    </row>
    <row r="231" spans="1:18" x14ac:dyDescent="0.25">
      <c r="A231" s="284">
        <v>2</v>
      </c>
      <c r="B231" s="774" t="s">
        <v>42</v>
      </c>
      <c r="C231" s="262"/>
      <c r="D231" s="270">
        <f ca="1">IFERROR(OFFSET(INDIRECT(#REF!),MATCH([2]Development_Schedule_EK!$E228,INDIRECT(#REF!),0)-1,MATCH([2]Development_Schedule_EK!$B228,INDIRECT(#REF!),0),1,1),0)</f>
        <v>0</v>
      </c>
      <c r="E231" s="266"/>
      <c r="F231" s="260">
        <f ca="1">IFERROR(OFFSET(INDIRECT(#REF!),MATCH([2]Development_Schedule_EK!I$6,INDIRECT(#REF!),0)-1,MATCH([2]Development_Schedule_EK!$B228,INDIRECT(#REF!),0),1,1)*$D231,0)</f>
        <v>0</v>
      </c>
      <c r="G231" s="260">
        <f ca="1">IFERROR(OFFSET(INDIRECT(#REF!),MATCH([2]Development_Schedule_EK!J$6,INDIRECT(#REF!),0)-1,MATCH([2]Development_Schedule_EK!$B228,INDIRECT(#REF!),0),1,1)*$D231,0)</f>
        <v>0</v>
      </c>
      <c r="H231" s="265">
        <f ca="1">IFERROR(OFFSET(INDIRECT(#REF!),MATCH([2]Development_Schedule_EK!K$6,INDIRECT(#REF!),0)-1,MATCH([2]Development_Schedule_EK!$B228,INDIRECT(#REF!),0),1,1)*$D231,0)</f>
        <v>0</v>
      </c>
      <c r="I231" s="260">
        <f ca="1">IFERROR(OFFSET(INDIRECT(#REF!),MATCH([2]Development_Schedule_EK!L$6,INDIRECT(#REF!),0)-1,MATCH([2]Development_Schedule_EK!$B228,INDIRECT(#REF!),0),1,1)*$D231,0)</f>
        <v>0</v>
      </c>
      <c r="J231" s="260">
        <f ca="1">IFERROR(OFFSET(INDIRECT(#REF!),MATCH([2]Development_Schedule_EK!M$6,INDIRECT(#REF!),0)-1,MATCH([2]Development_Schedule_EK!$B228,INDIRECT(#REF!),0),1,1)*$D231,0)</f>
        <v>0</v>
      </c>
      <c r="K231" s="260">
        <f ca="1">IFERROR(OFFSET(INDIRECT(#REF!),MATCH([2]Development_Schedule_EK!N$6,INDIRECT(#REF!),0)-1,MATCH([2]Development_Schedule_EK!$B228,INDIRECT(#REF!),0),1,1)*$D231,0)</f>
        <v>0</v>
      </c>
      <c r="L231" s="265">
        <f ca="1">IFERROR(OFFSET(INDIRECT(#REF!),MATCH([2]Development_Schedule_EK!O$6,INDIRECT(#REF!),0)-1,MATCH([2]Development_Schedule_EK!$B228,INDIRECT(#REF!),0),1,1)*$D231,0)</f>
        <v>0</v>
      </c>
      <c r="M231" s="260">
        <f ca="1">IFERROR(OFFSET(INDIRECT(#REF!),MATCH([2]Development_Schedule_EK!P$6,INDIRECT(#REF!),0)-1,MATCH([2]Development_Schedule_EK!$B228,INDIRECT(#REF!),0),1,1)*$D231,0)</f>
        <v>0</v>
      </c>
      <c r="N231" s="260">
        <f ca="1">IFERROR(OFFSET(INDIRECT(#REF!),MATCH([2]Development_Schedule_EK!Q$6,INDIRECT(#REF!),0)-1,MATCH([2]Development_Schedule_EK!$B228,INDIRECT(#REF!),0),1,1)*$D231,0)</f>
        <v>0</v>
      </c>
      <c r="O231" s="265">
        <f ca="1">IFERROR(OFFSET(INDIRECT(#REF!),MATCH([2]Development_Schedule_EK!R$6,INDIRECT(#REF!),0)-1,MATCH([2]Development_Schedule_EK!$B228,INDIRECT(#REF!),0),1,1)*$D231,0)</f>
        <v>0</v>
      </c>
      <c r="P231" s="183"/>
      <c r="Q231" s="184"/>
      <c r="R231" s="183"/>
    </row>
    <row r="232" spans="1:18" x14ac:dyDescent="0.25">
      <c r="B232" s="774"/>
      <c r="C232" s="262"/>
      <c r="D232" s="270"/>
      <c r="E232" s="266"/>
      <c r="F232" s="256"/>
      <c r="G232" s="256"/>
      <c r="H232" s="263"/>
      <c r="I232" s="256"/>
      <c r="J232" s="256"/>
      <c r="K232" s="256"/>
      <c r="L232" s="263"/>
      <c r="M232" s="256"/>
      <c r="N232" s="256"/>
      <c r="O232" s="263"/>
      <c r="P232" s="183"/>
      <c r="Q232" s="184"/>
      <c r="R232" s="183"/>
    </row>
    <row r="233" spans="1:18" x14ac:dyDescent="0.25">
      <c r="B233" s="774"/>
      <c r="C233" s="262"/>
      <c r="D233" s="270"/>
      <c r="E233" s="266"/>
      <c r="F233" s="256"/>
      <c r="G233" s="256"/>
      <c r="H233" s="263"/>
      <c r="I233" s="256"/>
      <c r="J233" s="256"/>
      <c r="K233" s="256"/>
      <c r="L233" s="263"/>
      <c r="M233" s="256"/>
      <c r="N233" s="256"/>
      <c r="O233" s="263"/>
      <c r="P233" s="183"/>
      <c r="Q233" s="184"/>
      <c r="R233" s="183"/>
    </row>
    <row r="234" spans="1:18" x14ac:dyDescent="0.25">
      <c r="B234" s="776" t="s">
        <v>374</v>
      </c>
      <c r="C234" s="262"/>
      <c r="D234" s="270"/>
      <c r="E234" s="266"/>
      <c r="F234" s="256"/>
      <c r="G234" s="256"/>
      <c r="H234" s="263"/>
      <c r="I234" s="256"/>
      <c r="J234" s="256"/>
      <c r="K234" s="256"/>
      <c r="L234" s="263"/>
      <c r="M234" s="256"/>
      <c r="N234" s="256"/>
      <c r="O234" s="263"/>
      <c r="P234" s="183"/>
      <c r="Q234" s="184"/>
      <c r="R234" s="183"/>
    </row>
    <row r="235" spans="1:18" x14ac:dyDescent="0.25">
      <c r="A235" s="284">
        <v>3</v>
      </c>
      <c r="B235" s="774" t="s">
        <v>381</v>
      </c>
      <c r="C235" s="262"/>
      <c r="D235" s="270">
        <f ca="1">IFERROR(OFFSET(INDIRECT(#REF!),MATCH([2]Development_Schedule_EK!$E232,INDIRECT(#REF!),0)-1,MATCH([2]Development_Schedule_EK!$B232,INDIRECT(#REF!),0),1,1),0)</f>
        <v>0</v>
      </c>
      <c r="E235" s="266"/>
      <c r="F235" s="260">
        <f ca="1">IFERROR(OFFSET(INDIRECT(#REF!),MATCH([2]Development_Schedule_EK!I$6,INDIRECT(#REF!),0)-1,MATCH([2]Development_Schedule_EK!$B232,INDIRECT(#REF!),0),1,1)*$D235,0)</f>
        <v>0</v>
      </c>
      <c r="G235" s="260">
        <f ca="1">IFERROR(OFFSET(INDIRECT(#REF!),MATCH([2]Development_Schedule_EK!J$6,INDIRECT(#REF!),0)-1,MATCH([2]Development_Schedule_EK!$B232,INDIRECT(#REF!),0),1,1)*$D235,0)</f>
        <v>0</v>
      </c>
      <c r="H235" s="265">
        <f ca="1">IFERROR(OFFSET(INDIRECT(#REF!),MATCH([2]Development_Schedule_EK!K$6,INDIRECT(#REF!),0)-1,MATCH([2]Development_Schedule_EK!$B232,INDIRECT(#REF!),0),1,1)*$D235,0)</f>
        <v>0</v>
      </c>
      <c r="I235" s="260">
        <f ca="1">IFERROR(OFFSET(INDIRECT(#REF!),MATCH([2]Development_Schedule_EK!L$6,INDIRECT(#REF!),0)-1,MATCH([2]Development_Schedule_EK!$B232,INDIRECT(#REF!),0),1,1)*$D235,0)</f>
        <v>0</v>
      </c>
      <c r="J235" s="260">
        <f ca="1">IFERROR(OFFSET(INDIRECT(#REF!),MATCH([2]Development_Schedule_EK!M$6,INDIRECT(#REF!),0)-1,MATCH([2]Development_Schedule_EK!$B232,INDIRECT(#REF!),0),1,1)*$D235,0)</f>
        <v>0</v>
      </c>
      <c r="K235" s="260">
        <f ca="1">IFERROR(OFFSET(INDIRECT(#REF!),MATCH([2]Development_Schedule_EK!N$6,INDIRECT(#REF!),0)-1,MATCH([2]Development_Schedule_EK!$B232,INDIRECT(#REF!),0),1,1)*$D235,0)</f>
        <v>0</v>
      </c>
      <c r="L235" s="265">
        <f ca="1">IFERROR(OFFSET(INDIRECT(#REF!),MATCH([2]Development_Schedule_EK!O$6,INDIRECT(#REF!),0)-1,MATCH([2]Development_Schedule_EK!$B232,INDIRECT(#REF!),0),1,1)*$D235,0)</f>
        <v>0</v>
      </c>
      <c r="M235" s="260">
        <f ca="1">IFERROR(OFFSET(INDIRECT(#REF!),MATCH([2]Development_Schedule_EK!P$6,INDIRECT(#REF!),0)-1,MATCH([2]Development_Schedule_EK!$B232,INDIRECT(#REF!),0),1,1)*$D235,0)</f>
        <v>0</v>
      </c>
      <c r="N235" s="260">
        <f ca="1">IFERROR(OFFSET(INDIRECT(#REF!),MATCH([2]Development_Schedule_EK!Q$6,INDIRECT(#REF!),0)-1,MATCH([2]Development_Schedule_EK!$B232,INDIRECT(#REF!),0),1,1)*$D235,0)</f>
        <v>0</v>
      </c>
      <c r="O235" s="265">
        <f ca="1">IFERROR(OFFSET(INDIRECT(#REF!),MATCH([2]Development_Schedule_EK!R$6,INDIRECT(#REF!),0)-1,MATCH([2]Development_Schedule_EK!$B232,INDIRECT(#REF!),0),1,1)*$D235,0)</f>
        <v>0</v>
      </c>
      <c r="P235" s="183"/>
      <c r="Q235" s="184"/>
      <c r="R235" s="183"/>
    </row>
    <row r="236" spans="1:18" x14ac:dyDescent="0.25">
      <c r="A236" s="284">
        <v>3</v>
      </c>
      <c r="B236" s="774" t="s">
        <v>382</v>
      </c>
      <c r="C236" s="262"/>
      <c r="D236" s="270">
        <f ca="1">IFERROR(OFFSET(INDIRECT(#REF!),MATCH([2]Development_Schedule_EK!$E233,INDIRECT(#REF!),0)-1,MATCH([2]Development_Schedule_EK!$B233,INDIRECT(#REF!),0),1,1),0)</f>
        <v>0</v>
      </c>
      <c r="E236" s="266"/>
      <c r="F236" s="260">
        <f ca="1">IFERROR(OFFSET(INDIRECT(#REF!),MATCH([2]Development_Schedule_EK!I$6,INDIRECT(#REF!),0)-1,MATCH([2]Development_Schedule_EK!$B233,INDIRECT(#REF!),0),1,1)*$D236,0)</f>
        <v>0</v>
      </c>
      <c r="G236" s="260">
        <f ca="1">IFERROR(OFFSET(INDIRECT(#REF!),MATCH([2]Development_Schedule_EK!J$6,INDIRECT(#REF!),0)-1,MATCH([2]Development_Schedule_EK!$B233,INDIRECT(#REF!),0),1,1)*$D236,0)</f>
        <v>0</v>
      </c>
      <c r="H236" s="265">
        <f ca="1">IFERROR(OFFSET(INDIRECT(#REF!),MATCH([2]Development_Schedule_EK!K$6,INDIRECT(#REF!),0)-1,MATCH([2]Development_Schedule_EK!$B233,INDIRECT(#REF!),0),1,1)*$D236,0)</f>
        <v>0</v>
      </c>
      <c r="I236" s="260">
        <f ca="1">IFERROR(OFFSET(INDIRECT(#REF!),MATCH([2]Development_Schedule_EK!L$6,INDIRECT(#REF!),0)-1,MATCH([2]Development_Schedule_EK!$B233,INDIRECT(#REF!),0),1,1)*$D236,0)</f>
        <v>0</v>
      </c>
      <c r="J236" s="260">
        <f ca="1">IFERROR(OFFSET(INDIRECT(#REF!),MATCH([2]Development_Schedule_EK!M$6,INDIRECT(#REF!),0)-1,MATCH([2]Development_Schedule_EK!$B233,INDIRECT(#REF!),0),1,1)*$D236,0)</f>
        <v>0</v>
      </c>
      <c r="K236" s="260">
        <f ca="1">IFERROR(OFFSET(INDIRECT(#REF!),MATCH([2]Development_Schedule_EK!N$6,INDIRECT(#REF!),0)-1,MATCH([2]Development_Schedule_EK!$B233,INDIRECT(#REF!),0),1,1)*$D236,0)</f>
        <v>0</v>
      </c>
      <c r="L236" s="265">
        <f ca="1">IFERROR(OFFSET(INDIRECT(#REF!),MATCH([2]Development_Schedule_EK!O$6,INDIRECT(#REF!),0)-1,MATCH([2]Development_Schedule_EK!$B233,INDIRECT(#REF!),0),1,1)*$D236,0)</f>
        <v>0</v>
      </c>
      <c r="M236" s="260">
        <f ca="1">IFERROR(OFFSET(INDIRECT(#REF!),MATCH([2]Development_Schedule_EK!P$6,INDIRECT(#REF!),0)-1,MATCH([2]Development_Schedule_EK!$B233,INDIRECT(#REF!),0),1,1)*$D236,0)</f>
        <v>0</v>
      </c>
      <c r="N236" s="260">
        <f ca="1">IFERROR(OFFSET(INDIRECT(#REF!),MATCH([2]Development_Schedule_EK!Q$6,INDIRECT(#REF!),0)-1,MATCH([2]Development_Schedule_EK!$B233,INDIRECT(#REF!),0),1,1)*$D236,0)</f>
        <v>0</v>
      </c>
      <c r="O236" s="265">
        <f ca="1">IFERROR(OFFSET(INDIRECT(#REF!),MATCH([2]Development_Schedule_EK!R$6,INDIRECT(#REF!),0)-1,MATCH([2]Development_Schedule_EK!$B233,INDIRECT(#REF!),0),1,1)*$D236,0)</f>
        <v>0</v>
      </c>
      <c r="P236" s="183"/>
      <c r="Q236" s="184"/>
      <c r="R236" s="183"/>
    </row>
    <row r="237" spans="1:18" x14ac:dyDescent="0.25">
      <c r="A237" s="284">
        <v>3</v>
      </c>
      <c r="B237" s="774" t="s">
        <v>383</v>
      </c>
      <c r="C237" s="262"/>
      <c r="D237" s="270">
        <f ca="1">IFERROR(OFFSET(INDIRECT(#REF!),MATCH([2]Development_Schedule_EK!$E234,INDIRECT(#REF!),0)-1,MATCH([2]Development_Schedule_EK!$B234,INDIRECT(#REF!),0),1,1),0)</f>
        <v>0</v>
      </c>
      <c r="E237" s="266"/>
      <c r="F237" s="260">
        <f ca="1">IFERROR(OFFSET(INDIRECT(#REF!),MATCH([2]Development_Schedule_EK!I$6,INDIRECT(#REF!),0)-1,MATCH([2]Development_Schedule_EK!$B234,INDIRECT(#REF!),0),1,1)*$D237,0)</f>
        <v>0</v>
      </c>
      <c r="G237" s="260">
        <f ca="1">IFERROR(OFFSET(INDIRECT(#REF!),MATCH([2]Development_Schedule_EK!J$6,INDIRECT(#REF!),0)-1,MATCH([2]Development_Schedule_EK!$B234,INDIRECT(#REF!),0),1,1)*$D237,0)</f>
        <v>0</v>
      </c>
      <c r="H237" s="265">
        <f ca="1">IFERROR(OFFSET(INDIRECT(#REF!),MATCH([2]Development_Schedule_EK!K$6,INDIRECT(#REF!),0)-1,MATCH([2]Development_Schedule_EK!$B234,INDIRECT(#REF!),0),1,1)*$D237,0)</f>
        <v>0</v>
      </c>
      <c r="I237" s="260">
        <f ca="1">IFERROR(OFFSET(INDIRECT(#REF!),MATCH([2]Development_Schedule_EK!L$6,INDIRECT(#REF!),0)-1,MATCH([2]Development_Schedule_EK!$B234,INDIRECT(#REF!),0),1,1)*$D237,0)</f>
        <v>0</v>
      </c>
      <c r="J237" s="260">
        <f ca="1">IFERROR(OFFSET(INDIRECT(#REF!),MATCH([2]Development_Schedule_EK!M$6,INDIRECT(#REF!),0)-1,MATCH([2]Development_Schedule_EK!$B234,INDIRECT(#REF!),0),1,1)*$D237,0)</f>
        <v>0</v>
      </c>
      <c r="K237" s="260">
        <f ca="1">IFERROR(OFFSET(INDIRECT(#REF!),MATCH([2]Development_Schedule_EK!N$6,INDIRECT(#REF!),0)-1,MATCH([2]Development_Schedule_EK!$B234,INDIRECT(#REF!),0),1,1)*$D237,0)</f>
        <v>0</v>
      </c>
      <c r="L237" s="265">
        <f ca="1">IFERROR(OFFSET(INDIRECT(#REF!),MATCH([2]Development_Schedule_EK!O$6,INDIRECT(#REF!),0)-1,MATCH([2]Development_Schedule_EK!$B234,INDIRECT(#REF!),0),1,1)*$D237,0)</f>
        <v>0</v>
      </c>
      <c r="M237" s="260">
        <f ca="1">IFERROR(OFFSET(INDIRECT(#REF!),MATCH([2]Development_Schedule_EK!P$6,INDIRECT(#REF!),0)-1,MATCH([2]Development_Schedule_EK!$B234,INDIRECT(#REF!),0),1,1)*$D237,0)</f>
        <v>0</v>
      </c>
      <c r="N237" s="260">
        <f ca="1">IFERROR(OFFSET(INDIRECT(#REF!),MATCH([2]Development_Schedule_EK!Q$6,INDIRECT(#REF!),0)-1,MATCH([2]Development_Schedule_EK!$B234,INDIRECT(#REF!),0),1,1)*$D237,0)</f>
        <v>0</v>
      </c>
      <c r="O237" s="265">
        <f ca="1">IFERROR(OFFSET(INDIRECT(#REF!),MATCH([2]Development_Schedule_EK!R$6,INDIRECT(#REF!),0)-1,MATCH([2]Development_Schedule_EK!$B234,INDIRECT(#REF!),0),1,1)*$D237,0)</f>
        <v>0</v>
      </c>
      <c r="P237" s="183"/>
      <c r="Q237" s="184"/>
      <c r="R237" s="183"/>
    </row>
    <row r="238" spans="1:18" x14ac:dyDescent="0.25">
      <c r="A238" s="284">
        <v>3</v>
      </c>
      <c r="B238" s="774" t="s">
        <v>384</v>
      </c>
      <c r="C238" s="262"/>
      <c r="D238" s="270">
        <f ca="1">IFERROR(OFFSET(INDIRECT(#REF!),MATCH([2]Development_Schedule_EK!$E235,INDIRECT(#REF!),0)-1,MATCH([2]Development_Schedule_EK!$B235,INDIRECT(#REF!),0),1,1),0)</f>
        <v>0</v>
      </c>
      <c r="E238" s="266"/>
      <c r="F238" s="260">
        <f ca="1">IFERROR(OFFSET(INDIRECT(#REF!),MATCH([2]Development_Schedule_EK!I$6,INDIRECT(#REF!),0)-1,MATCH([2]Development_Schedule_EK!$B235,INDIRECT(#REF!),0),1,1)*$D238,0)</f>
        <v>0</v>
      </c>
      <c r="G238" s="260">
        <f ca="1">IFERROR(OFFSET(INDIRECT(#REF!),MATCH([2]Development_Schedule_EK!J$6,INDIRECT(#REF!),0)-1,MATCH([2]Development_Schedule_EK!$B235,INDIRECT(#REF!),0),1,1)*$D238,0)</f>
        <v>0</v>
      </c>
      <c r="H238" s="265">
        <f ca="1">IFERROR(OFFSET(INDIRECT(#REF!),MATCH([2]Development_Schedule_EK!K$6,INDIRECT(#REF!),0)-1,MATCH([2]Development_Schedule_EK!$B235,INDIRECT(#REF!),0),1,1)*$D238,0)</f>
        <v>0</v>
      </c>
      <c r="I238" s="260">
        <f ca="1">IFERROR(OFFSET(INDIRECT(#REF!),MATCH([2]Development_Schedule_EK!L$6,INDIRECT(#REF!),0)-1,MATCH([2]Development_Schedule_EK!$B235,INDIRECT(#REF!),0),1,1)*$D238,0)</f>
        <v>0</v>
      </c>
      <c r="J238" s="260">
        <f ca="1">IFERROR(OFFSET(INDIRECT(#REF!),MATCH([2]Development_Schedule_EK!M$6,INDIRECT(#REF!),0)-1,MATCH([2]Development_Schedule_EK!$B235,INDIRECT(#REF!),0),1,1)*$D238,0)</f>
        <v>0</v>
      </c>
      <c r="K238" s="260">
        <f ca="1">IFERROR(OFFSET(INDIRECT(#REF!),MATCH([2]Development_Schedule_EK!N$6,INDIRECT(#REF!),0)-1,MATCH([2]Development_Schedule_EK!$B235,INDIRECT(#REF!),0),1,1)*$D238,0)</f>
        <v>0</v>
      </c>
      <c r="L238" s="265">
        <f ca="1">IFERROR(OFFSET(INDIRECT(#REF!),MATCH([2]Development_Schedule_EK!O$6,INDIRECT(#REF!),0)-1,MATCH([2]Development_Schedule_EK!$B235,INDIRECT(#REF!),0),1,1)*$D238,0)</f>
        <v>0</v>
      </c>
      <c r="M238" s="260">
        <f ca="1">IFERROR(OFFSET(INDIRECT(#REF!),MATCH([2]Development_Schedule_EK!P$6,INDIRECT(#REF!),0)-1,MATCH([2]Development_Schedule_EK!$B235,INDIRECT(#REF!),0),1,1)*$D238,0)</f>
        <v>0</v>
      </c>
      <c r="N238" s="260">
        <f ca="1">IFERROR(OFFSET(INDIRECT(#REF!),MATCH([2]Development_Schedule_EK!Q$6,INDIRECT(#REF!),0)-1,MATCH([2]Development_Schedule_EK!$B235,INDIRECT(#REF!),0),1,1)*$D238,0)</f>
        <v>0</v>
      </c>
      <c r="O238" s="265">
        <f ca="1">IFERROR(OFFSET(INDIRECT(#REF!),MATCH([2]Development_Schedule_EK!R$6,INDIRECT(#REF!),0)-1,MATCH([2]Development_Schedule_EK!$B235,INDIRECT(#REF!),0),1,1)*$D238,0)</f>
        <v>0</v>
      </c>
      <c r="P238" s="183"/>
      <c r="Q238" s="184"/>
      <c r="R238" s="183"/>
    </row>
    <row r="239" spans="1:18" x14ac:dyDescent="0.25">
      <c r="A239" s="284">
        <v>3</v>
      </c>
      <c r="B239" s="774" t="s">
        <v>35</v>
      </c>
      <c r="C239" s="262"/>
      <c r="D239" s="270">
        <f ca="1">IFERROR(OFFSET(INDIRECT(#REF!),MATCH([2]Development_Schedule_EK!$E236,INDIRECT(#REF!),0)-1,MATCH([2]Development_Schedule_EK!$B236,INDIRECT(#REF!),0),1,1),0)</f>
        <v>0</v>
      </c>
      <c r="E239" s="266"/>
      <c r="F239" s="260">
        <f ca="1">IFERROR(OFFSET(INDIRECT(#REF!),MATCH([2]Development_Schedule_EK!I$6,INDIRECT(#REF!),0)-1,MATCH([2]Development_Schedule_EK!$B236,INDIRECT(#REF!),0),1,1)*$D239,0)</f>
        <v>0</v>
      </c>
      <c r="G239" s="260">
        <f ca="1">IFERROR(OFFSET(INDIRECT(#REF!),MATCH([2]Development_Schedule_EK!J$6,INDIRECT(#REF!),0)-1,MATCH([2]Development_Schedule_EK!$B236,INDIRECT(#REF!),0),1,1)*$D239,0)</f>
        <v>0</v>
      </c>
      <c r="H239" s="265">
        <f ca="1">IFERROR(OFFSET(INDIRECT(#REF!),MATCH([2]Development_Schedule_EK!K$6,INDIRECT(#REF!),0)-1,MATCH([2]Development_Schedule_EK!$B236,INDIRECT(#REF!),0),1,1)*$D239,0)</f>
        <v>0</v>
      </c>
      <c r="I239" s="260">
        <f ca="1">IFERROR(OFFSET(INDIRECT(#REF!),MATCH([2]Development_Schedule_EK!L$6,INDIRECT(#REF!),0)-1,MATCH([2]Development_Schedule_EK!$B236,INDIRECT(#REF!),0),1,1)*$D239,0)</f>
        <v>0</v>
      </c>
      <c r="J239" s="260">
        <f ca="1">IFERROR(OFFSET(INDIRECT(#REF!),MATCH([2]Development_Schedule_EK!M$6,INDIRECT(#REF!),0)-1,MATCH([2]Development_Schedule_EK!$B236,INDIRECT(#REF!),0),1,1)*$D239,0)</f>
        <v>0</v>
      </c>
      <c r="K239" s="260">
        <f ca="1">IFERROR(OFFSET(INDIRECT(#REF!),MATCH([2]Development_Schedule_EK!N$6,INDIRECT(#REF!),0)-1,MATCH([2]Development_Schedule_EK!$B236,INDIRECT(#REF!),0),1,1)*$D239,0)</f>
        <v>0</v>
      </c>
      <c r="L239" s="265">
        <f ca="1">IFERROR(OFFSET(INDIRECT(#REF!),MATCH([2]Development_Schedule_EK!O$6,INDIRECT(#REF!),0)-1,MATCH([2]Development_Schedule_EK!$B236,INDIRECT(#REF!),0),1,1)*$D239,0)</f>
        <v>0</v>
      </c>
      <c r="M239" s="260">
        <f ca="1">IFERROR(OFFSET(INDIRECT(#REF!),MATCH([2]Development_Schedule_EK!P$6,INDIRECT(#REF!),0)-1,MATCH([2]Development_Schedule_EK!$B236,INDIRECT(#REF!),0),1,1)*$D239,0)</f>
        <v>0</v>
      </c>
      <c r="N239" s="260">
        <f ca="1">IFERROR(OFFSET(INDIRECT(#REF!),MATCH([2]Development_Schedule_EK!Q$6,INDIRECT(#REF!),0)-1,MATCH([2]Development_Schedule_EK!$B236,INDIRECT(#REF!),0),1,1)*$D239,0)</f>
        <v>0</v>
      </c>
      <c r="O239" s="265">
        <f ca="1">IFERROR(OFFSET(INDIRECT(#REF!),MATCH([2]Development_Schedule_EK!R$6,INDIRECT(#REF!),0)-1,MATCH([2]Development_Schedule_EK!$B236,INDIRECT(#REF!),0),1,1)*$D239,0)</f>
        <v>0</v>
      </c>
      <c r="P239" s="183"/>
      <c r="Q239" s="184"/>
      <c r="R239" s="183"/>
    </row>
    <row r="240" spans="1:18" x14ac:dyDescent="0.25">
      <c r="A240" s="284">
        <v>3</v>
      </c>
      <c r="B240" s="774" t="s">
        <v>355</v>
      </c>
      <c r="C240" s="262"/>
      <c r="D240" s="270">
        <f ca="1">IFERROR(OFFSET(INDIRECT(#REF!),MATCH([2]Development_Schedule_EK!$E237,INDIRECT(#REF!),0)-1,MATCH([2]Development_Schedule_EK!$B237,INDIRECT(#REF!),0),1,1),0)</f>
        <v>0</v>
      </c>
      <c r="E240" s="266"/>
      <c r="F240" s="260">
        <f ca="1">IFERROR(OFFSET(INDIRECT(#REF!),MATCH([2]Development_Schedule_EK!I$6,INDIRECT(#REF!),0)-1,MATCH([2]Development_Schedule_EK!$B237,INDIRECT(#REF!),0),1,1)*$D240,0)</f>
        <v>0</v>
      </c>
      <c r="G240" s="260">
        <f ca="1">IFERROR(OFFSET(INDIRECT(#REF!),MATCH([2]Development_Schedule_EK!J$6,INDIRECT(#REF!),0)-1,MATCH([2]Development_Schedule_EK!$B237,INDIRECT(#REF!),0),1,1)*$D240,0)</f>
        <v>0</v>
      </c>
      <c r="H240" s="265">
        <f ca="1">IFERROR(OFFSET(INDIRECT(#REF!),MATCH([2]Development_Schedule_EK!K$6,INDIRECT(#REF!),0)-1,MATCH([2]Development_Schedule_EK!$B237,INDIRECT(#REF!),0),1,1)*$D240,0)</f>
        <v>0</v>
      </c>
      <c r="I240" s="260">
        <f ca="1">IFERROR(OFFSET(INDIRECT(#REF!),MATCH([2]Development_Schedule_EK!L$6,INDIRECT(#REF!),0)-1,MATCH([2]Development_Schedule_EK!$B237,INDIRECT(#REF!),0),1,1)*$D240,0)</f>
        <v>0</v>
      </c>
      <c r="J240" s="260">
        <f ca="1">IFERROR(OFFSET(INDIRECT(#REF!),MATCH([2]Development_Schedule_EK!M$6,INDIRECT(#REF!),0)-1,MATCH([2]Development_Schedule_EK!$B237,INDIRECT(#REF!),0),1,1)*$D240,0)</f>
        <v>0</v>
      </c>
      <c r="K240" s="260">
        <f ca="1">IFERROR(OFFSET(INDIRECT(#REF!),MATCH([2]Development_Schedule_EK!N$6,INDIRECT(#REF!),0)-1,MATCH([2]Development_Schedule_EK!$B237,INDIRECT(#REF!),0),1,1)*$D240,0)</f>
        <v>0</v>
      </c>
      <c r="L240" s="265">
        <f ca="1">IFERROR(OFFSET(INDIRECT(#REF!),MATCH([2]Development_Schedule_EK!O$6,INDIRECT(#REF!),0)-1,MATCH([2]Development_Schedule_EK!$B237,INDIRECT(#REF!),0),1,1)*$D240,0)</f>
        <v>0</v>
      </c>
      <c r="M240" s="260">
        <f ca="1">IFERROR(OFFSET(INDIRECT(#REF!),MATCH([2]Development_Schedule_EK!P$6,INDIRECT(#REF!),0)-1,MATCH([2]Development_Schedule_EK!$B237,INDIRECT(#REF!),0),1,1)*$D240,0)</f>
        <v>0</v>
      </c>
      <c r="N240" s="260">
        <f ca="1">IFERROR(OFFSET(INDIRECT(#REF!),MATCH([2]Development_Schedule_EK!Q$6,INDIRECT(#REF!),0)-1,MATCH([2]Development_Schedule_EK!$B237,INDIRECT(#REF!),0),1,1)*$D240,0)</f>
        <v>0</v>
      </c>
      <c r="O240" s="265">
        <f ca="1">IFERROR(OFFSET(INDIRECT(#REF!),MATCH([2]Development_Schedule_EK!R$6,INDIRECT(#REF!),0)-1,MATCH([2]Development_Schedule_EK!$B237,INDIRECT(#REF!),0),1,1)*$D240,0)</f>
        <v>0</v>
      </c>
      <c r="P240" s="183"/>
      <c r="Q240" s="184"/>
      <c r="R240" s="183"/>
    </row>
    <row r="241" spans="1:18" x14ac:dyDescent="0.25">
      <c r="A241" s="284">
        <v>3</v>
      </c>
      <c r="B241" s="774" t="s">
        <v>356</v>
      </c>
      <c r="C241" s="262"/>
      <c r="D241" s="270">
        <f ca="1">IFERROR(OFFSET(INDIRECT(#REF!),MATCH([2]Development_Schedule_EK!$E238,INDIRECT(#REF!),0)-1,MATCH([2]Development_Schedule_EK!$B238,INDIRECT(#REF!),0),1,1),0)</f>
        <v>0</v>
      </c>
      <c r="E241" s="266"/>
      <c r="F241" s="260">
        <f ca="1">IFERROR(OFFSET(INDIRECT(#REF!),MATCH([2]Development_Schedule_EK!I$6,INDIRECT(#REF!),0)-1,MATCH([2]Development_Schedule_EK!$B238,INDIRECT(#REF!),0),1,1)*$D241,0)</f>
        <v>0</v>
      </c>
      <c r="G241" s="260">
        <f ca="1">IFERROR(OFFSET(INDIRECT(#REF!),MATCH([2]Development_Schedule_EK!J$6,INDIRECT(#REF!),0)-1,MATCH([2]Development_Schedule_EK!$B238,INDIRECT(#REF!),0),1,1)*$D241,0)</f>
        <v>0</v>
      </c>
      <c r="H241" s="265">
        <f ca="1">IFERROR(OFFSET(INDIRECT(#REF!),MATCH([2]Development_Schedule_EK!K$6,INDIRECT(#REF!),0)-1,MATCH([2]Development_Schedule_EK!$B238,INDIRECT(#REF!),0),1,1)*$D241,0)</f>
        <v>0</v>
      </c>
      <c r="I241" s="260">
        <f ca="1">IFERROR(OFFSET(INDIRECT(#REF!),MATCH([2]Development_Schedule_EK!L$6,INDIRECT(#REF!),0)-1,MATCH([2]Development_Schedule_EK!$B238,INDIRECT(#REF!),0),1,1)*$D241,0)</f>
        <v>0</v>
      </c>
      <c r="J241" s="260">
        <f ca="1">IFERROR(OFFSET(INDIRECT(#REF!),MATCH([2]Development_Schedule_EK!M$6,INDIRECT(#REF!),0)-1,MATCH([2]Development_Schedule_EK!$B238,INDIRECT(#REF!),0),1,1)*$D241,0)</f>
        <v>0</v>
      </c>
      <c r="K241" s="260">
        <f ca="1">IFERROR(OFFSET(INDIRECT(#REF!),MATCH([2]Development_Schedule_EK!N$6,INDIRECT(#REF!),0)-1,MATCH([2]Development_Schedule_EK!$B238,INDIRECT(#REF!),0),1,1)*$D241,0)</f>
        <v>0</v>
      </c>
      <c r="L241" s="265">
        <f ca="1">IFERROR(OFFSET(INDIRECT(#REF!),MATCH([2]Development_Schedule_EK!O$6,INDIRECT(#REF!),0)-1,MATCH([2]Development_Schedule_EK!$B238,INDIRECT(#REF!),0),1,1)*$D241,0)</f>
        <v>0</v>
      </c>
      <c r="M241" s="260">
        <f ca="1">IFERROR(OFFSET(INDIRECT(#REF!),MATCH([2]Development_Schedule_EK!P$6,INDIRECT(#REF!),0)-1,MATCH([2]Development_Schedule_EK!$B238,INDIRECT(#REF!),0),1,1)*$D241,0)</f>
        <v>0</v>
      </c>
      <c r="N241" s="260">
        <f ca="1">IFERROR(OFFSET(INDIRECT(#REF!),MATCH([2]Development_Schedule_EK!Q$6,INDIRECT(#REF!),0)-1,MATCH([2]Development_Schedule_EK!$B238,INDIRECT(#REF!),0),1,1)*$D241,0)</f>
        <v>0</v>
      </c>
      <c r="O241" s="265">
        <f ca="1">IFERROR(OFFSET(INDIRECT(#REF!),MATCH([2]Development_Schedule_EK!R$6,INDIRECT(#REF!),0)-1,MATCH([2]Development_Schedule_EK!$B238,INDIRECT(#REF!),0),1,1)*$D241,0)</f>
        <v>0</v>
      </c>
      <c r="P241" s="183"/>
      <c r="Q241" s="184"/>
      <c r="R241" s="183"/>
    </row>
    <row r="242" spans="1:18" x14ac:dyDescent="0.25">
      <c r="A242" s="284">
        <v>3</v>
      </c>
      <c r="B242" s="774" t="s">
        <v>357</v>
      </c>
      <c r="C242" s="262"/>
      <c r="D242" s="270">
        <f ca="1">IFERROR(OFFSET(INDIRECT(#REF!),MATCH([2]Development_Schedule_EK!$E239,INDIRECT(#REF!),0)-1,MATCH([2]Development_Schedule_EK!$B239,INDIRECT(#REF!),0),1,1),0)</f>
        <v>0</v>
      </c>
      <c r="E242" s="266"/>
      <c r="F242" s="260">
        <f ca="1">IFERROR(OFFSET(INDIRECT(#REF!),MATCH([2]Development_Schedule_EK!I$6,INDIRECT(#REF!),0)-1,MATCH([2]Development_Schedule_EK!$B239,INDIRECT(#REF!),0),1,1)*$D242,0)</f>
        <v>0</v>
      </c>
      <c r="G242" s="260">
        <f ca="1">IFERROR(OFFSET(INDIRECT(#REF!),MATCH([2]Development_Schedule_EK!J$6,INDIRECT(#REF!),0)-1,MATCH([2]Development_Schedule_EK!$B239,INDIRECT(#REF!),0),1,1)*$D242,0)</f>
        <v>0</v>
      </c>
      <c r="H242" s="265">
        <f ca="1">IFERROR(OFFSET(INDIRECT(#REF!),MATCH([2]Development_Schedule_EK!K$6,INDIRECT(#REF!),0)-1,MATCH([2]Development_Schedule_EK!$B239,INDIRECT(#REF!),0),1,1)*$D242,0)</f>
        <v>0</v>
      </c>
      <c r="I242" s="260">
        <f ca="1">IFERROR(OFFSET(INDIRECT(#REF!),MATCH([2]Development_Schedule_EK!L$6,INDIRECT(#REF!),0)-1,MATCH([2]Development_Schedule_EK!$B239,INDIRECT(#REF!),0),1,1)*$D242,0)</f>
        <v>0</v>
      </c>
      <c r="J242" s="260">
        <f ca="1">IFERROR(OFFSET(INDIRECT(#REF!),MATCH([2]Development_Schedule_EK!M$6,INDIRECT(#REF!),0)-1,MATCH([2]Development_Schedule_EK!$B239,INDIRECT(#REF!),0),1,1)*$D242,0)</f>
        <v>0</v>
      </c>
      <c r="K242" s="260">
        <f ca="1">IFERROR(OFFSET(INDIRECT(#REF!),MATCH([2]Development_Schedule_EK!N$6,INDIRECT(#REF!),0)-1,MATCH([2]Development_Schedule_EK!$B239,INDIRECT(#REF!),0),1,1)*$D242,0)</f>
        <v>0</v>
      </c>
      <c r="L242" s="265">
        <f ca="1">IFERROR(OFFSET(INDIRECT(#REF!),MATCH([2]Development_Schedule_EK!O$6,INDIRECT(#REF!),0)-1,MATCH([2]Development_Schedule_EK!$B239,INDIRECT(#REF!),0),1,1)*$D242,0)</f>
        <v>0</v>
      </c>
      <c r="M242" s="260">
        <f ca="1">IFERROR(OFFSET(INDIRECT(#REF!),MATCH([2]Development_Schedule_EK!P$6,INDIRECT(#REF!),0)-1,MATCH([2]Development_Schedule_EK!$B239,INDIRECT(#REF!),0),1,1)*$D242,0)</f>
        <v>0</v>
      </c>
      <c r="N242" s="260">
        <f ca="1">IFERROR(OFFSET(INDIRECT(#REF!),MATCH([2]Development_Schedule_EK!Q$6,INDIRECT(#REF!),0)-1,MATCH([2]Development_Schedule_EK!$B239,INDIRECT(#REF!),0),1,1)*$D242,0)</f>
        <v>0</v>
      </c>
      <c r="O242" s="265">
        <f ca="1">IFERROR(OFFSET(INDIRECT(#REF!),MATCH([2]Development_Schedule_EK!R$6,INDIRECT(#REF!),0)-1,MATCH([2]Development_Schedule_EK!$B239,INDIRECT(#REF!),0),1,1)*$D242,0)</f>
        <v>0</v>
      </c>
      <c r="P242" s="183"/>
      <c r="Q242" s="184"/>
      <c r="R242" s="183"/>
    </row>
    <row r="243" spans="1:18" x14ac:dyDescent="0.25">
      <c r="A243" s="284">
        <v>3</v>
      </c>
      <c r="B243" s="774" t="s">
        <v>358</v>
      </c>
      <c r="C243" s="262"/>
      <c r="D243" s="270">
        <v>228435</v>
      </c>
      <c r="E243" s="266"/>
      <c r="F243" s="260">
        <f ca="1">IFERROR(OFFSET(INDIRECT(#REF!),MATCH([2]Development_Schedule_EK!I$6,INDIRECT(#REF!),0)-1,MATCH([2]Development_Schedule_EK!$B240,INDIRECT(#REF!),0),1,1)*$D243,0)</f>
        <v>0</v>
      </c>
      <c r="G243" s="260">
        <f ca="1">IFERROR(OFFSET(INDIRECT(#REF!),MATCH([2]Development_Schedule_EK!J$6,INDIRECT(#REF!),0)-1,MATCH([2]Development_Schedule_EK!$B240,INDIRECT(#REF!),0),1,1)*$D243,0)</f>
        <v>0</v>
      </c>
      <c r="H243" s="265">
        <f ca="1">IFERROR(OFFSET(INDIRECT(#REF!),MATCH([2]Development_Schedule_EK!K$6,INDIRECT(#REF!),0)-1,MATCH([2]Development_Schedule_EK!$B240,INDIRECT(#REF!),0),1,1)*$D243,0)</f>
        <v>0</v>
      </c>
      <c r="I243" s="260">
        <f>D243/2</f>
        <v>114217.5</v>
      </c>
      <c r="J243" s="260">
        <f>I243</f>
        <v>114217.5</v>
      </c>
      <c r="K243" s="260">
        <f ca="1">IFERROR(OFFSET(INDIRECT(#REF!),MATCH([2]Development_Schedule_EK!N$6,INDIRECT(#REF!),0)-1,MATCH([2]Development_Schedule_EK!$B240,INDIRECT(#REF!),0),1,1)*$D243,0)</f>
        <v>0</v>
      </c>
      <c r="L243" s="265">
        <f ca="1">IFERROR(OFFSET(INDIRECT(#REF!),MATCH([2]Development_Schedule_EK!O$6,INDIRECT(#REF!),0)-1,MATCH([2]Development_Schedule_EK!$B240,INDIRECT(#REF!),0),1,1)*$D243,0)</f>
        <v>0</v>
      </c>
      <c r="M243" s="260">
        <f ca="1">IFERROR(OFFSET(INDIRECT(#REF!),MATCH([2]Development_Schedule_EK!P$6,INDIRECT(#REF!),0)-1,MATCH([2]Development_Schedule_EK!$B240,INDIRECT(#REF!),0),1,1)*$D243,0)</f>
        <v>0</v>
      </c>
      <c r="N243" s="260">
        <f ca="1">IFERROR(OFFSET(INDIRECT(#REF!),MATCH([2]Development_Schedule_EK!Q$6,INDIRECT(#REF!),0)-1,MATCH([2]Development_Schedule_EK!$B240,INDIRECT(#REF!),0),1,1)*$D243,0)</f>
        <v>0</v>
      </c>
      <c r="O243" s="265">
        <f ca="1">IFERROR(OFFSET(INDIRECT(#REF!),MATCH([2]Development_Schedule_EK!R$6,INDIRECT(#REF!),0)-1,MATCH([2]Development_Schedule_EK!$B240,INDIRECT(#REF!),0),1,1)*$D243,0)</f>
        <v>0</v>
      </c>
      <c r="P243" s="183"/>
      <c r="Q243" s="184"/>
      <c r="R243" s="183"/>
    </row>
    <row r="244" spans="1:18" x14ac:dyDescent="0.25">
      <c r="A244" s="284">
        <v>3</v>
      </c>
      <c r="B244" s="774" t="s">
        <v>385</v>
      </c>
      <c r="C244" s="262"/>
      <c r="D244" s="270">
        <f ca="1">IFERROR(OFFSET(INDIRECT(#REF!),MATCH([2]Development_Schedule_EK!$E241,INDIRECT(#REF!),0)-1,MATCH([2]Development_Schedule_EK!$B241,INDIRECT(#REF!),0),1,1),0)</f>
        <v>0</v>
      </c>
      <c r="E244" s="266"/>
      <c r="F244" s="260">
        <f ca="1">IFERROR(OFFSET(INDIRECT(#REF!),MATCH([2]Development_Schedule_EK!I$6,INDIRECT(#REF!),0)-1,MATCH([2]Development_Schedule_EK!$B241,INDIRECT(#REF!),0),1,1)*$D244,0)</f>
        <v>0</v>
      </c>
      <c r="G244" s="260">
        <f ca="1">IFERROR(OFFSET(INDIRECT(#REF!),MATCH([2]Development_Schedule_EK!J$6,INDIRECT(#REF!),0)-1,MATCH([2]Development_Schedule_EK!$B241,INDIRECT(#REF!),0),1,1)*$D244,0)</f>
        <v>0</v>
      </c>
      <c r="H244" s="265">
        <f ca="1">IFERROR(OFFSET(INDIRECT(#REF!),MATCH([2]Development_Schedule_EK!K$6,INDIRECT(#REF!),0)-1,MATCH([2]Development_Schedule_EK!$B241,INDIRECT(#REF!),0),1,1)*$D244,0)</f>
        <v>0</v>
      </c>
      <c r="I244" s="260">
        <f ca="1">IFERROR(OFFSET(INDIRECT(#REF!),MATCH([2]Development_Schedule_EK!L$6,INDIRECT(#REF!),0)-1,MATCH([2]Development_Schedule_EK!$B241,INDIRECT(#REF!),0),1,1)*$D244,0)</f>
        <v>0</v>
      </c>
      <c r="J244" s="260">
        <f ca="1">IFERROR(OFFSET(INDIRECT(#REF!),MATCH([2]Development_Schedule_EK!M$6,INDIRECT(#REF!),0)-1,MATCH([2]Development_Schedule_EK!$B241,INDIRECT(#REF!),0),1,1)*$D244,0)</f>
        <v>0</v>
      </c>
      <c r="K244" s="260">
        <f ca="1">IFERROR(OFFSET(INDIRECT(#REF!),MATCH([2]Development_Schedule_EK!N$6,INDIRECT(#REF!),0)-1,MATCH([2]Development_Schedule_EK!$B241,INDIRECT(#REF!),0),1,1)*$D244,0)</f>
        <v>0</v>
      </c>
      <c r="L244" s="265">
        <f ca="1">IFERROR(OFFSET(INDIRECT(#REF!),MATCH([2]Development_Schedule_EK!O$6,INDIRECT(#REF!),0)-1,MATCH([2]Development_Schedule_EK!$B241,INDIRECT(#REF!),0),1,1)*$D244,0)</f>
        <v>0</v>
      </c>
      <c r="M244" s="260">
        <f ca="1">IFERROR(OFFSET(INDIRECT(#REF!),MATCH([2]Development_Schedule_EK!P$6,INDIRECT(#REF!),0)-1,MATCH([2]Development_Schedule_EK!$B241,INDIRECT(#REF!),0),1,1)*$D244,0)</f>
        <v>0</v>
      </c>
      <c r="N244" s="260">
        <f ca="1">IFERROR(OFFSET(INDIRECT(#REF!),MATCH([2]Development_Schedule_EK!Q$6,INDIRECT(#REF!),0)-1,MATCH([2]Development_Schedule_EK!$B241,INDIRECT(#REF!),0),1,1)*$D244,0)</f>
        <v>0</v>
      </c>
      <c r="O244" s="265">
        <f ca="1">IFERROR(OFFSET(INDIRECT(#REF!),MATCH([2]Development_Schedule_EK!R$6,INDIRECT(#REF!),0)-1,MATCH([2]Development_Schedule_EK!$B241,INDIRECT(#REF!),0),1,1)*$D244,0)</f>
        <v>0</v>
      </c>
      <c r="P244" s="183"/>
      <c r="Q244" s="184"/>
      <c r="R244" s="183"/>
    </row>
    <row r="245" spans="1:18" x14ac:dyDescent="0.25">
      <c r="A245" s="284">
        <v>3</v>
      </c>
      <c r="B245" s="774" t="s">
        <v>33</v>
      </c>
      <c r="C245" s="262"/>
      <c r="D245" s="270">
        <f ca="1">IFERROR(OFFSET(INDIRECT(#REF!),MATCH([2]Development_Schedule_EK!$E242,INDIRECT(#REF!),0)-1,MATCH([2]Development_Schedule_EK!$B242,INDIRECT(#REF!),0),1,1),0)</f>
        <v>0</v>
      </c>
      <c r="E245" s="266"/>
      <c r="F245" s="260">
        <f ca="1">IFERROR(OFFSET(INDIRECT(#REF!),MATCH([2]Development_Schedule_EK!I$6,INDIRECT(#REF!),0)-1,MATCH([2]Development_Schedule_EK!$B242,INDIRECT(#REF!),0),1,1)*$D245,0)</f>
        <v>0</v>
      </c>
      <c r="G245" s="260">
        <f ca="1">IFERROR(OFFSET(INDIRECT(#REF!),MATCH([2]Development_Schedule_EK!J$6,INDIRECT(#REF!),0)-1,MATCH([2]Development_Schedule_EK!$B242,INDIRECT(#REF!),0),1,1)*$D245,0)</f>
        <v>0</v>
      </c>
      <c r="H245" s="265">
        <f ca="1">IFERROR(OFFSET(INDIRECT(#REF!),MATCH([2]Development_Schedule_EK!K$6,INDIRECT(#REF!),0)-1,MATCH([2]Development_Schedule_EK!$B242,INDIRECT(#REF!),0),1,1)*$D245,0)</f>
        <v>0</v>
      </c>
      <c r="I245" s="260">
        <f ca="1">IFERROR(OFFSET(INDIRECT(#REF!),MATCH([2]Development_Schedule_EK!L$6,INDIRECT(#REF!),0)-1,MATCH([2]Development_Schedule_EK!$B242,INDIRECT(#REF!),0),1,1)*$D245,0)</f>
        <v>0</v>
      </c>
      <c r="J245" s="260">
        <f ca="1">IFERROR(OFFSET(INDIRECT(#REF!),MATCH([2]Development_Schedule_EK!M$6,INDIRECT(#REF!),0)-1,MATCH([2]Development_Schedule_EK!$B242,INDIRECT(#REF!),0),1,1)*$D245,0)</f>
        <v>0</v>
      </c>
      <c r="K245" s="260">
        <f ca="1">IFERROR(OFFSET(INDIRECT(#REF!),MATCH([2]Development_Schedule_EK!N$6,INDIRECT(#REF!),0)-1,MATCH([2]Development_Schedule_EK!$B242,INDIRECT(#REF!),0),1,1)*$D245,0)</f>
        <v>0</v>
      </c>
      <c r="L245" s="265">
        <f ca="1">IFERROR(OFFSET(INDIRECT(#REF!),MATCH([2]Development_Schedule_EK!O$6,INDIRECT(#REF!),0)-1,MATCH([2]Development_Schedule_EK!$B242,INDIRECT(#REF!),0),1,1)*$D245,0)</f>
        <v>0</v>
      </c>
      <c r="M245" s="260">
        <f ca="1">IFERROR(OFFSET(INDIRECT(#REF!),MATCH([2]Development_Schedule_EK!P$6,INDIRECT(#REF!),0)-1,MATCH([2]Development_Schedule_EK!$B242,INDIRECT(#REF!),0),1,1)*$D245,0)</f>
        <v>0</v>
      </c>
      <c r="N245" s="260">
        <f ca="1">IFERROR(OFFSET(INDIRECT(#REF!),MATCH([2]Development_Schedule_EK!Q$6,INDIRECT(#REF!),0)-1,MATCH([2]Development_Schedule_EK!$B242,INDIRECT(#REF!),0),1,1)*$D245,0)</f>
        <v>0</v>
      </c>
      <c r="O245" s="265">
        <f ca="1">IFERROR(OFFSET(INDIRECT(#REF!),MATCH([2]Development_Schedule_EK!R$6,INDIRECT(#REF!),0)-1,MATCH([2]Development_Schedule_EK!$B242,INDIRECT(#REF!),0),1,1)*$D245,0)</f>
        <v>0</v>
      </c>
      <c r="P245" s="183"/>
      <c r="Q245" s="184"/>
      <c r="R245" s="183"/>
    </row>
    <row r="246" spans="1:18" x14ac:dyDescent="0.25">
      <c r="A246" s="284">
        <v>3</v>
      </c>
      <c r="B246" s="774" t="s">
        <v>42</v>
      </c>
      <c r="C246" s="262"/>
      <c r="D246" s="270">
        <f ca="1">IFERROR(OFFSET(INDIRECT(#REF!),MATCH([2]Development_Schedule_EK!$E243,INDIRECT(#REF!),0)-1,MATCH([2]Development_Schedule_EK!$B243,INDIRECT(#REF!),0),1,1),0)</f>
        <v>0</v>
      </c>
      <c r="E246" s="266"/>
      <c r="F246" s="260">
        <f ca="1">IFERROR(OFFSET(INDIRECT(#REF!),MATCH([2]Development_Schedule_EK!I$6,INDIRECT(#REF!),0)-1,MATCH([2]Development_Schedule_EK!$B243,INDIRECT(#REF!),0),1,1)*$D246,0)</f>
        <v>0</v>
      </c>
      <c r="G246" s="260">
        <f ca="1">IFERROR(OFFSET(INDIRECT(#REF!),MATCH([2]Development_Schedule_EK!J$6,INDIRECT(#REF!),0)-1,MATCH([2]Development_Schedule_EK!$B243,INDIRECT(#REF!),0),1,1)*$D246,0)</f>
        <v>0</v>
      </c>
      <c r="H246" s="265">
        <f ca="1">IFERROR(OFFSET(INDIRECT(#REF!),MATCH([2]Development_Schedule_EK!K$6,INDIRECT(#REF!),0)-1,MATCH([2]Development_Schedule_EK!$B243,INDIRECT(#REF!),0),1,1)*$D246,0)</f>
        <v>0</v>
      </c>
      <c r="I246" s="260">
        <f ca="1">IFERROR(OFFSET(INDIRECT(#REF!),MATCH([2]Development_Schedule_EK!L$6,INDIRECT(#REF!),0)-1,MATCH([2]Development_Schedule_EK!$B243,INDIRECT(#REF!),0),1,1)*$D246,0)</f>
        <v>0</v>
      </c>
      <c r="J246" s="260">
        <f ca="1">IFERROR(OFFSET(INDIRECT(#REF!),MATCH([2]Development_Schedule_EK!M$6,INDIRECT(#REF!),0)-1,MATCH([2]Development_Schedule_EK!$B243,INDIRECT(#REF!),0),1,1)*$D246,0)</f>
        <v>0</v>
      </c>
      <c r="K246" s="260">
        <f ca="1">IFERROR(OFFSET(INDIRECT(#REF!),MATCH([2]Development_Schedule_EK!N$6,INDIRECT(#REF!),0)-1,MATCH([2]Development_Schedule_EK!$B243,INDIRECT(#REF!),0),1,1)*$D246,0)</f>
        <v>0</v>
      </c>
      <c r="L246" s="265">
        <f ca="1">IFERROR(OFFSET(INDIRECT(#REF!),MATCH([2]Development_Schedule_EK!O$6,INDIRECT(#REF!),0)-1,MATCH([2]Development_Schedule_EK!$B243,INDIRECT(#REF!),0),1,1)*$D246,0)</f>
        <v>0</v>
      </c>
      <c r="M246" s="260">
        <f ca="1">IFERROR(OFFSET(INDIRECT(#REF!),MATCH([2]Development_Schedule_EK!P$6,INDIRECT(#REF!),0)-1,MATCH([2]Development_Schedule_EK!$B243,INDIRECT(#REF!),0),1,1)*$D246,0)</f>
        <v>0</v>
      </c>
      <c r="N246" s="260">
        <f ca="1">IFERROR(OFFSET(INDIRECT(#REF!),MATCH([2]Development_Schedule_EK!Q$6,INDIRECT(#REF!),0)-1,MATCH([2]Development_Schedule_EK!$B243,INDIRECT(#REF!),0),1,1)*$D246,0)</f>
        <v>0</v>
      </c>
      <c r="O246" s="265">
        <f ca="1">IFERROR(OFFSET(INDIRECT(#REF!),MATCH([2]Development_Schedule_EK!R$6,INDIRECT(#REF!),0)-1,MATCH([2]Development_Schedule_EK!$B243,INDIRECT(#REF!),0),1,1)*$D246,0)</f>
        <v>0</v>
      </c>
      <c r="P246" s="183"/>
      <c r="Q246" s="184"/>
      <c r="R246" s="183"/>
    </row>
    <row r="247" spans="1:18" x14ac:dyDescent="0.25">
      <c r="B247" s="774"/>
      <c r="C247" s="262"/>
      <c r="D247" s="270"/>
      <c r="E247" s="266"/>
      <c r="F247" s="256"/>
      <c r="G247" s="256"/>
      <c r="H247" s="263"/>
      <c r="I247" s="256"/>
      <c r="J247" s="256"/>
      <c r="K247" s="256"/>
      <c r="L247" s="263"/>
      <c r="M247" s="256"/>
      <c r="N247" s="256"/>
      <c r="O247" s="263"/>
      <c r="P247" s="183"/>
      <c r="Q247" s="184"/>
      <c r="R247" s="183"/>
    </row>
    <row r="248" spans="1:18" x14ac:dyDescent="0.25">
      <c r="B248" s="774"/>
      <c r="C248" s="262"/>
      <c r="D248" s="270"/>
      <c r="E248" s="266"/>
      <c r="F248" s="256"/>
      <c r="G248" s="256"/>
      <c r="H248" s="263"/>
      <c r="I248" s="256"/>
      <c r="J248" s="256"/>
      <c r="K248" s="256"/>
      <c r="L248" s="263"/>
      <c r="M248" s="256"/>
      <c r="N248" s="256"/>
      <c r="O248" s="263"/>
      <c r="P248" s="183"/>
      <c r="Q248" s="184"/>
      <c r="R248" s="183"/>
    </row>
    <row r="249" spans="1:18" x14ac:dyDescent="0.25">
      <c r="B249" s="776" t="s">
        <v>375</v>
      </c>
      <c r="C249" s="262"/>
      <c r="D249" s="270"/>
      <c r="E249" s="266"/>
      <c r="F249" s="256"/>
      <c r="G249" s="256"/>
      <c r="H249" s="263"/>
      <c r="I249" s="256"/>
      <c r="J249" s="256"/>
      <c r="K249" s="256"/>
      <c r="L249" s="263"/>
      <c r="M249" s="256"/>
      <c r="N249" s="256"/>
      <c r="O249" s="263"/>
      <c r="P249" s="183"/>
      <c r="Q249" s="184"/>
      <c r="R249" s="183"/>
    </row>
    <row r="250" spans="1:18" x14ac:dyDescent="0.25">
      <c r="A250" s="284">
        <v>2</v>
      </c>
      <c r="B250" s="774" t="s">
        <v>381</v>
      </c>
      <c r="C250" s="262"/>
      <c r="D250" s="270">
        <v>62544</v>
      </c>
      <c r="E250" s="266"/>
      <c r="F250" s="260">
        <f ca="1">IFERROR(OFFSET(INDIRECT(#REF!),MATCH([2]Development_Schedule_EK!I$6,INDIRECT(#REF!),0)-1,MATCH([2]Development_Schedule_EK!$B247,INDIRECT(#REF!),0),1,1)*$D250,0)</f>
        <v>0</v>
      </c>
      <c r="G250" s="260">
        <f ca="1">IFERROR(OFFSET(INDIRECT(#REF!),MATCH([2]Development_Schedule_EK!J$6,INDIRECT(#REF!),0)-1,MATCH([2]Development_Schedule_EK!$B247,INDIRECT(#REF!),0),1,1)*$D250,0)</f>
        <v>0</v>
      </c>
      <c r="H250" s="265">
        <f ca="1">IFERROR(OFFSET(INDIRECT(#REF!),MATCH([2]Development_Schedule_EK!K$6,INDIRECT(#REF!),0)-1,MATCH([2]Development_Schedule_EK!$B247,INDIRECT(#REF!),0),1,1)*$D250,0)</f>
        <v>0</v>
      </c>
      <c r="I250" s="260">
        <f ca="1">IFERROR(OFFSET(INDIRECT(#REF!),MATCH([2]Development_Schedule_EK!L$6,INDIRECT(#REF!),0)-1,MATCH([2]Development_Schedule_EK!$B247,INDIRECT(#REF!),0),1,1)*$D250,0)</f>
        <v>0</v>
      </c>
      <c r="J250" s="260">
        <f>D250/2</f>
        <v>31272</v>
      </c>
      <c r="K250" s="260">
        <f>J250</f>
        <v>31272</v>
      </c>
      <c r="L250" s="265">
        <f ca="1">IFERROR(OFFSET(INDIRECT(#REF!),MATCH([2]Development_Schedule_EK!O$6,INDIRECT(#REF!),0)-1,MATCH([2]Development_Schedule_EK!$B247,INDIRECT(#REF!),0),1,1)*$D250,0)</f>
        <v>0</v>
      </c>
      <c r="M250" s="260">
        <f ca="1">IFERROR(OFFSET(INDIRECT(#REF!),MATCH([2]Development_Schedule_EK!P$6,INDIRECT(#REF!),0)-1,MATCH([2]Development_Schedule_EK!$B247,INDIRECT(#REF!),0),1,1)*$D250,0)</f>
        <v>0</v>
      </c>
      <c r="N250" s="260">
        <f ca="1">IFERROR(OFFSET(INDIRECT(#REF!),MATCH([2]Development_Schedule_EK!Q$6,INDIRECT(#REF!),0)-1,MATCH([2]Development_Schedule_EK!$B247,INDIRECT(#REF!),0),1,1)*$D250,0)</f>
        <v>0</v>
      </c>
      <c r="O250" s="265">
        <f ca="1">IFERROR(OFFSET(INDIRECT(#REF!),MATCH([2]Development_Schedule_EK!R$6,INDIRECT(#REF!),0)-1,MATCH([2]Development_Schedule_EK!$B247,INDIRECT(#REF!),0),1,1)*$D250,0)</f>
        <v>0</v>
      </c>
      <c r="P250" s="183"/>
      <c r="Q250" s="184"/>
      <c r="R250" s="183"/>
    </row>
    <row r="251" spans="1:18" x14ac:dyDescent="0.25">
      <c r="A251" s="284">
        <v>2</v>
      </c>
      <c r="B251" s="774" t="s">
        <v>382</v>
      </c>
      <c r="C251" s="262"/>
      <c r="D251" s="270">
        <f ca="1">IFERROR(OFFSET(INDIRECT(#REF!),MATCH([2]Development_Schedule_EK!$E248,INDIRECT(#REF!),0)-1,MATCH([2]Development_Schedule_EK!$B248,INDIRECT(#REF!),0),1,1),0)</f>
        <v>0</v>
      </c>
      <c r="E251" s="266"/>
      <c r="F251" s="260">
        <f ca="1">IFERROR(OFFSET(INDIRECT(#REF!),MATCH([2]Development_Schedule_EK!I$6,INDIRECT(#REF!),0)-1,MATCH([2]Development_Schedule_EK!$B248,INDIRECT(#REF!),0),1,1)*$D251,0)</f>
        <v>0</v>
      </c>
      <c r="G251" s="260">
        <f ca="1">IFERROR(OFFSET(INDIRECT(#REF!),MATCH([2]Development_Schedule_EK!J$6,INDIRECT(#REF!),0)-1,MATCH([2]Development_Schedule_EK!$B248,INDIRECT(#REF!),0),1,1)*$D251,0)</f>
        <v>0</v>
      </c>
      <c r="H251" s="265">
        <f ca="1">IFERROR(OFFSET(INDIRECT(#REF!),MATCH([2]Development_Schedule_EK!K$6,INDIRECT(#REF!),0)-1,MATCH([2]Development_Schedule_EK!$B248,INDIRECT(#REF!),0),1,1)*$D251,0)</f>
        <v>0</v>
      </c>
      <c r="I251" s="260">
        <f ca="1">IFERROR(OFFSET(INDIRECT(#REF!),MATCH([2]Development_Schedule_EK!L$6,INDIRECT(#REF!),0)-1,MATCH([2]Development_Schedule_EK!$B248,INDIRECT(#REF!),0),1,1)*$D251,0)</f>
        <v>0</v>
      </c>
      <c r="J251" s="260">
        <f ca="1">IFERROR(OFFSET(INDIRECT(#REF!),MATCH([2]Development_Schedule_EK!M$6,INDIRECT(#REF!),0)-1,MATCH([2]Development_Schedule_EK!$B248,INDIRECT(#REF!),0),1,1)*$D251,0)</f>
        <v>0</v>
      </c>
      <c r="K251" s="260">
        <f ca="1">IFERROR(OFFSET(INDIRECT(#REF!),MATCH([2]Development_Schedule_EK!N$6,INDIRECT(#REF!),0)-1,MATCH([2]Development_Schedule_EK!$B248,INDIRECT(#REF!),0),1,1)*$D251,0)</f>
        <v>0</v>
      </c>
      <c r="L251" s="265">
        <f ca="1">IFERROR(OFFSET(INDIRECT(#REF!),MATCH([2]Development_Schedule_EK!O$6,INDIRECT(#REF!),0)-1,MATCH([2]Development_Schedule_EK!$B248,INDIRECT(#REF!),0),1,1)*$D251,0)</f>
        <v>0</v>
      </c>
      <c r="M251" s="260">
        <f ca="1">IFERROR(OFFSET(INDIRECT(#REF!),MATCH([2]Development_Schedule_EK!P$6,INDIRECT(#REF!),0)-1,MATCH([2]Development_Schedule_EK!$B248,INDIRECT(#REF!),0),1,1)*$D251,0)</f>
        <v>0</v>
      </c>
      <c r="N251" s="260">
        <f ca="1">IFERROR(OFFSET(INDIRECT(#REF!),MATCH([2]Development_Schedule_EK!Q$6,INDIRECT(#REF!),0)-1,MATCH([2]Development_Schedule_EK!$B248,INDIRECT(#REF!),0),1,1)*$D251,0)</f>
        <v>0</v>
      </c>
      <c r="O251" s="265">
        <f ca="1">IFERROR(OFFSET(INDIRECT(#REF!),MATCH([2]Development_Schedule_EK!R$6,INDIRECT(#REF!),0)-1,MATCH([2]Development_Schedule_EK!$B248,INDIRECT(#REF!),0),1,1)*$D251,0)</f>
        <v>0</v>
      </c>
      <c r="P251" s="183"/>
      <c r="Q251" s="184"/>
      <c r="R251" s="183"/>
    </row>
    <row r="252" spans="1:18" x14ac:dyDescent="0.25">
      <c r="A252" s="284">
        <v>2</v>
      </c>
      <c r="B252" s="774" t="s">
        <v>383</v>
      </c>
      <c r="C252" s="262"/>
      <c r="D252" s="270">
        <f>D250/4</f>
        <v>15636</v>
      </c>
      <c r="E252" s="266"/>
      <c r="F252" s="260">
        <f ca="1">IFERROR(OFFSET(INDIRECT(#REF!),MATCH([2]Development_Schedule_EK!I$6,INDIRECT(#REF!),0)-1,MATCH([2]Development_Schedule_EK!$B249,INDIRECT(#REF!),0),1,1)*$D252,0)</f>
        <v>0</v>
      </c>
      <c r="G252" s="260">
        <f ca="1">IFERROR(OFFSET(INDIRECT(#REF!),MATCH([2]Development_Schedule_EK!J$6,INDIRECT(#REF!),0)-1,MATCH([2]Development_Schedule_EK!$B249,INDIRECT(#REF!),0),1,1)*$D252,0)</f>
        <v>0</v>
      </c>
      <c r="H252" s="265">
        <f ca="1">IFERROR(OFFSET(INDIRECT(#REF!),MATCH([2]Development_Schedule_EK!K$6,INDIRECT(#REF!),0)-1,MATCH([2]Development_Schedule_EK!$B249,INDIRECT(#REF!),0),1,1)*$D252,0)</f>
        <v>0</v>
      </c>
      <c r="I252" s="260">
        <f ca="1">I250/4</f>
        <v>0</v>
      </c>
      <c r="J252" s="260">
        <f t="shared" ref="J252:L252" si="15">J250/4</f>
        <v>7818</v>
      </c>
      <c r="K252" s="260">
        <f t="shared" si="15"/>
        <v>7818</v>
      </c>
      <c r="L252" s="265">
        <f t="shared" ca="1" si="15"/>
        <v>0</v>
      </c>
      <c r="M252" s="260">
        <f ca="1">IFERROR(OFFSET(INDIRECT(#REF!),MATCH([2]Development_Schedule_EK!P$6,INDIRECT(#REF!),0)-1,MATCH([2]Development_Schedule_EK!$B249,INDIRECT(#REF!),0),1,1)*$D252,0)</f>
        <v>0</v>
      </c>
      <c r="N252" s="260">
        <f ca="1">IFERROR(OFFSET(INDIRECT(#REF!),MATCH([2]Development_Schedule_EK!Q$6,INDIRECT(#REF!),0)-1,MATCH([2]Development_Schedule_EK!$B249,INDIRECT(#REF!),0),1,1)*$D252,0)</f>
        <v>0</v>
      </c>
      <c r="O252" s="265">
        <f ca="1">IFERROR(OFFSET(INDIRECT(#REF!),MATCH([2]Development_Schedule_EK!R$6,INDIRECT(#REF!),0)-1,MATCH([2]Development_Schedule_EK!$B249,INDIRECT(#REF!),0),1,1)*$D252,0)</f>
        <v>0</v>
      </c>
      <c r="P252" s="183"/>
      <c r="Q252" s="184"/>
      <c r="R252" s="183"/>
    </row>
    <row r="253" spans="1:18" x14ac:dyDescent="0.25">
      <c r="A253" s="284">
        <v>2</v>
      </c>
      <c r="B253" s="774" t="s">
        <v>384</v>
      </c>
      <c r="C253" s="262"/>
      <c r="D253" s="270">
        <f ca="1">IFERROR(OFFSET(INDIRECT(#REF!),MATCH([2]Development_Schedule_EK!$E250,INDIRECT(#REF!),0)-1,MATCH([2]Development_Schedule_EK!$B250,INDIRECT(#REF!),0),1,1),0)</f>
        <v>0</v>
      </c>
      <c r="E253" s="266"/>
      <c r="F253" s="260">
        <f ca="1">IFERROR(OFFSET(INDIRECT(#REF!),MATCH([2]Development_Schedule_EK!I$6,INDIRECT(#REF!),0)-1,MATCH([2]Development_Schedule_EK!$B250,INDIRECT(#REF!),0),1,1)*$D253,0)</f>
        <v>0</v>
      </c>
      <c r="G253" s="260">
        <f ca="1">IFERROR(OFFSET(INDIRECT(#REF!),MATCH([2]Development_Schedule_EK!J$6,INDIRECT(#REF!),0)-1,MATCH([2]Development_Schedule_EK!$B250,INDIRECT(#REF!),0),1,1)*$D253,0)</f>
        <v>0</v>
      </c>
      <c r="H253" s="265">
        <f ca="1">IFERROR(OFFSET(INDIRECT(#REF!),MATCH([2]Development_Schedule_EK!K$6,INDIRECT(#REF!),0)-1,MATCH([2]Development_Schedule_EK!$B250,INDIRECT(#REF!),0),1,1)*$D253,0)</f>
        <v>0</v>
      </c>
      <c r="I253" s="260">
        <f ca="1">IFERROR(OFFSET(INDIRECT(#REF!),MATCH([2]Development_Schedule_EK!L$6,INDIRECT(#REF!),0)-1,MATCH([2]Development_Schedule_EK!$B250,INDIRECT(#REF!),0),1,1)*$D253,0)</f>
        <v>0</v>
      </c>
      <c r="J253" s="260">
        <f ca="1">IFERROR(OFFSET(INDIRECT(#REF!),MATCH([2]Development_Schedule_EK!M$6,INDIRECT(#REF!),0)-1,MATCH([2]Development_Schedule_EK!$B250,INDIRECT(#REF!),0),1,1)*$D253,0)</f>
        <v>0</v>
      </c>
      <c r="K253" s="260">
        <f ca="1">IFERROR(OFFSET(INDIRECT(#REF!),MATCH([2]Development_Schedule_EK!N$6,INDIRECT(#REF!),0)-1,MATCH([2]Development_Schedule_EK!$B250,INDIRECT(#REF!),0),1,1)*$D253,0)</f>
        <v>0</v>
      </c>
      <c r="L253" s="265">
        <f ca="1">IFERROR(OFFSET(INDIRECT(#REF!),MATCH([2]Development_Schedule_EK!O$6,INDIRECT(#REF!),0)-1,MATCH([2]Development_Schedule_EK!$B250,INDIRECT(#REF!),0),1,1)*$D253,0)</f>
        <v>0</v>
      </c>
      <c r="M253" s="260">
        <f ca="1">IFERROR(OFFSET(INDIRECT(#REF!),MATCH([2]Development_Schedule_EK!P$6,INDIRECT(#REF!),0)-1,MATCH([2]Development_Schedule_EK!$B250,INDIRECT(#REF!),0),1,1)*$D253,0)</f>
        <v>0</v>
      </c>
      <c r="N253" s="260">
        <f ca="1">IFERROR(OFFSET(INDIRECT(#REF!),MATCH([2]Development_Schedule_EK!Q$6,INDIRECT(#REF!),0)-1,MATCH([2]Development_Schedule_EK!$B250,INDIRECT(#REF!),0),1,1)*$D253,0)</f>
        <v>0</v>
      </c>
      <c r="O253" s="265">
        <f ca="1">IFERROR(OFFSET(INDIRECT(#REF!),MATCH([2]Development_Schedule_EK!R$6,INDIRECT(#REF!),0)-1,MATCH([2]Development_Schedule_EK!$B250,INDIRECT(#REF!),0),1,1)*$D253,0)</f>
        <v>0</v>
      </c>
      <c r="P253" s="183"/>
      <c r="Q253" s="184"/>
      <c r="R253" s="183"/>
    </row>
    <row r="254" spans="1:18" x14ac:dyDescent="0.25">
      <c r="A254" s="284">
        <v>2</v>
      </c>
      <c r="B254" s="774" t="s">
        <v>35</v>
      </c>
      <c r="C254" s="262"/>
      <c r="D254" s="270">
        <v>7818</v>
      </c>
      <c r="E254" s="266"/>
      <c r="F254" s="260">
        <f ca="1">IFERROR(OFFSET(INDIRECT(#REF!),MATCH([2]Development_Schedule_EK!I$6,INDIRECT(#REF!),0)-1,MATCH([2]Development_Schedule_EK!$B251,INDIRECT(#REF!),0),1,1)*$D254,0)</f>
        <v>0</v>
      </c>
      <c r="G254" s="260">
        <f ca="1">IFERROR(OFFSET(INDIRECT(#REF!),MATCH([2]Development_Schedule_EK!J$6,INDIRECT(#REF!),0)-1,MATCH([2]Development_Schedule_EK!$B251,INDIRECT(#REF!),0),1,1)*$D254,0)</f>
        <v>0</v>
      </c>
      <c r="H254" s="265">
        <f ca="1">IFERROR(OFFSET(INDIRECT(#REF!),MATCH([2]Development_Schedule_EK!K$6,INDIRECT(#REF!),0)-1,MATCH([2]Development_Schedule_EK!$B251,INDIRECT(#REF!),0),1,1)*$D254,0)</f>
        <v>0</v>
      </c>
      <c r="I254" s="260"/>
      <c r="J254" s="260">
        <f>J252</f>
        <v>7818</v>
      </c>
      <c r="K254" s="260">
        <f ca="1">IFERROR(OFFSET(INDIRECT(#REF!),MATCH([2]Development_Schedule_EK!N$6,INDIRECT(#REF!),0)-1,MATCH([2]Development_Schedule_EK!$B251,INDIRECT(#REF!),0),1,1)*$D254,0)</f>
        <v>0</v>
      </c>
      <c r="L254" s="265">
        <f ca="1">IFERROR(OFFSET(INDIRECT(#REF!),MATCH([2]Development_Schedule_EK!O$6,INDIRECT(#REF!),0)-1,MATCH([2]Development_Schedule_EK!$B251,INDIRECT(#REF!),0),1,1)*$D254,0)</f>
        <v>0</v>
      </c>
      <c r="M254" s="260">
        <f ca="1">IFERROR(OFFSET(INDIRECT(#REF!),MATCH([2]Development_Schedule_EK!P$6,INDIRECT(#REF!),0)-1,MATCH([2]Development_Schedule_EK!$B251,INDIRECT(#REF!),0),1,1)*$D254,0)</f>
        <v>0</v>
      </c>
      <c r="N254" s="260">
        <f ca="1">IFERROR(OFFSET(INDIRECT(#REF!),MATCH([2]Development_Schedule_EK!Q$6,INDIRECT(#REF!),0)-1,MATCH([2]Development_Schedule_EK!$B251,INDIRECT(#REF!),0),1,1)*$D254,0)</f>
        <v>0</v>
      </c>
      <c r="O254" s="265">
        <f ca="1">IFERROR(OFFSET(INDIRECT(#REF!),MATCH([2]Development_Schedule_EK!R$6,INDIRECT(#REF!),0)-1,MATCH([2]Development_Schedule_EK!$B251,INDIRECT(#REF!),0),1,1)*$D254,0)</f>
        <v>0</v>
      </c>
      <c r="P254" s="183"/>
      <c r="Q254" s="184"/>
      <c r="R254" s="183"/>
    </row>
    <row r="255" spans="1:18" x14ac:dyDescent="0.25">
      <c r="A255" s="284">
        <v>2</v>
      </c>
      <c r="B255" s="774" t="s">
        <v>355</v>
      </c>
      <c r="C255" s="262"/>
      <c r="D255" s="270">
        <f ca="1">IFERROR(OFFSET(INDIRECT(#REF!),MATCH([2]Development_Schedule_EK!$E252,INDIRECT(#REF!),0)-1,MATCH([2]Development_Schedule_EK!$B252,INDIRECT(#REF!),0),1,1),0)</f>
        <v>0</v>
      </c>
      <c r="E255" s="266"/>
      <c r="F255" s="260">
        <f ca="1">IFERROR(OFFSET(INDIRECT(#REF!),MATCH([2]Development_Schedule_EK!I$6,INDIRECT(#REF!),0)-1,MATCH([2]Development_Schedule_EK!$B252,INDIRECT(#REF!),0),1,1)*$D255,0)</f>
        <v>0</v>
      </c>
      <c r="G255" s="260">
        <f ca="1">IFERROR(OFFSET(INDIRECT(#REF!),MATCH([2]Development_Schedule_EK!J$6,INDIRECT(#REF!),0)-1,MATCH([2]Development_Schedule_EK!$B252,INDIRECT(#REF!),0),1,1)*$D255,0)</f>
        <v>0</v>
      </c>
      <c r="H255" s="265">
        <f ca="1">IFERROR(OFFSET(INDIRECT(#REF!),MATCH([2]Development_Schedule_EK!K$6,INDIRECT(#REF!),0)-1,MATCH([2]Development_Schedule_EK!$B252,INDIRECT(#REF!),0),1,1)*$D255,0)</f>
        <v>0</v>
      </c>
      <c r="I255" s="260">
        <f ca="1">IFERROR(OFFSET(INDIRECT(#REF!),MATCH([2]Development_Schedule_EK!L$6,INDIRECT(#REF!),0)-1,MATCH([2]Development_Schedule_EK!$B252,INDIRECT(#REF!),0),1,1)*$D255,0)</f>
        <v>0</v>
      </c>
      <c r="J255" s="260">
        <f ca="1">IFERROR(OFFSET(INDIRECT(#REF!),MATCH([2]Development_Schedule_EK!M$6,INDIRECT(#REF!),0)-1,MATCH([2]Development_Schedule_EK!$B252,INDIRECT(#REF!),0),1,1)*$D255,0)</f>
        <v>0</v>
      </c>
      <c r="K255" s="260">
        <f ca="1">IFERROR(OFFSET(INDIRECT(#REF!),MATCH([2]Development_Schedule_EK!N$6,INDIRECT(#REF!),0)-1,MATCH([2]Development_Schedule_EK!$B252,INDIRECT(#REF!),0),1,1)*$D255,0)</f>
        <v>0</v>
      </c>
      <c r="L255" s="265">
        <f ca="1">IFERROR(OFFSET(INDIRECT(#REF!),MATCH([2]Development_Schedule_EK!O$6,INDIRECT(#REF!),0)-1,MATCH([2]Development_Schedule_EK!$B252,INDIRECT(#REF!),0),1,1)*$D255,0)</f>
        <v>0</v>
      </c>
      <c r="M255" s="260">
        <f ca="1">IFERROR(OFFSET(INDIRECT(#REF!),MATCH([2]Development_Schedule_EK!P$6,INDIRECT(#REF!),0)-1,MATCH([2]Development_Schedule_EK!$B252,INDIRECT(#REF!),0),1,1)*$D255,0)</f>
        <v>0</v>
      </c>
      <c r="N255" s="260">
        <f ca="1">IFERROR(OFFSET(INDIRECT(#REF!),MATCH([2]Development_Schedule_EK!Q$6,INDIRECT(#REF!),0)-1,MATCH([2]Development_Schedule_EK!$B252,INDIRECT(#REF!),0),1,1)*$D255,0)</f>
        <v>0</v>
      </c>
      <c r="O255" s="265">
        <f ca="1">IFERROR(OFFSET(INDIRECT(#REF!),MATCH([2]Development_Schedule_EK!R$6,INDIRECT(#REF!),0)-1,MATCH([2]Development_Schedule_EK!$B252,INDIRECT(#REF!),0),1,1)*$D255,0)</f>
        <v>0</v>
      </c>
      <c r="P255" s="183"/>
      <c r="Q255" s="184"/>
      <c r="R255" s="183"/>
    </row>
    <row r="256" spans="1:18" x14ac:dyDescent="0.25">
      <c r="A256" s="284">
        <v>2</v>
      </c>
      <c r="B256" s="774" t="s">
        <v>356</v>
      </c>
      <c r="C256" s="262"/>
      <c r="D256" s="270">
        <f ca="1">IFERROR(OFFSET(INDIRECT(#REF!),MATCH([2]Development_Schedule_EK!$E253,INDIRECT(#REF!),0)-1,MATCH([2]Development_Schedule_EK!$B253,INDIRECT(#REF!),0),1,1),0)</f>
        <v>0</v>
      </c>
      <c r="E256" s="266"/>
      <c r="F256" s="260">
        <f ca="1">IFERROR(OFFSET(INDIRECT(#REF!),MATCH([2]Development_Schedule_EK!I$6,INDIRECT(#REF!),0)-1,MATCH([2]Development_Schedule_EK!$B253,INDIRECT(#REF!),0),1,1)*$D256,0)</f>
        <v>0</v>
      </c>
      <c r="G256" s="260">
        <f ca="1">IFERROR(OFFSET(INDIRECT(#REF!),MATCH([2]Development_Schedule_EK!J$6,INDIRECT(#REF!),0)-1,MATCH([2]Development_Schedule_EK!$B253,INDIRECT(#REF!),0),1,1)*$D256,0)</f>
        <v>0</v>
      </c>
      <c r="H256" s="265">
        <f ca="1">IFERROR(OFFSET(INDIRECT(#REF!),MATCH([2]Development_Schedule_EK!K$6,INDIRECT(#REF!),0)-1,MATCH([2]Development_Schedule_EK!$B253,INDIRECT(#REF!),0),1,1)*$D256,0)</f>
        <v>0</v>
      </c>
      <c r="I256" s="260">
        <f ca="1">IFERROR(OFFSET(INDIRECT(#REF!),MATCH([2]Development_Schedule_EK!L$6,INDIRECT(#REF!),0)-1,MATCH([2]Development_Schedule_EK!$B253,INDIRECT(#REF!),0),1,1)*$D256,0)</f>
        <v>0</v>
      </c>
      <c r="J256" s="260">
        <f ca="1">IFERROR(OFFSET(INDIRECT(#REF!),MATCH([2]Development_Schedule_EK!M$6,INDIRECT(#REF!),0)-1,MATCH([2]Development_Schedule_EK!$B253,INDIRECT(#REF!),0),1,1)*$D256,0)</f>
        <v>0</v>
      </c>
      <c r="K256" s="260">
        <f ca="1">IFERROR(OFFSET(INDIRECT(#REF!),MATCH([2]Development_Schedule_EK!N$6,INDIRECT(#REF!),0)-1,MATCH([2]Development_Schedule_EK!$B253,INDIRECT(#REF!),0),1,1)*$D256,0)</f>
        <v>0</v>
      </c>
      <c r="L256" s="265">
        <f ca="1">IFERROR(OFFSET(INDIRECT(#REF!),MATCH([2]Development_Schedule_EK!O$6,INDIRECT(#REF!),0)-1,MATCH([2]Development_Schedule_EK!$B253,INDIRECT(#REF!),0),1,1)*$D256,0)</f>
        <v>0</v>
      </c>
      <c r="M256" s="260">
        <f ca="1">IFERROR(OFFSET(INDIRECT(#REF!),MATCH([2]Development_Schedule_EK!P$6,INDIRECT(#REF!),0)-1,MATCH([2]Development_Schedule_EK!$B253,INDIRECT(#REF!),0),1,1)*$D256,0)</f>
        <v>0</v>
      </c>
      <c r="N256" s="260">
        <f ca="1">IFERROR(OFFSET(INDIRECT(#REF!),MATCH([2]Development_Schedule_EK!Q$6,INDIRECT(#REF!),0)-1,MATCH([2]Development_Schedule_EK!$B253,INDIRECT(#REF!),0),1,1)*$D256,0)</f>
        <v>0</v>
      </c>
      <c r="O256" s="265">
        <f ca="1">IFERROR(OFFSET(INDIRECT(#REF!),MATCH([2]Development_Schedule_EK!R$6,INDIRECT(#REF!),0)-1,MATCH([2]Development_Schedule_EK!$B253,INDIRECT(#REF!),0),1,1)*$D256,0)</f>
        <v>0</v>
      </c>
      <c r="P256" s="183"/>
      <c r="Q256" s="184"/>
      <c r="R256" s="183"/>
    </row>
    <row r="257" spans="1:18" x14ac:dyDescent="0.25">
      <c r="A257" s="284">
        <v>2</v>
      </c>
      <c r="B257" s="774" t="s">
        <v>357</v>
      </c>
      <c r="C257" s="262"/>
      <c r="D257" s="270">
        <f ca="1">IFERROR(OFFSET(INDIRECT(#REF!),MATCH([2]Development_Schedule_EK!$E254,INDIRECT(#REF!),0)-1,MATCH([2]Development_Schedule_EK!$B254,INDIRECT(#REF!),0),1,1),0)</f>
        <v>0</v>
      </c>
      <c r="E257" s="266"/>
      <c r="F257" s="260">
        <f ca="1">IFERROR(OFFSET(INDIRECT(#REF!),MATCH([2]Development_Schedule_EK!I$6,INDIRECT(#REF!),0)-1,MATCH([2]Development_Schedule_EK!$B254,INDIRECT(#REF!),0),1,1)*$D257,0)</f>
        <v>0</v>
      </c>
      <c r="G257" s="260">
        <f ca="1">IFERROR(OFFSET(INDIRECT(#REF!),MATCH([2]Development_Schedule_EK!J$6,INDIRECT(#REF!),0)-1,MATCH([2]Development_Schedule_EK!$B254,INDIRECT(#REF!),0),1,1)*$D257,0)</f>
        <v>0</v>
      </c>
      <c r="H257" s="265">
        <f ca="1">IFERROR(OFFSET(INDIRECT(#REF!),MATCH([2]Development_Schedule_EK!K$6,INDIRECT(#REF!),0)-1,MATCH([2]Development_Schedule_EK!$B254,INDIRECT(#REF!),0),1,1)*$D257,0)</f>
        <v>0</v>
      </c>
      <c r="I257" s="260">
        <f ca="1">IFERROR(OFFSET(INDIRECT(#REF!),MATCH([2]Development_Schedule_EK!L$6,INDIRECT(#REF!),0)-1,MATCH([2]Development_Schedule_EK!$B254,INDIRECT(#REF!),0),1,1)*$D257,0)</f>
        <v>0</v>
      </c>
      <c r="J257" s="260">
        <f ca="1">IFERROR(OFFSET(INDIRECT(#REF!),MATCH([2]Development_Schedule_EK!M$6,INDIRECT(#REF!),0)-1,MATCH([2]Development_Schedule_EK!$B254,INDIRECT(#REF!),0),1,1)*$D257,0)</f>
        <v>0</v>
      </c>
      <c r="K257" s="260">
        <f ca="1">IFERROR(OFFSET(INDIRECT(#REF!),MATCH([2]Development_Schedule_EK!N$6,INDIRECT(#REF!),0)-1,MATCH([2]Development_Schedule_EK!$B254,INDIRECT(#REF!),0),1,1)*$D257,0)</f>
        <v>0</v>
      </c>
      <c r="L257" s="265">
        <f ca="1">IFERROR(OFFSET(INDIRECT(#REF!),MATCH([2]Development_Schedule_EK!O$6,INDIRECT(#REF!),0)-1,MATCH([2]Development_Schedule_EK!$B254,INDIRECT(#REF!),0),1,1)*$D257,0)</f>
        <v>0</v>
      </c>
      <c r="M257" s="260">
        <f ca="1">IFERROR(OFFSET(INDIRECT(#REF!),MATCH([2]Development_Schedule_EK!P$6,INDIRECT(#REF!),0)-1,MATCH([2]Development_Schedule_EK!$B254,INDIRECT(#REF!),0),1,1)*$D257,0)</f>
        <v>0</v>
      </c>
      <c r="N257" s="260">
        <f ca="1">IFERROR(OFFSET(INDIRECT(#REF!),MATCH([2]Development_Schedule_EK!Q$6,INDIRECT(#REF!),0)-1,MATCH([2]Development_Schedule_EK!$B254,INDIRECT(#REF!),0),1,1)*$D257,0)</f>
        <v>0</v>
      </c>
      <c r="O257" s="265">
        <f ca="1">IFERROR(OFFSET(INDIRECT(#REF!),MATCH([2]Development_Schedule_EK!R$6,INDIRECT(#REF!),0)-1,MATCH([2]Development_Schedule_EK!$B254,INDIRECT(#REF!),0),1,1)*$D257,0)</f>
        <v>0</v>
      </c>
      <c r="P257" s="183"/>
      <c r="Q257" s="184"/>
      <c r="R257" s="183"/>
    </row>
    <row r="258" spans="1:18" x14ac:dyDescent="0.25">
      <c r="A258" s="284">
        <v>2</v>
      </c>
      <c r="B258" s="774" t="s">
        <v>358</v>
      </c>
      <c r="C258" s="262"/>
      <c r="D258" s="270">
        <f ca="1">IFERROR(OFFSET(INDIRECT(#REF!),MATCH([2]Development_Schedule_EK!$E255,INDIRECT(#REF!),0)-1,MATCH([2]Development_Schedule_EK!$B255,INDIRECT(#REF!),0),1,1),0)</f>
        <v>0</v>
      </c>
      <c r="E258" s="266"/>
      <c r="F258" s="260">
        <f ca="1">IFERROR(OFFSET(INDIRECT(#REF!),MATCH([2]Development_Schedule_EK!I$6,INDIRECT(#REF!),0)-1,MATCH([2]Development_Schedule_EK!$B255,INDIRECT(#REF!),0),1,1)*$D258,0)</f>
        <v>0</v>
      </c>
      <c r="G258" s="260">
        <f ca="1">IFERROR(OFFSET(INDIRECT(#REF!),MATCH([2]Development_Schedule_EK!J$6,INDIRECT(#REF!),0)-1,MATCH([2]Development_Schedule_EK!$B255,INDIRECT(#REF!),0),1,1)*$D258,0)</f>
        <v>0</v>
      </c>
      <c r="H258" s="265">
        <f ca="1">IFERROR(OFFSET(INDIRECT(#REF!),MATCH([2]Development_Schedule_EK!K$6,INDIRECT(#REF!),0)-1,MATCH([2]Development_Schedule_EK!$B255,INDIRECT(#REF!),0),1,1)*$D258,0)</f>
        <v>0</v>
      </c>
      <c r="I258" s="260">
        <f ca="1">IFERROR(OFFSET(INDIRECT(#REF!),MATCH([2]Development_Schedule_EK!L$6,INDIRECT(#REF!),0)-1,MATCH([2]Development_Schedule_EK!$B255,INDIRECT(#REF!),0),1,1)*$D258,0)</f>
        <v>0</v>
      </c>
      <c r="J258" s="260">
        <f ca="1">IFERROR(OFFSET(INDIRECT(#REF!),MATCH([2]Development_Schedule_EK!M$6,INDIRECT(#REF!),0)-1,MATCH([2]Development_Schedule_EK!$B255,INDIRECT(#REF!),0),1,1)*$D258,0)</f>
        <v>0</v>
      </c>
      <c r="K258" s="260">
        <f ca="1">IFERROR(OFFSET(INDIRECT(#REF!),MATCH([2]Development_Schedule_EK!N$6,INDIRECT(#REF!),0)-1,MATCH([2]Development_Schedule_EK!$B255,INDIRECT(#REF!),0),1,1)*$D258,0)</f>
        <v>0</v>
      </c>
      <c r="L258" s="265">
        <f ca="1">IFERROR(OFFSET(INDIRECT(#REF!),MATCH([2]Development_Schedule_EK!O$6,INDIRECT(#REF!),0)-1,MATCH([2]Development_Schedule_EK!$B255,INDIRECT(#REF!),0),1,1)*$D258,0)</f>
        <v>0</v>
      </c>
      <c r="M258" s="260">
        <f ca="1">IFERROR(OFFSET(INDIRECT(#REF!),MATCH([2]Development_Schedule_EK!P$6,INDIRECT(#REF!),0)-1,MATCH([2]Development_Schedule_EK!$B255,INDIRECT(#REF!),0),1,1)*$D258,0)</f>
        <v>0</v>
      </c>
      <c r="N258" s="260">
        <f ca="1">IFERROR(OFFSET(INDIRECT(#REF!),MATCH([2]Development_Schedule_EK!Q$6,INDIRECT(#REF!),0)-1,MATCH([2]Development_Schedule_EK!$B255,INDIRECT(#REF!),0),1,1)*$D258,0)</f>
        <v>0</v>
      </c>
      <c r="O258" s="265">
        <f ca="1">IFERROR(OFFSET(INDIRECT(#REF!),MATCH([2]Development_Schedule_EK!R$6,INDIRECT(#REF!),0)-1,MATCH([2]Development_Schedule_EK!$B255,INDIRECT(#REF!),0),1,1)*$D258,0)</f>
        <v>0</v>
      </c>
      <c r="P258" s="183"/>
      <c r="Q258" s="184"/>
      <c r="R258" s="183"/>
    </row>
    <row r="259" spans="1:18" x14ac:dyDescent="0.25">
      <c r="A259" s="284">
        <v>2</v>
      </c>
      <c r="B259" s="774" t="s">
        <v>385</v>
      </c>
      <c r="C259" s="262"/>
      <c r="D259" s="270">
        <f ca="1">IFERROR(OFFSET(INDIRECT(#REF!),MATCH([2]Development_Schedule_EK!$E256,INDIRECT(#REF!),0)-1,MATCH([2]Development_Schedule_EK!$B256,INDIRECT(#REF!),0),1,1),0)</f>
        <v>0</v>
      </c>
      <c r="E259" s="266"/>
      <c r="F259" s="260">
        <f ca="1">IFERROR(OFFSET(INDIRECT(#REF!),MATCH([2]Development_Schedule_EK!I$6,INDIRECT(#REF!),0)-1,MATCH([2]Development_Schedule_EK!$B256,INDIRECT(#REF!),0),1,1)*$D259,0)</f>
        <v>0</v>
      </c>
      <c r="G259" s="260">
        <f ca="1">IFERROR(OFFSET(INDIRECT(#REF!),MATCH([2]Development_Schedule_EK!J$6,INDIRECT(#REF!),0)-1,MATCH([2]Development_Schedule_EK!$B256,INDIRECT(#REF!),0),1,1)*$D259,0)</f>
        <v>0</v>
      </c>
      <c r="H259" s="265">
        <f ca="1">IFERROR(OFFSET(INDIRECT(#REF!),MATCH([2]Development_Schedule_EK!K$6,INDIRECT(#REF!),0)-1,MATCH([2]Development_Schedule_EK!$B256,INDIRECT(#REF!),0),1,1)*$D259,0)</f>
        <v>0</v>
      </c>
      <c r="I259" s="260">
        <f ca="1">IFERROR(OFFSET(INDIRECT(#REF!),MATCH([2]Development_Schedule_EK!L$6,INDIRECT(#REF!),0)-1,MATCH([2]Development_Schedule_EK!$B256,INDIRECT(#REF!),0),1,1)*$D259,0)</f>
        <v>0</v>
      </c>
      <c r="J259" s="260">
        <f ca="1">IFERROR(OFFSET(INDIRECT(#REF!),MATCH([2]Development_Schedule_EK!M$6,INDIRECT(#REF!),0)-1,MATCH([2]Development_Schedule_EK!$B256,INDIRECT(#REF!),0),1,1)*$D259,0)</f>
        <v>0</v>
      </c>
      <c r="K259" s="260">
        <f ca="1">IFERROR(OFFSET(INDIRECT(#REF!),MATCH([2]Development_Schedule_EK!N$6,INDIRECT(#REF!),0)-1,MATCH([2]Development_Schedule_EK!$B256,INDIRECT(#REF!),0),1,1)*$D259,0)</f>
        <v>0</v>
      </c>
      <c r="L259" s="265">
        <f ca="1">IFERROR(OFFSET(INDIRECT(#REF!),MATCH([2]Development_Schedule_EK!O$6,INDIRECT(#REF!),0)-1,MATCH([2]Development_Schedule_EK!$B256,INDIRECT(#REF!),0),1,1)*$D259,0)</f>
        <v>0</v>
      </c>
      <c r="M259" s="260">
        <f ca="1">IFERROR(OFFSET(INDIRECT(#REF!),MATCH([2]Development_Schedule_EK!P$6,INDIRECT(#REF!),0)-1,MATCH([2]Development_Schedule_EK!$B256,INDIRECT(#REF!),0),1,1)*$D259,0)</f>
        <v>0</v>
      </c>
      <c r="N259" s="260">
        <f ca="1">IFERROR(OFFSET(INDIRECT(#REF!),MATCH([2]Development_Schedule_EK!Q$6,INDIRECT(#REF!),0)-1,MATCH([2]Development_Schedule_EK!$B256,INDIRECT(#REF!),0),1,1)*$D259,0)</f>
        <v>0</v>
      </c>
      <c r="O259" s="265">
        <f ca="1">IFERROR(OFFSET(INDIRECT(#REF!),MATCH([2]Development_Schedule_EK!R$6,INDIRECT(#REF!),0)-1,MATCH([2]Development_Schedule_EK!$B256,INDIRECT(#REF!),0),1,1)*$D259,0)</f>
        <v>0</v>
      </c>
      <c r="P259" s="183"/>
      <c r="Q259" s="184"/>
      <c r="R259" s="183"/>
    </row>
    <row r="260" spans="1:18" x14ac:dyDescent="0.25">
      <c r="A260" s="284">
        <v>2</v>
      </c>
      <c r="B260" s="774" t="s">
        <v>33</v>
      </c>
      <c r="C260" s="262"/>
      <c r="D260" s="270">
        <f ca="1">IFERROR(OFFSET(INDIRECT(#REF!),MATCH([2]Development_Schedule_EK!$E257,INDIRECT(#REF!),0)-1,MATCH([2]Development_Schedule_EK!$B257,INDIRECT(#REF!),0),1,1),0)</f>
        <v>0</v>
      </c>
      <c r="E260" s="266"/>
      <c r="F260" s="260">
        <f ca="1">IFERROR(OFFSET(INDIRECT(#REF!),MATCH([2]Development_Schedule_EK!I$6,INDIRECT(#REF!),0)-1,MATCH([2]Development_Schedule_EK!$B257,INDIRECT(#REF!),0),1,1)*$D260,0)</f>
        <v>0</v>
      </c>
      <c r="G260" s="260">
        <f ca="1">IFERROR(OFFSET(INDIRECT(#REF!),MATCH([2]Development_Schedule_EK!J$6,INDIRECT(#REF!),0)-1,MATCH([2]Development_Schedule_EK!$B257,INDIRECT(#REF!),0),1,1)*$D260,0)</f>
        <v>0</v>
      </c>
      <c r="H260" s="265">
        <f ca="1">IFERROR(OFFSET(INDIRECT(#REF!),MATCH([2]Development_Schedule_EK!K$6,INDIRECT(#REF!),0)-1,MATCH([2]Development_Schedule_EK!$B257,INDIRECT(#REF!),0),1,1)*$D260,0)</f>
        <v>0</v>
      </c>
      <c r="I260" s="260">
        <f ca="1">IFERROR(OFFSET(INDIRECT(#REF!),MATCH([2]Development_Schedule_EK!L$6,INDIRECT(#REF!),0)-1,MATCH([2]Development_Schedule_EK!$B257,INDIRECT(#REF!),0),1,1)*$D260,0)</f>
        <v>0</v>
      </c>
      <c r="J260" s="260">
        <f ca="1">IFERROR(OFFSET(INDIRECT(#REF!),MATCH([2]Development_Schedule_EK!M$6,INDIRECT(#REF!),0)-1,MATCH([2]Development_Schedule_EK!$B257,INDIRECT(#REF!),0),1,1)*$D260,0)</f>
        <v>0</v>
      </c>
      <c r="K260" s="260">
        <f ca="1">IFERROR(OFFSET(INDIRECT(#REF!),MATCH([2]Development_Schedule_EK!N$6,INDIRECT(#REF!),0)-1,MATCH([2]Development_Schedule_EK!$B257,INDIRECT(#REF!),0),1,1)*$D260,0)</f>
        <v>0</v>
      </c>
      <c r="L260" s="265">
        <f ca="1">IFERROR(OFFSET(INDIRECT(#REF!),MATCH([2]Development_Schedule_EK!O$6,INDIRECT(#REF!),0)-1,MATCH([2]Development_Schedule_EK!$B257,INDIRECT(#REF!),0),1,1)*$D260,0)</f>
        <v>0</v>
      </c>
      <c r="M260" s="260">
        <f ca="1">IFERROR(OFFSET(INDIRECT(#REF!),MATCH([2]Development_Schedule_EK!P$6,INDIRECT(#REF!),0)-1,MATCH([2]Development_Schedule_EK!$B257,INDIRECT(#REF!),0),1,1)*$D260,0)</f>
        <v>0</v>
      </c>
      <c r="N260" s="260">
        <f ca="1">IFERROR(OFFSET(INDIRECT(#REF!),MATCH([2]Development_Schedule_EK!Q$6,INDIRECT(#REF!),0)-1,MATCH([2]Development_Schedule_EK!$B257,INDIRECT(#REF!),0),1,1)*$D260,0)</f>
        <v>0</v>
      </c>
      <c r="O260" s="265">
        <f ca="1">IFERROR(OFFSET(INDIRECT(#REF!),MATCH([2]Development_Schedule_EK!R$6,INDIRECT(#REF!),0)-1,MATCH([2]Development_Schedule_EK!$B257,INDIRECT(#REF!),0),1,1)*$D260,0)</f>
        <v>0</v>
      </c>
      <c r="P260" s="183"/>
      <c r="Q260" s="184"/>
      <c r="R260" s="183"/>
    </row>
    <row r="261" spans="1:18" x14ac:dyDescent="0.25">
      <c r="A261" s="284">
        <v>2</v>
      </c>
      <c r="B261" s="774" t="s">
        <v>42</v>
      </c>
      <c r="C261" s="262"/>
      <c r="D261" s="270">
        <f ca="1">IFERROR(OFFSET(INDIRECT(#REF!),MATCH([2]Development_Schedule_EK!$E258,INDIRECT(#REF!),0)-1,MATCH([2]Development_Schedule_EK!$B258,INDIRECT(#REF!),0),1,1),0)</f>
        <v>0</v>
      </c>
      <c r="E261" s="266"/>
      <c r="F261" s="260">
        <f ca="1">IFERROR(OFFSET(INDIRECT(#REF!),MATCH([2]Development_Schedule_EK!I$6,INDIRECT(#REF!),0)-1,MATCH([2]Development_Schedule_EK!$B258,INDIRECT(#REF!),0),1,1)*$D261,0)</f>
        <v>0</v>
      </c>
      <c r="G261" s="260">
        <f ca="1">IFERROR(OFFSET(INDIRECT(#REF!),MATCH([2]Development_Schedule_EK!J$6,INDIRECT(#REF!),0)-1,MATCH([2]Development_Schedule_EK!$B258,INDIRECT(#REF!),0),1,1)*$D261,0)</f>
        <v>0</v>
      </c>
      <c r="H261" s="265">
        <f ca="1">IFERROR(OFFSET(INDIRECT(#REF!),MATCH([2]Development_Schedule_EK!K$6,INDIRECT(#REF!),0)-1,MATCH([2]Development_Schedule_EK!$B258,INDIRECT(#REF!),0),1,1)*$D261,0)</f>
        <v>0</v>
      </c>
      <c r="I261" s="260">
        <f ca="1">IFERROR(OFFSET(INDIRECT(#REF!),MATCH([2]Development_Schedule_EK!L$6,INDIRECT(#REF!),0)-1,MATCH([2]Development_Schedule_EK!$B258,INDIRECT(#REF!),0),1,1)*$D261,0)</f>
        <v>0</v>
      </c>
      <c r="J261" s="260">
        <f ca="1">IFERROR(OFFSET(INDIRECT(#REF!),MATCH([2]Development_Schedule_EK!M$6,INDIRECT(#REF!),0)-1,MATCH([2]Development_Schedule_EK!$B258,INDIRECT(#REF!),0),1,1)*$D261,0)</f>
        <v>0</v>
      </c>
      <c r="K261" s="260">
        <f ca="1">IFERROR(OFFSET(INDIRECT(#REF!),MATCH([2]Development_Schedule_EK!N$6,INDIRECT(#REF!),0)-1,MATCH([2]Development_Schedule_EK!$B258,INDIRECT(#REF!),0),1,1)*$D261,0)</f>
        <v>0</v>
      </c>
      <c r="L261" s="265">
        <f ca="1">IFERROR(OFFSET(INDIRECT(#REF!),MATCH([2]Development_Schedule_EK!O$6,INDIRECT(#REF!),0)-1,MATCH([2]Development_Schedule_EK!$B258,INDIRECT(#REF!),0),1,1)*$D261,0)</f>
        <v>0</v>
      </c>
      <c r="M261" s="260">
        <f ca="1">IFERROR(OFFSET(INDIRECT(#REF!),MATCH([2]Development_Schedule_EK!P$6,INDIRECT(#REF!),0)-1,MATCH([2]Development_Schedule_EK!$B258,INDIRECT(#REF!),0),1,1)*$D261,0)</f>
        <v>0</v>
      </c>
      <c r="N261" s="260">
        <f ca="1">IFERROR(OFFSET(INDIRECT(#REF!),MATCH([2]Development_Schedule_EK!Q$6,INDIRECT(#REF!),0)-1,MATCH([2]Development_Schedule_EK!$B258,INDIRECT(#REF!),0),1,1)*$D261,0)</f>
        <v>0</v>
      </c>
      <c r="O261" s="265">
        <f ca="1">IFERROR(OFFSET(INDIRECT(#REF!),MATCH([2]Development_Schedule_EK!R$6,INDIRECT(#REF!),0)-1,MATCH([2]Development_Schedule_EK!$B258,INDIRECT(#REF!),0),1,1)*$D261,0)</f>
        <v>0</v>
      </c>
      <c r="P261" s="183"/>
      <c r="Q261" s="184"/>
      <c r="R261" s="183"/>
    </row>
    <row r="262" spans="1:18" x14ac:dyDescent="0.25">
      <c r="B262" s="774"/>
      <c r="C262" s="262"/>
      <c r="D262" s="270"/>
      <c r="E262" s="266"/>
      <c r="F262" s="256"/>
      <c r="G262" s="256"/>
      <c r="H262" s="263"/>
      <c r="I262" s="256"/>
      <c r="J262" s="256"/>
      <c r="K262" s="256"/>
      <c r="L262" s="263"/>
      <c r="M262" s="256"/>
      <c r="N262" s="256"/>
      <c r="O262" s="263"/>
      <c r="P262" s="183"/>
      <c r="Q262" s="184"/>
      <c r="R262" s="183"/>
    </row>
    <row r="263" spans="1:18" x14ac:dyDescent="0.25">
      <c r="B263" s="774"/>
      <c r="C263" s="262"/>
      <c r="D263" s="270"/>
      <c r="E263" s="266"/>
      <c r="F263" s="256"/>
      <c r="G263" s="256"/>
      <c r="H263" s="263"/>
      <c r="I263" s="256"/>
      <c r="J263" s="256"/>
      <c r="K263" s="256"/>
      <c r="L263" s="263"/>
      <c r="M263" s="256"/>
      <c r="N263" s="256"/>
      <c r="O263" s="263"/>
      <c r="P263" s="183"/>
      <c r="Q263" s="184"/>
      <c r="R263" s="183"/>
    </row>
    <row r="264" spans="1:18" x14ac:dyDescent="0.25">
      <c r="B264" s="776" t="s">
        <v>376</v>
      </c>
      <c r="C264" s="262"/>
      <c r="D264" s="270"/>
      <c r="E264" s="266"/>
      <c r="F264" s="256"/>
      <c r="G264" s="256"/>
      <c r="H264" s="263"/>
      <c r="I264" s="256"/>
      <c r="J264" s="256"/>
      <c r="K264" s="256"/>
      <c r="L264" s="263"/>
      <c r="M264" s="256"/>
      <c r="N264" s="256"/>
      <c r="O264" s="263"/>
      <c r="P264" s="183"/>
      <c r="Q264" s="184"/>
      <c r="R264" s="183"/>
    </row>
    <row r="265" spans="1:18" x14ac:dyDescent="0.25">
      <c r="A265" s="284">
        <v>1</v>
      </c>
      <c r="B265" s="774" t="s">
        <v>381</v>
      </c>
      <c r="C265" s="262"/>
      <c r="D265" s="270">
        <f ca="1">IFERROR(OFFSET(INDIRECT(#REF!),MATCH([2]Development_Schedule_EK!$E262,INDIRECT(#REF!),0)-1,MATCH([2]Development_Schedule_EK!$B262,INDIRECT(#REF!),0),1,1),0)</f>
        <v>0</v>
      </c>
      <c r="E265" s="266"/>
      <c r="F265" s="260">
        <f ca="1">IFERROR(OFFSET(INDIRECT(#REF!),MATCH([2]Development_Schedule_EK!I$6,INDIRECT(#REF!),0)-1,MATCH([2]Development_Schedule_EK!$B262,INDIRECT(#REF!),0),1,1)*$D265,0)</f>
        <v>0</v>
      </c>
      <c r="G265" s="260">
        <f ca="1">IFERROR(OFFSET(INDIRECT(#REF!),MATCH([2]Development_Schedule_EK!J$6,INDIRECT(#REF!),0)-1,MATCH([2]Development_Schedule_EK!$B262,INDIRECT(#REF!),0),1,1)*$D265,0)</f>
        <v>0</v>
      </c>
      <c r="H265" s="265">
        <f ca="1">IFERROR(OFFSET(INDIRECT(#REF!),MATCH([2]Development_Schedule_EK!K$6,INDIRECT(#REF!),0)-1,MATCH([2]Development_Schedule_EK!$B262,INDIRECT(#REF!),0),1,1)*$D265,0)</f>
        <v>0</v>
      </c>
      <c r="I265" s="260">
        <f ca="1">IFERROR(OFFSET(INDIRECT(#REF!),MATCH([2]Development_Schedule_EK!L$6,INDIRECT(#REF!),0)-1,MATCH([2]Development_Schedule_EK!$B262,INDIRECT(#REF!),0),1,1)*$D265,0)</f>
        <v>0</v>
      </c>
      <c r="J265" s="260">
        <f ca="1">IFERROR(OFFSET(INDIRECT(#REF!),MATCH([2]Development_Schedule_EK!M$6,INDIRECT(#REF!),0)-1,MATCH([2]Development_Schedule_EK!$B262,INDIRECT(#REF!),0),1,1)*$D265,0)</f>
        <v>0</v>
      </c>
      <c r="K265" s="260">
        <f ca="1">IFERROR(OFFSET(INDIRECT(#REF!),MATCH([2]Development_Schedule_EK!N$6,INDIRECT(#REF!),0)-1,MATCH([2]Development_Schedule_EK!$B262,INDIRECT(#REF!),0),1,1)*$D265,0)</f>
        <v>0</v>
      </c>
      <c r="L265" s="265">
        <f ca="1">IFERROR(OFFSET(INDIRECT(#REF!),MATCH([2]Development_Schedule_EK!O$6,INDIRECT(#REF!),0)-1,MATCH([2]Development_Schedule_EK!$B262,INDIRECT(#REF!),0),1,1)*$D265,0)</f>
        <v>0</v>
      </c>
      <c r="M265" s="260">
        <f ca="1">IFERROR(OFFSET(INDIRECT(#REF!),MATCH([2]Development_Schedule_EK!P$6,INDIRECT(#REF!),0)-1,MATCH([2]Development_Schedule_EK!$B262,INDIRECT(#REF!),0),1,1)*$D265,0)</f>
        <v>0</v>
      </c>
      <c r="N265" s="260">
        <f ca="1">IFERROR(OFFSET(INDIRECT(#REF!),MATCH([2]Development_Schedule_EK!Q$6,INDIRECT(#REF!),0)-1,MATCH([2]Development_Schedule_EK!$B262,INDIRECT(#REF!),0),1,1)*$D265,0)</f>
        <v>0</v>
      </c>
      <c r="O265" s="265">
        <f ca="1">IFERROR(OFFSET(INDIRECT(#REF!),MATCH([2]Development_Schedule_EK!R$6,INDIRECT(#REF!),0)-1,MATCH([2]Development_Schedule_EK!$B262,INDIRECT(#REF!),0),1,1)*$D265,0)</f>
        <v>0</v>
      </c>
      <c r="P265" s="183"/>
      <c r="Q265" s="184"/>
      <c r="R265" s="183"/>
    </row>
    <row r="266" spans="1:18" x14ac:dyDescent="0.25">
      <c r="A266" s="284">
        <v>1</v>
      </c>
      <c r="B266" s="774" t="s">
        <v>382</v>
      </c>
      <c r="C266" s="262"/>
      <c r="D266" s="270">
        <f ca="1">IFERROR(OFFSET(INDIRECT(#REF!),MATCH([2]Development_Schedule_EK!$E263,INDIRECT(#REF!),0)-1,MATCH([2]Development_Schedule_EK!$B263,INDIRECT(#REF!),0),1,1),0)</f>
        <v>0</v>
      </c>
      <c r="E266" s="266"/>
      <c r="F266" s="260">
        <f ca="1">IFERROR(OFFSET(INDIRECT(#REF!),MATCH([2]Development_Schedule_EK!I$6,INDIRECT(#REF!),0)-1,MATCH([2]Development_Schedule_EK!$B263,INDIRECT(#REF!),0),1,1)*$D266,0)</f>
        <v>0</v>
      </c>
      <c r="G266" s="260">
        <f ca="1">IFERROR(OFFSET(INDIRECT(#REF!),MATCH([2]Development_Schedule_EK!J$6,INDIRECT(#REF!),0)-1,MATCH([2]Development_Schedule_EK!$B263,INDIRECT(#REF!),0),1,1)*$D266,0)</f>
        <v>0</v>
      </c>
      <c r="H266" s="265">
        <f ca="1">IFERROR(OFFSET(INDIRECT(#REF!),MATCH([2]Development_Schedule_EK!K$6,INDIRECT(#REF!),0)-1,MATCH([2]Development_Schedule_EK!$B263,INDIRECT(#REF!),0),1,1)*$D266,0)</f>
        <v>0</v>
      </c>
      <c r="I266" s="260">
        <f ca="1">IFERROR(OFFSET(INDIRECT(#REF!),MATCH([2]Development_Schedule_EK!L$6,INDIRECT(#REF!),0)-1,MATCH([2]Development_Schedule_EK!$B263,INDIRECT(#REF!),0),1,1)*$D266,0)</f>
        <v>0</v>
      </c>
      <c r="J266" s="260">
        <f ca="1">IFERROR(OFFSET(INDIRECT(#REF!),MATCH([2]Development_Schedule_EK!M$6,INDIRECT(#REF!),0)-1,MATCH([2]Development_Schedule_EK!$B263,INDIRECT(#REF!),0),1,1)*$D266,0)</f>
        <v>0</v>
      </c>
      <c r="K266" s="260">
        <f ca="1">IFERROR(OFFSET(INDIRECT(#REF!),MATCH([2]Development_Schedule_EK!N$6,INDIRECT(#REF!),0)-1,MATCH([2]Development_Schedule_EK!$B263,INDIRECT(#REF!),0),1,1)*$D266,0)</f>
        <v>0</v>
      </c>
      <c r="L266" s="265">
        <f ca="1">IFERROR(OFFSET(INDIRECT(#REF!),MATCH([2]Development_Schedule_EK!O$6,INDIRECT(#REF!),0)-1,MATCH([2]Development_Schedule_EK!$B263,INDIRECT(#REF!),0),1,1)*$D266,0)</f>
        <v>0</v>
      </c>
      <c r="M266" s="260">
        <f ca="1">IFERROR(OFFSET(INDIRECT(#REF!),MATCH([2]Development_Schedule_EK!P$6,INDIRECT(#REF!),0)-1,MATCH([2]Development_Schedule_EK!$B263,INDIRECT(#REF!),0),1,1)*$D266,0)</f>
        <v>0</v>
      </c>
      <c r="N266" s="260">
        <f ca="1">IFERROR(OFFSET(INDIRECT(#REF!),MATCH([2]Development_Schedule_EK!Q$6,INDIRECT(#REF!),0)-1,MATCH([2]Development_Schedule_EK!$B263,INDIRECT(#REF!),0),1,1)*$D266,0)</f>
        <v>0</v>
      </c>
      <c r="O266" s="265">
        <f ca="1">IFERROR(OFFSET(INDIRECT(#REF!),MATCH([2]Development_Schedule_EK!R$6,INDIRECT(#REF!),0)-1,MATCH([2]Development_Schedule_EK!$B263,INDIRECT(#REF!),0),1,1)*$D266,0)</f>
        <v>0</v>
      </c>
      <c r="P266" s="183"/>
      <c r="Q266" s="184"/>
      <c r="R266" s="183"/>
    </row>
    <row r="267" spans="1:18" x14ac:dyDescent="0.25">
      <c r="A267" s="284">
        <v>1</v>
      </c>
      <c r="B267" s="774" t="s">
        <v>383</v>
      </c>
      <c r="C267" s="262"/>
      <c r="D267" s="270">
        <f ca="1">IFERROR(OFFSET(INDIRECT(#REF!),MATCH([2]Development_Schedule_EK!$E264,INDIRECT(#REF!),0)-1,MATCH([2]Development_Schedule_EK!$B264,INDIRECT(#REF!),0),1,1),0)</f>
        <v>0</v>
      </c>
      <c r="E267" s="266"/>
      <c r="F267" s="260">
        <f ca="1">IFERROR(OFFSET(INDIRECT(#REF!),MATCH([2]Development_Schedule_EK!I$6,INDIRECT(#REF!),0)-1,MATCH([2]Development_Schedule_EK!$B264,INDIRECT(#REF!),0),1,1)*$D267,0)</f>
        <v>0</v>
      </c>
      <c r="G267" s="260">
        <f ca="1">IFERROR(OFFSET(INDIRECT(#REF!),MATCH([2]Development_Schedule_EK!J$6,INDIRECT(#REF!),0)-1,MATCH([2]Development_Schedule_EK!$B264,INDIRECT(#REF!),0),1,1)*$D267,0)</f>
        <v>0</v>
      </c>
      <c r="H267" s="265">
        <f ca="1">IFERROR(OFFSET(INDIRECT(#REF!),MATCH([2]Development_Schedule_EK!K$6,INDIRECT(#REF!),0)-1,MATCH([2]Development_Schedule_EK!$B264,INDIRECT(#REF!),0),1,1)*$D267,0)</f>
        <v>0</v>
      </c>
      <c r="I267" s="260">
        <f ca="1">IFERROR(OFFSET(INDIRECT(#REF!),MATCH([2]Development_Schedule_EK!L$6,INDIRECT(#REF!),0)-1,MATCH([2]Development_Schedule_EK!$B264,INDIRECT(#REF!),0),1,1)*$D267,0)</f>
        <v>0</v>
      </c>
      <c r="J267" s="260">
        <f ca="1">IFERROR(OFFSET(INDIRECT(#REF!),MATCH([2]Development_Schedule_EK!M$6,INDIRECT(#REF!),0)-1,MATCH([2]Development_Schedule_EK!$B264,INDIRECT(#REF!),0),1,1)*$D267,0)</f>
        <v>0</v>
      </c>
      <c r="K267" s="260">
        <f ca="1">IFERROR(OFFSET(INDIRECT(#REF!),MATCH([2]Development_Schedule_EK!N$6,INDIRECT(#REF!),0)-1,MATCH([2]Development_Schedule_EK!$B264,INDIRECT(#REF!),0),1,1)*$D267,0)</f>
        <v>0</v>
      </c>
      <c r="L267" s="265">
        <f ca="1">IFERROR(OFFSET(INDIRECT(#REF!),MATCH([2]Development_Schedule_EK!O$6,INDIRECT(#REF!),0)-1,MATCH([2]Development_Schedule_EK!$B264,INDIRECT(#REF!),0),1,1)*$D267,0)</f>
        <v>0</v>
      </c>
      <c r="M267" s="260">
        <f ca="1">IFERROR(OFFSET(INDIRECT(#REF!),MATCH([2]Development_Schedule_EK!P$6,INDIRECT(#REF!),0)-1,MATCH([2]Development_Schedule_EK!$B264,INDIRECT(#REF!),0),1,1)*$D267,0)</f>
        <v>0</v>
      </c>
      <c r="N267" s="260">
        <f ca="1">IFERROR(OFFSET(INDIRECT(#REF!),MATCH([2]Development_Schedule_EK!Q$6,INDIRECT(#REF!),0)-1,MATCH([2]Development_Schedule_EK!$B264,INDIRECT(#REF!),0),1,1)*$D267,0)</f>
        <v>0</v>
      </c>
      <c r="O267" s="265">
        <f ca="1">IFERROR(OFFSET(INDIRECT(#REF!),MATCH([2]Development_Schedule_EK!R$6,INDIRECT(#REF!),0)-1,MATCH([2]Development_Schedule_EK!$B264,INDIRECT(#REF!),0),1,1)*$D267,0)</f>
        <v>0</v>
      </c>
      <c r="P267" s="183"/>
      <c r="Q267" s="184"/>
      <c r="R267" s="183"/>
    </row>
    <row r="268" spans="1:18" x14ac:dyDescent="0.25">
      <c r="A268" s="284">
        <v>1</v>
      </c>
      <c r="B268" s="774" t="s">
        <v>384</v>
      </c>
      <c r="C268" s="262"/>
      <c r="D268" s="270">
        <f ca="1">IFERROR(OFFSET(INDIRECT(#REF!),MATCH([2]Development_Schedule_EK!$E265,INDIRECT(#REF!),0)-1,MATCH([2]Development_Schedule_EK!$B265,INDIRECT(#REF!),0),1,1),0)</f>
        <v>0</v>
      </c>
      <c r="E268" s="266"/>
      <c r="F268" s="260">
        <f ca="1">IFERROR(OFFSET(INDIRECT(#REF!),MATCH([2]Development_Schedule_EK!I$6,INDIRECT(#REF!),0)-1,MATCH([2]Development_Schedule_EK!$B265,INDIRECT(#REF!),0),1,1)*$D268,0)</f>
        <v>0</v>
      </c>
      <c r="G268" s="260">
        <f ca="1">IFERROR(OFFSET(INDIRECT(#REF!),MATCH([2]Development_Schedule_EK!J$6,INDIRECT(#REF!),0)-1,MATCH([2]Development_Schedule_EK!$B265,INDIRECT(#REF!),0),1,1)*$D268,0)</f>
        <v>0</v>
      </c>
      <c r="H268" s="265">
        <f ca="1">IFERROR(OFFSET(INDIRECT(#REF!),MATCH([2]Development_Schedule_EK!K$6,INDIRECT(#REF!),0)-1,MATCH([2]Development_Schedule_EK!$B265,INDIRECT(#REF!),0),1,1)*$D268,0)</f>
        <v>0</v>
      </c>
      <c r="I268" s="260">
        <f ca="1">IFERROR(OFFSET(INDIRECT(#REF!),MATCH([2]Development_Schedule_EK!L$6,INDIRECT(#REF!),0)-1,MATCH([2]Development_Schedule_EK!$B265,INDIRECT(#REF!),0),1,1)*$D268,0)</f>
        <v>0</v>
      </c>
      <c r="J268" s="260">
        <f ca="1">IFERROR(OFFSET(INDIRECT(#REF!),MATCH([2]Development_Schedule_EK!M$6,INDIRECT(#REF!),0)-1,MATCH([2]Development_Schedule_EK!$B265,INDIRECT(#REF!),0),1,1)*$D268,0)</f>
        <v>0</v>
      </c>
      <c r="K268" s="260">
        <f ca="1">IFERROR(OFFSET(INDIRECT(#REF!),MATCH([2]Development_Schedule_EK!N$6,INDIRECT(#REF!),0)-1,MATCH([2]Development_Schedule_EK!$B265,INDIRECT(#REF!),0),1,1)*$D268,0)</f>
        <v>0</v>
      </c>
      <c r="L268" s="265">
        <f ca="1">IFERROR(OFFSET(INDIRECT(#REF!),MATCH([2]Development_Schedule_EK!O$6,INDIRECT(#REF!),0)-1,MATCH([2]Development_Schedule_EK!$B265,INDIRECT(#REF!),0),1,1)*$D268,0)</f>
        <v>0</v>
      </c>
      <c r="M268" s="260">
        <f ca="1">IFERROR(OFFSET(INDIRECT(#REF!),MATCH([2]Development_Schedule_EK!P$6,INDIRECT(#REF!),0)-1,MATCH([2]Development_Schedule_EK!$B265,INDIRECT(#REF!),0),1,1)*$D268,0)</f>
        <v>0</v>
      </c>
      <c r="N268" s="260">
        <f ca="1">IFERROR(OFFSET(INDIRECT(#REF!),MATCH([2]Development_Schedule_EK!Q$6,INDIRECT(#REF!),0)-1,MATCH([2]Development_Schedule_EK!$B265,INDIRECT(#REF!),0),1,1)*$D268,0)</f>
        <v>0</v>
      </c>
      <c r="O268" s="265">
        <f ca="1">IFERROR(OFFSET(INDIRECT(#REF!),MATCH([2]Development_Schedule_EK!R$6,INDIRECT(#REF!),0)-1,MATCH([2]Development_Schedule_EK!$B265,INDIRECT(#REF!),0),1,1)*$D268,0)</f>
        <v>0</v>
      </c>
      <c r="P268" s="183"/>
      <c r="Q268" s="184"/>
      <c r="R268" s="183"/>
    </row>
    <row r="269" spans="1:18" x14ac:dyDescent="0.25">
      <c r="A269" s="284">
        <v>1</v>
      </c>
      <c r="B269" s="774" t="s">
        <v>35</v>
      </c>
      <c r="C269" s="262"/>
      <c r="D269" s="270">
        <v>151515</v>
      </c>
      <c r="E269" s="266"/>
      <c r="F269" s="260"/>
      <c r="G269" s="260">
        <f>D269/2</f>
        <v>75757.5</v>
      </c>
      <c r="H269" s="265">
        <f>G269</f>
        <v>75757.5</v>
      </c>
      <c r="I269" s="260">
        <f ca="1">IFERROR(OFFSET(INDIRECT(#REF!),MATCH([2]Development_Schedule_EK!L$6,INDIRECT(#REF!),0)-1,MATCH([2]Development_Schedule_EK!$B266,INDIRECT(#REF!),0),1,1)*$D269,0)</f>
        <v>0</v>
      </c>
      <c r="J269" s="260">
        <f ca="1">IFERROR(OFFSET(INDIRECT(#REF!),MATCH([2]Development_Schedule_EK!M$6,INDIRECT(#REF!),0)-1,MATCH([2]Development_Schedule_EK!$B266,INDIRECT(#REF!),0),1,1)*$D269,0)</f>
        <v>0</v>
      </c>
      <c r="K269" s="260">
        <f ca="1">IFERROR(OFFSET(INDIRECT(#REF!),MATCH([2]Development_Schedule_EK!N$6,INDIRECT(#REF!),0)-1,MATCH([2]Development_Schedule_EK!$B266,INDIRECT(#REF!),0),1,1)*$D269,0)</f>
        <v>0</v>
      </c>
      <c r="L269" s="265">
        <f ca="1">IFERROR(OFFSET(INDIRECT(#REF!),MATCH([2]Development_Schedule_EK!O$6,INDIRECT(#REF!),0)-1,MATCH([2]Development_Schedule_EK!$B266,INDIRECT(#REF!),0),1,1)*$D269,0)</f>
        <v>0</v>
      </c>
      <c r="M269" s="260">
        <f ca="1">IFERROR(OFFSET(INDIRECT(#REF!),MATCH([2]Development_Schedule_EK!P$6,INDIRECT(#REF!),0)-1,MATCH([2]Development_Schedule_EK!$B266,INDIRECT(#REF!),0),1,1)*$D269,0)</f>
        <v>0</v>
      </c>
      <c r="N269" s="260">
        <f ca="1">IFERROR(OFFSET(INDIRECT(#REF!),MATCH([2]Development_Schedule_EK!Q$6,INDIRECT(#REF!),0)-1,MATCH([2]Development_Schedule_EK!$B266,INDIRECT(#REF!),0),1,1)*$D269,0)</f>
        <v>0</v>
      </c>
      <c r="O269" s="265">
        <f ca="1">IFERROR(OFFSET(INDIRECT(#REF!),MATCH([2]Development_Schedule_EK!R$6,INDIRECT(#REF!),0)-1,MATCH([2]Development_Schedule_EK!$B266,INDIRECT(#REF!),0),1,1)*$D269,0)</f>
        <v>0</v>
      </c>
      <c r="P269" s="183"/>
      <c r="Q269" s="184"/>
      <c r="R269" s="183"/>
    </row>
    <row r="270" spans="1:18" x14ac:dyDescent="0.25">
      <c r="A270" s="284">
        <v>1</v>
      </c>
      <c r="B270" s="774" t="s">
        <v>355</v>
      </c>
      <c r="C270" s="262"/>
      <c r="D270" s="270">
        <f ca="1">IFERROR(OFFSET(INDIRECT(#REF!),MATCH([2]Development_Schedule_EK!$E267,INDIRECT(#REF!),0)-1,MATCH([2]Development_Schedule_EK!$B267,INDIRECT(#REF!),0),1,1),0)</f>
        <v>0</v>
      </c>
      <c r="E270" s="266"/>
      <c r="F270" s="260">
        <f ca="1">IFERROR(OFFSET(INDIRECT(#REF!),MATCH([2]Development_Schedule_EK!I$6,INDIRECT(#REF!),0)-1,MATCH([2]Development_Schedule_EK!$B267,INDIRECT(#REF!),0),1,1)*$D270,0)</f>
        <v>0</v>
      </c>
      <c r="G270" s="260">
        <f ca="1">IFERROR(OFFSET(INDIRECT(#REF!),MATCH([2]Development_Schedule_EK!J$6,INDIRECT(#REF!),0)-1,MATCH([2]Development_Schedule_EK!$B267,INDIRECT(#REF!),0),1,1)*$D270,0)</f>
        <v>0</v>
      </c>
      <c r="H270" s="265">
        <f ca="1">IFERROR(OFFSET(INDIRECT(#REF!),MATCH([2]Development_Schedule_EK!K$6,INDIRECT(#REF!),0)-1,MATCH([2]Development_Schedule_EK!$B267,INDIRECT(#REF!),0),1,1)*$D270,0)</f>
        <v>0</v>
      </c>
      <c r="I270" s="260">
        <f ca="1">IFERROR(OFFSET(INDIRECT(#REF!),MATCH([2]Development_Schedule_EK!L$6,INDIRECT(#REF!),0)-1,MATCH([2]Development_Schedule_EK!$B267,INDIRECT(#REF!),0),1,1)*$D270,0)</f>
        <v>0</v>
      </c>
      <c r="J270" s="260">
        <f ca="1">IFERROR(OFFSET(INDIRECT(#REF!),MATCH([2]Development_Schedule_EK!M$6,INDIRECT(#REF!),0)-1,MATCH([2]Development_Schedule_EK!$B267,INDIRECT(#REF!),0),1,1)*$D270,0)</f>
        <v>0</v>
      </c>
      <c r="K270" s="260">
        <f ca="1">IFERROR(OFFSET(INDIRECT(#REF!),MATCH([2]Development_Schedule_EK!N$6,INDIRECT(#REF!),0)-1,MATCH([2]Development_Schedule_EK!$B267,INDIRECT(#REF!),0),1,1)*$D270,0)</f>
        <v>0</v>
      </c>
      <c r="L270" s="265">
        <f ca="1">IFERROR(OFFSET(INDIRECT(#REF!),MATCH([2]Development_Schedule_EK!O$6,INDIRECT(#REF!),0)-1,MATCH([2]Development_Schedule_EK!$B267,INDIRECT(#REF!),0),1,1)*$D270,0)</f>
        <v>0</v>
      </c>
      <c r="M270" s="260">
        <f ca="1">IFERROR(OFFSET(INDIRECT(#REF!),MATCH([2]Development_Schedule_EK!P$6,INDIRECT(#REF!),0)-1,MATCH([2]Development_Schedule_EK!$B267,INDIRECT(#REF!),0),1,1)*$D270,0)</f>
        <v>0</v>
      </c>
      <c r="N270" s="260">
        <f ca="1">IFERROR(OFFSET(INDIRECT(#REF!),MATCH([2]Development_Schedule_EK!Q$6,INDIRECT(#REF!),0)-1,MATCH([2]Development_Schedule_EK!$B267,INDIRECT(#REF!),0),1,1)*$D270,0)</f>
        <v>0</v>
      </c>
      <c r="O270" s="265">
        <f ca="1">IFERROR(OFFSET(INDIRECT(#REF!),MATCH([2]Development_Schedule_EK!R$6,INDIRECT(#REF!),0)-1,MATCH([2]Development_Schedule_EK!$B267,INDIRECT(#REF!),0),1,1)*$D270,0)</f>
        <v>0</v>
      </c>
      <c r="P270" s="183"/>
      <c r="Q270" s="184"/>
      <c r="R270" s="183"/>
    </row>
    <row r="271" spans="1:18" x14ac:dyDescent="0.25">
      <c r="A271" s="284">
        <v>1</v>
      </c>
      <c r="B271" s="774" t="s">
        <v>356</v>
      </c>
      <c r="C271" s="262"/>
      <c r="D271" s="270">
        <f ca="1">IFERROR(OFFSET(INDIRECT(#REF!),MATCH([2]Development_Schedule_EK!$E268,INDIRECT(#REF!),0)-1,MATCH([2]Development_Schedule_EK!$B268,INDIRECT(#REF!),0),1,1),0)</f>
        <v>0</v>
      </c>
      <c r="E271" s="266"/>
      <c r="F271" s="260">
        <f ca="1">IFERROR(OFFSET(INDIRECT(#REF!),MATCH([2]Development_Schedule_EK!I$6,INDIRECT(#REF!),0)-1,MATCH([2]Development_Schedule_EK!$B268,INDIRECT(#REF!),0),1,1)*$D271,0)</f>
        <v>0</v>
      </c>
      <c r="G271" s="260">
        <f ca="1">IFERROR(OFFSET(INDIRECT(#REF!),MATCH([2]Development_Schedule_EK!J$6,INDIRECT(#REF!),0)-1,MATCH([2]Development_Schedule_EK!$B268,INDIRECT(#REF!),0),1,1)*$D271,0)</f>
        <v>0</v>
      </c>
      <c r="H271" s="265">
        <f ca="1">IFERROR(OFFSET(INDIRECT(#REF!),MATCH([2]Development_Schedule_EK!K$6,INDIRECT(#REF!),0)-1,MATCH([2]Development_Schedule_EK!$B268,INDIRECT(#REF!),0),1,1)*$D271,0)</f>
        <v>0</v>
      </c>
      <c r="I271" s="260">
        <f ca="1">IFERROR(OFFSET(INDIRECT(#REF!),MATCH([2]Development_Schedule_EK!L$6,INDIRECT(#REF!),0)-1,MATCH([2]Development_Schedule_EK!$B268,INDIRECT(#REF!),0),1,1)*$D271,0)</f>
        <v>0</v>
      </c>
      <c r="J271" s="260">
        <f ca="1">IFERROR(OFFSET(INDIRECT(#REF!),MATCH([2]Development_Schedule_EK!M$6,INDIRECT(#REF!),0)-1,MATCH([2]Development_Schedule_EK!$B268,INDIRECT(#REF!),0),1,1)*$D271,0)</f>
        <v>0</v>
      </c>
      <c r="K271" s="260">
        <f ca="1">IFERROR(OFFSET(INDIRECT(#REF!),MATCH([2]Development_Schedule_EK!N$6,INDIRECT(#REF!),0)-1,MATCH([2]Development_Schedule_EK!$B268,INDIRECT(#REF!),0),1,1)*$D271,0)</f>
        <v>0</v>
      </c>
      <c r="L271" s="265">
        <f ca="1">IFERROR(OFFSET(INDIRECT(#REF!),MATCH([2]Development_Schedule_EK!O$6,INDIRECT(#REF!),0)-1,MATCH([2]Development_Schedule_EK!$B268,INDIRECT(#REF!),0),1,1)*$D271,0)</f>
        <v>0</v>
      </c>
      <c r="M271" s="260">
        <f ca="1">IFERROR(OFFSET(INDIRECT(#REF!),MATCH([2]Development_Schedule_EK!P$6,INDIRECT(#REF!),0)-1,MATCH([2]Development_Schedule_EK!$B268,INDIRECT(#REF!),0),1,1)*$D271,0)</f>
        <v>0</v>
      </c>
      <c r="N271" s="260">
        <f ca="1">IFERROR(OFFSET(INDIRECT(#REF!),MATCH([2]Development_Schedule_EK!Q$6,INDIRECT(#REF!),0)-1,MATCH([2]Development_Schedule_EK!$B268,INDIRECT(#REF!),0),1,1)*$D271,0)</f>
        <v>0</v>
      </c>
      <c r="O271" s="265">
        <f ca="1">IFERROR(OFFSET(INDIRECT(#REF!),MATCH([2]Development_Schedule_EK!R$6,INDIRECT(#REF!),0)-1,MATCH([2]Development_Schedule_EK!$B268,INDIRECT(#REF!),0),1,1)*$D271,0)</f>
        <v>0</v>
      </c>
      <c r="P271" s="183"/>
      <c r="Q271" s="184"/>
      <c r="R271" s="183"/>
    </row>
    <row r="272" spans="1:18" x14ac:dyDescent="0.25">
      <c r="A272" s="284">
        <v>1</v>
      </c>
      <c r="B272" s="774" t="s">
        <v>357</v>
      </c>
      <c r="C272" s="262"/>
      <c r="D272" s="270">
        <f ca="1">IFERROR(OFFSET(INDIRECT(#REF!),MATCH([2]Development_Schedule_EK!$E269,INDIRECT(#REF!),0)-1,MATCH([2]Development_Schedule_EK!$B269,INDIRECT(#REF!),0),1,1),0)</f>
        <v>0</v>
      </c>
      <c r="E272" s="266"/>
      <c r="F272" s="260">
        <f ca="1">IFERROR(OFFSET(INDIRECT(#REF!),MATCH([2]Development_Schedule_EK!I$6,INDIRECT(#REF!),0)-1,MATCH([2]Development_Schedule_EK!$B269,INDIRECT(#REF!),0),1,1)*$D272,0)</f>
        <v>0</v>
      </c>
      <c r="G272" s="260">
        <f ca="1">IFERROR(OFFSET(INDIRECT(#REF!),MATCH([2]Development_Schedule_EK!J$6,INDIRECT(#REF!),0)-1,MATCH([2]Development_Schedule_EK!$B269,INDIRECT(#REF!),0),1,1)*$D272,0)</f>
        <v>0</v>
      </c>
      <c r="H272" s="265">
        <f ca="1">IFERROR(OFFSET(INDIRECT(#REF!),MATCH([2]Development_Schedule_EK!K$6,INDIRECT(#REF!),0)-1,MATCH([2]Development_Schedule_EK!$B269,INDIRECT(#REF!),0),1,1)*$D272,0)</f>
        <v>0</v>
      </c>
      <c r="I272" s="260">
        <f ca="1">IFERROR(OFFSET(INDIRECT(#REF!),MATCH([2]Development_Schedule_EK!L$6,INDIRECT(#REF!),0)-1,MATCH([2]Development_Schedule_EK!$B269,INDIRECT(#REF!),0),1,1)*$D272,0)</f>
        <v>0</v>
      </c>
      <c r="J272" s="260">
        <f ca="1">IFERROR(OFFSET(INDIRECT(#REF!),MATCH([2]Development_Schedule_EK!M$6,INDIRECT(#REF!),0)-1,MATCH([2]Development_Schedule_EK!$B269,INDIRECT(#REF!),0),1,1)*$D272,0)</f>
        <v>0</v>
      </c>
      <c r="K272" s="260">
        <f ca="1">IFERROR(OFFSET(INDIRECT(#REF!),MATCH([2]Development_Schedule_EK!N$6,INDIRECT(#REF!),0)-1,MATCH([2]Development_Schedule_EK!$B269,INDIRECT(#REF!),0),1,1)*$D272,0)</f>
        <v>0</v>
      </c>
      <c r="L272" s="265">
        <f ca="1">IFERROR(OFFSET(INDIRECT(#REF!),MATCH([2]Development_Schedule_EK!O$6,INDIRECT(#REF!),0)-1,MATCH([2]Development_Schedule_EK!$B269,INDIRECT(#REF!),0),1,1)*$D272,0)</f>
        <v>0</v>
      </c>
      <c r="M272" s="260">
        <f ca="1">IFERROR(OFFSET(INDIRECT(#REF!),MATCH([2]Development_Schedule_EK!P$6,INDIRECT(#REF!),0)-1,MATCH([2]Development_Schedule_EK!$B269,INDIRECT(#REF!),0),1,1)*$D272,0)</f>
        <v>0</v>
      </c>
      <c r="N272" s="260">
        <f ca="1">IFERROR(OFFSET(INDIRECT(#REF!),MATCH([2]Development_Schedule_EK!Q$6,INDIRECT(#REF!),0)-1,MATCH([2]Development_Schedule_EK!$B269,INDIRECT(#REF!),0),1,1)*$D272,0)</f>
        <v>0</v>
      </c>
      <c r="O272" s="265">
        <f ca="1">IFERROR(OFFSET(INDIRECT(#REF!),MATCH([2]Development_Schedule_EK!R$6,INDIRECT(#REF!),0)-1,MATCH([2]Development_Schedule_EK!$B269,INDIRECT(#REF!),0),1,1)*$D272,0)</f>
        <v>0</v>
      </c>
      <c r="P272" s="183"/>
      <c r="Q272" s="184"/>
      <c r="R272" s="183"/>
    </row>
    <row r="273" spans="1:18" x14ac:dyDescent="0.25">
      <c r="A273" s="284">
        <v>1</v>
      </c>
      <c r="B273" s="774" t="s">
        <v>358</v>
      </c>
      <c r="C273" s="262"/>
      <c r="D273" s="270">
        <f ca="1">IFERROR(OFFSET(INDIRECT(#REF!),MATCH([2]Development_Schedule_EK!$E270,INDIRECT(#REF!),0)-1,MATCH([2]Development_Schedule_EK!$B270,INDIRECT(#REF!),0),1,1),0)</f>
        <v>0</v>
      </c>
      <c r="E273" s="266"/>
      <c r="F273" s="260">
        <f ca="1">IFERROR(OFFSET(INDIRECT(#REF!),MATCH([2]Development_Schedule_EK!I$6,INDIRECT(#REF!),0)-1,MATCH([2]Development_Schedule_EK!$B270,INDIRECT(#REF!),0),1,1)*$D273,0)</f>
        <v>0</v>
      </c>
      <c r="G273" s="260">
        <f ca="1">IFERROR(OFFSET(INDIRECT(#REF!),MATCH([2]Development_Schedule_EK!J$6,INDIRECT(#REF!),0)-1,MATCH([2]Development_Schedule_EK!$B270,INDIRECT(#REF!),0),1,1)*$D273,0)</f>
        <v>0</v>
      </c>
      <c r="H273" s="265">
        <f ca="1">IFERROR(OFFSET(INDIRECT(#REF!),MATCH([2]Development_Schedule_EK!K$6,INDIRECT(#REF!),0)-1,MATCH([2]Development_Schedule_EK!$B270,INDIRECT(#REF!),0),1,1)*$D273,0)</f>
        <v>0</v>
      </c>
      <c r="I273" s="260">
        <f ca="1">IFERROR(OFFSET(INDIRECT(#REF!),MATCH([2]Development_Schedule_EK!L$6,INDIRECT(#REF!),0)-1,MATCH([2]Development_Schedule_EK!$B270,INDIRECT(#REF!),0),1,1)*$D273,0)</f>
        <v>0</v>
      </c>
      <c r="J273" s="260">
        <f ca="1">IFERROR(OFFSET(INDIRECT(#REF!),MATCH([2]Development_Schedule_EK!M$6,INDIRECT(#REF!),0)-1,MATCH([2]Development_Schedule_EK!$B270,INDIRECT(#REF!),0),1,1)*$D273,0)</f>
        <v>0</v>
      </c>
      <c r="K273" s="260">
        <f ca="1">IFERROR(OFFSET(INDIRECT(#REF!),MATCH([2]Development_Schedule_EK!N$6,INDIRECT(#REF!),0)-1,MATCH([2]Development_Schedule_EK!$B270,INDIRECT(#REF!),0),1,1)*$D273,0)</f>
        <v>0</v>
      </c>
      <c r="L273" s="265">
        <f ca="1">IFERROR(OFFSET(INDIRECT(#REF!),MATCH([2]Development_Schedule_EK!O$6,INDIRECT(#REF!),0)-1,MATCH([2]Development_Schedule_EK!$B270,INDIRECT(#REF!),0),1,1)*$D273,0)</f>
        <v>0</v>
      </c>
      <c r="M273" s="260">
        <f ca="1">IFERROR(OFFSET(INDIRECT(#REF!),MATCH([2]Development_Schedule_EK!P$6,INDIRECT(#REF!),0)-1,MATCH([2]Development_Schedule_EK!$B270,INDIRECT(#REF!),0),1,1)*$D273,0)</f>
        <v>0</v>
      </c>
      <c r="N273" s="260">
        <f ca="1">IFERROR(OFFSET(INDIRECT(#REF!),MATCH([2]Development_Schedule_EK!Q$6,INDIRECT(#REF!),0)-1,MATCH([2]Development_Schedule_EK!$B270,INDIRECT(#REF!),0),1,1)*$D273,0)</f>
        <v>0</v>
      </c>
      <c r="O273" s="265">
        <f ca="1">IFERROR(OFFSET(INDIRECT(#REF!),MATCH([2]Development_Schedule_EK!R$6,INDIRECT(#REF!),0)-1,MATCH([2]Development_Schedule_EK!$B270,INDIRECT(#REF!),0),1,1)*$D273,0)</f>
        <v>0</v>
      </c>
      <c r="P273" s="183"/>
      <c r="Q273" s="184"/>
      <c r="R273" s="183"/>
    </row>
    <row r="274" spans="1:18" x14ac:dyDescent="0.25">
      <c r="A274" s="284">
        <v>1</v>
      </c>
      <c r="B274" s="774" t="s">
        <v>385</v>
      </c>
      <c r="C274" s="262"/>
      <c r="D274" s="270">
        <f ca="1">IFERROR(OFFSET(INDIRECT(#REF!),MATCH([2]Development_Schedule_EK!$E271,INDIRECT(#REF!),0)-1,MATCH([2]Development_Schedule_EK!$B271,INDIRECT(#REF!),0),1,1),0)</f>
        <v>0</v>
      </c>
      <c r="E274" s="266"/>
      <c r="F274" s="260">
        <f ca="1">IFERROR(OFFSET(INDIRECT(#REF!),MATCH([2]Development_Schedule_EK!I$6,INDIRECT(#REF!),0)-1,MATCH([2]Development_Schedule_EK!$B271,INDIRECT(#REF!),0),1,1)*$D274,0)</f>
        <v>0</v>
      </c>
      <c r="G274" s="260">
        <f ca="1">IFERROR(OFFSET(INDIRECT(#REF!),MATCH([2]Development_Schedule_EK!J$6,INDIRECT(#REF!),0)-1,MATCH([2]Development_Schedule_EK!$B271,INDIRECT(#REF!),0),1,1)*$D274,0)</f>
        <v>0</v>
      </c>
      <c r="H274" s="265">
        <f ca="1">IFERROR(OFFSET(INDIRECT(#REF!),MATCH([2]Development_Schedule_EK!K$6,INDIRECT(#REF!),0)-1,MATCH([2]Development_Schedule_EK!$B271,INDIRECT(#REF!),0),1,1)*$D274,0)</f>
        <v>0</v>
      </c>
      <c r="I274" s="260">
        <f ca="1">IFERROR(OFFSET(INDIRECT(#REF!),MATCH([2]Development_Schedule_EK!L$6,INDIRECT(#REF!),0)-1,MATCH([2]Development_Schedule_EK!$B271,INDIRECT(#REF!),0),1,1)*$D274,0)</f>
        <v>0</v>
      </c>
      <c r="J274" s="260">
        <f ca="1">IFERROR(OFFSET(INDIRECT(#REF!),MATCH([2]Development_Schedule_EK!M$6,INDIRECT(#REF!),0)-1,MATCH([2]Development_Schedule_EK!$B271,INDIRECT(#REF!),0),1,1)*$D274,0)</f>
        <v>0</v>
      </c>
      <c r="K274" s="260">
        <f ca="1">IFERROR(OFFSET(INDIRECT(#REF!),MATCH([2]Development_Schedule_EK!N$6,INDIRECT(#REF!),0)-1,MATCH([2]Development_Schedule_EK!$B271,INDIRECT(#REF!),0),1,1)*$D274,0)</f>
        <v>0</v>
      </c>
      <c r="L274" s="265">
        <f ca="1">IFERROR(OFFSET(INDIRECT(#REF!),MATCH([2]Development_Schedule_EK!O$6,INDIRECT(#REF!),0)-1,MATCH([2]Development_Schedule_EK!$B271,INDIRECT(#REF!),0),1,1)*$D274,0)</f>
        <v>0</v>
      </c>
      <c r="M274" s="260">
        <f ca="1">IFERROR(OFFSET(INDIRECT(#REF!),MATCH([2]Development_Schedule_EK!P$6,INDIRECT(#REF!),0)-1,MATCH([2]Development_Schedule_EK!$B271,INDIRECT(#REF!),0),1,1)*$D274,0)</f>
        <v>0</v>
      </c>
      <c r="N274" s="260">
        <f ca="1">IFERROR(OFFSET(INDIRECT(#REF!),MATCH([2]Development_Schedule_EK!Q$6,INDIRECT(#REF!),0)-1,MATCH([2]Development_Schedule_EK!$B271,INDIRECT(#REF!),0),1,1)*$D274,0)</f>
        <v>0</v>
      </c>
      <c r="O274" s="265">
        <f ca="1">IFERROR(OFFSET(INDIRECT(#REF!),MATCH([2]Development_Schedule_EK!R$6,INDIRECT(#REF!),0)-1,MATCH([2]Development_Schedule_EK!$B271,INDIRECT(#REF!),0),1,1)*$D274,0)</f>
        <v>0</v>
      </c>
      <c r="P274" s="183"/>
      <c r="Q274" s="184"/>
      <c r="R274" s="183"/>
    </row>
    <row r="275" spans="1:18" x14ac:dyDescent="0.25">
      <c r="A275" s="284">
        <v>1</v>
      </c>
      <c r="B275" s="774" t="s">
        <v>33</v>
      </c>
      <c r="C275" s="262"/>
      <c r="D275" s="270">
        <f ca="1">IFERROR(OFFSET(INDIRECT(#REF!),MATCH([2]Development_Schedule_EK!$E272,INDIRECT(#REF!),0)-1,MATCH([2]Development_Schedule_EK!$B272,INDIRECT(#REF!),0),1,1),0)</f>
        <v>0</v>
      </c>
      <c r="E275" s="266"/>
      <c r="F275" s="260">
        <f ca="1">IFERROR(OFFSET(INDIRECT(#REF!),MATCH([2]Development_Schedule_EK!I$6,INDIRECT(#REF!),0)-1,MATCH([2]Development_Schedule_EK!$B272,INDIRECT(#REF!),0),1,1)*$D275,0)</f>
        <v>0</v>
      </c>
      <c r="G275" s="260">
        <f ca="1">IFERROR(OFFSET(INDIRECT(#REF!),MATCH([2]Development_Schedule_EK!J$6,INDIRECT(#REF!),0)-1,MATCH([2]Development_Schedule_EK!$B272,INDIRECT(#REF!),0),1,1)*$D275,0)</f>
        <v>0</v>
      </c>
      <c r="H275" s="265">
        <f ca="1">IFERROR(OFFSET(INDIRECT(#REF!),MATCH([2]Development_Schedule_EK!K$6,INDIRECT(#REF!),0)-1,MATCH([2]Development_Schedule_EK!$B272,INDIRECT(#REF!),0),1,1)*$D275,0)</f>
        <v>0</v>
      </c>
      <c r="I275" s="260">
        <f ca="1">IFERROR(OFFSET(INDIRECT(#REF!),MATCH([2]Development_Schedule_EK!L$6,INDIRECT(#REF!),0)-1,MATCH([2]Development_Schedule_EK!$B272,INDIRECT(#REF!),0),1,1)*$D275,0)</f>
        <v>0</v>
      </c>
      <c r="J275" s="260">
        <f ca="1">IFERROR(OFFSET(INDIRECT(#REF!),MATCH([2]Development_Schedule_EK!M$6,INDIRECT(#REF!),0)-1,MATCH([2]Development_Schedule_EK!$B272,INDIRECT(#REF!),0),1,1)*$D275,0)</f>
        <v>0</v>
      </c>
      <c r="K275" s="260">
        <f ca="1">IFERROR(OFFSET(INDIRECT(#REF!),MATCH([2]Development_Schedule_EK!N$6,INDIRECT(#REF!),0)-1,MATCH([2]Development_Schedule_EK!$B272,INDIRECT(#REF!),0),1,1)*$D275,0)</f>
        <v>0</v>
      </c>
      <c r="L275" s="265">
        <f ca="1">IFERROR(OFFSET(INDIRECT(#REF!),MATCH([2]Development_Schedule_EK!O$6,INDIRECT(#REF!),0)-1,MATCH([2]Development_Schedule_EK!$B272,INDIRECT(#REF!),0),1,1)*$D275,0)</f>
        <v>0</v>
      </c>
      <c r="M275" s="260">
        <f ca="1">IFERROR(OFFSET(INDIRECT(#REF!),MATCH([2]Development_Schedule_EK!P$6,INDIRECT(#REF!),0)-1,MATCH([2]Development_Schedule_EK!$B272,INDIRECT(#REF!),0),1,1)*$D275,0)</f>
        <v>0</v>
      </c>
      <c r="N275" s="260">
        <f ca="1">IFERROR(OFFSET(INDIRECT(#REF!),MATCH([2]Development_Schedule_EK!Q$6,INDIRECT(#REF!),0)-1,MATCH([2]Development_Schedule_EK!$B272,INDIRECT(#REF!),0),1,1)*$D275,0)</f>
        <v>0</v>
      </c>
      <c r="O275" s="265">
        <f ca="1">IFERROR(OFFSET(INDIRECT(#REF!),MATCH([2]Development_Schedule_EK!R$6,INDIRECT(#REF!),0)-1,MATCH([2]Development_Schedule_EK!$B272,INDIRECT(#REF!),0),1,1)*$D275,0)</f>
        <v>0</v>
      </c>
      <c r="P275" s="183"/>
      <c r="Q275" s="184"/>
      <c r="R275" s="183"/>
    </row>
    <row r="276" spans="1:18" x14ac:dyDescent="0.25">
      <c r="A276" s="284">
        <v>1</v>
      </c>
      <c r="B276" s="774" t="s">
        <v>42</v>
      </c>
      <c r="C276" s="262"/>
      <c r="D276" s="270">
        <v>30303</v>
      </c>
      <c r="E276" s="266"/>
      <c r="F276" s="260">
        <f ca="1">IFERROR(OFFSET(INDIRECT(#REF!),MATCH([2]Development_Schedule_EK!I$6,INDIRECT(#REF!),0)-1,MATCH([2]Development_Schedule_EK!$B273,INDIRECT(#REF!),0),1,1)*$D276,0)</f>
        <v>0</v>
      </c>
      <c r="G276" s="260">
        <f>D276/2</f>
        <v>15151.5</v>
      </c>
      <c r="H276" s="265">
        <f>G276</f>
        <v>15151.5</v>
      </c>
      <c r="I276" s="260">
        <f ca="1">IFERROR(OFFSET(INDIRECT(#REF!),MATCH([2]Development_Schedule_EK!L$6,INDIRECT(#REF!),0)-1,MATCH([2]Development_Schedule_EK!$B273,INDIRECT(#REF!),0),1,1)*$D276,0)</f>
        <v>0</v>
      </c>
      <c r="J276" s="260">
        <f ca="1">IFERROR(OFFSET(INDIRECT(#REF!),MATCH([2]Development_Schedule_EK!M$6,INDIRECT(#REF!),0)-1,MATCH([2]Development_Schedule_EK!$B273,INDIRECT(#REF!),0),1,1)*$D276,0)</f>
        <v>0</v>
      </c>
      <c r="K276" s="260">
        <f ca="1">IFERROR(OFFSET(INDIRECT(#REF!),MATCH([2]Development_Schedule_EK!N$6,INDIRECT(#REF!),0)-1,MATCH([2]Development_Schedule_EK!$B273,INDIRECT(#REF!),0),1,1)*$D276,0)</f>
        <v>0</v>
      </c>
      <c r="L276" s="265">
        <f ca="1">IFERROR(OFFSET(INDIRECT(#REF!),MATCH([2]Development_Schedule_EK!O$6,INDIRECT(#REF!),0)-1,MATCH([2]Development_Schedule_EK!$B273,INDIRECT(#REF!),0),1,1)*$D276,0)</f>
        <v>0</v>
      </c>
      <c r="M276" s="260">
        <f ca="1">IFERROR(OFFSET(INDIRECT(#REF!),MATCH([2]Development_Schedule_EK!P$6,INDIRECT(#REF!),0)-1,MATCH([2]Development_Schedule_EK!$B273,INDIRECT(#REF!),0),1,1)*$D276,0)</f>
        <v>0</v>
      </c>
      <c r="N276" s="260">
        <f ca="1">IFERROR(OFFSET(INDIRECT(#REF!),MATCH([2]Development_Schedule_EK!Q$6,INDIRECT(#REF!),0)-1,MATCH([2]Development_Schedule_EK!$B273,INDIRECT(#REF!),0),1,1)*$D276,0)</f>
        <v>0</v>
      </c>
      <c r="O276" s="265">
        <f ca="1">IFERROR(OFFSET(INDIRECT(#REF!),MATCH([2]Development_Schedule_EK!R$6,INDIRECT(#REF!),0)-1,MATCH([2]Development_Schedule_EK!$B273,INDIRECT(#REF!),0),1,1)*$D276,0)</f>
        <v>0</v>
      </c>
      <c r="P276" s="183"/>
      <c r="Q276" s="184"/>
      <c r="R276" s="183"/>
    </row>
    <row r="277" spans="1:18" x14ac:dyDescent="0.25">
      <c r="B277" s="774"/>
      <c r="C277" s="262"/>
      <c r="D277" s="270"/>
      <c r="E277" s="266"/>
      <c r="F277" s="256"/>
      <c r="G277" s="256"/>
      <c r="H277" s="263"/>
      <c r="I277" s="256"/>
      <c r="J277" s="256"/>
      <c r="K277" s="256"/>
      <c r="L277" s="263"/>
      <c r="M277" s="256"/>
      <c r="N277" s="256"/>
      <c r="O277" s="263"/>
      <c r="P277" s="183"/>
      <c r="Q277" s="184"/>
      <c r="R277" s="183"/>
    </row>
    <row r="278" spans="1:18" x14ac:dyDescent="0.25">
      <c r="B278" s="774"/>
      <c r="C278" s="262"/>
      <c r="D278" s="270"/>
      <c r="E278" s="266"/>
      <c r="F278" s="256"/>
      <c r="G278" s="256"/>
      <c r="H278" s="263"/>
      <c r="I278" s="256"/>
      <c r="J278" s="256"/>
      <c r="K278" s="256"/>
      <c r="L278" s="263"/>
      <c r="M278" s="256"/>
      <c r="N278" s="256"/>
      <c r="O278" s="263"/>
      <c r="P278" s="183"/>
      <c r="Q278" s="184"/>
      <c r="R278" s="183"/>
    </row>
    <row r="279" spans="1:18" x14ac:dyDescent="0.25">
      <c r="B279" s="776" t="s">
        <v>467</v>
      </c>
      <c r="C279" s="262"/>
      <c r="D279" s="270"/>
      <c r="E279" s="266"/>
      <c r="F279" s="256"/>
      <c r="G279" s="256"/>
      <c r="H279" s="263"/>
      <c r="I279" s="256"/>
      <c r="J279" s="256"/>
      <c r="K279" s="256"/>
      <c r="L279" s="263"/>
      <c r="M279" s="256"/>
      <c r="N279" s="256"/>
      <c r="O279" s="263"/>
      <c r="P279" s="183"/>
      <c r="Q279" s="184"/>
      <c r="R279" s="183"/>
    </row>
    <row r="280" spans="1:18" x14ac:dyDescent="0.25">
      <c r="A280" s="284">
        <v>2</v>
      </c>
      <c r="B280" s="774" t="s">
        <v>381</v>
      </c>
      <c r="C280" s="262"/>
      <c r="D280" s="270">
        <f ca="1">IFERROR(OFFSET(INDIRECT(#REF!),MATCH([2]Development_Schedule_EK!$E277,INDIRECT(#REF!),0)-1,MATCH([2]Development_Schedule_EK!$B277,INDIRECT(#REF!),0),1,1),0)</f>
        <v>0</v>
      </c>
      <c r="E280" s="266"/>
      <c r="F280" s="260">
        <f ca="1">IFERROR(OFFSET(INDIRECT(#REF!),MATCH([2]Development_Schedule_EK!I$6,INDIRECT(#REF!),0)-1,MATCH([2]Development_Schedule_EK!$B277,INDIRECT(#REF!),0),1,1)*$D280,0)</f>
        <v>0</v>
      </c>
      <c r="G280" s="260">
        <f ca="1">IFERROR(OFFSET(INDIRECT(#REF!),MATCH([2]Development_Schedule_EK!J$6,INDIRECT(#REF!),0)-1,MATCH([2]Development_Schedule_EK!$B277,INDIRECT(#REF!),0),1,1)*$D280,0)</f>
        <v>0</v>
      </c>
      <c r="H280" s="265">
        <f ca="1">IFERROR(OFFSET(INDIRECT(#REF!),MATCH([2]Development_Schedule_EK!K$6,INDIRECT(#REF!),0)-1,MATCH([2]Development_Schedule_EK!$B277,INDIRECT(#REF!),0),1,1)*$D280,0)</f>
        <v>0</v>
      </c>
      <c r="I280" s="260">
        <f ca="1">IFERROR(OFFSET(INDIRECT(#REF!),MATCH([2]Development_Schedule_EK!L$6,INDIRECT(#REF!),0)-1,MATCH([2]Development_Schedule_EK!$B277,INDIRECT(#REF!),0),1,1)*$D280,0)</f>
        <v>0</v>
      </c>
      <c r="J280" s="260">
        <f ca="1">IFERROR(OFFSET(INDIRECT(#REF!),MATCH([2]Development_Schedule_EK!M$6,INDIRECT(#REF!),0)-1,MATCH([2]Development_Schedule_EK!$B277,INDIRECT(#REF!),0),1,1)*$D280,0)</f>
        <v>0</v>
      </c>
      <c r="K280" s="260">
        <f ca="1">IFERROR(OFFSET(INDIRECT(#REF!),MATCH([2]Development_Schedule_EK!N$6,INDIRECT(#REF!),0)-1,MATCH([2]Development_Schedule_EK!$B277,INDIRECT(#REF!),0),1,1)*$D280,0)</f>
        <v>0</v>
      </c>
      <c r="L280" s="265">
        <f ca="1">IFERROR(OFFSET(INDIRECT(#REF!),MATCH([2]Development_Schedule_EK!O$6,INDIRECT(#REF!),0)-1,MATCH([2]Development_Schedule_EK!$B277,INDIRECT(#REF!),0),1,1)*$D280,0)</f>
        <v>0</v>
      </c>
      <c r="M280" s="260">
        <f ca="1">IFERROR(OFFSET(INDIRECT(#REF!),MATCH([2]Development_Schedule_EK!P$6,INDIRECT(#REF!),0)-1,MATCH([2]Development_Schedule_EK!$B277,INDIRECT(#REF!),0),1,1)*$D280,0)</f>
        <v>0</v>
      </c>
      <c r="N280" s="260">
        <f ca="1">IFERROR(OFFSET(INDIRECT(#REF!),MATCH([2]Development_Schedule_EK!Q$6,INDIRECT(#REF!),0)-1,MATCH([2]Development_Schedule_EK!$B277,INDIRECT(#REF!),0),1,1)*$D280,0)</f>
        <v>0</v>
      </c>
      <c r="O280" s="265">
        <f ca="1">IFERROR(OFFSET(INDIRECT(#REF!),MATCH([2]Development_Schedule_EK!R$6,INDIRECT(#REF!),0)-1,MATCH([2]Development_Schedule_EK!$B277,INDIRECT(#REF!),0),1,1)*$D280,0)</f>
        <v>0</v>
      </c>
      <c r="P280" s="183"/>
      <c r="Q280" s="184"/>
      <c r="R280" s="183"/>
    </row>
    <row r="281" spans="1:18" x14ac:dyDescent="0.25">
      <c r="A281" s="284">
        <v>2</v>
      </c>
      <c r="B281" s="774" t="s">
        <v>382</v>
      </c>
      <c r="C281" s="262"/>
      <c r="D281" s="270">
        <f>(71875.05-D284)*0.8</f>
        <v>48225.640000000007</v>
      </c>
      <c r="E281" s="266"/>
      <c r="F281" s="260">
        <f ca="1">IFERROR(OFFSET(INDIRECT(#REF!),MATCH([2]Development_Schedule_EK!I$6,INDIRECT(#REF!),0)-1,MATCH([2]Development_Schedule_EK!$B277,INDIRECT(#REF!),0),1,1)*$D281,0)</f>
        <v>0</v>
      </c>
      <c r="G281" s="260">
        <f ca="1">IFERROR(OFFSET(INDIRECT(#REF!),MATCH([2]Development_Schedule_EK!J$6,INDIRECT(#REF!),0)-1,MATCH([2]Development_Schedule_EK!$B277,INDIRECT(#REF!),0),1,1)*$D281,0)</f>
        <v>0</v>
      </c>
      <c r="H281" s="265">
        <f ca="1">IFERROR(OFFSET(INDIRECT(#REF!),MATCH([2]Development_Schedule_EK!K$6,INDIRECT(#REF!),0)-1,MATCH([2]Development_Schedule_EK!$B277,INDIRECT(#REF!),0),1,1)*$D281,0)</f>
        <v>0</v>
      </c>
      <c r="I281" s="260">
        <f>D281/2</f>
        <v>24112.820000000003</v>
      </c>
      <c r="J281" s="260">
        <f>I281</f>
        <v>24112.820000000003</v>
      </c>
      <c r="K281" s="260">
        <f ca="1">IFERROR(OFFSET(INDIRECT(#REF!),MATCH([2]Development_Schedule_EK!N$6,INDIRECT(#REF!),0)-1,MATCH([2]Development_Schedule_EK!$B278,INDIRECT(#REF!),0),1,1)*$D281,0)</f>
        <v>0</v>
      </c>
      <c r="L281" s="265">
        <f ca="1">IFERROR(OFFSET(INDIRECT(#REF!),MATCH([2]Development_Schedule_EK!O$6,INDIRECT(#REF!),0)-1,MATCH([2]Development_Schedule_EK!$B278,INDIRECT(#REF!),0),1,1)*$D281,0)</f>
        <v>0</v>
      </c>
      <c r="M281" s="260">
        <f ca="1">IFERROR(OFFSET(INDIRECT(#REF!),MATCH([2]Development_Schedule_EK!P$6,INDIRECT(#REF!),0)-1,MATCH([2]Development_Schedule_EK!$B277,INDIRECT(#REF!),0),1,1)*$D281,0)</f>
        <v>0</v>
      </c>
      <c r="N281" s="260">
        <f ca="1">IFERROR(OFFSET(INDIRECT(#REF!),MATCH([2]Development_Schedule_EK!Q$6,INDIRECT(#REF!),0)-1,MATCH([2]Development_Schedule_EK!$B277,INDIRECT(#REF!),0),1,1)*$D281,0)</f>
        <v>0</v>
      </c>
      <c r="O281" s="265">
        <f ca="1">IFERROR(OFFSET(INDIRECT(#REF!),MATCH([2]Development_Schedule_EK!R$6,INDIRECT(#REF!),0)-1,MATCH([2]Development_Schedule_EK!$B277,INDIRECT(#REF!),0),1,1)*$D281,0)</f>
        <v>0</v>
      </c>
      <c r="P281" s="183"/>
      <c r="Q281" s="184"/>
      <c r="R281" s="183"/>
    </row>
    <row r="282" spans="1:18" x14ac:dyDescent="0.25">
      <c r="A282" s="284">
        <v>2</v>
      </c>
      <c r="B282" s="774" t="s">
        <v>383</v>
      </c>
      <c r="C282" s="262"/>
      <c r="D282" s="270">
        <f ca="1">IFERROR(OFFSET(INDIRECT(#REF!),MATCH([2]Development_Schedule_EK!$E278,INDIRECT(#REF!),0)-1,MATCH([2]Development_Schedule_EK!$B278,INDIRECT(#REF!),0),1,1),0)</f>
        <v>0</v>
      </c>
      <c r="E282" s="266"/>
      <c r="F282" s="260">
        <f ca="1">IFERROR(OFFSET(INDIRECT(#REF!),MATCH([2]Development_Schedule_EK!I$6,INDIRECT(#REF!),0)-1,MATCH([2]Development_Schedule_EK!$B278,INDIRECT(#REF!),0),1,1)*$D282,0)</f>
        <v>0</v>
      </c>
      <c r="G282" s="260">
        <f ca="1">IFERROR(OFFSET(INDIRECT(#REF!),MATCH([2]Development_Schedule_EK!J$6,INDIRECT(#REF!),0)-1,MATCH([2]Development_Schedule_EK!$B278,INDIRECT(#REF!),0),1,1)*$D282,0)</f>
        <v>0</v>
      </c>
      <c r="H282" s="265">
        <f ca="1">IFERROR(OFFSET(INDIRECT(#REF!),MATCH([2]Development_Schedule_EK!K$6,INDIRECT(#REF!),0)-1,MATCH([2]Development_Schedule_EK!$B278,INDIRECT(#REF!),0),1,1)*$D282,0)</f>
        <v>0</v>
      </c>
      <c r="I282" s="260">
        <f ca="1">IFERROR(OFFSET(INDIRECT(#REF!),MATCH([2]Development_Schedule_EK!L$6,INDIRECT(#REF!),0)-1,MATCH([2]Development_Schedule_EK!$B278,INDIRECT(#REF!),0),1,1)*$D282,0)</f>
        <v>0</v>
      </c>
      <c r="J282" s="260">
        <f ca="1">IFERROR(OFFSET(INDIRECT(#REF!),MATCH([2]Development_Schedule_EK!M$6,INDIRECT(#REF!),0)-1,MATCH([2]Development_Schedule_EK!$B278,INDIRECT(#REF!),0),1,1)*$D282,0)</f>
        <v>0</v>
      </c>
      <c r="K282" s="260">
        <f ca="1">IFERROR(OFFSET(INDIRECT(#REF!),MATCH([2]Development_Schedule_EK!N$6,INDIRECT(#REF!),0)-1,MATCH([2]Development_Schedule_EK!$B278,INDIRECT(#REF!),0),1,1)*$D282,0)</f>
        <v>0</v>
      </c>
      <c r="L282" s="265">
        <f ca="1">IFERROR(OFFSET(INDIRECT(#REF!),MATCH([2]Development_Schedule_EK!O$6,INDIRECT(#REF!),0)-1,MATCH([2]Development_Schedule_EK!$B278,INDIRECT(#REF!),0),1,1)*$D282,0)</f>
        <v>0</v>
      </c>
      <c r="M282" s="260">
        <f ca="1">IFERROR(OFFSET(INDIRECT(#REF!),MATCH([2]Development_Schedule_EK!P$6,INDIRECT(#REF!),0)-1,MATCH([2]Development_Schedule_EK!$B278,INDIRECT(#REF!),0),1,1)*$D282,0)</f>
        <v>0</v>
      </c>
      <c r="N282" s="260">
        <f ca="1">IFERROR(OFFSET(INDIRECT(#REF!),MATCH([2]Development_Schedule_EK!Q$6,INDIRECT(#REF!),0)-1,MATCH([2]Development_Schedule_EK!$B278,INDIRECT(#REF!),0),1,1)*$D282,0)</f>
        <v>0</v>
      </c>
      <c r="O282" s="265">
        <f ca="1">IFERROR(OFFSET(INDIRECT(#REF!),MATCH([2]Development_Schedule_EK!R$6,INDIRECT(#REF!),0)-1,MATCH([2]Development_Schedule_EK!$B278,INDIRECT(#REF!),0),1,1)*$D282,0)</f>
        <v>0</v>
      </c>
      <c r="P282" s="183"/>
      <c r="Q282" s="184"/>
      <c r="R282" s="183"/>
    </row>
    <row r="283" spans="1:18" x14ac:dyDescent="0.25">
      <c r="A283" s="284">
        <v>2</v>
      </c>
      <c r="B283" s="774" t="s">
        <v>384</v>
      </c>
      <c r="C283" s="262"/>
      <c r="D283" s="270">
        <f>D281/4</f>
        <v>12056.410000000002</v>
      </c>
      <c r="E283" s="266"/>
      <c r="F283" s="260">
        <f ca="1">IFERROR(OFFSET(INDIRECT(#REF!),MATCH([2]Development_Schedule_EK!I$6,INDIRECT(#REF!),0)-1,MATCH([2]Development_Schedule_EK!$B279,INDIRECT(#REF!),0),1,1)*$D283,0)</f>
        <v>0</v>
      </c>
      <c r="G283" s="260">
        <f ca="1">IFERROR(OFFSET(INDIRECT(#REF!),MATCH([2]Development_Schedule_EK!J$6,INDIRECT(#REF!),0)-1,MATCH([2]Development_Schedule_EK!$B279,INDIRECT(#REF!),0),1,1)*$D283,0)</f>
        <v>0</v>
      </c>
      <c r="H283" s="265">
        <f ca="1">IFERROR(OFFSET(INDIRECT(#REF!),MATCH([2]Development_Schedule_EK!K$6,INDIRECT(#REF!),0)-1,MATCH([2]Development_Schedule_EK!$B279,INDIRECT(#REF!),0),1,1)*$D283,0)</f>
        <v>0</v>
      </c>
      <c r="I283" s="260">
        <f>D283/2</f>
        <v>6028.2050000000008</v>
      </c>
      <c r="J283" s="260">
        <f>I283</f>
        <v>6028.2050000000008</v>
      </c>
      <c r="K283" s="260">
        <f ca="1">IFERROR(OFFSET(INDIRECT(#REF!),MATCH([2]Development_Schedule_EK!N$6,INDIRECT(#REF!),0)-1,MATCH([2]Development_Schedule_EK!$B280,INDIRECT(#REF!),0),1,1)*$D283,0)</f>
        <v>0</v>
      </c>
      <c r="L283" s="265">
        <f t="shared" ref="L283" ca="1" si="16">L281/4</f>
        <v>0</v>
      </c>
      <c r="M283" s="260">
        <f ca="1">IFERROR(OFFSET(INDIRECT(#REF!),MATCH([2]Development_Schedule_EK!P$6,INDIRECT(#REF!),0)-1,MATCH([2]Development_Schedule_EK!$B279,INDIRECT(#REF!),0),1,1)*$D283,0)</f>
        <v>0</v>
      </c>
      <c r="N283" s="260">
        <f ca="1">IFERROR(OFFSET(INDIRECT(#REF!),MATCH([2]Development_Schedule_EK!Q$6,INDIRECT(#REF!),0)-1,MATCH([2]Development_Schedule_EK!$B279,INDIRECT(#REF!),0),1,1)*$D283,0)</f>
        <v>0</v>
      </c>
      <c r="O283" s="265">
        <f ca="1">IFERROR(OFFSET(INDIRECT(#REF!),MATCH([2]Development_Schedule_EK!R$6,INDIRECT(#REF!),0)-1,MATCH([2]Development_Schedule_EK!$B279,INDIRECT(#REF!),0),1,1)*$D283,0)</f>
        <v>0</v>
      </c>
      <c r="P283" s="183"/>
      <c r="Q283" s="184"/>
      <c r="R283" s="183"/>
    </row>
    <row r="284" spans="1:18" x14ac:dyDescent="0.25">
      <c r="A284" s="284">
        <v>2</v>
      </c>
      <c r="B284" s="774" t="s">
        <v>35</v>
      </c>
      <c r="C284" s="262"/>
      <c r="D284" s="270">
        <v>11593</v>
      </c>
      <c r="E284" s="266"/>
      <c r="F284" s="260">
        <f ca="1">IFERROR(OFFSET(INDIRECT(#REF!),MATCH([2]Development_Schedule_EK!I$6,INDIRECT(#REF!),0)-1,MATCH([2]Development_Schedule_EK!$B281,INDIRECT(#REF!),0),1,1)*$D284,0)</f>
        <v>0</v>
      </c>
      <c r="G284" s="260">
        <f ca="1">IFERROR(OFFSET(INDIRECT(#REF!),MATCH([2]Development_Schedule_EK!J$6,INDIRECT(#REF!),0)-1,MATCH([2]Development_Schedule_EK!$B281,INDIRECT(#REF!),0),1,1)*$D284,0)</f>
        <v>0</v>
      </c>
      <c r="H284" s="265">
        <f ca="1">IFERROR(OFFSET(INDIRECT(#REF!),MATCH([2]Development_Schedule_EK!K$6,INDIRECT(#REF!),0)-1,MATCH([2]Development_Schedule_EK!$B281,INDIRECT(#REF!),0),1,1)*$D284,0)</f>
        <v>0</v>
      </c>
      <c r="I284" s="260">
        <f>D284</f>
        <v>11593</v>
      </c>
      <c r="J284" s="260">
        <f ca="1">IFERROR(OFFSET(INDIRECT(#REF!),MATCH([2]Development_Schedule_EK!M$6,INDIRECT(#REF!),0)-1,MATCH([2]Development_Schedule_EK!$B281,INDIRECT(#REF!),0),1,1)*$D284,0)</f>
        <v>0</v>
      </c>
      <c r="K284" s="260">
        <f ca="1">IFERROR(OFFSET(INDIRECT(#REF!),MATCH([2]Development_Schedule_EK!N$6,INDIRECT(#REF!),0)-1,MATCH([2]Development_Schedule_EK!$B281,INDIRECT(#REF!),0),1,1)*$D284,0)</f>
        <v>0</v>
      </c>
      <c r="L284" s="265">
        <f ca="1">IFERROR(OFFSET(INDIRECT(#REF!),MATCH([2]Development_Schedule_EK!O$6,INDIRECT(#REF!),0)-1,MATCH([2]Development_Schedule_EK!$B281,INDIRECT(#REF!),0),1,1)*$D284,0)</f>
        <v>0</v>
      </c>
      <c r="M284" s="260">
        <f ca="1">IFERROR(OFFSET(INDIRECT(#REF!),MATCH([2]Development_Schedule_EK!P$6,INDIRECT(#REF!),0)-1,MATCH([2]Development_Schedule_EK!$B281,INDIRECT(#REF!),0),1,1)*$D284,0)</f>
        <v>0</v>
      </c>
      <c r="N284" s="260">
        <f ca="1">IFERROR(OFFSET(INDIRECT(#REF!),MATCH([2]Development_Schedule_EK!Q$6,INDIRECT(#REF!),0)-1,MATCH([2]Development_Schedule_EK!$B281,INDIRECT(#REF!),0),1,1)*$D284,0)</f>
        <v>0</v>
      </c>
      <c r="O284" s="265">
        <f ca="1">IFERROR(OFFSET(INDIRECT(#REF!),MATCH([2]Development_Schedule_EK!R$6,INDIRECT(#REF!),0)-1,MATCH([2]Development_Schedule_EK!$B281,INDIRECT(#REF!),0),1,1)*$D284,0)</f>
        <v>0</v>
      </c>
      <c r="P284" s="183"/>
      <c r="Q284" s="184"/>
      <c r="R284" s="183"/>
    </row>
    <row r="285" spans="1:18" x14ac:dyDescent="0.25">
      <c r="A285" s="284">
        <v>2</v>
      </c>
      <c r="B285" s="774" t="s">
        <v>355</v>
      </c>
      <c r="C285" s="262"/>
      <c r="D285" s="270">
        <f ca="1">IFERROR(OFFSET(INDIRECT(#REF!),MATCH([2]Development_Schedule_EK!$E282,INDIRECT(#REF!),0)-1,MATCH([2]Development_Schedule_EK!$B282,INDIRECT(#REF!),0),1,1),0)</f>
        <v>0</v>
      </c>
      <c r="E285" s="266"/>
      <c r="F285" s="260">
        <f ca="1">IFERROR(OFFSET(INDIRECT(#REF!),MATCH([2]Development_Schedule_EK!I$6,INDIRECT(#REF!),0)-1,MATCH([2]Development_Schedule_EK!$B282,INDIRECT(#REF!),0),1,1)*$D285,0)</f>
        <v>0</v>
      </c>
      <c r="G285" s="260">
        <f ca="1">IFERROR(OFFSET(INDIRECT(#REF!),MATCH([2]Development_Schedule_EK!J$6,INDIRECT(#REF!),0)-1,MATCH([2]Development_Schedule_EK!$B282,INDIRECT(#REF!),0),1,1)*$D285,0)</f>
        <v>0</v>
      </c>
      <c r="H285" s="265">
        <f ca="1">IFERROR(OFFSET(INDIRECT(#REF!),MATCH([2]Development_Schedule_EK!K$6,INDIRECT(#REF!),0)-1,MATCH([2]Development_Schedule_EK!$B282,INDIRECT(#REF!),0),1,1)*$D285,0)</f>
        <v>0</v>
      </c>
      <c r="I285" s="260">
        <f ca="1">IFERROR(OFFSET(INDIRECT(#REF!),MATCH([2]Development_Schedule_EK!L$6,INDIRECT(#REF!),0)-1,MATCH([2]Development_Schedule_EK!$B282,INDIRECT(#REF!),0),1,1)*$D285,0)</f>
        <v>0</v>
      </c>
      <c r="J285" s="260">
        <f ca="1">IFERROR(OFFSET(INDIRECT(#REF!),MATCH([2]Development_Schedule_EK!M$6,INDIRECT(#REF!),0)-1,MATCH([2]Development_Schedule_EK!$B282,INDIRECT(#REF!),0),1,1)*$D285,0)</f>
        <v>0</v>
      </c>
      <c r="K285" s="260">
        <f ca="1">IFERROR(OFFSET(INDIRECT(#REF!),MATCH([2]Development_Schedule_EK!N$6,INDIRECT(#REF!),0)-1,MATCH([2]Development_Schedule_EK!$B282,INDIRECT(#REF!),0),1,1)*$D285,0)</f>
        <v>0</v>
      </c>
      <c r="L285" s="265">
        <f ca="1">IFERROR(OFFSET(INDIRECT(#REF!),MATCH([2]Development_Schedule_EK!O$6,INDIRECT(#REF!),0)-1,MATCH([2]Development_Schedule_EK!$B282,INDIRECT(#REF!),0),1,1)*$D285,0)</f>
        <v>0</v>
      </c>
      <c r="M285" s="260">
        <f ca="1">IFERROR(OFFSET(INDIRECT(#REF!),MATCH([2]Development_Schedule_EK!P$6,INDIRECT(#REF!),0)-1,MATCH([2]Development_Schedule_EK!$B282,INDIRECT(#REF!),0),1,1)*$D285,0)</f>
        <v>0</v>
      </c>
      <c r="N285" s="260">
        <f ca="1">IFERROR(OFFSET(INDIRECT(#REF!),MATCH([2]Development_Schedule_EK!Q$6,INDIRECT(#REF!),0)-1,MATCH([2]Development_Schedule_EK!$B282,INDIRECT(#REF!),0),1,1)*$D285,0)</f>
        <v>0</v>
      </c>
      <c r="O285" s="265">
        <f ca="1">IFERROR(OFFSET(INDIRECT(#REF!),MATCH([2]Development_Schedule_EK!R$6,INDIRECT(#REF!),0)-1,MATCH([2]Development_Schedule_EK!$B282,INDIRECT(#REF!),0),1,1)*$D285,0)</f>
        <v>0</v>
      </c>
      <c r="P285" s="183"/>
      <c r="Q285" s="184"/>
      <c r="R285" s="183"/>
    </row>
    <row r="286" spans="1:18" x14ac:dyDescent="0.25">
      <c r="A286" s="284">
        <v>2</v>
      </c>
      <c r="B286" s="774" t="s">
        <v>356</v>
      </c>
      <c r="C286" s="262"/>
      <c r="D286" s="270">
        <f ca="1">IFERROR(OFFSET(INDIRECT(#REF!),MATCH([2]Development_Schedule_EK!$E283,INDIRECT(#REF!),0)-1,MATCH([2]Development_Schedule_EK!$B283,INDIRECT(#REF!),0),1,1),0)</f>
        <v>0</v>
      </c>
      <c r="E286" s="266"/>
      <c r="F286" s="260">
        <f ca="1">IFERROR(OFFSET(INDIRECT(#REF!),MATCH([2]Development_Schedule_EK!I$6,INDIRECT(#REF!),0)-1,MATCH([2]Development_Schedule_EK!$B283,INDIRECT(#REF!),0),1,1)*$D286,0)</f>
        <v>0</v>
      </c>
      <c r="G286" s="260">
        <f ca="1">IFERROR(OFFSET(INDIRECT(#REF!),MATCH([2]Development_Schedule_EK!J$6,INDIRECT(#REF!),0)-1,MATCH([2]Development_Schedule_EK!$B283,INDIRECT(#REF!),0),1,1)*$D286,0)</f>
        <v>0</v>
      </c>
      <c r="H286" s="265">
        <f ca="1">IFERROR(OFFSET(INDIRECT(#REF!),MATCH([2]Development_Schedule_EK!K$6,INDIRECT(#REF!),0)-1,MATCH([2]Development_Schedule_EK!$B283,INDIRECT(#REF!),0),1,1)*$D286,0)</f>
        <v>0</v>
      </c>
      <c r="I286" s="260">
        <f ca="1">IFERROR(OFFSET(INDIRECT(#REF!),MATCH([2]Development_Schedule_EK!L$6,INDIRECT(#REF!),0)-1,MATCH([2]Development_Schedule_EK!$B283,INDIRECT(#REF!),0),1,1)*$D286,0)</f>
        <v>0</v>
      </c>
      <c r="J286" s="260">
        <f ca="1">IFERROR(OFFSET(INDIRECT(#REF!),MATCH([2]Development_Schedule_EK!M$6,INDIRECT(#REF!),0)-1,MATCH([2]Development_Schedule_EK!$B283,INDIRECT(#REF!),0),1,1)*$D286,0)</f>
        <v>0</v>
      </c>
      <c r="K286" s="260">
        <f ca="1">IFERROR(OFFSET(INDIRECT(#REF!),MATCH([2]Development_Schedule_EK!N$6,INDIRECT(#REF!),0)-1,MATCH([2]Development_Schedule_EK!$B283,INDIRECT(#REF!),0),1,1)*$D286,0)</f>
        <v>0</v>
      </c>
      <c r="L286" s="265">
        <f ca="1">IFERROR(OFFSET(INDIRECT(#REF!),MATCH([2]Development_Schedule_EK!O$6,INDIRECT(#REF!),0)-1,MATCH([2]Development_Schedule_EK!$B283,INDIRECT(#REF!),0),1,1)*$D286,0)</f>
        <v>0</v>
      </c>
      <c r="M286" s="260">
        <f ca="1">IFERROR(OFFSET(INDIRECT(#REF!),MATCH([2]Development_Schedule_EK!P$6,INDIRECT(#REF!),0)-1,MATCH([2]Development_Schedule_EK!$B283,INDIRECT(#REF!),0),1,1)*$D286,0)</f>
        <v>0</v>
      </c>
      <c r="N286" s="260">
        <f ca="1">IFERROR(OFFSET(INDIRECT(#REF!),MATCH([2]Development_Schedule_EK!Q$6,INDIRECT(#REF!),0)-1,MATCH([2]Development_Schedule_EK!$B283,INDIRECT(#REF!),0),1,1)*$D286,0)</f>
        <v>0</v>
      </c>
      <c r="O286" s="265">
        <f ca="1">IFERROR(OFFSET(INDIRECT(#REF!),MATCH([2]Development_Schedule_EK!R$6,INDIRECT(#REF!),0)-1,MATCH([2]Development_Schedule_EK!$B283,INDIRECT(#REF!),0),1,1)*$D286,0)</f>
        <v>0</v>
      </c>
      <c r="P286" s="183"/>
      <c r="Q286" s="184"/>
      <c r="R286" s="183"/>
    </row>
    <row r="287" spans="1:18" x14ac:dyDescent="0.25">
      <c r="A287" s="284">
        <v>2</v>
      </c>
      <c r="B287" s="774" t="s">
        <v>357</v>
      </c>
      <c r="C287" s="262"/>
      <c r="D287" s="270">
        <f ca="1">IFERROR(OFFSET(INDIRECT(#REF!),MATCH([2]Development_Schedule_EK!$E284,INDIRECT(#REF!),0)-1,MATCH([2]Development_Schedule_EK!$B284,INDIRECT(#REF!),0),1,1),0)</f>
        <v>0</v>
      </c>
      <c r="E287" s="266"/>
      <c r="F287" s="260">
        <f ca="1">IFERROR(OFFSET(INDIRECT(#REF!),MATCH([2]Development_Schedule_EK!I$6,INDIRECT(#REF!),0)-1,MATCH([2]Development_Schedule_EK!$B284,INDIRECT(#REF!),0),1,1)*$D287,0)</f>
        <v>0</v>
      </c>
      <c r="G287" s="260">
        <f ca="1">IFERROR(OFFSET(INDIRECT(#REF!),MATCH([2]Development_Schedule_EK!J$6,INDIRECT(#REF!),0)-1,MATCH([2]Development_Schedule_EK!$B284,INDIRECT(#REF!),0),1,1)*$D287,0)</f>
        <v>0</v>
      </c>
      <c r="H287" s="265">
        <f ca="1">IFERROR(OFFSET(INDIRECT(#REF!),MATCH([2]Development_Schedule_EK!K$6,INDIRECT(#REF!),0)-1,MATCH([2]Development_Schedule_EK!$B284,INDIRECT(#REF!),0),1,1)*$D287,0)</f>
        <v>0</v>
      </c>
      <c r="I287" s="260">
        <f ca="1">IFERROR(OFFSET(INDIRECT(#REF!),MATCH([2]Development_Schedule_EK!L$6,INDIRECT(#REF!),0)-1,MATCH([2]Development_Schedule_EK!$B284,INDIRECT(#REF!),0),1,1)*$D287,0)</f>
        <v>0</v>
      </c>
      <c r="J287" s="260">
        <f ca="1">IFERROR(OFFSET(INDIRECT(#REF!),MATCH([2]Development_Schedule_EK!M$6,INDIRECT(#REF!),0)-1,MATCH([2]Development_Schedule_EK!$B284,INDIRECT(#REF!),0),1,1)*$D287,0)</f>
        <v>0</v>
      </c>
      <c r="K287" s="260">
        <f ca="1">IFERROR(OFFSET(INDIRECT(#REF!),MATCH([2]Development_Schedule_EK!N$6,INDIRECT(#REF!),0)-1,MATCH([2]Development_Schedule_EK!$B284,INDIRECT(#REF!),0),1,1)*$D287,0)</f>
        <v>0</v>
      </c>
      <c r="L287" s="265">
        <f ca="1">IFERROR(OFFSET(INDIRECT(#REF!),MATCH([2]Development_Schedule_EK!O$6,INDIRECT(#REF!),0)-1,MATCH([2]Development_Schedule_EK!$B284,INDIRECT(#REF!),0),1,1)*$D287,0)</f>
        <v>0</v>
      </c>
      <c r="M287" s="260">
        <f ca="1">IFERROR(OFFSET(INDIRECT(#REF!),MATCH([2]Development_Schedule_EK!P$6,INDIRECT(#REF!),0)-1,MATCH([2]Development_Schedule_EK!$B284,INDIRECT(#REF!),0),1,1)*$D287,0)</f>
        <v>0</v>
      </c>
      <c r="N287" s="260">
        <f ca="1">IFERROR(OFFSET(INDIRECT(#REF!),MATCH([2]Development_Schedule_EK!Q$6,INDIRECT(#REF!),0)-1,MATCH([2]Development_Schedule_EK!$B284,INDIRECT(#REF!),0),1,1)*$D287,0)</f>
        <v>0</v>
      </c>
      <c r="O287" s="265">
        <f ca="1">IFERROR(OFFSET(INDIRECT(#REF!),MATCH([2]Development_Schedule_EK!R$6,INDIRECT(#REF!),0)-1,MATCH([2]Development_Schedule_EK!$B284,INDIRECT(#REF!),0),1,1)*$D287,0)</f>
        <v>0</v>
      </c>
      <c r="P287" s="183"/>
      <c r="Q287" s="184"/>
      <c r="R287" s="183"/>
    </row>
    <row r="288" spans="1:18" x14ac:dyDescent="0.25">
      <c r="A288" s="284">
        <v>2</v>
      </c>
      <c r="B288" s="774" t="s">
        <v>358</v>
      </c>
      <c r="C288" s="262"/>
      <c r="D288" s="270">
        <f ca="1">IFERROR(OFFSET(INDIRECT(#REF!),MATCH([2]Development_Schedule_EK!$E285,INDIRECT(#REF!),0)-1,MATCH([2]Development_Schedule_EK!$B285,INDIRECT(#REF!),0),1,1),0)</f>
        <v>0</v>
      </c>
      <c r="E288" s="266"/>
      <c r="F288" s="260">
        <f ca="1">IFERROR(OFFSET(INDIRECT(#REF!),MATCH([2]Development_Schedule_EK!I$6,INDIRECT(#REF!),0)-1,MATCH([2]Development_Schedule_EK!$B285,INDIRECT(#REF!),0),1,1)*$D288,0)</f>
        <v>0</v>
      </c>
      <c r="G288" s="260">
        <f ca="1">IFERROR(OFFSET(INDIRECT(#REF!),MATCH([2]Development_Schedule_EK!J$6,INDIRECT(#REF!),0)-1,MATCH([2]Development_Schedule_EK!$B285,INDIRECT(#REF!),0),1,1)*$D288,0)</f>
        <v>0</v>
      </c>
      <c r="H288" s="265">
        <f ca="1">IFERROR(OFFSET(INDIRECT(#REF!),MATCH([2]Development_Schedule_EK!K$6,INDIRECT(#REF!),0)-1,MATCH([2]Development_Schedule_EK!$B285,INDIRECT(#REF!),0),1,1)*$D288,0)</f>
        <v>0</v>
      </c>
      <c r="I288" s="260">
        <f ca="1">IFERROR(OFFSET(INDIRECT(#REF!),MATCH([2]Development_Schedule_EK!L$6,INDIRECT(#REF!),0)-1,MATCH([2]Development_Schedule_EK!$B285,INDIRECT(#REF!),0),1,1)*$D288,0)</f>
        <v>0</v>
      </c>
      <c r="J288" s="260">
        <f ca="1">IFERROR(OFFSET(INDIRECT(#REF!),MATCH([2]Development_Schedule_EK!M$6,INDIRECT(#REF!),0)-1,MATCH([2]Development_Schedule_EK!$B285,INDIRECT(#REF!),0),1,1)*$D288,0)</f>
        <v>0</v>
      </c>
      <c r="K288" s="260">
        <f ca="1">IFERROR(OFFSET(INDIRECT(#REF!),MATCH([2]Development_Schedule_EK!N$6,INDIRECT(#REF!),0)-1,MATCH([2]Development_Schedule_EK!$B285,INDIRECT(#REF!),0),1,1)*$D288,0)</f>
        <v>0</v>
      </c>
      <c r="L288" s="265">
        <f ca="1">IFERROR(OFFSET(INDIRECT(#REF!),MATCH([2]Development_Schedule_EK!O$6,INDIRECT(#REF!),0)-1,MATCH([2]Development_Schedule_EK!$B285,INDIRECT(#REF!),0),1,1)*$D288,0)</f>
        <v>0</v>
      </c>
      <c r="M288" s="260">
        <f ca="1">IFERROR(OFFSET(INDIRECT(#REF!),MATCH([2]Development_Schedule_EK!P$6,INDIRECT(#REF!),0)-1,MATCH([2]Development_Schedule_EK!$B285,INDIRECT(#REF!),0),1,1)*$D288,0)</f>
        <v>0</v>
      </c>
      <c r="N288" s="260">
        <f ca="1">IFERROR(OFFSET(INDIRECT(#REF!),MATCH([2]Development_Schedule_EK!Q$6,INDIRECT(#REF!),0)-1,MATCH([2]Development_Schedule_EK!$B285,INDIRECT(#REF!),0),1,1)*$D288,0)</f>
        <v>0</v>
      </c>
      <c r="O288" s="265">
        <f ca="1">IFERROR(OFFSET(INDIRECT(#REF!),MATCH([2]Development_Schedule_EK!R$6,INDIRECT(#REF!),0)-1,MATCH([2]Development_Schedule_EK!$B285,INDIRECT(#REF!),0),1,1)*$D288,0)</f>
        <v>0</v>
      </c>
      <c r="P288" s="183"/>
      <c r="Q288" s="184"/>
      <c r="R288" s="183"/>
    </row>
    <row r="289" spans="1:18" x14ac:dyDescent="0.25">
      <c r="A289" s="284">
        <v>2</v>
      </c>
      <c r="B289" s="774" t="s">
        <v>385</v>
      </c>
      <c r="C289" s="262"/>
      <c r="D289" s="270">
        <f ca="1">IFERROR(OFFSET(INDIRECT(#REF!),MATCH([2]Development_Schedule_EK!$E286,INDIRECT(#REF!),0)-1,MATCH([2]Development_Schedule_EK!$B286,INDIRECT(#REF!),0),1,1),0)</f>
        <v>0</v>
      </c>
      <c r="E289" s="266"/>
      <c r="F289" s="260">
        <f ca="1">IFERROR(OFFSET(INDIRECT(#REF!),MATCH([2]Development_Schedule_EK!I$6,INDIRECT(#REF!),0)-1,MATCH([2]Development_Schedule_EK!$B286,INDIRECT(#REF!),0),1,1)*$D289,0)</f>
        <v>0</v>
      </c>
      <c r="G289" s="260">
        <f ca="1">IFERROR(OFFSET(INDIRECT(#REF!),MATCH([2]Development_Schedule_EK!J$6,INDIRECT(#REF!),0)-1,MATCH([2]Development_Schedule_EK!$B286,INDIRECT(#REF!),0),1,1)*$D289,0)</f>
        <v>0</v>
      </c>
      <c r="H289" s="265">
        <f ca="1">IFERROR(OFFSET(INDIRECT(#REF!),MATCH([2]Development_Schedule_EK!K$6,INDIRECT(#REF!),0)-1,MATCH([2]Development_Schedule_EK!$B286,INDIRECT(#REF!),0),1,1)*$D289,0)</f>
        <v>0</v>
      </c>
      <c r="I289" s="260">
        <f ca="1">IFERROR(OFFSET(INDIRECT(#REF!),MATCH([2]Development_Schedule_EK!L$6,INDIRECT(#REF!),0)-1,MATCH([2]Development_Schedule_EK!$B286,INDIRECT(#REF!),0),1,1)*$D289,0)</f>
        <v>0</v>
      </c>
      <c r="J289" s="260">
        <f ca="1">IFERROR(OFFSET(INDIRECT(#REF!),MATCH([2]Development_Schedule_EK!M$6,INDIRECT(#REF!),0)-1,MATCH([2]Development_Schedule_EK!$B286,INDIRECT(#REF!),0),1,1)*$D289,0)</f>
        <v>0</v>
      </c>
      <c r="K289" s="260">
        <f ca="1">IFERROR(OFFSET(INDIRECT(#REF!),MATCH([2]Development_Schedule_EK!N$6,INDIRECT(#REF!),0)-1,MATCH([2]Development_Schedule_EK!$B286,INDIRECT(#REF!),0),1,1)*$D289,0)</f>
        <v>0</v>
      </c>
      <c r="L289" s="265">
        <f ca="1">IFERROR(OFFSET(INDIRECT(#REF!),MATCH([2]Development_Schedule_EK!O$6,INDIRECT(#REF!),0)-1,MATCH([2]Development_Schedule_EK!$B286,INDIRECT(#REF!),0),1,1)*$D289,0)</f>
        <v>0</v>
      </c>
      <c r="M289" s="260">
        <f ca="1">IFERROR(OFFSET(INDIRECT(#REF!),MATCH([2]Development_Schedule_EK!P$6,INDIRECT(#REF!),0)-1,MATCH([2]Development_Schedule_EK!$B286,INDIRECT(#REF!),0),1,1)*$D289,0)</f>
        <v>0</v>
      </c>
      <c r="N289" s="260">
        <f ca="1">IFERROR(OFFSET(INDIRECT(#REF!),MATCH([2]Development_Schedule_EK!Q$6,INDIRECT(#REF!),0)-1,MATCH([2]Development_Schedule_EK!$B286,INDIRECT(#REF!),0),1,1)*$D289,0)</f>
        <v>0</v>
      </c>
      <c r="O289" s="265">
        <f ca="1">IFERROR(OFFSET(INDIRECT(#REF!),MATCH([2]Development_Schedule_EK!R$6,INDIRECT(#REF!),0)-1,MATCH([2]Development_Schedule_EK!$B286,INDIRECT(#REF!),0),1,1)*$D289,0)</f>
        <v>0</v>
      </c>
      <c r="P289" s="183"/>
      <c r="Q289" s="184"/>
      <c r="R289" s="183"/>
    </row>
    <row r="290" spans="1:18" x14ac:dyDescent="0.25">
      <c r="A290" s="284">
        <v>2</v>
      </c>
      <c r="B290" s="774" t="s">
        <v>33</v>
      </c>
      <c r="C290" s="262"/>
      <c r="D290" s="270">
        <f ca="1">IFERROR(OFFSET(INDIRECT(#REF!),MATCH([2]Development_Schedule_EK!$E287,INDIRECT(#REF!),0)-1,MATCH([2]Development_Schedule_EK!$B287,INDIRECT(#REF!),0),1,1),0)</f>
        <v>0</v>
      </c>
      <c r="E290" s="266"/>
      <c r="F290" s="260">
        <f ca="1">IFERROR(OFFSET(INDIRECT(#REF!),MATCH([2]Development_Schedule_EK!I$6,INDIRECT(#REF!),0)-1,MATCH([2]Development_Schedule_EK!$B287,INDIRECT(#REF!),0),1,1)*$D290,0)</f>
        <v>0</v>
      </c>
      <c r="G290" s="260">
        <f ca="1">IFERROR(OFFSET(INDIRECT(#REF!),MATCH([2]Development_Schedule_EK!J$6,INDIRECT(#REF!),0)-1,MATCH([2]Development_Schedule_EK!$B287,INDIRECT(#REF!),0),1,1)*$D290,0)</f>
        <v>0</v>
      </c>
      <c r="H290" s="265">
        <f ca="1">IFERROR(OFFSET(INDIRECT(#REF!),MATCH([2]Development_Schedule_EK!K$6,INDIRECT(#REF!),0)-1,MATCH([2]Development_Schedule_EK!$B287,INDIRECT(#REF!),0),1,1)*$D290,0)</f>
        <v>0</v>
      </c>
      <c r="I290" s="260">
        <f ca="1">IFERROR(OFFSET(INDIRECT(#REF!),MATCH([2]Development_Schedule_EK!L$6,INDIRECT(#REF!),0)-1,MATCH([2]Development_Schedule_EK!$B287,INDIRECT(#REF!),0),1,1)*$D290,0)</f>
        <v>0</v>
      </c>
      <c r="J290" s="260">
        <f ca="1">IFERROR(OFFSET(INDIRECT(#REF!),MATCH([2]Development_Schedule_EK!M$6,INDIRECT(#REF!),0)-1,MATCH([2]Development_Schedule_EK!$B287,INDIRECT(#REF!),0),1,1)*$D290,0)</f>
        <v>0</v>
      </c>
      <c r="K290" s="260">
        <f ca="1">IFERROR(OFFSET(INDIRECT(#REF!),MATCH([2]Development_Schedule_EK!N$6,INDIRECT(#REF!),0)-1,MATCH([2]Development_Schedule_EK!$B287,INDIRECT(#REF!),0),1,1)*$D290,0)</f>
        <v>0</v>
      </c>
      <c r="L290" s="265">
        <f ca="1">IFERROR(OFFSET(INDIRECT(#REF!),MATCH([2]Development_Schedule_EK!O$6,INDIRECT(#REF!),0)-1,MATCH([2]Development_Schedule_EK!$B287,INDIRECT(#REF!),0),1,1)*$D290,0)</f>
        <v>0</v>
      </c>
      <c r="M290" s="260">
        <f ca="1">IFERROR(OFFSET(INDIRECT(#REF!),MATCH([2]Development_Schedule_EK!P$6,INDIRECT(#REF!),0)-1,MATCH([2]Development_Schedule_EK!$B287,INDIRECT(#REF!),0),1,1)*$D290,0)</f>
        <v>0</v>
      </c>
      <c r="N290" s="260">
        <f ca="1">IFERROR(OFFSET(INDIRECT(#REF!),MATCH([2]Development_Schedule_EK!Q$6,INDIRECT(#REF!),0)-1,MATCH([2]Development_Schedule_EK!$B287,INDIRECT(#REF!),0),1,1)*$D290,0)</f>
        <v>0</v>
      </c>
      <c r="O290" s="265">
        <f ca="1">IFERROR(OFFSET(INDIRECT(#REF!),MATCH([2]Development_Schedule_EK!R$6,INDIRECT(#REF!),0)-1,MATCH([2]Development_Schedule_EK!$B287,INDIRECT(#REF!),0),1,1)*$D290,0)</f>
        <v>0</v>
      </c>
      <c r="P290" s="183"/>
      <c r="Q290" s="184"/>
      <c r="R290" s="183"/>
    </row>
    <row r="291" spans="1:18" x14ac:dyDescent="0.25">
      <c r="A291" s="284">
        <v>2</v>
      </c>
      <c r="B291" s="774" t="s">
        <v>42</v>
      </c>
      <c r="C291" s="262"/>
      <c r="D291" s="270">
        <v>8984</v>
      </c>
      <c r="E291" s="266"/>
      <c r="F291" s="260">
        <f ca="1">IFERROR(OFFSET(INDIRECT(#REF!),MATCH([2]Development_Schedule_EK!I$6,INDIRECT(#REF!),0)-1,MATCH([2]Development_Schedule_EK!$B288,INDIRECT(#REF!),0),1,1)*$D291,0)</f>
        <v>0</v>
      </c>
      <c r="G291" s="260">
        <f ca="1">IFERROR(OFFSET(INDIRECT(#REF!),MATCH([2]Development_Schedule_EK!J$6,INDIRECT(#REF!),0)-1,MATCH([2]Development_Schedule_EK!$B288,INDIRECT(#REF!),0),1,1)*$D291,0)</f>
        <v>0</v>
      </c>
      <c r="H291" s="265">
        <f ca="1">IFERROR(OFFSET(INDIRECT(#REF!),MATCH([2]Development_Schedule_EK!K$6,INDIRECT(#REF!),0)-1,MATCH([2]Development_Schedule_EK!$B288,INDIRECT(#REF!),0),1,1)*$D291,0)</f>
        <v>0</v>
      </c>
      <c r="I291" s="260">
        <f>D291</f>
        <v>8984</v>
      </c>
      <c r="J291" s="260">
        <f ca="1">IFERROR(OFFSET(INDIRECT(#REF!),MATCH([2]Development_Schedule_EK!M$6,INDIRECT(#REF!),0)-1,MATCH([2]Development_Schedule_EK!$B288,INDIRECT(#REF!),0),1,1)*$D291,0)</f>
        <v>0</v>
      </c>
      <c r="K291" s="260">
        <f ca="1">IFERROR(OFFSET(INDIRECT(#REF!),MATCH([2]Development_Schedule_EK!N$6,INDIRECT(#REF!),0)-1,MATCH([2]Development_Schedule_EK!$B288,INDIRECT(#REF!),0),1,1)*$D291,0)</f>
        <v>0</v>
      </c>
      <c r="L291" s="265">
        <f ca="1">IFERROR(OFFSET(INDIRECT(#REF!),MATCH([2]Development_Schedule_EK!O$6,INDIRECT(#REF!),0)-1,MATCH([2]Development_Schedule_EK!$B288,INDIRECT(#REF!),0),1,1)*$D291,0)</f>
        <v>0</v>
      </c>
      <c r="M291" s="260">
        <f ca="1">IFERROR(OFFSET(INDIRECT(#REF!),MATCH([2]Development_Schedule_EK!P$6,INDIRECT(#REF!),0)-1,MATCH([2]Development_Schedule_EK!$B288,INDIRECT(#REF!),0),1,1)*$D291,0)</f>
        <v>0</v>
      </c>
      <c r="N291" s="260">
        <f ca="1">IFERROR(OFFSET(INDIRECT(#REF!),MATCH([2]Development_Schedule_EK!Q$6,INDIRECT(#REF!),0)-1,MATCH([2]Development_Schedule_EK!$B288,INDIRECT(#REF!),0),1,1)*$D291,0)</f>
        <v>0</v>
      </c>
      <c r="O291" s="265">
        <f ca="1">IFERROR(OFFSET(INDIRECT(#REF!),MATCH([2]Development_Schedule_EK!R$6,INDIRECT(#REF!),0)-1,MATCH([2]Development_Schedule_EK!$B288,INDIRECT(#REF!),0),1,1)*$D291,0)</f>
        <v>0</v>
      </c>
      <c r="P291" s="183"/>
      <c r="Q291" s="184"/>
      <c r="R291" s="183"/>
    </row>
    <row r="292" spans="1:18" x14ac:dyDescent="0.25">
      <c r="B292" s="774"/>
      <c r="C292" s="262"/>
      <c r="D292" s="270"/>
      <c r="E292" s="266"/>
      <c r="F292" s="256"/>
      <c r="G292" s="256"/>
      <c r="H292" s="263"/>
      <c r="I292" s="256"/>
      <c r="J292" s="256"/>
      <c r="K292" s="256"/>
      <c r="L292" s="263"/>
      <c r="M292" s="256"/>
      <c r="N292" s="256"/>
      <c r="O292" s="263"/>
      <c r="P292" s="183"/>
      <c r="Q292" s="184"/>
      <c r="R292" s="183"/>
    </row>
    <row r="293" spans="1:18" x14ac:dyDescent="0.25">
      <c r="B293" s="774"/>
      <c r="C293" s="262"/>
      <c r="D293" s="270"/>
      <c r="E293" s="266"/>
      <c r="F293" s="256"/>
      <c r="G293" s="256"/>
      <c r="H293" s="263"/>
      <c r="I293" s="256"/>
      <c r="J293" s="256"/>
      <c r="K293" s="256"/>
      <c r="L293" s="263"/>
      <c r="M293" s="256"/>
      <c r="N293" s="256"/>
      <c r="O293" s="263"/>
      <c r="P293" s="183"/>
      <c r="Q293" s="184"/>
      <c r="R293" s="183"/>
    </row>
    <row r="294" spans="1:18" x14ac:dyDescent="0.25">
      <c r="B294" s="776" t="s">
        <v>400</v>
      </c>
      <c r="C294" s="262"/>
      <c r="D294" s="270"/>
      <c r="E294" s="266"/>
      <c r="F294" s="256"/>
      <c r="G294" s="256"/>
      <c r="H294" s="263"/>
      <c r="I294" s="256"/>
      <c r="J294" s="256"/>
      <c r="K294" s="256"/>
      <c r="L294" s="263"/>
      <c r="M294" s="256"/>
      <c r="N294" s="256"/>
      <c r="O294" s="263"/>
      <c r="P294" s="183"/>
      <c r="Q294" s="184"/>
      <c r="R294" s="183"/>
    </row>
    <row r="295" spans="1:18" x14ac:dyDescent="0.25">
      <c r="A295" s="284">
        <v>2</v>
      </c>
      <c r="B295" s="774" t="s">
        <v>381</v>
      </c>
      <c r="C295" s="262"/>
      <c r="D295" s="270">
        <f ca="1">IFERROR(OFFSET(INDIRECT(#REF!),MATCH([2]Development_Schedule_EK!$E292,INDIRECT(#REF!),0)-1,MATCH([2]Development_Schedule_EK!$B292,INDIRECT(#REF!),0),1,1),0)</f>
        <v>0</v>
      </c>
      <c r="E295" s="266"/>
      <c r="F295" s="260">
        <f ca="1">IFERROR(OFFSET(INDIRECT(#REF!),MATCH([2]Development_Schedule_EK!I$6,INDIRECT(#REF!),0)-1,MATCH([2]Development_Schedule_EK!$B292,INDIRECT(#REF!),0),1,1)*$D295,0)</f>
        <v>0</v>
      </c>
      <c r="G295" s="260">
        <f ca="1">IFERROR(OFFSET(INDIRECT(#REF!),MATCH([2]Development_Schedule_EK!J$6,INDIRECT(#REF!),0)-1,MATCH([2]Development_Schedule_EK!$B292,INDIRECT(#REF!),0),1,1)*$D295,0)</f>
        <v>0</v>
      </c>
      <c r="H295" s="265">
        <f ca="1">IFERROR(OFFSET(INDIRECT(#REF!),MATCH([2]Development_Schedule_EK!K$6,INDIRECT(#REF!),0)-1,MATCH([2]Development_Schedule_EK!$B292,INDIRECT(#REF!),0),1,1)*$D295,0)</f>
        <v>0</v>
      </c>
      <c r="I295" s="260">
        <f ca="1">IFERROR(OFFSET(INDIRECT(#REF!),MATCH([2]Development_Schedule_EK!L$6,INDIRECT(#REF!),0)-1,MATCH([2]Development_Schedule_EK!$B292,INDIRECT(#REF!),0),1,1)*$D295,0)</f>
        <v>0</v>
      </c>
      <c r="J295" s="260">
        <f ca="1">IFERROR(OFFSET(INDIRECT(#REF!),MATCH([2]Development_Schedule_EK!M$6,INDIRECT(#REF!),0)-1,MATCH([2]Development_Schedule_EK!$B292,INDIRECT(#REF!),0),1,1)*$D295,0)</f>
        <v>0</v>
      </c>
      <c r="K295" s="260">
        <f ca="1">IFERROR(OFFSET(INDIRECT(#REF!),MATCH([2]Development_Schedule_EK!N$6,INDIRECT(#REF!),0)-1,MATCH([2]Development_Schedule_EK!$B292,INDIRECT(#REF!),0),1,1)*$D295,0)</f>
        <v>0</v>
      </c>
      <c r="L295" s="265">
        <f ca="1">IFERROR(OFFSET(INDIRECT(#REF!),MATCH([2]Development_Schedule_EK!O$6,INDIRECT(#REF!),0)-1,MATCH([2]Development_Schedule_EK!$B292,INDIRECT(#REF!),0),1,1)*$D295,0)</f>
        <v>0</v>
      </c>
      <c r="M295" s="260">
        <f ca="1">IFERROR(OFFSET(INDIRECT(#REF!),MATCH([2]Development_Schedule_EK!P$6,INDIRECT(#REF!),0)-1,MATCH([2]Development_Schedule_EK!$B292,INDIRECT(#REF!),0),1,1)*$D295,0)</f>
        <v>0</v>
      </c>
      <c r="N295" s="260">
        <f ca="1">IFERROR(OFFSET(INDIRECT(#REF!),MATCH([2]Development_Schedule_EK!Q$6,INDIRECT(#REF!),0)-1,MATCH([2]Development_Schedule_EK!$B292,INDIRECT(#REF!),0),1,1)*$D295,0)</f>
        <v>0</v>
      </c>
      <c r="O295" s="265">
        <f ca="1">IFERROR(OFFSET(INDIRECT(#REF!),MATCH([2]Development_Schedule_EK!R$6,INDIRECT(#REF!),0)-1,MATCH([2]Development_Schedule_EK!$B292,INDIRECT(#REF!),0),1,1)*$D295,0)</f>
        <v>0</v>
      </c>
      <c r="P295" s="183"/>
      <c r="Q295" s="184"/>
      <c r="R295" s="183"/>
    </row>
    <row r="296" spans="1:18" x14ac:dyDescent="0.25">
      <c r="A296" s="284">
        <v>2</v>
      </c>
      <c r="B296" s="774" t="s">
        <v>382</v>
      </c>
      <c r="C296" s="262"/>
      <c r="D296" s="270">
        <f>(39090-D299)*0.8</f>
        <v>25017.600000000002</v>
      </c>
      <c r="E296" s="266"/>
      <c r="F296" s="260">
        <f ca="1">IFERROR(OFFSET(INDIRECT(#REF!),MATCH([2]Development_Schedule_EK!I$6,INDIRECT(#REF!),0)-1,MATCH([2]Development_Schedule_EK!$B292,INDIRECT(#REF!),0),1,1)*$D296,0)</f>
        <v>0</v>
      </c>
      <c r="G296" s="260">
        <f ca="1">IFERROR(OFFSET(INDIRECT(#REF!),MATCH([2]Development_Schedule_EK!J$6,INDIRECT(#REF!),0)-1,MATCH([2]Development_Schedule_EK!$B292,INDIRECT(#REF!),0),1,1)*$D296,0)</f>
        <v>0</v>
      </c>
      <c r="H296" s="265">
        <f ca="1">IFERROR(OFFSET(INDIRECT(#REF!),MATCH([2]Development_Schedule_EK!K$6,INDIRECT(#REF!),0)-1,MATCH([2]Development_Schedule_EK!$B292,INDIRECT(#REF!),0),1,1)*$D296,0)</f>
        <v>0</v>
      </c>
      <c r="I296" s="260">
        <f>D296/2</f>
        <v>12508.800000000001</v>
      </c>
      <c r="J296" s="260">
        <f>I296</f>
        <v>12508.800000000001</v>
      </c>
      <c r="K296" s="260">
        <f ca="1">IFERROR(OFFSET(INDIRECT(#REF!),MATCH([2]Development_Schedule_EK!N$6,INDIRECT(#REF!),0)-1,MATCH([2]Development_Schedule_EK!$B293,INDIRECT(#REF!),0),1,1)*$D296,0)</f>
        <v>0</v>
      </c>
      <c r="L296" s="265">
        <f ca="1">IFERROR(OFFSET(INDIRECT(#REF!),MATCH([2]Development_Schedule_EK!O$6,INDIRECT(#REF!),0)-1,MATCH([2]Development_Schedule_EK!$B293,INDIRECT(#REF!),0),1,1)*$D296,0)</f>
        <v>0</v>
      </c>
      <c r="M296" s="260">
        <f ca="1">IFERROR(OFFSET(INDIRECT(#REF!),MATCH([2]Development_Schedule_EK!P$6,INDIRECT(#REF!),0)-1,MATCH([2]Development_Schedule_EK!$B292,INDIRECT(#REF!),0),1,1)*$D296,0)</f>
        <v>0</v>
      </c>
      <c r="N296" s="260">
        <f ca="1">IFERROR(OFFSET(INDIRECT(#REF!),MATCH([2]Development_Schedule_EK!Q$6,INDIRECT(#REF!),0)-1,MATCH([2]Development_Schedule_EK!$B292,INDIRECT(#REF!),0),1,1)*$D296,0)</f>
        <v>0</v>
      </c>
      <c r="O296" s="265">
        <f ca="1">IFERROR(OFFSET(INDIRECT(#REF!),MATCH([2]Development_Schedule_EK!R$6,INDIRECT(#REF!),0)-1,MATCH([2]Development_Schedule_EK!$B292,INDIRECT(#REF!),0),1,1)*$D296,0)</f>
        <v>0</v>
      </c>
      <c r="P296" s="183"/>
      <c r="Q296" s="184"/>
      <c r="R296" s="183"/>
    </row>
    <row r="297" spans="1:18" x14ac:dyDescent="0.25">
      <c r="A297" s="284">
        <v>2</v>
      </c>
      <c r="B297" s="774" t="s">
        <v>383</v>
      </c>
      <c r="C297" s="262"/>
      <c r="D297" s="270">
        <f ca="1">IFERROR(OFFSET(INDIRECT(#REF!),MATCH([2]Development_Schedule_EK!$E294,INDIRECT(#REF!),0)-1,MATCH([2]Development_Schedule_EK!$B294,INDIRECT(#REF!),0),1,1),0)</f>
        <v>0</v>
      </c>
      <c r="E297" s="266"/>
      <c r="F297" s="260">
        <f ca="1">IFERROR(OFFSET(INDIRECT(#REF!),MATCH([2]Development_Schedule_EK!I$6,INDIRECT(#REF!),0)-1,MATCH([2]Development_Schedule_EK!$B294,INDIRECT(#REF!),0),1,1)*$D297,0)</f>
        <v>0</v>
      </c>
      <c r="G297" s="260">
        <f ca="1">IFERROR(OFFSET(INDIRECT(#REF!),MATCH([2]Development_Schedule_EK!J$6,INDIRECT(#REF!),0)-1,MATCH([2]Development_Schedule_EK!$B294,INDIRECT(#REF!),0),1,1)*$D297,0)</f>
        <v>0</v>
      </c>
      <c r="H297" s="265">
        <f ca="1">IFERROR(OFFSET(INDIRECT(#REF!),MATCH([2]Development_Schedule_EK!K$6,INDIRECT(#REF!),0)-1,MATCH([2]Development_Schedule_EK!$B294,INDIRECT(#REF!),0),1,1)*$D297,0)</f>
        <v>0</v>
      </c>
      <c r="I297" s="260">
        <f ca="1">IFERROR(OFFSET(INDIRECT(#REF!),MATCH([2]Development_Schedule_EK!L$6,INDIRECT(#REF!),0)-1,MATCH([2]Development_Schedule_EK!$B294,INDIRECT(#REF!),0),1,1)*$D297,0)</f>
        <v>0</v>
      </c>
      <c r="J297" s="260">
        <f ca="1">IFERROR(OFFSET(INDIRECT(#REF!),MATCH([2]Development_Schedule_EK!M$6,INDIRECT(#REF!),0)-1,MATCH([2]Development_Schedule_EK!$B294,INDIRECT(#REF!),0),1,1)*$D297,0)</f>
        <v>0</v>
      </c>
      <c r="K297" s="260">
        <f ca="1">IFERROR(OFFSET(INDIRECT(#REF!),MATCH([2]Development_Schedule_EK!N$6,INDIRECT(#REF!),0)-1,MATCH([2]Development_Schedule_EK!$B294,INDIRECT(#REF!),0),1,1)*$D297,0)</f>
        <v>0</v>
      </c>
      <c r="L297" s="265">
        <f ca="1">IFERROR(OFFSET(INDIRECT(#REF!),MATCH([2]Development_Schedule_EK!O$6,INDIRECT(#REF!),0)-1,MATCH([2]Development_Schedule_EK!$B294,INDIRECT(#REF!),0),1,1)*$D297,0)</f>
        <v>0</v>
      </c>
      <c r="M297" s="260">
        <f ca="1">IFERROR(OFFSET(INDIRECT(#REF!),MATCH([2]Development_Schedule_EK!P$6,INDIRECT(#REF!),0)-1,MATCH([2]Development_Schedule_EK!$B294,INDIRECT(#REF!),0),1,1)*$D297,0)</f>
        <v>0</v>
      </c>
      <c r="N297" s="260">
        <f ca="1">IFERROR(OFFSET(INDIRECT(#REF!),MATCH([2]Development_Schedule_EK!Q$6,INDIRECT(#REF!),0)-1,MATCH([2]Development_Schedule_EK!$B294,INDIRECT(#REF!),0),1,1)*$D297,0)</f>
        <v>0</v>
      </c>
      <c r="O297" s="265">
        <f ca="1">IFERROR(OFFSET(INDIRECT(#REF!),MATCH([2]Development_Schedule_EK!R$6,INDIRECT(#REF!),0)-1,MATCH([2]Development_Schedule_EK!$B294,INDIRECT(#REF!),0),1,1)*$D297,0)</f>
        <v>0</v>
      </c>
      <c r="P297" s="183"/>
      <c r="Q297" s="184"/>
      <c r="R297" s="183"/>
    </row>
    <row r="298" spans="1:18" x14ac:dyDescent="0.25">
      <c r="A298" s="284">
        <v>2</v>
      </c>
      <c r="B298" s="774" t="s">
        <v>384</v>
      </c>
      <c r="C298" s="262"/>
      <c r="D298" s="270">
        <f>D296/4</f>
        <v>6254.4000000000005</v>
      </c>
      <c r="E298" s="266"/>
      <c r="F298" s="260">
        <f ca="1">IFERROR(OFFSET(INDIRECT(#REF!),MATCH([2]Development_Schedule_EK!I$6,INDIRECT(#REF!),0)-1,MATCH([2]Development_Schedule_EK!$B294,INDIRECT(#REF!),0),1,1)*$D298,0)</f>
        <v>0</v>
      </c>
      <c r="G298" s="260">
        <f ca="1">IFERROR(OFFSET(INDIRECT(#REF!),MATCH([2]Development_Schedule_EK!J$6,INDIRECT(#REF!),0)-1,MATCH([2]Development_Schedule_EK!$B294,INDIRECT(#REF!),0),1,1)*$D298,0)</f>
        <v>0</v>
      </c>
      <c r="H298" s="265">
        <f ca="1">IFERROR(OFFSET(INDIRECT(#REF!),MATCH([2]Development_Schedule_EK!K$6,INDIRECT(#REF!),0)-1,MATCH([2]Development_Schedule_EK!$B294,INDIRECT(#REF!),0),1,1)*$D298,0)</f>
        <v>0</v>
      </c>
      <c r="I298" s="260">
        <f>D298/2</f>
        <v>3127.2000000000003</v>
      </c>
      <c r="J298" s="260">
        <f>D298/2</f>
        <v>3127.2000000000003</v>
      </c>
      <c r="K298" s="260">
        <f ca="1">K296/4</f>
        <v>0</v>
      </c>
      <c r="L298" s="265">
        <f ca="1">L296/4</f>
        <v>0</v>
      </c>
      <c r="M298" s="260">
        <f ca="1">IFERROR(OFFSET(INDIRECT(#REF!),MATCH([2]Development_Schedule_EK!P$6,INDIRECT(#REF!),0)-1,MATCH([2]Development_Schedule_EK!$B294,INDIRECT(#REF!),0),1,1)*$D298,0)</f>
        <v>0</v>
      </c>
      <c r="N298" s="260">
        <f ca="1">IFERROR(OFFSET(INDIRECT(#REF!),MATCH([2]Development_Schedule_EK!Q$6,INDIRECT(#REF!),0)-1,MATCH([2]Development_Schedule_EK!$B294,INDIRECT(#REF!),0),1,1)*$D298,0)</f>
        <v>0</v>
      </c>
      <c r="O298" s="265">
        <f ca="1">IFERROR(OFFSET(INDIRECT(#REF!),MATCH([2]Development_Schedule_EK!R$6,INDIRECT(#REF!),0)-1,MATCH([2]Development_Schedule_EK!$B294,INDIRECT(#REF!),0),1,1)*$D298,0)</f>
        <v>0</v>
      </c>
      <c r="P298" s="183"/>
      <c r="Q298" s="184"/>
      <c r="R298" s="183"/>
    </row>
    <row r="299" spans="1:18" x14ac:dyDescent="0.25">
      <c r="A299" s="284">
        <v>2</v>
      </c>
      <c r="B299" s="774" t="s">
        <v>35</v>
      </c>
      <c r="C299" s="262"/>
      <c r="D299" s="270">
        <v>7818</v>
      </c>
      <c r="E299" s="266"/>
      <c r="F299" s="260">
        <f ca="1">IFERROR(OFFSET(INDIRECT(#REF!),MATCH([2]Development_Schedule_EK!I$6,INDIRECT(#REF!),0)-1,MATCH([2]Development_Schedule_EK!$B296,INDIRECT(#REF!),0),1,1)*$D299,0)</f>
        <v>0</v>
      </c>
      <c r="G299" s="260">
        <f ca="1">IFERROR(OFFSET(INDIRECT(#REF!),MATCH([2]Development_Schedule_EK!J$6,INDIRECT(#REF!),0)-1,MATCH([2]Development_Schedule_EK!$B296,INDIRECT(#REF!),0),1,1)*$D299,0)</f>
        <v>0</v>
      </c>
      <c r="H299" s="265">
        <f ca="1">IFERROR(OFFSET(INDIRECT(#REF!),MATCH([2]Development_Schedule_EK!K$6,INDIRECT(#REF!),0)-1,MATCH([2]Development_Schedule_EK!$B296,INDIRECT(#REF!),0),1,1)*$D299,0)</f>
        <v>0</v>
      </c>
      <c r="I299" s="260">
        <f>D299</f>
        <v>7818</v>
      </c>
      <c r="J299" s="260">
        <f ca="1">IFERROR(OFFSET(INDIRECT(#REF!),MATCH([2]Development_Schedule_EK!M$6,INDIRECT(#REF!),0)-1,MATCH([2]Development_Schedule_EK!$B296,INDIRECT(#REF!),0),1,1)*$D299,0)</f>
        <v>0</v>
      </c>
      <c r="K299" s="260">
        <f ca="1">IFERROR(OFFSET(INDIRECT(#REF!),MATCH([2]Development_Schedule_EK!N$6,INDIRECT(#REF!),0)-1,MATCH([2]Development_Schedule_EK!$B296,INDIRECT(#REF!),0),1,1)*$D299,0)</f>
        <v>0</v>
      </c>
      <c r="L299" s="265">
        <f ca="1">IFERROR(OFFSET(INDIRECT(#REF!),MATCH([2]Development_Schedule_EK!O$6,INDIRECT(#REF!),0)-1,MATCH([2]Development_Schedule_EK!$B296,INDIRECT(#REF!),0),1,1)*$D299,0)</f>
        <v>0</v>
      </c>
      <c r="M299" s="260">
        <f ca="1">IFERROR(OFFSET(INDIRECT(#REF!),MATCH([2]Development_Schedule_EK!P$6,INDIRECT(#REF!),0)-1,MATCH([2]Development_Schedule_EK!$B296,INDIRECT(#REF!),0),1,1)*$D299,0)</f>
        <v>0</v>
      </c>
      <c r="N299" s="260">
        <f ca="1">IFERROR(OFFSET(INDIRECT(#REF!),MATCH([2]Development_Schedule_EK!Q$6,INDIRECT(#REF!),0)-1,MATCH([2]Development_Schedule_EK!$B296,INDIRECT(#REF!),0),1,1)*$D299,0)</f>
        <v>0</v>
      </c>
      <c r="O299" s="265">
        <f ca="1">IFERROR(OFFSET(INDIRECT(#REF!),MATCH([2]Development_Schedule_EK!R$6,INDIRECT(#REF!),0)-1,MATCH([2]Development_Schedule_EK!$B296,INDIRECT(#REF!),0),1,1)*$D299,0)</f>
        <v>0</v>
      </c>
      <c r="P299" s="183"/>
      <c r="Q299" s="184"/>
      <c r="R299" s="183"/>
    </row>
    <row r="300" spans="1:18" x14ac:dyDescent="0.25">
      <c r="A300" s="284">
        <v>2</v>
      </c>
      <c r="B300" s="774" t="s">
        <v>355</v>
      </c>
      <c r="C300" s="262"/>
      <c r="D300" s="270">
        <f ca="1">IFERROR(OFFSET(INDIRECT(#REF!),MATCH([2]Development_Schedule_EK!$E297,INDIRECT(#REF!),0)-1,MATCH([2]Development_Schedule_EK!$B297,INDIRECT(#REF!),0),1,1),0)</f>
        <v>0</v>
      </c>
      <c r="E300" s="266"/>
      <c r="F300" s="260">
        <f ca="1">IFERROR(OFFSET(INDIRECT(#REF!),MATCH([2]Development_Schedule_EK!I$6,INDIRECT(#REF!),0)-1,MATCH([2]Development_Schedule_EK!$B297,INDIRECT(#REF!),0),1,1)*$D300,0)</f>
        <v>0</v>
      </c>
      <c r="G300" s="260">
        <f ca="1">IFERROR(OFFSET(INDIRECT(#REF!),MATCH([2]Development_Schedule_EK!J$6,INDIRECT(#REF!),0)-1,MATCH([2]Development_Schedule_EK!$B297,INDIRECT(#REF!),0),1,1)*$D300,0)</f>
        <v>0</v>
      </c>
      <c r="H300" s="265">
        <f ca="1">IFERROR(OFFSET(INDIRECT(#REF!),MATCH([2]Development_Schedule_EK!K$6,INDIRECT(#REF!),0)-1,MATCH([2]Development_Schedule_EK!$B297,INDIRECT(#REF!),0),1,1)*$D300,0)</f>
        <v>0</v>
      </c>
      <c r="I300" s="260">
        <f ca="1">IFERROR(OFFSET(INDIRECT(#REF!),MATCH([2]Development_Schedule_EK!L$6,INDIRECT(#REF!),0)-1,MATCH([2]Development_Schedule_EK!$B297,INDIRECT(#REF!),0),1,1)*$D300,0)</f>
        <v>0</v>
      </c>
      <c r="J300" s="260">
        <f ca="1">IFERROR(OFFSET(INDIRECT(#REF!),MATCH([2]Development_Schedule_EK!M$6,INDIRECT(#REF!),0)-1,MATCH([2]Development_Schedule_EK!$B297,INDIRECT(#REF!),0),1,1)*$D300,0)</f>
        <v>0</v>
      </c>
      <c r="K300" s="260">
        <f ca="1">IFERROR(OFFSET(INDIRECT(#REF!),MATCH([2]Development_Schedule_EK!N$6,INDIRECT(#REF!),0)-1,MATCH([2]Development_Schedule_EK!$B297,INDIRECT(#REF!),0),1,1)*$D300,0)</f>
        <v>0</v>
      </c>
      <c r="L300" s="265">
        <f ca="1">IFERROR(OFFSET(INDIRECT(#REF!),MATCH([2]Development_Schedule_EK!O$6,INDIRECT(#REF!),0)-1,MATCH([2]Development_Schedule_EK!$B297,INDIRECT(#REF!),0),1,1)*$D300,0)</f>
        <v>0</v>
      </c>
      <c r="M300" s="260">
        <f ca="1">IFERROR(OFFSET(INDIRECT(#REF!),MATCH([2]Development_Schedule_EK!P$6,INDIRECT(#REF!),0)-1,MATCH([2]Development_Schedule_EK!$B297,INDIRECT(#REF!),0),1,1)*$D300,0)</f>
        <v>0</v>
      </c>
      <c r="N300" s="260">
        <f ca="1">IFERROR(OFFSET(INDIRECT(#REF!),MATCH([2]Development_Schedule_EK!Q$6,INDIRECT(#REF!),0)-1,MATCH([2]Development_Schedule_EK!$B297,INDIRECT(#REF!),0),1,1)*$D300,0)</f>
        <v>0</v>
      </c>
      <c r="O300" s="265">
        <f ca="1">IFERROR(OFFSET(INDIRECT(#REF!),MATCH([2]Development_Schedule_EK!R$6,INDIRECT(#REF!),0)-1,MATCH([2]Development_Schedule_EK!$B297,INDIRECT(#REF!),0),1,1)*$D300,0)</f>
        <v>0</v>
      </c>
      <c r="P300" s="183"/>
      <c r="Q300" s="184"/>
      <c r="R300" s="183"/>
    </row>
    <row r="301" spans="1:18" x14ac:dyDescent="0.25">
      <c r="A301" s="284">
        <v>2</v>
      </c>
      <c r="B301" s="774" t="s">
        <v>356</v>
      </c>
      <c r="C301" s="262"/>
      <c r="D301" s="270">
        <f ca="1">IFERROR(OFFSET(INDIRECT(#REF!),MATCH([2]Development_Schedule_EK!$E298,INDIRECT(#REF!),0)-1,MATCH([2]Development_Schedule_EK!$B298,INDIRECT(#REF!),0),1,1),0)</f>
        <v>0</v>
      </c>
      <c r="E301" s="266"/>
      <c r="F301" s="260">
        <f ca="1">IFERROR(OFFSET(INDIRECT(#REF!),MATCH([2]Development_Schedule_EK!I$6,INDIRECT(#REF!),0)-1,MATCH([2]Development_Schedule_EK!$B298,INDIRECT(#REF!),0),1,1)*$D301,0)</f>
        <v>0</v>
      </c>
      <c r="G301" s="260">
        <f ca="1">IFERROR(OFFSET(INDIRECT(#REF!),MATCH([2]Development_Schedule_EK!J$6,INDIRECT(#REF!),0)-1,MATCH([2]Development_Schedule_EK!$B298,INDIRECT(#REF!),0),1,1)*$D301,0)</f>
        <v>0</v>
      </c>
      <c r="H301" s="265">
        <f ca="1">IFERROR(OFFSET(INDIRECT(#REF!),MATCH([2]Development_Schedule_EK!K$6,INDIRECT(#REF!),0)-1,MATCH([2]Development_Schedule_EK!$B298,INDIRECT(#REF!),0),1,1)*$D301,0)</f>
        <v>0</v>
      </c>
      <c r="I301" s="260">
        <f ca="1">IFERROR(OFFSET(INDIRECT(#REF!),MATCH([2]Development_Schedule_EK!L$6,INDIRECT(#REF!),0)-1,MATCH([2]Development_Schedule_EK!$B298,INDIRECT(#REF!),0),1,1)*$D301,0)</f>
        <v>0</v>
      </c>
      <c r="J301" s="260">
        <f ca="1">IFERROR(OFFSET(INDIRECT(#REF!),MATCH([2]Development_Schedule_EK!M$6,INDIRECT(#REF!),0)-1,MATCH([2]Development_Schedule_EK!$B298,INDIRECT(#REF!),0),1,1)*$D301,0)</f>
        <v>0</v>
      </c>
      <c r="K301" s="260">
        <f ca="1">IFERROR(OFFSET(INDIRECT(#REF!),MATCH([2]Development_Schedule_EK!N$6,INDIRECT(#REF!),0)-1,MATCH([2]Development_Schedule_EK!$B298,INDIRECT(#REF!),0),1,1)*$D301,0)</f>
        <v>0</v>
      </c>
      <c r="L301" s="265">
        <f ca="1">IFERROR(OFFSET(INDIRECT(#REF!),MATCH([2]Development_Schedule_EK!O$6,INDIRECT(#REF!),0)-1,MATCH([2]Development_Schedule_EK!$B298,INDIRECT(#REF!),0),1,1)*$D301,0)</f>
        <v>0</v>
      </c>
      <c r="M301" s="260">
        <f ca="1">IFERROR(OFFSET(INDIRECT(#REF!),MATCH([2]Development_Schedule_EK!P$6,INDIRECT(#REF!),0)-1,MATCH([2]Development_Schedule_EK!$B298,INDIRECT(#REF!),0),1,1)*$D301,0)</f>
        <v>0</v>
      </c>
      <c r="N301" s="260">
        <f ca="1">IFERROR(OFFSET(INDIRECT(#REF!),MATCH([2]Development_Schedule_EK!Q$6,INDIRECT(#REF!),0)-1,MATCH([2]Development_Schedule_EK!$B298,INDIRECT(#REF!),0),1,1)*$D301,0)</f>
        <v>0</v>
      </c>
      <c r="O301" s="265">
        <f ca="1">IFERROR(OFFSET(INDIRECT(#REF!),MATCH([2]Development_Schedule_EK!R$6,INDIRECT(#REF!),0)-1,MATCH([2]Development_Schedule_EK!$B298,INDIRECT(#REF!),0),1,1)*$D301,0)</f>
        <v>0</v>
      </c>
      <c r="P301" s="183"/>
      <c r="Q301" s="184"/>
      <c r="R301" s="183"/>
    </row>
    <row r="302" spans="1:18" x14ac:dyDescent="0.25">
      <c r="A302" s="284">
        <v>2</v>
      </c>
      <c r="B302" s="774" t="s">
        <v>357</v>
      </c>
      <c r="C302" s="262"/>
      <c r="D302" s="270">
        <f ca="1">IFERROR(OFFSET(INDIRECT(#REF!),MATCH([2]Development_Schedule_EK!$E299,INDIRECT(#REF!),0)-1,MATCH([2]Development_Schedule_EK!$B299,INDIRECT(#REF!),0),1,1),0)</f>
        <v>0</v>
      </c>
      <c r="E302" s="266"/>
      <c r="F302" s="260">
        <f ca="1">IFERROR(OFFSET(INDIRECT(#REF!),MATCH([2]Development_Schedule_EK!I$6,INDIRECT(#REF!),0)-1,MATCH([2]Development_Schedule_EK!$B299,INDIRECT(#REF!),0),1,1)*$D302,0)</f>
        <v>0</v>
      </c>
      <c r="G302" s="260">
        <f ca="1">IFERROR(OFFSET(INDIRECT(#REF!),MATCH([2]Development_Schedule_EK!J$6,INDIRECT(#REF!),0)-1,MATCH([2]Development_Schedule_EK!$B299,INDIRECT(#REF!),0),1,1)*$D302,0)</f>
        <v>0</v>
      </c>
      <c r="H302" s="265">
        <f ca="1">IFERROR(OFFSET(INDIRECT(#REF!),MATCH([2]Development_Schedule_EK!K$6,INDIRECT(#REF!),0)-1,MATCH([2]Development_Schedule_EK!$B299,INDIRECT(#REF!),0),1,1)*$D302,0)</f>
        <v>0</v>
      </c>
      <c r="I302" s="260">
        <f ca="1">IFERROR(OFFSET(INDIRECT(#REF!),MATCH([2]Development_Schedule_EK!L$6,INDIRECT(#REF!),0)-1,MATCH([2]Development_Schedule_EK!$B299,INDIRECT(#REF!),0),1,1)*$D302,0)</f>
        <v>0</v>
      </c>
      <c r="J302" s="260">
        <f ca="1">IFERROR(OFFSET(INDIRECT(#REF!),MATCH([2]Development_Schedule_EK!M$6,INDIRECT(#REF!),0)-1,MATCH([2]Development_Schedule_EK!$B299,INDIRECT(#REF!),0),1,1)*$D302,0)</f>
        <v>0</v>
      </c>
      <c r="K302" s="260">
        <f ca="1">IFERROR(OFFSET(INDIRECT(#REF!),MATCH([2]Development_Schedule_EK!N$6,INDIRECT(#REF!),0)-1,MATCH([2]Development_Schedule_EK!$B299,INDIRECT(#REF!),0),1,1)*$D302,0)</f>
        <v>0</v>
      </c>
      <c r="L302" s="265">
        <f ca="1">IFERROR(OFFSET(INDIRECT(#REF!),MATCH([2]Development_Schedule_EK!O$6,INDIRECT(#REF!),0)-1,MATCH([2]Development_Schedule_EK!$B299,INDIRECT(#REF!),0),1,1)*$D302,0)</f>
        <v>0</v>
      </c>
      <c r="M302" s="260">
        <f ca="1">IFERROR(OFFSET(INDIRECT(#REF!),MATCH([2]Development_Schedule_EK!P$6,INDIRECT(#REF!),0)-1,MATCH([2]Development_Schedule_EK!$B299,INDIRECT(#REF!),0),1,1)*$D302,0)</f>
        <v>0</v>
      </c>
      <c r="N302" s="260">
        <f ca="1">IFERROR(OFFSET(INDIRECT(#REF!),MATCH([2]Development_Schedule_EK!Q$6,INDIRECT(#REF!),0)-1,MATCH([2]Development_Schedule_EK!$B299,INDIRECT(#REF!),0),1,1)*$D302,0)</f>
        <v>0</v>
      </c>
      <c r="O302" s="265">
        <f ca="1">IFERROR(OFFSET(INDIRECT(#REF!),MATCH([2]Development_Schedule_EK!R$6,INDIRECT(#REF!),0)-1,MATCH([2]Development_Schedule_EK!$B299,INDIRECT(#REF!),0),1,1)*$D302,0)</f>
        <v>0</v>
      </c>
      <c r="P302" s="183"/>
      <c r="Q302" s="184"/>
      <c r="R302" s="183"/>
    </row>
    <row r="303" spans="1:18" x14ac:dyDescent="0.25">
      <c r="A303" s="284">
        <v>2</v>
      </c>
      <c r="B303" s="774" t="s">
        <v>358</v>
      </c>
      <c r="C303" s="262"/>
      <c r="D303" s="270">
        <f ca="1">IFERROR(OFFSET(INDIRECT(#REF!),MATCH([2]Development_Schedule_EK!$E300,INDIRECT(#REF!),0)-1,MATCH([2]Development_Schedule_EK!$B300,INDIRECT(#REF!),0),1,1),0)</f>
        <v>0</v>
      </c>
      <c r="E303" s="266"/>
      <c r="F303" s="260">
        <f ca="1">IFERROR(OFFSET(INDIRECT(#REF!),MATCH([2]Development_Schedule_EK!I$6,INDIRECT(#REF!),0)-1,MATCH([2]Development_Schedule_EK!$B300,INDIRECT(#REF!),0),1,1)*$D303,0)</f>
        <v>0</v>
      </c>
      <c r="G303" s="260">
        <f ca="1">IFERROR(OFFSET(INDIRECT(#REF!),MATCH([2]Development_Schedule_EK!J$6,INDIRECT(#REF!),0)-1,MATCH([2]Development_Schedule_EK!$B300,INDIRECT(#REF!),0),1,1)*$D303,0)</f>
        <v>0</v>
      </c>
      <c r="H303" s="265">
        <f ca="1">IFERROR(OFFSET(INDIRECT(#REF!),MATCH([2]Development_Schedule_EK!K$6,INDIRECT(#REF!),0)-1,MATCH([2]Development_Schedule_EK!$B300,INDIRECT(#REF!),0),1,1)*$D303,0)</f>
        <v>0</v>
      </c>
      <c r="I303" s="260">
        <f ca="1">IFERROR(OFFSET(INDIRECT(#REF!),MATCH([2]Development_Schedule_EK!L$6,INDIRECT(#REF!),0)-1,MATCH([2]Development_Schedule_EK!$B300,INDIRECT(#REF!),0),1,1)*$D303,0)</f>
        <v>0</v>
      </c>
      <c r="J303" s="260">
        <f ca="1">IFERROR(OFFSET(INDIRECT(#REF!),MATCH([2]Development_Schedule_EK!M$6,INDIRECT(#REF!),0)-1,MATCH([2]Development_Schedule_EK!$B300,INDIRECT(#REF!),0),1,1)*$D303,0)</f>
        <v>0</v>
      </c>
      <c r="K303" s="260">
        <f ca="1">IFERROR(OFFSET(INDIRECT(#REF!),MATCH([2]Development_Schedule_EK!N$6,INDIRECT(#REF!),0)-1,MATCH([2]Development_Schedule_EK!$B300,INDIRECT(#REF!),0),1,1)*$D303,0)</f>
        <v>0</v>
      </c>
      <c r="L303" s="265">
        <f ca="1">IFERROR(OFFSET(INDIRECT(#REF!),MATCH([2]Development_Schedule_EK!O$6,INDIRECT(#REF!),0)-1,MATCH([2]Development_Schedule_EK!$B300,INDIRECT(#REF!),0),1,1)*$D303,0)</f>
        <v>0</v>
      </c>
      <c r="M303" s="260">
        <f ca="1">IFERROR(OFFSET(INDIRECT(#REF!),MATCH([2]Development_Schedule_EK!P$6,INDIRECT(#REF!),0)-1,MATCH([2]Development_Schedule_EK!$B300,INDIRECT(#REF!),0),1,1)*$D303,0)</f>
        <v>0</v>
      </c>
      <c r="N303" s="260">
        <f ca="1">IFERROR(OFFSET(INDIRECT(#REF!),MATCH([2]Development_Schedule_EK!Q$6,INDIRECT(#REF!),0)-1,MATCH([2]Development_Schedule_EK!$B300,INDIRECT(#REF!),0),1,1)*$D303,0)</f>
        <v>0</v>
      </c>
      <c r="O303" s="265">
        <f ca="1">IFERROR(OFFSET(INDIRECT(#REF!),MATCH([2]Development_Schedule_EK!R$6,INDIRECT(#REF!),0)-1,MATCH([2]Development_Schedule_EK!$B300,INDIRECT(#REF!),0),1,1)*$D303,0)</f>
        <v>0</v>
      </c>
      <c r="P303" s="183"/>
      <c r="Q303" s="184"/>
      <c r="R303" s="183"/>
    </row>
    <row r="304" spans="1:18" x14ac:dyDescent="0.25">
      <c r="A304" s="284">
        <v>2</v>
      </c>
      <c r="B304" s="774" t="s">
        <v>385</v>
      </c>
      <c r="C304" s="262"/>
      <c r="D304" s="270">
        <f ca="1">IFERROR(OFFSET(INDIRECT(#REF!),MATCH([2]Development_Schedule_EK!$E301,INDIRECT(#REF!),0)-1,MATCH([2]Development_Schedule_EK!$B301,INDIRECT(#REF!),0),1,1),0)</f>
        <v>0</v>
      </c>
      <c r="E304" s="266"/>
      <c r="F304" s="260">
        <f ca="1">IFERROR(OFFSET(INDIRECT(#REF!),MATCH([2]Development_Schedule_EK!I$6,INDIRECT(#REF!),0)-1,MATCH([2]Development_Schedule_EK!$B301,INDIRECT(#REF!),0),1,1)*$D304,0)</f>
        <v>0</v>
      </c>
      <c r="G304" s="260">
        <f ca="1">IFERROR(OFFSET(INDIRECT(#REF!),MATCH([2]Development_Schedule_EK!J$6,INDIRECT(#REF!),0)-1,MATCH([2]Development_Schedule_EK!$B301,INDIRECT(#REF!),0),1,1)*$D304,0)</f>
        <v>0</v>
      </c>
      <c r="H304" s="265">
        <f ca="1">IFERROR(OFFSET(INDIRECT(#REF!),MATCH([2]Development_Schedule_EK!K$6,INDIRECT(#REF!),0)-1,MATCH([2]Development_Schedule_EK!$B301,INDIRECT(#REF!),0),1,1)*$D304,0)</f>
        <v>0</v>
      </c>
      <c r="I304" s="260">
        <f ca="1">IFERROR(OFFSET(INDIRECT(#REF!),MATCH([2]Development_Schedule_EK!L$6,INDIRECT(#REF!),0)-1,MATCH([2]Development_Schedule_EK!$B301,INDIRECT(#REF!),0),1,1)*$D304,0)</f>
        <v>0</v>
      </c>
      <c r="J304" s="260">
        <f ca="1">IFERROR(OFFSET(INDIRECT(#REF!),MATCH([2]Development_Schedule_EK!M$6,INDIRECT(#REF!),0)-1,MATCH([2]Development_Schedule_EK!$B301,INDIRECT(#REF!),0),1,1)*$D304,0)</f>
        <v>0</v>
      </c>
      <c r="K304" s="260">
        <f ca="1">IFERROR(OFFSET(INDIRECT(#REF!),MATCH([2]Development_Schedule_EK!N$6,INDIRECT(#REF!),0)-1,MATCH([2]Development_Schedule_EK!$B301,INDIRECT(#REF!),0),1,1)*$D304,0)</f>
        <v>0</v>
      </c>
      <c r="L304" s="265">
        <f ca="1">IFERROR(OFFSET(INDIRECT(#REF!),MATCH([2]Development_Schedule_EK!O$6,INDIRECT(#REF!),0)-1,MATCH([2]Development_Schedule_EK!$B301,INDIRECT(#REF!),0),1,1)*$D304,0)</f>
        <v>0</v>
      </c>
      <c r="M304" s="260">
        <f ca="1">IFERROR(OFFSET(INDIRECT(#REF!),MATCH([2]Development_Schedule_EK!P$6,INDIRECT(#REF!),0)-1,MATCH([2]Development_Schedule_EK!$B301,INDIRECT(#REF!),0),1,1)*$D304,0)</f>
        <v>0</v>
      </c>
      <c r="N304" s="260">
        <f ca="1">IFERROR(OFFSET(INDIRECT(#REF!),MATCH([2]Development_Schedule_EK!Q$6,INDIRECT(#REF!),0)-1,MATCH([2]Development_Schedule_EK!$B301,INDIRECT(#REF!),0),1,1)*$D304,0)</f>
        <v>0</v>
      </c>
      <c r="O304" s="265">
        <f ca="1">IFERROR(OFFSET(INDIRECT(#REF!),MATCH([2]Development_Schedule_EK!R$6,INDIRECT(#REF!),0)-1,MATCH([2]Development_Schedule_EK!$B301,INDIRECT(#REF!),0),1,1)*$D304,0)</f>
        <v>0</v>
      </c>
      <c r="P304" s="183"/>
      <c r="Q304" s="184"/>
      <c r="R304" s="183"/>
    </row>
    <row r="305" spans="1:18" x14ac:dyDescent="0.25">
      <c r="A305" s="284">
        <v>2</v>
      </c>
      <c r="B305" s="774" t="s">
        <v>33</v>
      </c>
      <c r="C305" s="262"/>
      <c r="D305" s="270">
        <f ca="1">IFERROR(OFFSET(INDIRECT(#REF!),MATCH([2]Development_Schedule_EK!$E302,INDIRECT(#REF!),0)-1,MATCH([2]Development_Schedule_EK!$B302,INDIRECT(#REF!),0),1,1),0)</f>
        <v>0</v>
      </c>
      <c r="E305" s="266"/>
      <c r="F305" s="260">
        <f ca="1">IFERROR(OFFSET(INDIRECT(#REF!),MATCH([2]Development_Schedule_EK!I$6,INDIRECT(#REF!),0)-1,MATCH([2]Development_Schedule_EK!$B302,INDIRECT(#REF!),0),1,1)*$D305,0)</f>
        <v>0</v>
      </c>
      <c r="G305" s="260">
        <f ca="1">IFERROR(OFFSET(INDIRECT(#REF!),MATCH([2]Development_Schedule_EK!J$6,INDIRECT(#REF!),0)-1,MATCH([2]Development_Schedule_EK!$B302,INDIRECT(#REF!),0),1,1)*$D305,0)</f>
        <v>0</v>
      </c>
      <c r="H305" s="265">
        <f ca="1">IFERROR(OFFSET(INDIRECT(#REF!),MATCH([2]Development_Schedule_EK!K$6,INDIRECT(#REF!),0)-1,MATCH([2]Development_Schedule_EK!$B302,INDIRECT(#REF!),0),1,1)*$D305,0)</f>
        <v>0</v>
      </c>
      <c r="I305" s="260">
        <f ca="1">IFERROR(OFFSET(INDIRECT(#REF!),MATCH([2]Development_Schedule_EK!L$6,INDIRECT(#REF!),0)-1,MATCH([2]Development_Schedule_EK!$B302,INDIRECT(#REF!),0),1,1)*$D305,0)</f>
        <v>0</v>
      </c>
      <c r="J305" s="260">
        <f ca="1">IFERROR(OFFSET(INDIRECT(#REF!),MATCH([2]Development_Schedule_EK!M$6,INDIRECT(#REF!),0)-1,MATCH([2]Development_Schedule_EK!$B302,INDIRECT(#REF!),0),1,1)*$D305,0)</f>
        <v>0</v>
      </c>
      <c r="K305" s="260">
        <f ca="1">IFERROR(OFFSET(INDIRECT(#REF!),MATCH([2]Development_Schedule_EK!N$6,INDIRECT(#REF!),0)-1,MATCH([2]Development_Schedule_EK!$B302,INDIRECT(#REF!),0),1,1)*$D305,0)</f>
        <v>0</v>
      </c>
      <c r="L305" s="265">
        <f ca="1">IFERROR(OFFSET(INDIRECT(#REF!),MATCH([2]Development_Schedule_EK!O$6,INDIRECT(#REF!),0)-1,MATCH([2]Development_Schedule_EK!$B302,INDIRECT(#REF!),0),1,1)*$D305,0)</f>
        <v>0</v>
      </c>
      <c r="M305" s="260">
        <f ca="1">IFERROR(OFFSET(INDIRECT(#REF!),MATCH([2]Development_Schedule_EK!P$6,INDIRECT(#REF!),0)-1,MATCH([2]Development_Schedule_EK!$B302,INDIRECT(#REF!),0),1,1)*$D305,0)</f>
        <v>0</v>
      </c>
      <c r="N305" s="260">
        <f ca="1">IFERROR(OFFSET(INDIRECT(#REF!),MATCH([2]Development_Schedule_EK!Q$6,INDIRECT(#REF!),0)-1,MATCH([2]Development_Schedule_EK!$B302,INDIRECT(#REF!),0),1,1)*$D305,0)</f>
        <v>0</v>
      </c>
      <c r="O305" s="265">
        <f ca="1">IFERROR(OFFSET(INDIRECT(#REF!),MATCH([2]Development_Schedule_EK!R$6,INDIRECT(#REF!),0)-1,MATCH([2]Development_Schedule_EK!$B302,INDIRECT(#REF!),0),1,1)*$D305,0)</f>
        <v>0</v>
      </c>
      <c r="P305" s="183"/>
      <c r="Q305" s="184"/>
      <c r="R305" s="183"/>
    </row>
    <row r="306" spans="1:18" x14ac:dyDescent="0.25">
      <c r="A306" s="284">
        <v>2</v>
      </c>
      <c r="B306" s="774" t="s">
        <v>42</v>
      </c>
      <c r="C306" s="262"/>
      <c r="D306" s="270">
        <f ca="1">IFERROR(OFFSET(INDIRECT(#REF!),MATCH([2]Development_Schedule_EK!$E303,INDIRECT(#REF!),0)-1,MATCH([2]Development_Schedule_EK!$B303,INDIRECT(#REF!),0),1,1),0)</f>
        <v>0</v>
      </c>
      <c r="E306" s="266"/>
      <c r="F306" s="260">
        <f ca="1">IFERROR(OFFSET(INDIRECT(#REF!),MATCH([2]Development_Schedule_EK!I$6,INDIRECT(#REF!),0)-1,MATCH([2]Development_Schedule_EK!$B303,INDIRECT(#REF!),0),1,1)*$D306,0)</f>
        <v>0</v>
      </c>
      <c r="G306" s="260">
        <f ca="1">IFERROR(OFFSET(INDIRECT(#REF!),MATCH([2]Development_Schedule_EK!J$6,INDIRECT(#REF!),0)-1,MATCH([2]Development_Schedule_EK!$B303,INDIRECT(#REF!),0),1,1)*$D306,0)</f>
        <v>0</v>
      </c>
      <c r="H306" s="265">
        <f ca="1">IFERROR(OFFSET(INDIRECT(#REF!),MATCH([2]Development_Schedule_EK!K$6,INDIRECT(#REF!),0)-1,MATCH([2]Development_Schedule_EK!$B303,INDIRECT(#REF!),0),1,1)*$D306,0)</f>
        <v>0</v>
      </c>
      <c r="I306" s="260">
        <f ca="1">IFERROR(OFFSET(INDIRECT(#REF!),MATCH([2]Development_Schedule_EK!L$6,INDIRECT(#REF!),0)-1,MATCH([2]Development_Schedule_EK!$B303,INDIRECT(#REF!),0),1,1)*$D306,0)</f>
        <v>0</v>
      </c>
      <c r="J306" s="260">
        <f ca="1">IFERROR(OFFSET(INDIRECT(#REF!),MATCH([2]Development_Schedule_EK!M$6,INDIRECT(#REF!),0)-1,MATCH([2]Development_Schedule_EK!$B303,INDIRECT(#REF!),0),1,1)*$D306,0)</f>
        <v>0</v>
      </c>
      <c r="K306" s="260">
        <f ca="1">IFERROR(OFFSET(INDIRECT(#REF!),MATCH([2]Development_Schedule_EK!N$6,INDIRECT(#REF!),0)-1,MATCH([2]Development_Schedule_EK!$B303,INDIRECT(#REF!),0),1,1)*$D306,0)</f>
        <v>0</v>
      </c>
      <c r="L306" s="265">
        <f ca="1">IFERROR(OFFSET(INDIRECT(#REF!),MATCH([2]Development_Schedule_EK!O$6,INDIRECT(#REF!),0)-1,MATCH([2]Development_Schedule_EK!$B303,INDIRECT(#REF!),0),1,1)*$D306,0)</f>
        <v>0</v>
      </c>
      <c r="M306" s="260">
        <f ca="1">IFERROR(OFFSET(INDIRECT(#REF!),MATCH([2]Development_Schedule_EK!P$6,INDIRECT(#REF!),0)-1,MATCH([2]Development_Schedule_EK!$B303,INDIRECT(#REF!),0),1,1)*$D306,0)</f>
        <v>0</v>
      </c>
      <c r="N306" s="260">
        <f ca="1">IFERROR(OFFSET(INDIRECT(#REF!),MATCH([2]Development_Schedule_EK!Q$6,INDIRECT(#REF!),0)-1,MATCH([2]Development_Schedule_EK!$B303,INDIRECT(#REF!),0),1,1)*$D306,0)</f>
        <v>0</v>
      </c>
      <c r="O306" s="265">
        <f ca="1">IFERROR(OFFSET(INDIRECT(#REF!),MATCH([2]Development_Schedule_EK!R$6,INDIRECT(#REF!),0)-1,MATCH([2]Development_Schedule_EK!$B303,INDIRECT(#REF!),0),1,1)*$D306,0)</f>
        <v>0</v>
      </c>
      <c r="P306" s="183"/>
      <c r="Q306" s="184"/>
      <c r="R306" s="183"/>
    </row>
    <row r="307" spans="1:18" x14ac:dyDescent="0.25">
      <c r="B307" s="774"/>
      <c r="C307" s="262"/>
      <c r="D307" s="270"/>
      <c r="E307" s="266"/>
      <c r="F307" s="256"/>
      <c r="G307" s="256"/>
      <c r="H307" s="263"/>
      <c r="I307" s="256"/>
      <c r="J307" s="256"/>
      <c r="K307" s="256"/>
      <c r="L307" s="263"/>
      <c r="M307" s="256"/>
      <c r="N307" s="256"/>
      <c r="O307" s="263"/>
      <c r="P307" s="183"/>
      <c r="Q307" s="184"/>
      <c r="R307" s="183"/>
    </row>
    <row r="308" spans="1:18" x14ac:dyDescent="0.25">
      <c r="B308" s="774"/>
      <c r="C308" s="262"/>
      <c r="D308" s="270"/>
      <c r="E308" s="266"/>
      <c r="F308" s="256"/>
      <c r="G308" s="256"/>
      <c r="H308" s="263"/>
      <c r="I308" s="256"/>
      <c r="J308" s="256"/>
      <c r="K308" s="256"/>
      <c r="L308" s="263"/>
      <c r="M308" s="256"/>
      <c r="N308" s="256"/>
      <c r="O308" s="263"/>
      <c r="P308" s="183"/>
      <c r="Q308" s="184"/>
      <c r="R308" s="183"/>
    </row>
    <row r="309" spans="1:18" x14ac:dyDescent="0.25">
      <c r="B309" s="776" t="s">
        <v>377</v>
      </c>
      <c r="C309" s="262"/>
      <c r="D309" s="270"/>
      <c r="E309" s="266"/>
      <c r="F309" s="256"/>
      <c r="G309" s="256"/>
      <c r="H309" s="263"/>
      <c r="I309" s="256"/>
      <c r="J309" s="256"/>
      <c r="K309" s="256"/>
      <c r="L309" s="263"/>
      <c r="M309" s="256"/>
      <c r="N309" s="256"/>
      <c r="O309" s="263"/>
      <c r="P309" s="183"/>
      <c r="Q309" s="184"/>
      <c r="R309" s="183"/>
    </row>
    <row r="310" spans="1:18" x14ac:dyDescent="0.25">
      <c r="A310" s="284">
        <v>1</v>
      </c>
      <c r="B310" s="774" t="s">
        <v>381</v>
      </c>
      <c r="C310" s="262"/>
      <c r="D310" s="270">
        <f ca="1">IFERROR(OFFSET(INDIRECT(#REF!),MATCH([2]Development_Schedule_EK!$E307,INDIRECT(#REF!),0)-1,MATCH([2]Development_Schedule_EK!$B307,INDIRECT(#REF!),0),1,1),0)</f>
        <v>0</v>
      </c>
      <c r="E310" s="266"/>
      <c r="F310" s="260">
        <f ca="1">IFERROR(OFFSET(INDIRECT(#REF!),MATCH([2]Development_Schedule_EK!I$6,INDIRECT(#REF!),0)-1,MATCH([2]Development_Schedule_EK!$B307,INDIRECT(#REF!),0),1,1)*$D310,0)</f>
        <v>0</v>
      </c>
      <c r="G310" s="260">
        <f ca="1">IFERROR(OFFSET(INDIRECT(#REF!),MATCH([2]Development_Schedule_EK!J$6,INDIRECT(#REF!),0)-1,MATCH([2]Development_Schedule_EK!$B307,INDIRECT(#REF!),0),1,1)*$D310,0)</f>
        <v>0</v>
      </c>
      <c r="H310" s="265">
        <f ca="1">IFERROR(OFFSET(INDIRECT(#REF!),MATCH([2]Development_Schedule_EK!K$6,INDIRECT(#REF!),0)-1,MATCH([2]Development_Schedule_EK!$B307,INDIRECT(#REF!),0),1,1)*$D310,0)</f>
        <v>0</v>
      </c>
      <c r="I310" s="260">
        <f ca="1">IFERROR(OFFSET(INDIRECT(#REF!),MATCH([2]Development_Schedule_EK!L$6,INDIRECT(#REF!),0)-1,MATCH([2]Development_Schedule_EK!$B307,INDIRECT(#REF!),0),1,1)*$D310,0)</f>
        <v>0</v>
      </c>
      <c r="J310" s="260">
        <f ca="1">IFERROR(OFFSET(INDIRECT(#REF!),MATCH([2]Development_Schedule_EK!M$6,INDIRECT(#REF!),0)-1,MATCH([2]Development_Schedule_EK!$B307,INDIRECT(#REF!),0),1,1)*$D310,0)</f>
        <v>0</v>
      </c>
      <c r="K310" s="260">
        <f ca="1">IFERROR(OFFSET(INDIRECT(#REF!),MATCH([2]Development_Schedule_EK!N$6,INDIRECT(#REF!),0)-1,MATCH([2]Development_Schedule_EK!$B307,INDIRECT(#REF!),0),1,1)*$D310,0)</f>
        <v>0</v>
      </c>
      <c r="L310" s="265">
        <f ca="1">IFERROR(OFFSET(INDIRECT(#REF!),MATCH([2]Development_Schedule_EK!O$6,INDIRECT(#REF!),0)-1,MATCH([2]Development_Schedule_EK!$B307,INDIRECT(#REF!),0),1,1)*$D310,0)</f>
        <v>0</v>
      </c>
      <c r="M310" s="260">
        <f ca="1">IFERROR(OFFSET(INDIRECT(#REF!),MATCH([2]Development_Schedule_EK!P$6,INDIRECT(#REF!),0)-1,MATCH([2]Development_Schedule_EK!$B307,INDIRECT(#REF!),0),1,1)*$D310,0)</f>
        <v>0</v>
      </c>
      <c r="N310" s="260">
        <f ca="1">IFERROR(OFFSET(INDIRECT(#REF!),MATCH([2]Development_Schedule_EK!Q$6,INDIRECT(#REF!),0)-1,MATCH([2]Development_Schedule_EK!$B307,INDIRECT(#REF!),0),1,1)*$D310,0)</f>
        <v>0</v>
      </c>
      <c r="O310" s="265">
        <f ca="1">IFERROR(OFFSET(INDIRECT(#REF!),MATCH([2]Development_Schedule_EK!R$6,INDIRECT(#REF!),0)-1,MATCH([2]Development_Schedule_EK!$B307,INDIRECT(#REF!),0),1,1)*$D310,0)</f>
        <v>0</v>
      </c>
      <c r="P310" s="183"/>
      <c r="Q310" s="184"/>
      <c r="R310" s="183"/>
    </row>
    <row r="311" spans="1:18" x14ac:dyDescent="0.25">
      <c r="A311" s="284">
        <v>1</v>
      </c>
      <c r="B311" s="774" t="s">
        <v>382</v>
      </c>
      <c r="C311" s="262"/>
      <c r="D311" s="270">
        <f ca="1">IFERROR(OFFSET(INDIRECT(#REF!),MATCH([2]Development_Schedule_EK!$E308,INDIRECT(#REF!),0)-1,MATCH([2]Development_Schedule_EK!$B308,INDIRECT(#REF!),0),1,1),0)</f>
        <v>0</v>
      </c>
      <c r="E311" s="266"/>
      <c r="F311" s="260">
        <f ca="1">IFERROR(OFFSET(INDIRECT(#REF!),MATCH([2]Development_Schedule_EK!I$6,INDIRECT(#REF!),0)-1,MATCH([2]Development_Schedule_EK!$B308,INDIRECT(#REF!),0),1,1)*$D311,0)</f>
        <v>0</v>
      </c>
      <c r="G311" s="260">
        <f ca="1">IFERROR(OFFSET(INDIRECT(#REF!),MATCH([2]Development_Schedule_EK!J$6,INDIRECT(#REF!),0)-1,MATCH([2]Development_Schedule_EK!$B308,INDIRECT(#REF!),0),1,1)*$D311,0)</f>
        <v>0</v>
      </c>
      <c r="H311" s="265">
        <f ca="1">IFERROR(OFFSET(INDIRECT(#REF!),MATCH([2]Development_Schedule_EK!K$6,INDIRECT(#REF!),0)-1,MATCH([2]Development_Schedule_EK!$B308,INDIRECT(#REF!),0),1,1)*$D311,0)</f>
        <v>0</v>
      </c>
      <c r="I311" s="260">
        <f ca="1">IFERROR(OFFSET(INDIRECT(#REF!),MATCH([2]Development_Schedule_EK!L$6,INDIRECT(#REF!),0)-1,MATCH([2]Development_Schedule_EK!$B308,INDIRECT(#REF!),0),1,1)*$D311,0)</f>
        <v>0</v>
      </c>
      <c r="J311" s="260">
        <f ca="1">IFERROR(OFFSET(INDIRECT(#REF!),MATCH([2]Development_Schedule_EK!M$6,INDIRECT(#REF!),0)-1,MATCH([2]Development_Schedule_EK!$B308,INDIRECT(#REF!),0),1,1)*$D311,0)</f>
        <v>0</v>
      </c>
      <c r="K311" s="260">
        <f ca="1">IFERROR(OFFSET(INDIRECT(#REF!),MATCH([2]Development_Schedule_EK!N$6,INDIRECT(#REF!),0)-1,MATCH([2]Development_Schedule_EK!$B308,INDIRECT(#REF!),0),1,1)*$D311,0)</f>
        <v>0</v>
      </c>
      <c r="L311" s="265">
        <f ca="1">IFERROR(OFFSET(INDIRECT(#REF!),MATCH([2]Development_Schedule_EK!O$6,INDIRECT(#REF!),0)-1,MATCH([2]Development_Schedule_EK!$B308,INDIRECT(#REF!),0),1,1)*$D311,0)</f>
        <v>0</v>
      </c>
      <c r="M311" s="260">
        <f ca="1">IFERROR(OFFSET(INDIRECT(#REF!),MATCH([2]Development_Schedule_EK!P$6,INDIRECT(#REF!),0)-1,MATCH([2]Development_Schedule_EK!$B308,INDIRECT(#REF!),0),1,1)*$D311,0)</f>
        <v>0</v>
      </c>
      <c r="N311" s="260">
        <f ca="1">IFERROR(OFFSET(INDIRECT(#REF!),MATCH([2]Development_Schedule_EK!Q$6,INDIRECT(#REF!),0)-1,MATCH([2]Development_Schedule_EK!$B308,INDIRECT(#REF!),0),1,1)*$D311,0)</f>
        <v>0</v>
      </c>
      <c r="O311" s="265">
        <f ca="1">IFERROR(OFFSET(INDIRECT(#REF!),MATCH([2]Development_Schedule_EK!R$6,INDIRECT(#REF!),0)-1,MATCH([2]Development_Schedule_EK!$B308,INDIRECT(#REF!),0),1,1)*$D311,0)</f>
        <v>0</v>
      </c>
      <c r="P311" s="183"/>
      <c r="Q311" s="184"/>
      <c r="R311" s="183"/>
    </row>
    <row r="312" spans="1:18" x14ac:dyDescent="0.25">
      <c r="A312" s="284">
        <v>1</v>
      </c>
      <c r="B312" s="774" t="s">
        <v>383</v>
      </c>
      <c r="C312" s="262"/>
      <c r="D312" s="270">
        <f ca="1">IFERROR(OFFSET(INDIRECT(#REF!),MATCH([2]Development_Schedule_EK!$E309,INDIRECT(#REF!),0)-1,MATCH([2]Development_Schedule_EK!$B309,INDIRECT(#REF!),0),1,1),0)</f>
        <v>0</v>
      </c>
      <c r="E312" s="266"/>
      <c r="F312" s="260">
        <f ca="1">IFERROR(OFFSET(INDIRECT(#REF!),MATCH([2]Development_Schedule_EK!I$6,INDIRECT(#REF!),0)-1,MATCH([2]Development_Schedule_EK!$B309,INDIRECT(#REF!),0),1,1)*$D312,0)</f>
        <v>0</v>
      </c>
      <c r="G312" s="260">
        <f ca="1">IFERROR(OFFSET(INDIRECT(#REF!),MATCH([2]Development_Schedule_EK!J$6,INDIRECT(#REF!),0)-1,MATCH([2]Development_Schedule_EK!$B309,INDIRECT(#REF!),0),1,1)*$D312,0)</f>
        <v>0</v>
      </c>
      <c r="H312" s="265">
        <f ca="1">IFERROR(OFFSET(INDIRECT(#REF!),MATCH([2]Development_Schedule_EK!K$6,INDIRECT(#REF!),0)-1,MATCH([2]Development_Schedule_EK!$B309,INDIRECT(#REF!),0),1,1)*$D312,0)</f>
        <v>0</v>
      </c>
      <c r="I312" s="260">
        <f ca="1">IFERROR(OFFSET(INDIRECT(#REF!),MATCH([2]Development_Schedule_EK!L$6,INDIRECT(#REF!),0)-1,MATCH([2]Development_Schedule_EK!$B309,INDIRECT(#REF!),0),1,1)*$D312,0)</f>
        <v>0</v>
      </c>
      <c r="J312" s="260">
        <f ca="1">IFERROR(OFFSET(INDIRECT(#REF!),MATCH([2]Development_Schedule_EK!M$6,INDIRECT(#REF!),0)-1,MATCH([2]Development_Schedule_EK!$B309,INDIRECT(#REF!),0),1,1)*$D312,0)</f>
        <v>0</v>
      </c>
      <c r="K312" s="260">
        <f ca="1">IFERROR(OFFSET(INDIRECT(#REF!),MATCH([2]Development_Schedule_EK!N$6,INDIRECT(#REF!),0)-1,MATCH([2]Development_Schedule_EK!$B309,INDIRECT(#REF!),0),1,1)*$D312,0)</f>
        <v>0</v>
      </c>
      <c r="L312" s="265">
        <f ca="1">IFERROR(OFFSET(INDIRECT(#REF!),MATCH([2]Development_Schedule_EK!O$6,INDIRECT(#REF!),0)-1,MATCH([2]Development_Schedule_EK!$B309,INDIRECT(#REF!),0),1,1)*$D312,0)</f>
        <v>0</v>
      </c>
      <c r="M312" s="260">
        <f ca="1">IFERROR(OFFSET(INDIRECT(#REF!),MATCH([2]Development_Schedule_EK!P$6,INDIRECT(#REF!),0)-1,MATCH([2]Development_Schedule_EK!$B309,INDIRECT(#REF!),0),1,1)*$D312,0)</f>
        <v>0</v>
      </c>
      <c r="N312" s="260">
        <f ca="1">IFERROR(OFFSET(INDIRECT(#REF!),MATCH([2]Development_Schedule_EK!Q$6,INDIRECT(#REF!),0)-1,MATCH([2]Development_Schedule_EK!$B309,INDIRECT(#REF!),0),1,1)*$D312,0)</f>
        <v>0</v>
      </c>
      <c r="O312" s="265">
        <f ca="1">IFERROR(OFFSET(INDIRECT(#REF!),MATCH([2]Development_Schedule_EK!R$6,INDIRECT(#REF!),0)-1,MATCH([2]Development_Schedule_EK!$B309,INDIRECT(#REF!),0),1,1)*$D312,0)</f>
        <v>0</v>
      </c>
      <c r="P312" s="183"/>
      <c r="Q312" s="184"/>
      <c r="R312" s="183"/>
    </row>
    <row r="313" spans="1:18" x14ac:dyDescent="0.25">
      <c r="A313" s="284">
        <v>1</v>
      </c>
      <c r="B313" s="774" t="s">
        <v>384</v>
      </c>
      <c r="C313" s="262"/>
      <c r="D313" s="270">
        <f ca="1">IFERROR(OFFSET(INDIRECT(#REF!),MATCH([2]Development_Schedule_EK!$E310,INDIRECT(#REF!),0)-1,MATCH([2]Development_Schedule_EK!$B310,INDIRECT(#REF!),0),1,1),0)</f>
        <v>0</v>
      </c>
      <c r="E313" s="266"/>
      <c r="F313" s="260">
        <f ca="1">IFERROR(OFFSET(INDIRECT(#REF!),MATCH([2]Development_Schedule_EK!I$6,INDIRECT(#REF!),0)-1,MATCH([2]Development_Schedule_EK!$B310,INDIRECT(#REF!),0),1,1)*$D313,0)</f>
        <v>0</v>
      </c>
      <c r="G313" s="260">
        <f ca="1">IFERROR(OFFSET(INDIRECT(#REF!),MATCH([2]Development_Schedule_EK!J$6,INDIRECT(#REF!),0)-1,MATCH([2]Development_Schedule_EK!$B310,INDIRECT(#REF!),0),1,1)*$D313,0)</f>
        <v>0</v>
      </c>
      <c r="H313" s="265">
        <f ca="1">IFERROR(OFFSET(INDIRECT(#REF!),MATCH([2]Development_Schedule_EK!K$6,INDIRECT(#REF!),0)-1,MATCH([2]Development_Schedule_EK!$B310,INDIRECT(#REF!),0),1,1)*$D313,0)</f>
        <v>0</v>
      </c>
      <c r="I313" s="260">
        <f ca="1">IFERROR(OFFSET(INDIRECT(#REF!),MATCH([2]Development_Schedule_EK!L$6,INDIRECT(#REF!),0)-1,MATCH([2]Development_Schedule_EK!$B310,INDIRECT(#REF!),0),1,1)*$D313,0)</f>
        <v>0</v>
      </c>
      <c r="J313" s="260">
        <f ca="1">IFERROR(OFFSET(INDIRECT(#REF!),MATCH([2]Development_Schedule_EK!M$6,INDIRECT(#REF!),0)-1,MATCH([2]Development_Schedule_EK!$B310,INDIRECT(#REF!),0),1,1)*$D313,0)</f>
        <v>0</v>
      </c>
      <c r="K313" s="260">
        <f ca="1">IFERROR(OFFSET(INDIRECT(#REF!),MATCH([2]Development_Schedule_EK!N$6,INDIRECT(#REF!),0)-1,MATCH([2]Development_Schedule_EK!$B310,INDIRECT(#REF!),0),1,1)*$D313,0)</f>
        <v>0</v>
      </c>
      <c r="L313" s="265">
        <f ca="1">IFERROR(OFFSET(INDIRECT(#REF!),MATCH([2]Development_Schedule_EK!O$6,INDIRECT(#REF!),0)-1,MATCH([2]Development_Schedule_EK!$B310,INDIRECT(#REF!),0),1,1)*$D313,0)</f>
        <v>0</v>
      </c>
      <c r="M313" s="260">
        <f ca="1">IFERROR(OFFSET(INDIRECT(#REF!),MATCH([2]Development_Schedule_EK!P$6,INDIRECT(#REF!),0)-1,MATCH([2]Development_Schedule_EK!$B310,INDIRECT(#REF!),0),1,1)*$D313,0)</f>
        <v>0</v>
      </c>
      <c r="N313" s="260">
        <f ca="1">IFERROR(OFFSET(INDIRECT(#REF!),MATCH([2]Development_Schedule_EK!Q$6,INDIRECT(#REF!),0)-1,MATCH([2]Development_Schedule_EK!$B310,INDIRECT(#REF!),0),1,1)*$D313,0)</f>
        <v>0</v>
      </c>
      <c r="O313" s="265">
        <f ca="1">IFERROR(OFFSET(INDIRECT(#REF!),MATCH([2]Development_Schedule_EK!R$6,INDIRECT(#REF!),0)-1,MATCH([2]Development_Schedule_EK!$B310,INDIRECT(#REF!),0),1,1)*$D313,0)</f>
        <v>0</v>
      </c>
      <c r="P313" s="183"/>
      <c r="Q313" s="184"/>
      <c r="R313" s="183"/>
    </row>
    <row r="314" spans="1:18" x14ac:dyDescent="0.25">
      <c r="A314" s="284">
        <v>1</v>
      </c>
      <c r="B314" s="774" t="s">
        <v>35</v>
      </c>
      <c r="C314" s="262"/>
      <c r="D314" s="270">
        <f ca="1">IFERROR(OFFSET(INDIRECT(#REF!),MATCH([2]Development_Schedule_EK!$E311,INDIRECT(#REF!),0)-1,MATCH([2]Development_Schedule_EK!$B311,INDIRECT(#REF!),0),1,1),0)</f>
        <v>0</v>
      </c>
      <c r="E314" s="266"/>
      <c r="F314" s="260">
        <f ca="1">IFERROR(OFFSET(INDIRECT(#REF!),MATCH([2]Development_Schedule_EK!I$6,INDIRECT(#REF!),0)-1,MATCH([2]Development_Schedule_EK!$B311,INDIRECT(#REF!),0),1,1)*$D314,0)</f>
        <v>0</v>
      </c>
      <c r="G314" s="260">
        <f ca="1">IFERROR(OFFSET(INDIRECT(#REF!),MATCH([2]Development_Schedule_EK!J$6,INDIRECT(#REF!),0)-1,MATCH([2]Development_Schedule_EK!$B311,INDIRECT(#REF!),0),1,1)*$D314,0)</f>
        <v>0</v>
      </c>
      <c r="H314" s="265">
        <f ca="1">IFERROR(OFFSET(INDIRECT(#REF!),MATCH([2]Development_Schedule_EK!K$6,INDIRECT(#REF!),0)-1,MATCH([2]Development_Schedule_EK!$B311,INDIRECT(#REF!),0),1,1)*$D314,0)</f>
        <v>0</v>
      </c>
      <c r="I314" s="260">
        <f ca="1">IFERROR(OFFSET(INDIRECT(#REF!),MATCH([2]Development_Schedule_EK!L$6,INDIRECT(#REF!),0)-1,MATCH([2]Development_Schedule_EK!$B311,INDIRECT(#REF!),0),1,1)*$D314,0)</f>
        <v>0</v>
      </c>
      <c r="J314" s="260">
        <f ca="1">IFERROR(OFFSET(INDIRECT(#REF!),MATCH([2]Development_Schedule_EK!M$6,INDIRECT(#REF!),0)-1,MATCH([2]Development_Schedule_EK!$B311,INDIRECT(#REF!),0),1,1)*$D314,0)</f>
        <v>0</v>
      </c>
      <c r="K314" s="260">
        <f ca="1">IFERROR(OFFSET(INDIRECT(#REF!),MATCH([2]Development_Schedule_EK!N$6,INDIRECT(#REF!),0)-1,MATCH([2]Development_Schedule_EK!$B311,INDIRECT(#REF!),0),1,1)*$D314,0)</f>
        <v>0</v>
      </c>
      <c r="L314" s="265">
        <f ca="1">IFERROR(OFFSET(INDIRECT(#REF!),MATCH([2]Development_Schedule_EK!O$6,INDIRECT(#REF!),0)-1,MATCH([2]Development_Schedule_EK!$B311,INDIRECT(#REF!),0),1,1)*$D314,0)</f>
        <v>0</v>
      </c>
      <c r="M314" s="260">
        <f ca="1">IFERROR(OFFSET(INDIRECT(#REF!),MATCH([2]Development_Schedule_EK!P$6,INDIRECT(#REF!),0)-1,MATCH([2]Development_Schedule_EK!$B311,INDIRECT(#REF!),0),1,1)*$D314,0)</f>
        <v>0</v>
      </c>
      <c r="N314" s="260">
        <f ca="1">IFERROR(OFFSET(INDIRECT(#REF!),MATCH([2]Development_Schedule_EK!Q$6,INDIRECT(#REF!),0)-1,MATCH([2]Development_Schedule_EK!$B311,INDIRECT(#REF!),0),1,1)*$D314,0)</f>
        <v>0</v>
      </c>
      <c r="O314" s="265">
        <f ca="1">IFERROR(OFFSET(INDIRECT(#REF!),MATCH([2]Development_Schedule_EK!R$6,INDIRECT(#REF!),0)-1,MATCH([2]Development_Schedule_EK!$B311,INDIRECT(#REF!),0),1,1)*$D314,0)</f>
        <v>0</v>
      </c>
      <c r="P314" s="183"/>
      <c r="Q314" s="184"/>
      <c r="R314" s="183"/>
    </row>
    <row r="315" spans="1:18" x14ac:dyDescent="0.25">
      <c r="A315" s="284">
        <v>1</v>
      </c>
      <c r="B315" s="774" t="s">
        <v>355</v>
      </c>
      <c r="C315" s="262"/>
      <c r="D315" s="270">
        <f ca="1">IFERROR(OFFSET(INDIRECT(#REF!),MATCH([2]Development_Schedule_EK!$E312,INDIRECT(#REF!),0)-1,MATCH([2]Development_Schedule_EK!$B312,INDIRECT(#REF!),0),1,1),0)</f>
        <v>0</v>
      </c>
      <c r="E315" s="266"/>
      <c r="F315" s="260">
        <f ca="1">IFERROR(OFFSET(INDIRECT(#REF!),MATCH([2]Development_Schedule_EK!I$6,INDIRECT(#REF!),0)-1,MATCH([2]Development_Schedule_EK!$B312,INDIRECT(#REF!),0),1,1)*$D315,0)</f>
        <v>0</v>
      </c>
      <c r="G315" s="260">
        <f ca="1">IFERROR(OFFSET(INDIRECT(#REF!),MATCH([2]Development_Schedule_EK!J$6,INDIRECT(#REF!),0)-1,MATCH([2]Development_Schedule_EK!$B312,INDIRECT(#REF!),0),1,1)*$D315,0)</f>
        <v>0</v>
      </c>
      <c r="H315" s="265">
        <f ca="1">IFERROR(OFFSET(INDIRECT(#REF!),MATCH([2]Development_Schedule_EK!K$6,INDIRECT(#REF!),0)-1,MATCH([2]Development_Schedule_EK!$B312,INDIRECT(#REF!),0),1,1)*$D315,0)</f>
        <v>0</v>
      </c>
      <c r="I315" s="260">
        <f ca="1">IFERROR(OFFSET(INDIRECT(#REF!),MATCH([2]Development_Schedule_EK!L$6,INDIRECT(#REF!),0)-1,MATCH([2]Development_Schedule_EK!$B312,INDIRECT(#REF!),0),1,1)*$D315,0)</f>
        <v>0</v>
      </c>
      <c r="J315" s="260">
        <f ca="1">IFERROR(OFFSET(INDIRECT(#REF!),MATCH([2]Development_Schedule_EK!M$6,INDIRECT(#REF!),0)-1,MATCH([2]Development_Schedule_EK!$B312,INDIRECT(#REF!),0),1,1)*$D315,0)</f>
        <v>0</v>
      </c>
      <c r="K315" s="260">
        <f ca="1">IFERROR(OFFSET(INDIRECT(#REF!),MATCH([2]Development_Schedule_EK!N$6,INDIRECT(#REF!),0)-1,MATCH([2]Development_Schedule_EK!$B312,INDIRECT(#REF!),0),1,1)*$D315,0)</f>
        <v>0</v>
      </c>
      <c r="L315" s="265">
        <f ca="1">IFERROR(OFFSET(INDIRECT(#REF!),MATCH([2]Development_Schedule_EK!O$6,INDIRECT(#REF!),0)-1,MATCH([2]Development_Schedule_EK!$B312,INDIRECT(#REF!),0),1,1)*$D315,0)</f>
        <v>0</v>
      </c>
      <c r="M315" s="260">
        <f ca="1">IFERROR(OFFSET(INDIRECT(#REF!),MATCH([2]Development_Schedule_EK!P$6,INDIRECT(#REF!),0)-1,MATCH([2]Development_Schedule_EK!$B312,INDIRECT(#REF!),0),1,1)*$D315,0)</f>
        <v>0</v>
      </c>
      <c r="N315" s="260">
        <f ca="1">IFERROR(OFFSET(INDIRECT(#REF!),MATCH([2]Development_Schedule_EK!Q$6,INDIRECT(#REF!),0)-1,MATCH([2]Development_Schedule_EK!$B312,INDIRECT(#REF!),0),1,1)*$D315,0)</f>
        <v>0</v>
      </c>
      <c r="O315" s="265">
        <f ca="1">IFERROR(OFFSET(INDIRECT(#REF!),MATCH([2]Development_Schedule_EK!R$6,INDIRECT(#REF!),0)-1,MATCH([2]Development_Schedule_EK!$B312,INDIRECT(#REF!),0),1,1)*$D315,0)</f>
        <v>0</v>
      </c>
      <c r="P315" s="183"/>
      <c r="Q315" s="184"/>
      <c r="R315" s="183"/>
    </row>
    <row r="316" spans="1:18" x14ac:dyDescent="0.25">
      <c r="A316" s="284">
        <v>1</v>
      </c>
      <c r="B316" s="774" t="s">
        <v>356</v>
      </c>
      <c r="C316" s="262"/>
      <c r="D316" s="270">
        <f ca="1">IFERROR(OFFSET(INDIRECT(#REF!),MATCH([2]Development_Schedule_EK!$E313,INDIRECT(#REF!),0)-1,MATCH([2]Development_Schedule_EK!$B313,INDIRECT(#REF!),0),1,1),0)</f>
        <v>0</v>
      </c>
      <c r="E316" s="266"/>
      <c r="F316" s="260">
        <f ca="1">IFERROR(OFFSET(INDIRECT(#REF!),MATCH([2]Development_Schedule_EK!I$6,INDIRECT(#REF!),0)-1,MATCH([2]Development_Schedule_EK!$B313,INDIRECT(#REF!),0),1,1)*$D316,0)</f>
        <v>0</v>
      </c>
      <c r="G316" s="260">
        <f ca="1">IFERROR(OFFSET(INDIRECT(#REF!),MATCH([2]Development_Schedule_EK!J$6,INDIRECT(#REF!),0)-1,MATCH([2]Development_Schedule_EK!$B313,INDIRECT(#REF!),0),1,1)*$D316,0)</f>
        <v>0</v>
      </c>
      <c r="H316" s="265">
        <f ca="1">IFERROR(OFFSET(INDIRECT(#REF!),MATCH([2]Development_Schedule_EK!K$6,INDIRECT(#REF!),0)-1,MATCH([2]Development_Schedule_EK!$B313,INDIRECT(#REF!),0),1,1)*$D316,0)</f>
        <v>0</v>
      </c>
      <c r="I316" s="260">
        <f ca="1">IFERROR(OFFSET(INDIRECT(#REF!),MATCH([2]Development_Schedule_EK!L$6,INDIRECT(#REF!),0)-1,MATCH([2]Development_Schedule_EK!$B313,INDIRECT(#REF!),0),1,1)*$D316,0)</f>
        <v>0</v>
      </c>
      <c r="J316" s="260">
        <f ca="1">IFERROR(OFFSET(INDIRECT(#REF!),MATCH([2]Development_Schedule_EK!M$6,INDIRECT(#REF!),0)-1,MATCH([2]Development_Schedule_EK!$B313,INDIRECT(#REF!),0),1,1)*$D316,0)</f>
        <v>0</v>
      </c>
      <c r="K316" s="260">
        <f ca="1">IFERROR(OFFSET(INDIRECT(#REF!),MATCH([2]Development_Schedule_EK!N$6,INDIRECT(#REF!),0)-1,MATCH([2]Development_Schedule_EK!$B313,INDIRECT(#REF!),0),1,1)*$D316,0)</f>
        <v>0</v>
      </c>
      <c r="L316" s="265">
        <f ca="1">IFERROR(OFFSET(INDIRECT(#REF!),MATCH([2]Development_Schedule_EK!O$6,INDIRECT(#REF!),0)-1,MATCH([2]Development_Schedule_EK!$B313,INDIRECT(#REF!),0),1,1)*$D316,0)</f>
        <v>0</v>
      </c>
      <c r="M316" s="260">
        <f ca="1">IFERROR(OFFSET(INDIRECT(#REF!),MATCH([2]Development_Schedule_EK!P$6,INDIRECT(#REF!),0)-1,MATCH([2]Development_Schedule_EK!$B313,INDIRECT(#REF!),0),1,1)*$D316,0)</f>
        <v>0</v>
      </c>
      <c r="N316" s="260">
        <f ca="1">IFERROR(OFFSET(INDIRECT(#REF!),MATCH([2]Development_Schedule_EK!Q$6,INDIRECT(#REF!),0)-1,MATCH([2]Development_Schedule_EK!$B313,INDIRECT(#REF!),0),1,1)*$D316,0)</f>
        <v>0</v>
      </c>
      <c r="O316" s="265">
        <f ca="1">IFERROR(OFFSET(INDIRECT(#REF!),MATCH([2]Development_Schedule_EK!R$6,INDIRECT(#REF!),0)-1,MATCH([2]Development_Schedule_EK!$B313,INDIRECT(#REF!),0),1,1)*$D316,0)</f>
        <v>0</v>
      </c>
      <c r="P316" s="183"/>
      <c r="Q316" s="184"/>
      <c r="R316" s="183"/>
    </row>
    <row r="317" spans="1:18" x14ac:dyDescent="0.25">
      <c r="A317" s="284">
        <v>1</v>
      </c>
      <c r="B317" s="774" t="s">
        <v>357</v>
      </c>
      <c r="C317" s="262"/>
      <c r="D317" s="270">
        <f ca="1">IFERROR(OFFSET(INDIRECT(#REF!),MATCH([2]Development_Schedule_EK!$E314,INDIRECT(#REF!),0)-1,MATCH([2]Development_Schedule_EK!$B314,INDIRECT(#REF!),0),1,1),0)</f>
        <v>0</v>
      </c>
      <c r="E317" s="266"/>
      <c r="F317" s="260">
        <f ca="1">IFERROR(OFFSET(INDIRECT(#REF!),MATCH([2]Development_Schedule_EK!I$6,INDIRECT(#REF!),0)-1,MATCH([2]Development_Schedule_EK!$B314,INDIRECT(#REF!),0),1,1)*$D317,0)</f>
        <v>0</v>
      </c>
      <c r="G317" s="260">
        <f ca="1">IFERROR(OFFSET(INDIRECT(#REF!),MATCH([2]Development_Schedule_EK!J$6,INDIRECT(#REF!),0)-1,MATCH([2]Development_Schedule_EK!$B314,INDIRECT(#REF!),0),1,1)*$D317,0)</f>
        <v>0</v>
      </c>
      <c r="H317" s="265">
        <f ca="1">IFERROR(OFFSET(INDIRECT(#REF!),MATCH([2]Development_Schedule_EK!K$6,INDIRECT(#REF!),0)-1,MATCH([2]Development_Schedule_EK!$B314,INDIRECT(#REF!),0),1,1)*$D317,0)</f>
        <v>0</v>
      </c>
      <c r="I317" s="260">
        <f ca="1">IFERROR(OFFSET(INDIRECT(#REF!),MATCH([2]Development_Schedule_EK!L$6,INDIRECT(#REF!),0)-1,MATCH([2]Development_Schedule_EK!$B314,INDIRECT(#REF!),0),1,1)*$D317,0)</f>
        <v>0</v>
      </c>
      <c r="J317" s="260">
        <f ca="1">IFERROR(OFFSET(INDIRECT(#REF!),MATCH([2]Development_Schedule_EK!M$6,INDIRECT(#REF!),0)-1,MATCH([2]Development_Schedule_EK!$B314,INDIRECT(#REF!),0),1,1)*$D317,0)</f>
        <v>0</v>
      </c>
      <c r="K317" s="260">
        <f ca="1">IFERROR(OFFSET(INDIRECT(#REF!),MATCH([2]Development_Schedule_EK!N$6,INDIRECT(#REF!),0)-1,MATCH([2]Development_Schedule_EK!$B314,INDIRECT(#REF!),0),1,1)*$D317,0)</f>
        <v>0</v>
      </c>
      <c r="L317" s="265">
        <f ca="1">IFERROR(OFFSET(INDIRECT(#REF!),MATCH([2]Development_Schedule_EK!O$6,INDIRECT(#REF!),0)-1,MATCH([2]Development_Schedule_EK!$B314,INDIRECT(#REF!),0),1,1)*$D317,0)</f>
        <v>0</v>
      </c>
      <c r="M317" s="260">
        <f ca="1">IFERROR(OFFSET(INDIRECT(#REF!),MATCH([2]Development_Schedule_EK!P$6,INDIRECT(#REF!),0)-1,MATCH([2]Development_Schedule_EK!$B314,INDIRECT(#REF!),0),1,1)*$D317,0)</f>
        <v>0</v>
      </c>
      <c r="N317" s="260">
        <f ca="1">IFERROR(OFFSET(INDIRECT(#REF!),MATCH([2]Development_Schedule_EK!Q$6,INDIRECT(#REF!),0)-1,MATCH([2]Development_Schedule_EK!$B314,INDIRECT(#REF!),0),1,1)*$D317,0)</f>
        <v>0</v>
      </c>
      <c r="O317" s="265">
        <f ca="1">IFERROR(OFFSET(INDIRECT(#REF!),MATCH([2]Development_Schedule_EK!R$6,INDIRECT(#REF!),0)-1,MATCH([2]Development_Schedule_EK!$B314,INDIRECT(#REF!),0),1,1)*$D317,0)</f>
        <v>0</v>
      </c>
      <c r="P317" s="183"/>
      <c r="Q317" s="184"/>
      <c r="R317" s="183"/>
    </row>
    <row r="318" spans="1:18" x14ac:dyDescent="0.25">
      <c r="A318" s="284">
        <v>1</v>
      </c>
      <c r="B318" s="774" t="s">
        <v>358</v>
      </c>
      <c r="C318" s="262"/>
      <c r="D318" s="270">
        <f ca="1">IFERROR(OFFSET(INDIRECT(#REF!),MATCH([2]Development_Schedule_EK!$E315,INDIRECT(#REF!),0)-1,MATCH([2]Development_Schedule_EK!$B315,INDIRECT(#REF!),0),1,1),0)</f>
        <v>0</v>
      </c>
      <c r="E318" s="266"/>
      <c r="F318" s="260">
        <f ca="1">IFERROR(OFFSET(INDIRECT(#REF!),MATCH([2]Development_Schedule_EK!I$6,INDIRECT(#REF!),0)-1,MATCH([2]Development_Schedule_EK!$B315,INDIRECT(#REF!),0),1,1)*$D318,0)</f>
        <v>0</v>
      </c>
      <c r="G318" s="260">
        <f ca="1">IFERROR(OFFSET(INDIRECT(#REF!),MATCH([2]Development_Schedule_EK!J$6,INDIRECT(#REF!),0)-1,MATCH([2]Development_Schedule_EK!$B315,INDIRECT(#REF!),0),1,1)*$D318,0)</f>
        <v>0</v>
      </c>
      <c r="H318" s="265">
        <f ca="1">IFERROR(OFFSET(INDIRECT(#REF!),MATCH([2]Development_Schedule_EK!K$6,INDIRECT(#REF!),0)-1,MATCH([2]Development_Schedule_EK!$B315,INDIRECT(#REF!),0),1,1)*$D318,0)</f>
        <v>0</v>
      </c>
      <c r="I318" s="260">
        <f ca="1">IFERROR(OFFSET(INDIRECT(#REF!),MATCH([2]Development_Schedule_EK!L$6,INDIRECT(#REF!),0)-1,MATCH([2]Development_Schedule_EK!$B315,INDIRECT(#REF!),0),1,1)*$D318,0)</f>
        <v>0</v>
      </c>
      <c r="J318" s="260">
        <f ca="1">IFERROR(OFFSET(INDIRECT(#REF!),MATCH([2]Development_Schedule_EK!M$6,INDIRECT(#REF!),0)-1,MATCH([2]Development_Schedule_EK!$B315,INDIRECT(#REF!),0),1,1)*$D318,0)</f>
        <v>0</v>
      </c>
      <c r="K318" s="260">
        <f ca="1">IFERROR(OFFSET(INDIRECT(#REF!),MATCH([2]Development_Schedule_EK!N$6,INDIRECT(#REF!),0)-1,MATCH([2]Development_Schedule_EK!$B315,INDIRECT(#REF!),0),1,1)*$D318,0)</f>
        <v>0</v>
      </c>
      <c r="L318" s="265">
        <f ca="1">IFERROR(OFFSET(INDIRECT(#REF!),MATCH([2]Development_Schedule_EK!O$6,INDIRECT(#REF!),0)-1,MATCH([2]Development_Schedule_EK!$B315,INDIRECT(#REF!),0),1,1)*$D318,0)</f>
        <v>0</v>
      </c>
      <c r="M318" s="260">
        <f ca="1">IFERROR(OFFSET(INDIRECT(#REF!),MATCH([2]Development_Schedule_EK!P$6,INDIRECT(#REF!),0)-1,MATCH([2]Development_Schedule_EK!$B315,INDIRECT(#REF!),0),1,1)*$D318,0)</f>
        <v>0</v>
      </c>
      <c r="N318" s="260">
        <f ca="1">IFERROR(OFFSET(INDIRECT(#REF!),MATCH([2]Development_Schedule_EK!Q$6,INDIRECT(#REF!),0)-1,MATCH([2]Development_Schedule_EK!$B315,INDIRECT(#REF!),0),1,1)*$D318,0)</f>
        <v>0</v>
      </c>
      <c r="O318" s="265">
        <f ca="1">IFERROR(OFFSET(INDIRECT(#REF!),MATCH([2]Development_Schedule_EK!R$6,INDIRECT(#REF!),0)-1,MATCH([2]Development_Schedule_EK!$B315,INDIRECT(#REF!),0),1,1)*$D318,0)</f>
        <v>0</v>
      </c>
      <c r="P318" s="183"/>
      <c r="Q318" s="184"/>
      <c r="R318" s="183"/>
    </row>
    <row r="319" spans="1:18" x14ac:dyDescent="0.25">
      <c r="A319" s="284">
        <v>1</v>
      </c>
      <c r="B319" s="774" t="s">
        <v>385</v>
      </c>
      <c r="C319" s="262"/>
      <c r="D319" s="270">
        <v>48940</v>
      </c>
      <c r="E319" s="266"/>
      <c r="F319" s="260">
        <f ca="1">IFERROR(OFFSET(INDIRECT(#REF!),MATCH([2]Development_Schedule_EK!I$6,INDIRECT(#REF!),0)-1,MATCH([2]Development_Schedule_EK!$B316,INDIRECT(#REF!),0),1,1)*$D319,0)</f>
        <v>0</v>
      </c>
      <c r="G319" s="260">
        <f>D319/2</f>
        <v>24470</v>
      </c>
      <c r="H319" s="265">
        <f>G319</f>
        <v>24470</v>
      </c>
      <c r="I319" s="260">
        <f ca="1">IFERROR(OFFSET(INDIRECT(#REF!),MATCH([2]Development_Schedule_EK!L$6,INDIRECT(#REF!),0)-1,MATCH([2]Development_Schedule_EK!$B316,INDIRECT(#REF!),0),1,1)*$D319,0)</f>
        <v>0</v>
      </c>
      <c r="J319" s="260">
        <f ca="1">IFERROR(OFFSET(INDIRECT(#REF!),MATCH([2]Development_Schedule_EK!M$6,INDIRECT(#REF!),0)-1,MATCH([2]Development_Schedule_EK!$B316,INDIRECT(#REF!),0),1,1)*$D319,0)</f>
        <v>0</v>
      </c>
      <c r="K319" s="260">
        <f ca="1">IFERROR(OFFSET(INDIRECT(#REF!),MATCH([2]Development_Schedule_EK!N$6,INDIRECT(#REF!),0)-1,MATCH([2]Development_Schedule_EK!$B316,INDIRECT(#REF!),0),1,1)*$D319,0)</f>
        <v>0</v>
      </c>
      <c r="L319" s="265">
        <f ca="1">IFERROR(OFFSET(INDIRECT(#REF!),MATCH([2]Development_Schedule_EK!O$6,INDIRECT(#REF!),0)-1,MATCH([2]Development_Schedule_EK!$B316,INDIRECT(#REF!),0),1,1)*$D319,0)</f>
        <v>0</v>
      </c>
      <c r="M319" s="260">
        <f ca="1">IFERROR(OFFSET(INDIRECT(#REF!),MATCH([2]Development_Schedule_EK!P$6,INDIRECT(#REF!),0)-1,MATCH([2]Development_Schedule_EK!$B316,INDIRECT(#REF!),0),1,1)*$D319,0)</f>
        <v>0</v>
      </c>
      <c r="N319" s="260">
        <f ca="1">IFERROR(OFFSET(INDIRECT(#REF!),MATCH([2]Development_Schedule_EK!Q$6,INDIRECT(#REF!),0)-1,MATCH([2]Development_Schedule_EK!$B316,INDIRECT(#REF!),0),1,1)*$D319,0)</f>
        <v>0</v>
      </c>
      <c r="O319" s="265">
        <f ca="1">IFERROR(OFFSET(INDIRECT(#REF!),MATCH([2]Development_Schedule_EK!R$6,INDIRECT(#REF!),0)-1,MATCH([2]Development_Schedule_EK!$B316,INDIRECT(#REF!),0),1,1)*$D319,0)</f>
        <v>0</v>
      </c>
      <c r="P319" s="183"/>
      <c r="Q319" s="184"/>
      <c r="R319" s="183"/>
    </row>
    <row r="320" spans="1:18" x14ac:dyDescent="0.25">
      <c r="A320" s="284">
        <v>1</v>
      </c>
      <c r="B320" s="774" t="s">
        <v>33</v>
      </c>
      <c r="C320" s="262"/>
      <c r="D320" s="270">
        <f ca="1">IFERROR(OFFSET(INDIRECT(#REF!),MATCH([2]Development_Schedule_EK!$E317,INDIRECT(#REF!),0)-1,MATCH([2]Development_Schedule_EK!$B317,INDIRECT(#REF!),0),1,1),0)</f>
        <v>0</v>
      </c>
      <c r="E320" s="266"/>
      <c r="F320" s="260">
        <f ca="1">IFERROR(OFFSET(INDIRECT(#REF!),MATCH([2]Development_Schedule_EK!I$6,INDIRECT(#REF!),0)-1,MATCH([2]Development_Schedule_EK!$B317,INDIRECT(#REF!),0),1,1)*$D320,0)</f>
        <v>0</v>
      </c>
      <c r="G320" s="260">
        <f ca="1">IFERROR(OFFSET(INDIRECT(#REF!),MATCH([2]Development_Schedule_EK!J$6,INDIRECT(#REF!),0)-1,MATCH([2]Development_Schedule_EK!$B317,INDIRECT(#REF!),0),1,1)*$D320,0)</f>
        <v>0</v>
      </c>
      <c r="H320" s="265">
        <f ca="1">IFERROR(OFFSET(INDIRECT(#REF!),MATCH([2]Development_Schedule_EK!K$6,INDIRECT(#REF!),0)-1,MATCH([2]Development_Schedule_EK!$B317,INDIRECT(#REF!),0),1,1)*$D320,0)</f>
        <v>0</v>
      </c>
      <c r="I320" s="260">
        <f ca="1">IFERROR(OFFSET(INDIRECT(#REF!),MATCH([2]Development_Schedule_EK!L$6,INDIRECT(#REF!),0)-1,MATCH([2]Development_Schedule_EK!$B317,INDIRECT(#REF!),0),1,1)*$D320,0)</f>
        <v>0</v>
      </c>
      <c r="J320" s="260">
        <f ca="1">IFERROR(OFFSET(INDIRECT(#REF!),MATCH([2]Development_Schedule_EK!M$6,INDIRECT(#REF!),0)-1,MATCH([2]Development_Schedule_EK!$B317,INDIRECT(#REF!),0),1,1)*$D320,0)</f>
        <v>0</v>
      </c>
      <c r="K320" s="260">
        <f ca="1">IFERROR(OFFSET(INDIRECT(#REF!),MATCH([2]Development_Schedule_EK!N$6,INDIRECT(#REF!),0)-1,MATCH([2]Development_Schedule_EK!$B317,INDIRECT(#REF!),0),1,1)*$D320,0)</f>
        <v>0</v>
      </c>
      <c r="L320" s="265">
        <f ca="1">IFERROR(OFFSET(INDIRECT(#REF!),MATCH([2]Development_Schedule_EK!O$6,INDIRECT(#REF!),0)-1,MATCH([2]Development_Schedule_EK!$B317,INDIRECT(#REF!),0),1,1)*$D320,0)</f>
        <v>0</v>
      </c>
      <c r="M320" s="260">
        <f ca="1">IFERROR(OFFSET(INDIRECT(#REF!),MATCH([2]Development_Schedule_EK!P$6,INDIRECT(#REF!),0)-1,MATCH([2]Development_Schedule_EK!$B317,INDIRECT(#REF!),0),1,1)*$D320,0)</f>
        <v>0</v>
      </c>
      <c r="N320" s="260">
        <f ca="1">IFERROR(OFFSET(INDIRECT(#REF!),MATCH([2]Development_Schedule_EK!Q$6,INDIRECT(#REF!),0)-1,MATCH([2]Development_Schedule_EK!$B317,INDIRECT(#REF!),0),1,1)*$D320,0)</f>
        <v>0</v>
      </c>
      <c r="O320" s="265">
        <f ca="1">IFERROR(OFFSET(INDIRECT(#REF!),MATCH([2]Development_Schedule_EK!R$6,INDIRECT(#REF!),0)-1,MATCH([2]Development_Schedule_EK!$B317,INDIRECT(#REF!),0),1,1)*$D320,0)</f>
        <v>0</v>
      </c>
      <c r="P320" s="183"/>
      <c r="Q320" s="184"/>
      <c r="R320" s="183"/>
    </row>
    <row r="321" spans="1:18" x14ac:dyDescent="0.25">
      <c r="A321" s="284">
        <v>1</v>
      </c>
      <c r="B321" s="774" t="s">
        <v>42</v>
      </c>
      <c r="C321" s="262"/>
      <c r="D321" s="270">
        <f ca="1">IFERROR(OFFSET(INDIRECT(#REF!),MATCH([2]Development_Schedule_EK!$E318,INDIRECT(#REF!),0)-1,MATCH([2]Development_Schedule_EK!$B318,INDIRECT(#REF!),0),1,1),0)</f>
        <v>0</v>
      </c>
      <c r="E321" s="266"/>
      <c r="F321" s="260">
        <f ca="1">IFERROR(OFFSET(INDIRECT(#REF!),MATCH([2]Development_Schedule_EK!I$6,INDIRECT(#REF!),0)-1,MATCH([2]Development_Schedule_EK!$B318,INDIRECT(#REF!),0),1,1)*$D321,0)</f>
        <v>0</v>
      </c>
      <c r="G321" s="260">
        <f ca="1">IFERROR(OFFSET(INDIRECT(#REF!),MATCH([2]Development_Schedule_EK!J$6,INDIRECT(#REF!),0)-1,MATCH([2]Development_Schedule_EK!$B318,INDIRECT(#REF!),0),1,1)*$D321,0)</f>
        <v>0</v>
      </c>
      <c r="H321" s="265">
        <f ca="1">IFERROR(OFFSET(INDIRECT(#REF!),MATCH([2]Development_Schedule_EK!K$6,INDIRECT(#REF!),0)-1,MATCH([2]Development_Schedule_EK!$B318,INDIRECT(#REF!),0),1,1)*$D321,0)</f>
        <v>0</v>
      </c>
      <c r="I321" s="260">
        <f ca="1">IFERROR(OFFSET(INDIRECT(#REF!),MATCH([2]Development_Schedule_EK!L$6,INDIRECT(#REF!),0)-1,MATCH([2]Development_Schedule_EK!$B318,INDIRECT(#REF!),0),1,1)*$D321,0)</f>
        <v>0</v>
      </c>
      <c r="J321" s="260">
        <f ca="1">IFERROR(OFFSET(INDIRECT(#REF!),MATCH([2]Development_Schedule_EK!M$6,INDIRECT(#REF!),0)-1,MATCH([2]Development_Schedule_EK!$B318,INDIRECT(#REF!),0),1,1)*$D321,0)</f>
        <v>0</v>
      </c>
      <c r="K321" s="260">
        <f ca="1">IFERROR(OFFSET(INDIRECT(#REF!),MATCH([2]Development_Schedule_EK!N$6,INDIRECT(#REF!),0)-1,MATCH([2]Development_Schedule_EK!$B318,INDIRECT(#REF!),0),1,1)*$D321,0)</f>
        <v>0</v>
      </c>
      <c r="L321" s="265">
        <f ca="1">IFERROR(OFFSET(INDIRECT(#REF!),MATCH([2]Development_Schedule_EK!O$6,INDIRECT(#REF!),0)-1,MATCH([2]Development_Schedule_EK!$B318,INDIRECT(#REF!),0),1,1)*$D321,0)</f>
        <v>0</v>
      </c>
      <c r="M321" s="260">
        <f ca="1">IFERROR(OFFSET(INDIRECT(#REF!),MATCH([2]Development_Schedule_EK!P$6,INDIRECT(#REF!),0)-1,MATCH([2]Development_Schedule_EK!$B318,INDIRECT(#REF!),0),1,1)*$D321,0)</f>
        <v>0</v>
      </c>
      <c r="N321" s="260">
        <f ca="1">IFERROR(OFFSET(INDIRECT(#REF!),MATCH([2]Development_Schedule_EK!Q$6,INDIRECT(#REF!),0)-1,MATCH([2]Development_Schedule_EK!$B318,INDIRECT(#REF!),0),1,1)*$D321,0)</f>
        <v>0</v>
      </c>
      <c r="O321" s="265">
        <f ca="1">IFERROR(OFFSET(INDIRECT(#REF!),MATCH([2]Development_Schedule_EK!R$6,INDIRECT(#REF!),0)-1,MATCH([2]Development_Schedule_EK!$B318,INDIRECT(#REF!),0),1,1)*$D321,0)</f>
        <v>0</v>
      </c>
      <c r="P321" s="183"/>
      <c r="Q321" s="184"/>
      <c r="R321" s="183"/>
    </row>
    <row r="322" spans="1:18" x14ac:dyDescent="0.25">
      <c r="B322" s="774"/>
      <c r="C322" s="262"/>
      <c r="D322" s="270"/>
      <c r="E322" s="266"/>
      <c r="F322" s="260"/>
      <c r="G322" s="260"/>
      <c r="H322" s="265"/>
      <c r="I322" s="260"/>
      <c r="J322" s="260"/>
      <c r="K322" s="260"/>
      <c r="L322" s="265"/>
      <c r="M322" s="260"/>
      <c r="N322" s="260"/>
      <c r="O322" s="265"/>
      <c r="P322" s="183"/>
      <c r="Q322" s="183"/>
      <c r="R322" s="183"/>
    </row>
    <row r="323" spans="1:18" x14ac:dyDescent="0.25">
      <c r="B323" s="777"/>
      <c r="C323" s="778"/>
      <c r="D323" s="779"/>
      <c r="E323" s="780"/>
      <c r="F323" s="781"/>
      <c r="G323" s="781"/>
      <c r="H323" s="782"/>
      <c r="I323" s="781"/>
      <c r="J323" s="781"/>
      <c r="K323" s="781"/>
      <c r="L323" s="782"/>
      <c r="M323" s="781"/>
      <c r="N323" s="781"/>
      <c r="O323" s="782"/>
      <c r="P323" s="183"/>
      <c r="Q323" s="183"/>
      <c r="R323" s="183"/>
    </row>
    <row r="324" spans="1:18" x14ac:dyDescent="0.25">
      <c r="B324" s="183"/>
      <c r="C324" s="183"/>
      <c r="D324" s="197"/>
      <c r="E324" s="183"/>
      <c r="F324" s="188"/>
      <c r="G324" s="188"/>
      <c r="H324" s="188"/>
      <c r="I324" s="188"/>
      <c r="J324" s="188"/>
      <c r="K324" s="188"/>
      <c r="L324" s="188"/>
      <c r="M324" s="188"/>
      <c r="N324" s="188"/>
      <c r="O324" s="188"/>
      <c r="P324" s="183"/>
      <c r="Q324" s="183"/>
      <c r="R324" s="183"/>
    </row>
    <row r="325" spans="1:18" x14ac:dyDescent="0.25">
      <c r="B325" s="181"/>
      <c r="C325" s="189"/>
      <c r="D325" s="196"/>
      <c r="E325" s="181"/>
      <c r="F325" s="181"/>
      <c r="G325" s="188"/>
      <c r="H325" s="188"/>
      <c r="I325" s="188"/>
      <c r="J325" s="188"/>
      <c r="K325" s="188"/>
      <c r="L325" s="188"/>
      <c r="M325" s="188"/>
      <c r="N325" s="188"/>
      <c r="O325" s="188"/>
      <c r="P325" s="183"/>
      <c r="Q325" s="183"/>
      <c r="R325" s="183"/>
    </row>
    <row r="326" spans="1:18" x14ac:dyDescent="0.25">
      <c r="B326" s="181"/>
      <c r="C326" s="189"/>
      <c r="D326" s="196"/>
      <c r="E326" s="181"/>
      <c r="F326" s="181"/>
      <c r="G326" s="188"/>
      <c r="H326" s="188"/>
      <c r="I326" s="188"/>
      <c r="J326" s="188"/>
      <c r="K326" s="188"/>
      <c r="L326" s="188"/>
      <c r="M326" s="188"/>
      <c r="N326" s="188"/>
      <c r="O326" s="188"/>
      <c r="P326" s="183"/>
      <c r="Q326" s="183"/>
      <c r="R326" s="183"/>
    </row>
    <row r="327" spans="1:18" x14ac:dyDescent="0.25">
      <c r="B327" s="282" t="s">
        <v>353</v>
      </c>
      <c r="C327" s="207" t="s">
        <v>388</v>
      </c>
      <c r="D327" s="28" t="s">
        <v>389</v>
      </c>
      <c r="E327" s="29" t="s">
        <v>390</v>
      </c>
      <c r="F327" s="279" t="s">
        <v>378</v>
      </c>
      <c r="G327" s="280" t="s">
        <v>136</v>
      </c>
      <c r="H327" s="190"/>
      <c r="I327" s="190"/>
      <c r="J327" s="190"/>
      <c r="K327" s="190"/>
      <c r="L327" s="190"/>
      <c r="M327" s="190"/>
      <c r="N327" s="190"/>
      <c r="O327" s="190"/>
      <c r="P327" s="183"/>
      <c r="Q327" s="183"/>
      <c r="R327" s="183"/>
    </row>
    <row r="328" spans="1:18" x14ac:dyDescent="0.25">
      <c r="B328" s="818" t="s">
        <v>381</v>
      </c>
      <c r="C328" s="819">
        <f t="shared" ref="C328:C340" ca="1" si="17">SUMIFS($D$8:$D$323,$A$8:$A$323,"1",$B$8:$B$323,B328)</f>
        <v>170225.04799999998</v>
      </c>
      <c r="D328" s="819">
        <f t="shared" ref="D328:D339" ca="1" si="18">SUMIFS($D$8:$D$323,$A$8:$A$323,"2",$B$8:$B$323,B328)</f>
        <v>113156</v>
      </c>
      <c r="E328" s="819">
        <f t="shared" ref="E328:E339" ca="1" si="19">SUMIFS($D$8:$D$323,$A$8:$A$323,"3",$B$8:$B$323,B328)</f>
        <v>0</v>
      </c>
      <c r="F328" s="820">
        <f ca="1">SUM(C328:E328)</f>
        <v>283381.04799999995</v>
      </c>
      <c r="G328" s="281" t="str">
        <f ca="1">IF(F328=SUM(C328:E328),"Yes","No")</f>
        <v>Yes</v>
      </c>
      <c r="H328" s="190"/>
      <c r="I328" s="190"/>
      <c r="J328" s="190"/>
      <c r="K328" s="190"/>
      <c r="L328" s="190"/>
      <c r="M328" s="190"/>
      <c r="N328" s="190"/>
      <c r="O328" s="190"/>
      <c r="P328" s="183"/>
      <c r="Q328" s="183"/>
      <c r="R328" s="183"/>
    </row>
    <row r="329" spans="1:18" x14ac:dyDescent="0.25">
      <c r="B329" s="818" t="s">
        <v>382</v>
      </c>
      <c r="C329" s="819">
        <f t="shared" ca="1" si="17"/>
        <v>47550.400000000001</v>
      </c>
      <c r="D329" s="819">
        <f t="shared" ca="1" si="18"/>
        <v>73243.240000000005</v>
      </c>
      <c r="E329" s="819">
        <f t="shared" ca="1" si="19"/>
        <v>104384</v>
      </c>
      <c r="F329" s="820">
        <f t="shared" ref="F329:F336" ca="1" si="20">SUM(C329:E329)</f>
        <v>225177.64</v>
      </c>
      <c r="G329" s="281" t="str">
        <f t="shared" ref="G329:G341" ca="1" si="21">IF(F329=SUM(C329:E329),"Yes","No")</f>
        <v>Yes</v>
      </c>
      <c r="H329" s="183"/>
      <c r="I329" s="183"/>
      <c r="J329" s="183"/>
      <c r="K329" s="183"/>
      <c r="L329" s="183"/>
      <c r="M329" s="183"/>
      <c r="N329" s="183"/>
      <c r="O329" s="183"/>
      <c r="P329" s="183"/>
      <c r="Q329" s="183"/>
      <c r="R329" s="183"/>
    </row>
    <row r="330" spans="1:18" x14ac:dyDescent="0.25">
      <c r="B330" s="818" t="s">
        <v>383</v>
      </c>
      <c r="C330" s="819">
        <f t="shared" ca="1" si="17"/>
        <v>42556.261999999995</v>
      </c>
      <c r="D330" s="819">
        <f t="shared" ca="1" si="18"/>
        <v>28289</v>
      </c>
      <c r="E330" s="819">
        <f t="shared" ca="1" si="19"/>
        <v>0</v>
      </c>
      <c r="F330" s="820">
        <f t="shared" ca="1" si="20"/>
        <v>70845.261999999988</v>
      </c>
      <c r="G330" s="281" t="str">
        <f t="shared" ca="1" si="21"/>
        <v>Yes</v>
      </c>
      <c r="H330" s="183"/>
      <c r="I330" s="183"/>
      <c r="J330" s="183"/>
      <c r="K330" s="183"/>
      <c r="L330" s="183"/>
      <c r="M330" s="183"/>
      <c r="N330" s="183"/>
      <c r="O330" s="183"/>
      <c r="P330" s="183"/>
      <c r="Q330" s="183"/>
      <c r="R330" s="183"/>
    </row>
    <row r="331" spans="1:18" x14ac:dyDescent="0.25">
      <c r="B331" s="818" t="s">
        <v>384</v>
      </c>
      <c r="C331" s="819">
        <f t="shared" ca="1" si="17"/>
        <v>11887.6</v>
      </c>
      <c r="D331" s="819">
        <f t="shared" ca="1" si="18"/>
        <v>18310.810000000001</v>
      </c>
      <c r="E331" s="819">
        <f t="shared" ca="1" si="19"/>
        <v>26096</v>
      </c>
      <c r="F331" s="820">
        <f t="shared" ca="1" si="20"/>
        <v>56294.41</v>
      </c>
      <c r="G331" s="281" t="str">
        <f t="shared" ca="1" si="21"/>
        <v>Yes</v>
      </c>
      <c r="H331" s="183"/>
      <c r="I331" s="183"/>
      <c r="J331" s="192"/>
      <c r="K331" s="193"/>
      <c r="L331" s="193"/>
      <c r="M331" s="192"/>
      <c r="N331" s="193"/>
      <c r="O331" s="193"/>
      <c r="P331" s="192"/>
      <c r="Q331" s="192"/>
      <c r="R331" s="193"/>
    </row>
    <row r="332" spans="1:18" x14ac:dyDescent="0.25">
      <c r="B332" s="818" t="s">
        <v>35</v>
      </c>
      <c r="C332" s="819">
        <f t="shared" ca="1" si="17"/>
        <v>301131</v>
      </c>
      <c r="D332" s="819">
        <f t="shared" ca="1" si="18"/>
        <v>32731</v>
      </c>
      <c r="E332" s="819">
        <f t="shared" ca="1" si="19"/>
        <v>18640</v>
      </c>
      <c r="F332" s="820">
        <f t="shared" ca="1" si="20"/>
        <v>352502</v>
      </c>
      <c r="G332" s="281" t="str">
        <f t="shared" ca="1" si="21"/>
        <v>Yes</v>
      </c>
      <c r="H332" s="183"/>
      <c r="I332" s="183"/>
      <c r="J332" s="183"/>
      <c r="K332" s="183"/>
      <c r="L332" s="183"/>
      <c r="M332" s="183"/>
      <c r="N332" s="183"/>
      <c r="O332" s="183"/>
      <c r="P332" s="183"/>
      <c r="Q332" s="183"/>
      <c r="R332" s="183"/>
    </row>
    <row r="333" spans="1:18" x14ac:dyDescent="0.25">
      <c r="B333" s="818" t="s">
        <v>386</v>
      </c>
      <c r="C333" s="819">
        <f t="shared" si="17"/>
        <v>0</v>
      </c>
      <c r="D333" s="819">
        <f t="shared" si="18"/>
        <v>72025</v>
      </c>
      <c r="E333" s="819">
        <f t="shared" si="19"/>
        <v>0</v>
      </c>
      <c r="F333" s="820">
        <f t="shared" si="20"/>
        <v>72025</v>
      </c>
      <c r="G333" s="281" t="str">
        <f t="shared" si="21"/>
        <v>Yes</v>
      </c>
      <c r="H333" s="194"/>
      <c r="I333" s="183"/>
      <c r="J333" s="183"/>
      <c r="K333" s="183"/>
      <c r="L333" s="183"/>
      <c r="M333" s="183"/>
      <c r="N333" s="183"/>
      <c r="O333" s="183"/>
      <c r="P333" s="183"/>
      <c r="Q333" s="183"/>
      <c r="R333" s="183"/>
    </row>
    <row r="334" spans="1:18" x14ac:dyDescent="0.25">
      <c r="B334" s="818" t="s">
        <v>387</v>
      </c>
      <c r="C334" s="819">
        <f t="shared" si="17"/>
        <v>61128</v>
      </c>
      <c r="D334" s="819">
        <f t="shared" si="18"/>
        <v>0</v>
      </c>
      <c r="E334" s="819">
        <f t="shared" si="19"/>
        <v>0</v>
      </c>
      <c r="F334" s="820">
        <f t="shared" si="20"/>
        <v>61128</v>
      </c>
      <c r="G334" s="281" t="str">
        <f t="shared" si="21"/>
        <v>Yes</v>
      </c>
      <c r="H334" s="194"/>
      <c r="I334" s="183"/>
      <c r="J334" s="183"/>
      <c r="K334" s="183"/>
      <c r="L334" s="183"/>
      <c r="M334" s="183"/>
      <c r="N334" s="183"/>
      <c r="O334" s="183"/>
      <c r="P334" s="183"/>
      <c r="Q334" s="183"/>
      <c r="R334" s="183"/>
    </row>
    <row r="335" spans="1:18" x14ac:dyDescent="0.25">
      <c r="B335" s="821" t="s">
        <v>356</v>
      </c>
      <c r="C335" s="819">
        <f t="shared" ca="1" si="17"/>
        <v>0</v>
      </c>
      <c r="D335" s="819">
        <f t="shared" ca="1" si="18"/>
        <v>0</v>
      </c>
      <c r="E335" s="819">
        <f t="shared" ca="1" si="19"/>
        <v>152743.21</v>
      </c>
      <c r="F335" s="820">
        <f t="shared" ca="1" si="20"/>
        <v>152743.21</v>
      </c>
      <c r="G335" s="281" t="str">
        <f t="shared" ca="1" si="21"/>
        <v>Yes</v>
      </c>
      <c r="H335" s="183"/>
      <c r="I335" s="183"/>
      <c r="J335" s="183"/>
      <c r="K335" s="183"/>
      <c r="L335" s="183"/>
      <c r="M335" s="183"/>
      <c r="N335" s="183"/>
      <c r="O335" s="183"/>
      <c r="P335" s="183"/>
      <c r="Q335" s="183"/>
      <c r="R335" s="183"/>
    </row>
    <row r="336" spans="1:18" x14ac:dyDescent="0.25">
      <c r="B336" s="821" t="s">
        <v>357</v>
      </c>
      <c r="C336" s="819">
        <f t="shared" ca="1" si="17"/>
        <v>0</v>
      </c>
      <c r="D336" s="819">
        <f t="shared" ca="1" si="18"/>
        <v>131190</v>
      </c>
      <c r="E336" s="819">
        <f t="shared" ca="1" si="19"/>
        <v>0</v>
      </c>
      <c r="F336" s="820">
        <f t="shared" ca="1" si="20"/>
        <v>131190</v>
      </c>
      <c r="G336" s="281" t="str">
        <f t="shared" ca="1" si="21"/>
        <v>Yes</v>
      </c>
      <c r="H336" s="183"/>
      <c r="I336" s="183"/>
      <c r="J336" s="183"/>
      <c r="K336" s="183"/>
      <c r="L336" s="183"/>
      <c r="M336" s="183"/>
      <c r="N336" s="183"/>
      <c r="O336" s="183"/>
      <c r="P336" s="183"/>
      <c r="Q336" s="183"/>
      <c r="R336" s="183"/>
    </row>
    <row r="337" spans="1:18" x14ac:dyDescent="0.25">
      <c r="B337" s="821" t="s">
        <v>358</v>
      </c>
      <c r="C337" s="819">
        <f t="shared" ca="1" si="17"/>
        <v>0</v>
      </c>
      <c r="D337" s="819">
        <f t="shared" ca="1" si="18"/>
        <v>0</v>
      </c>
      <c r="E337" s="819">
        <f t="shared" ca="1" si="19"/>
        <v>228435</v>
      </c>
      <c r="F337" s="820">
        <f ca="1">SUM(C337:E337)</f>
        <v>228435</v>
      </c>
      <c r="G337" s="281" t="str">
        <f t="shared" ca="1" si="21"/>
        <v>Yes</v>
      </c>
      <c r="H337" s="183"/>
      <c r="I337" s="183"/>
      <c r="J337" s="183"/>
      <c r="K337" s="183"/>
      <c r="L337" s="183"/>
      <c r="M337" s="183"/>
      <c r="N337" s="183"/>
      <c r="O337" s="183"/>
      <c r="P337" s="183"/>
      <c r="Q337" s="183"/>
      <c r="R337" s="183"/>
    </row>
    <row r="338" spans="1:18" x14ac:dyDescent="0.25">
      <c r="B338" s="821" t="s">
        <v>385</v>
      </c>
      <c r="C338" s="819">
        <f t="shared" ca="1" si="17"/>
        <v>48940</v>
      </c>
      <c r="D338" s="819">
        <f t="shared" ca="1" si="18"/>
        <v>0</v>
      </c>
      <c r="E338" s="819">
        <f t="shared" ca="1" si="19"/>
        <v>0</v>
      </c>
      <c r="F338" s="820">
        <f ca="1">SUM(C338:E338)</f>
        <v>48940</v>
      </c>
      <c r="G338" s="281" t="str">
        <f t="shared" ca="1" si="21"/>
        <v>Yes</v>
      </c>
      <c r="H338" s="194"/>
      <c r="I338" s="183"/>
      <c r="J338" s="183"/>
      <c r="K338" s="183"/>
      <c r="L338" s="183"/>
      <c r="M338" s="183"/>
      <c r="N338" s="183"/>
      <c r="O338" s="183"/>
      <c r="P338" s="183"/>
      <c r="Q338" s="183"/>
      <c r="R338" s="183"/>
    </row>
    <row r="339" spans="1:18" x14ac:dyDescent="0.25">
      <c r="B339" s="821" t="s">
        <v>33</v>
      </c>
      <c r="C339" s="819">
        <f t="shared" ca="1" si="17"/>
        <v>0</v>
      </c>
      <c r="D339" s="819">
        <f t="shared" ca="1" si="18"/>
        <v>48600</v>
      </c>
      <c r="E339" s="819">
        <f t="shared" ca="1" si="19"/>
        <v>0</v>
      </c>
      <c r="F339" s="820">
        <f t="shared" ref="F339:F340" ca="1" si="22">SUM(C339:E339)</f>
        <v>48600</v>
      </c>
      <c r="G339" s="281" t="str">
        <f t="shared" ca="1" si="21"/>
        <v>Yes</v>
      </c>
      <c r="H339" s="183"/>
      <c r="I339" s="183"/>
      <c r="J339" s="183"/>
      <c r="K339" s="183"/>
      <c r="L339" s="183"/>
      <c r="M339" s="183"/>
      <c r="N339" s="183"/>
      <c r="O339" s="183"/>
      <c r="P339" s="183"/>
      <c r="Q339" s="183"/>
      <c r="R339" s="183"/>
    </row>
    <row r="340" spans="1:18" x14ac:dyDescent="0.25">
      <c r="B340" s="821" t="s">
        <v>42</v>
      </c>
      <c r="C340" s="819">
        <f t="shared" ca="1" si="17"/>
        <v>64400</v>
      </c>
      <c r="D340" s="819">
        <f ca="1">SUMIFS($D$8:$D$323,$A$8:$A$323,"2",$B$8:$B$323,B340)</f>
        <v>59331.58</v>
      </c>
      <c r="E340" s="819">
        <f ca="1">SUMIFS($D$8:$D$323,$A$8:$A$323,"3",$B$8:$B$323,B340)</f>
        <v>69554</v>
      </c>
      <c r="F340" s="820">
        <f t="shared" ca="1" si="22"/>
        <v>193285.58000000002</v>
      </c>
      <c r="G340" s="281" t="str">
        <f t="shared" ca="1" si="21"/>
        <v>Yes</v>
      </c>
      <c r="H340" s="183"/>
      <c r="I340" s="183"/>
      <c r="J340" s="183"/>
      <c r="K340" s="183"/>
      <c r="L340" s="183"/>
      <c r="M340" s="183"/>
      <c r="N340" s="183"/>
      <c r="O340" s="183"/>
      <c r="P340" s="183"/>
      <c r="Q340" s="183"/>
      <c r="R340" s="183"/>
    </row>
    <row r="341" spans="1:18" x14ac:dyDescent="0.25">
      <c r="B341" s="821" t="s">
        <v>213</v>
      </c>
      <c r="C341" s="819">
        <f ca="1">SUM(F10:H22)</f>
        <v>179675</v>
      </c>
      <c r="D341" s="819">
        <f ca="1">SUM(I10:L22)</f>
        <v>200036</v>
      </c>
      <c r="E341" s="819">
        <f ca="1">SUM(M10:O22)</f>
        <v>129612</v>
      </c>
      <c r="F341" s="820">
        <f ca="1">SUM(C341:E341)</f>
        <v>509323</v>
      </c>
      <c r="G341" s="281" t="str">
        <f t="shared" ca="1" si="21"/>
        <v>Yes</v>
      </c>
      <c r="H341" s="183"/>
      <c r="I341" s="183"/>
      <c r="J341" s="183"/>
      <c r="K341" s="183"/>
      <c r="L341" s="183"/>
      <c r="M341" s="183"/>
      <c r="N341" s="183"/>
      <c r="O341" s="183"/>
      <c r="P341" s="183"/>
      <c r="Q341" s="183"/>
      <c r="R341" s="183"/>
    </row>
    <row r="342" spans="1:18" x14ac:dyDescent="0.25">
      <c r="B342" s="282" t="s">
        <v>379</v>
      </c>
      <c r="C342" s="198">
        <f ca="1">SUM(C328:C341)</f>
        <v>927493.30999999994</v>
      </c>
      <c r="D342" s="283">
        <f ca="1">SUM(D328:D341)</f>
        <v>776912.63</v>
      </c>
      <c r="E342" s="198">
        <f ca="1">SUM(E328:E341)</f>
        <v>729464.21</v>
      </c>
      <c r="F342" s="822">
        <f ca="1">SUM(F328:F341)</f>
        <v>2433870.15</v>
      </c>
      <c r="G342" s="195"/>
      <c r="H342" s="183"/>
      <c r="I342" s="183"/>
      <c r="J342" s="183"/>
      <c r="K342" s="183"/>
      <c r="L342" s="183"/>
      <c r="M342" s="183"/>
      <c r="N342" s="183"/>
      <c r="O342" s="183"/>
      <c r="P342" s="183"/>
      <c r="Q342" s="183"/>
      <c r="R342" s="183"/>
    </row>
    <row r="343" spans="1:18" x14ac:dyDescent="0.25">
      <c r="B343" s="823" t="s">
        <v>432</v>
      </c>
      <c r="C343" s="824">
        <f ca="1">C342/$F$342</f>
        <v>0.381077564881594</v>
      </c>
      <c r="D343" s="824">
        <f t="shared" ref="D343:E343" ca="1" si="23">D342/$F$342</f>
        <v>0.31920874250419645</v>
      </c>
      <c r="E343" s="824">
        <f t="shared" ca="1" si="23"/>
        <v>0.29971369261420949</v>
      </c>
      <c r="F343" s="825">
        <f ca="1">SUM(C343:E343)</f>
        <v>1</v>
      </c>
      <c r="G343" s="191"/>
      <c r="H343" s="183"/>
      <c r="I343" s="183"/>
      <c r="J343" s="183"/>
      <c r="K343" s="183"/>
      <c r="L343" s="183"/>
      <c r="M343" s="183"/>
      <c r="N343" s="183"/>
      <c r="O343" s="183"/>
      <c r="P343" s="183"/>
      <c r="Q343" s="183"/>
      <c r="R343" s="183"/>
    </row>
    <row r="344" spans="1:18" x14ac:dyDescent="0.25">
      <c r="B344" s="183"/>
      <c r="C344" s="183"/>
      <c r="D344" s="197"/>
      <c r="E344" s="183"/>
      <c r="F344" s="183"/>
      <c r="G344" s="183"/>
      <c r="H344" s="183"/>
      <c r="I344" s="183"/>
      <c r="J344" s="183"/>
      <c r="K344" s="183"/>
      <c r="L344" s="183"/>
      <c r="M344" s="183"/>
      <c r="N344" s="183"/>
      <c r="O344" s="183"/>
      <c r="P344" s="183"/>
      <c r="Q344" s="183"/>
      <c r="R344" s="183"/>
    </row>
    <row r="345" spans="1:18" x14ac:dyDescent="0.25">
      <c r="A345" s="285"/>
      <c r="B345" s="183"/>
      <c r="C345" s="183"/>
      <c r="D345" s="183"/>
      <c r="E345" s="183"/>
      <c r="F345" s="183"/>
      <c r="G345" s="183"/>
      <c r="H345" s="619"/>
      <c r="I345" s="183"/>
      <c r="J345" s="183"/>
      <c r="K345" s="183"/>
      <c r="L345" s="183"/>
      <c r="M345" s="183"/>
      <c r="N345" s="183"/>
      <c r="O345" s="183"/>
      <c r="P345" s="183"/>
      <c r="Q345" s="183"/>
      <c r="R345" s="183"/>
    </row>
    <row r="346" spans="1:18" x14ac:dyDescent="0.25">
      <c r="A346" s="285"/>
      <c r="B346" s="183"/>
      <c r="C346" s="183"/>
      <c r="D346" s="183"/>
      <c r="E346" s="183"/>
      <c r="F346" s="183"/>
      <c r="G346" s="183"/>
      <c r="H346" s="183"/>
      <c r="I346" s="183"/>
      <c r="J346" s="183"/>
      <c r="K346" s="183"/>
      <c r="L346" s="183"/>
      <c r="M346" s="183"/>
      <c r="N346" s="183"/>
      <c r="O346" s="183"/>
      <c r="P346" s="183"/>
      <c r="Q346" s="183"/>
      <c r="R346" s="183"/>
    </row>
    <row r="347" spans="1:18" x14ac:dyDescent="0.25">
      <c r="A347" s="285"/>
      <c r="B347" s="183"/>
      <c r="C347" s="183"/>
      <c r="D347" s="183"/>
      <c r="E347" s="183"/>
      <c r="F347" s="183"/>
      <c r="G347" s="183"/>
      <c r="H347" s="183"/>
      <c r="I347" s="183"/>
      <c r="J347" s="183"/>
      <c r="K347" s="183"/>
      <c r="L347" s="183"/>
      <c r="M347" s="183"/>
      <c r="N347" s="183"/>
      <c r="O347" s="183"/>
      <c r="P347" s="183"/>
      <c r="Q347" s="183"/>
      <c r="R347" s="183"/>
    </row>
    <row r="348" spans="1:18" x14ac:dyDescent="0.25">
      <c r="A348" s="285"/>
      <c r="B348" s="183"/>
      <c r="C348" s="183"/>
      <c r="D348" s="183"/>
      <c r="E348" s="183"/>
      <c r="F348" s="183"/>
      <c r="G348" s="183"/>
      <c r="H348" s="183"/>
      <c r="I348" s="183"/>
      <c r="J348" s="183"/>
      <c r="K348" s="183"/>
      <c r="L348" s="183"/>
      <c r="M348" s="183"/>
      <c r="N348" s="183"/>
      <c r="O348" s="183"/>
      <c r="P348" s="183"/>
      <c r="Q348" s="183"/>
      <c r="R348" s="183"/>
    </row>
    <row r="349" spans="1:18" x14ac:dyDescent="0.25">
      <c r="A349" s="285"/>
      <c r="B349" s="183"/>
      <c r="C349" s="183"/>
      <c r="D349" s="183"/>
      <c r="E349" s="183"/>
      <c r="F349" s="183"/>
      <c r="G349" s="183"/>
      <c r="H349" s="183"/>
      <c r="I349" s="183"/>
      <c r="J349" s="183"/>
      <c r="K349" s="183"/>
      <c r="L349" s="183"/>
      <c r="M349" s="183"/>
      <c r="N349" s="183"/>
      <c r="O349" s="183"/>
      <c r="P349" s="183"/>
      <c r="Q349" s="183"/>
      <c r="R349" s="183"/>
    </row>
    <row r="350" spans="1:18" x14ac:dyDescent="0.25">
      <c r="A350" s="285"/>
      <c r="B350" s="183"/>
      <c r="C350" s="183"/>
      <c r="D350" s="183"/>
      <c r="E350" s="183"/>
      <c r="F350" s="183"/>
      <c r="G350" s="183"/>
      <c r="H350" s="183"/>
      <c r="I350" s="183"/>
      <c r="J350" s="183"/>
      <c r="K350" s="183"/>
      <c r="L350" s="183"/>
      <c r="M350" s="183"/>
      <c r="N350" s="183"/>
      <c r="O350" s="183"/>
      <c r="P350" s="183"/>
      <c r="Q350" s="183"/>
      <c r="R350" s="183"/>
    </row>
    <row r="351" spans="1:18" x14ac:dyDescent="0.25">
      <c r="A351" s="285"/>
      <c r="B351" s="183"/>
      <c r="C351" s="183"/>
      <c r="D351" s="183"/>
      <c r="E351" s="183"/>
      <c r="F351" s="183"/>
      <c r="G351" s="183"/>
      <c r="H351" s="183"/>
      <c r="I351" s="183"/>
      <c r="J351" s="183"/>
      <c r="K351" s="183"/>
      <c r="L351" s="183"/>
      <c r="M351" s="183"/>
      <c r="N351" s="183"/>
      <c r="O351" s="183"/>
      <c r="P351" s="183"/>
      <c r="Q351" s="183"/>
      <c r="R351" s="183"/>
    </row>
    <row r="352" spans="1:18" x14ac:dyDescent="0.25">
      <c r="A352" s="285"/>
      <c r="B352" s="183"/>
      <c r="C352" s="183"/>
      <c r="D352" s="183"/>
      <c r="E352" s="183"/>
      <c r="F352" s="183"/>
      <c r="G352" s="183"/>
      <c r="H352" s="183"/>
      <c r="I352" s="183"/>
      <c r="J352" s="183"/>
      <c r="K352" s="183"/>
      <c r="L352" s="183"/>
      <c r="M352" s="183"/>
      <c r="N352" s="183"/>
      <c r="O352" s="183"/>
      <c r="P352" s="183"/>
      <c r="Q352" s="183"/>
      <c r="R352" s="183"/>
    </row>
    <row r="353" spans="1:18" x14ac:dyDescent="0.25">
      <c r="A353" s="285"/>
      <c r="B353" s="183"/>
      <c r="C353" s="183"/>
      <c r="D353" s="183"/>
      <c r="E353" s="183"/>
      <c r="F353" s="183"/>
      <c r="G353" s="183"/>
      <c r="H353" s="183"/>
      <c r="I353" s="183"/>
      <c r="J353" s="183"/>
      <c r="K353" s="183"/>
      <c r="L353" s="183"/>
      <c r="M353" s="183"/>
      <c r="N353" s="183"/>
      <c r="O353" s="183"/>
      <c r="P353" s="183"/>
      <c r="Q353" s="183"/>
      <c r="R353" s="183"/>
    </row>
    <row r="354" spans="1:18" x14ac:dyDescent="0.25">
      <c r="A354" s="285"/>
      <c r="B354" s="183"/>
      <c r="C354" s="183"/>
      <c r="D354" s="183"/>
      <c r="E354" s="183"/>
      <c r="F354" s="183"/>
      <c r="G354" s="183"/>
      <c r="H354" s="183"/>
      <c r="I354" s="183"/>
      <c r="J354" s="183"/>
      <c r="K354" s="183"/>
      <c r="L354" s="183"/>
      <c r="M354" s="183"/>
      <c r="N354" s="183"/>
      <c r="O354" s="183"/>
      <c r="P354" s="183"/>
      <c r="Q354" s="183"/>
      <c r="R354" s="183"/>
    </row>
    <row r="355" spans="1:18" x14ac:dyDescent="0.25">
      <c r="A355" s="285"/>
      <c r="B355" s="183"/>
      <c r="C355" s="183"/>
      <c r="D355" s="183"/>
      <c r="E355" s="183"/>
      <c r="F355" s="183"/>
      <c r="G355" s="183"/>
      <c r="H355" s="183"/>
      <c r="I355" s="183"/>
      <c r="J355" s="183"/>
      <c r="K355" s="183"/>
      <c r="L355" s="183"/>
      <c r="M355" s="183"/>
      <c r="N355" s="183"/>
      <c r="O355" s="183"/>
      <c r="P355" s="183"/>
      <c r="Q355" s="183"/>
      <c r="R355" s="183"/>
    </row>
    <row r="356" spans="1:18" x14ac:dyDescent="0.25">
      <c r="A356" s="285"/>
      <c r="B356" s="183"/>
      <c r="C356" s="183"/>
      <c r="D356" s="183"/>
      <c r="E356" s="183"/>
      <c r="F356" s="183"/>
      <c r="G356" s="183"/>
      <c r="H356" s="183"/>
      <c r="I356" s="183"/>
      <c r="J356" s="183"/>
      <c r="K356" s="183"/>
      <c r="L356" s="183"/>
      <c r="M356" s="183"/>
      <c r="N356" s="183"/>
      <c r="O356" s="183"/>
      <c r="P356" s="183"/>
      <c r="Q356" s="183"/>
      <c r="R356" s="183"/>
    </row>
    <row r="357" spans="1:18" x14ac:dyDescent="0.25">
      <c r="A357" s="285"/>
      <c r="B357" s="183"/>
      <c r="C357" s="183"/>
      <c r="D357" s="183"/>
      <c r="E357" s="183"/>
      <c r="F357" s="183"/>
      <c r="G357" s="183"/>
      <c r="H357" s="183"/>
      <c r="I357" s="183"/>
      <c r="J357" s="183"/>
      <c r="K357" s="183"/>
      <c r="L357" s="183"/>
      <c r="M357" s="183"/>
      <c r="N357" s="183"/>
      <c r="O357" s="183"/>
      <c r="P357" s="183"/>
      <c r="Q357" s="183"/>
      <c r="R357" s="183"/>
    </row>
    <row r="358" spans="1:18" x14ac:dyDescent="0.25">
      <c r="A358" s="285"/>
      <c r="B358" s="183"/>
      <c r="C358" s="183"/>
      <c r="D358" s="183"/>
      <c r="E358" s="183"/>
      <c r="F358" s="183"/>
      <c r="G358" s="183"/>
      <c r="H358" s="183"/>
      <c r="I358" s="183"/>
      <c r="J358" s="183"/>
      <c r="K358" s="183"/>
      <c r="L358" s="183"/>
      <c r="M358" s="183"/>
      <c r="N358" s="183"/>
      <c r="O358" s="183"/>
      <c r="P358" s="183"/>
      <c r="Q358" s="183"/>
      <c r="R358" s="183"/>
    </row>
    <row r="359" spans="1:18" x14ac:dyDescent="0.25">
      <c r="A359" s="285"/>
      <c r="B359" s="183"/>
      <c r="C359" s="183"/>
      <c r="D359" s="183"/>
      <c r="E359" s="183"/>
      <c r="F359" s="183"/>
      <c r="G359" s="183"/>
      <c r="H359" s="183"/>
      <c r="I359" s="183"/>
      <c r="J359" s="183"/>
      <c r="K359" s="183"/>
      <c r="L359" s="183"/>
      <c r="M359" s="183"/>
      <c r="N359" s="183"/>
      <c r="O359" s="183"/>
      <c r="P359" s="183"/>
      <c r="Q359" s="183"/>
      <c r="R359" s="183"/>
    </row>
    <row r="360" spans="1:18" x14ac:dyDescent="0.25">
      <c r="A360" s="285"/>
      <c r="B360" s="183"/>
      <c r="C360" s="183"/>
      <c r="D360" s="183"/>
      <c r="E360" s="183"/>
      <c r="F360" s="183"/>
      <c r="G360" s="183"/>
      <c r="H360" s="183"/>
      <c r="I360" s="183"/>
      <c r="J360" s="183"/>
      <c r="K360" s="183"/>
      <c r="L360" s="183"/>
      <c r="M360" s="183"/>
      <c r="N360" s="183"/>
      <c r="O360" s="183"/>
      <c r="P360" s="183"/>
      <c r="Q360" s="183"/>
      <c r="R360" s="183"/>
    </row>
    <row r="361" spans="1:18" x14ac:dyDescent="0.25">
      <c r="A361" s="285"/>
      <c r="B361" s="183"/>
      <c r="C361" s="183"/>
      <c r="D361" s="183"/>
      <c r="E361" s="183"/>
      <c r="F361" s="183"/>
      <c r="G361" s="183"/>
      <c r="H361" s="183"/>
      <c r="I361" s="183"/>
      <c r="J361" s="183"/>
      <c r="K361" s="183"/>
      <c r="L361" s="183"/>
      <c r="M361" s="183"/>
      <c r="N361" s="183"/>
      <c r="O361" s="183"/>
      <c r="P361" s="183"/>
      <c r="Q361" s="183"/>
      <c r="R361" s="183"/>
    </row>
    <row r="362" spans="1:18" x14ac:dyDescent="0.25">
      <c r="A362" s="285"/>
      <c r="B362" s="183"/>
      <c r="C362" s="183"/>
      <c r="D362" s="183"/>
      <c r="E362" s="183"/>
      <c r="F362" s="183"/>
      <c r="G362" s="183"/>
      <c r="H362" s="183"/>
      <c r="I362" s="183"/>
      <c r="J362" s="183"/>
      <c r="K362" s="183"/>
      <c r="L362" s="183"/>
      <c r="M362" s="183"/>
      <c r="N362" s="183"/>
      <c r="O362" s="183"/>
      <c r="P362" s="183"/>
      <c r="Q362" s="183"/>
      <c r="R362" s="183"/>
    </row>
    <row r="363" spans="1:18" x14ac:dyDescent="0.25">
      <c r="A363" s="285"/>
      <c r="B363" s="183"/>
      <c r="C363" s="183"/>
      <c r="D363" s="183"/>
      <c r="E363" s="183"/>
      <c r="F363" s="183"/>
      <c r="G363" s="183"/>
      <c r="H363" s="183"/>
      <c r="I363" s="183"/>
      <c r="J363" s="183"/>
      <c r="K363" s="183"/>
      <c r="L363" s="183"/>
      <c r="M363" s="183"/>
      <c r="N363" s="183"/>
      <c r="O363" s="183"/>
      <c r="P363" s="183"/>
      <c r="Q363" s="183"/>
      <c r="R363" s="183"/>
    </row>
    <row r="364" spans="1:18" x14ac:dyDescent="0.25">
      <c r="A364" s="285"/>
      <c r="B364" s="183"/>
      <c r="C364" s="183"/>
      <c r="D364" s="183"/>
      <c r="E364" s="183"/>
      <c r="F364" s="183"/>
      <c r="G364" s="183"/>
      <c r="H364" s="183"/>
      <c r="I364" s="183"/>
      <c r="J364" s="183"/>
      <c r="K364" s="183"/>
      <c r="L364" s="183"/>
      <c r="M364" s="183"/>
      <c r="N364" s="183"/>
      <c r="O364" s="183"/>
      <c r="P364" s="183"/>
      <c r="Q364" s="183"/>
      <c r="R364" s="183"/>
    </row>
    <row r="365" spans="1:18" x14ac:dyDescent="0.25">
      <c r="A365" s="285"/>
      <c r="B365" s="183"/>
      <c r="C365" s="183"/>
      <c r="D365" s="183"/>
      <c r="E365" s="183"/>
      <c r="F365" s="183"/>
      <c r="G365" s="183"/>
      <c r="H365" s="183"/>
      <c r="I365" s="183"/>
      <c r="J365" s="183"/>
      <c r="K365" s="183"/>
      <c r="L365" s="183"/>
      <c r="M365" s="183"/>
      <c r="N365" s="183"/>
      <c r="O365" s="183"/>
      <c r="P365" s="183"/>
      <c r="Q365" s="183"/>
      <c r="R365" s="183"/>
    </row>
    <row r="366" spans="1:18" x14ac:dyDescent="0.25">
      <c r="A366" s="285"/>
      <c r="B366" s="183"/>
      <c r="C366" s="183"/>
      <c r="D366" s="183"/>
      <c r="E366" s="183"/>
      <c r="F366" s="183"/>
      <c r="G366" s="183"/>
      <c r="H366" s="183"/>
      <c r="I366" s="183"/>
      <c r="J366" s="183"/>
      <c r="K366" s="183"/>
      <c r="L366" s="183"/>
      <c r="M366" s="183"/>
      <c r="N366" s="183"/>
      <c r="O366" s="183"/>
      <c r="P366" s="183"/>
      <c r="Q366" s="183"/>
      <c r="R366" s="183"/>
    </row>
    <row r="367" spans="1:18" x14ac:dyDescent="0.25">
      <c r="A367" s="285"/>
      <c r="B367" s="183"/>
      <c r="C367" s="183"/>
      <c r="D367" s="183"/>
      <c r="E367" s="183"/>
      <c r="F367" s="183"/>
      <c r="G367" s="183"/>
      <c r="H367" s="183"/>
      <c r="I367" s="183"/>
      <c r="J367" s="183"/>
      <c r="K367" s="183"/>
      <c r="L367" s="183"/>
      <c r="M367" s="183"/>
      <c r="N367" s="183"/>
      <c r="O367" s="183"/>
      <c r="P367" s="183"/>
      <c r="Q367" s="183"/>
      <c r="R367" s="183"/>
    </row>
    <row r="368" spans="1:18" x14ac:dyDescent="0.25">
      <c r="A368" s="285"/>
      <c r="B368" s="183"/>
      <c r="C368" s="183"/>
      <c r="D368" s="183"/>
      <c r="E368" s="183"/>
      <c r="F368" s="183"/>
      <c r="G368" s="183"/>
      <c r="H368" s="183"/>
      <c r="I368" s="183"/>
      <c r="J368" s="183"/>
      <c r="K368" s="183"/>
      <c r="L368" s="183"/>
      <c r="M368" s="183"/>
      <c r="N368" s="183"/>
      <c r="O368" s="183"/>
      <c r="P368" s="183"/>
      <c r="Q368" s="183"/>
      <c r="R368" s="183"/>
    </row>
    <row r="369" spans="1:18" x14ac:dyDescent="0.25">
      <c r="A369" s="285"/>
      <c r="B369" s="183"/>
      <c r="C369" s="183"/>
      <c r="D369" s="183"/>
      <c r="E369" s="183"/>
      <c r="F369" s="183"/>
      <c r="G369" s="183"/>
      <c r="H369" s="183"/>
      <c r="I369" s="183"/>
      <c r="J369" s="183"/>
      <c r="K369" s="183"/>
      <c r="L369" s="183"/>
      <c r="M369" s="183"/>
      <c r="N369" s="183"/>
      <c r="O369" s="183"/>
      <c r="P369" s="183"/>
      <c r="Q369" s="183"/>
      <c r="R369" s="183"/>
    </row>
    <row r="370" spans="1:18" x14ac:dyDescent="0.25">
      <c r="A370" s="285"/>
      <c r="B370" s="183"/>
      <c r="C370" s="183"/>
      <c r="D370" s="183"/>
      <c r="E370" s="183"/>
      <c r="F370" s="183"/>
      <c r="G370" s="183"/>
      <c r="H370" s="183"/>
      <c r="I370" s="183"/>
      <c r="J370" s="183"/>
      <c r="K370" s="183"/>
      <c r="L370" s="183"/>
      <c r="M370" s="183"/>
      <c r="N370" s="183"/>
      <c r="O370" s="183"/>
      <c r="P370" s="183"/>
      <c r="Q370" s="183"/>
      <c r="R370" s="183"/>
    </row>
    <row r="371" spans="1:18" x14ac:dyDescent="0.25">
      <c r="A371" s="285"/>
      <c r="B371" s="183"/>
      <c r="C371" s="183"/>
      <c r="D371" s="183"/>
      <c r="E371" s="183"/>
      <c r="F371" s="183"/>
      <c r="G371" s="183"/>
      <c r="H371" s="183"/>
      <c r="I371" s="183"/>
      <c r="J371" s="183"/>
      <c r="K371" s="183"/>
      <c r="L371" s="183"/>
      <c r="M371" s="183"/>
      <c r="N371" s="183"/>
      <c r="O371" s="183"/>
      <c r="P371" s="183"/>
      <c r="Q371" s="183"/>
      <c r="R371" s="183"/>
    </row>
    <row r="372" spans="1:18" x14ac:dyDescent="0.25">
      <c r="A372" s="285"/>
      <c r="B372" s="183"/>
      <c r="C372" s="183"/>
      <c r="D372" s="183"/>
      <c r="E372" s="183"/>
      <c r="F372" s="183"/>
      <c r="G372" s="183"/>
      <c r="H372" s="183"/>
      <c r="I372" s="183"/>
      <c r="J372" s="183"/>
      <c r="K372" s="183"/>
      <c r="L372" s="183"/>
      <c r="M372" s="183"/>
      <c r="N372" s="183"/>
      <c r="O372" s="183"/>
      <c r="P372" s="183"/>
      <c r="Q372" s="183"/>
      <c r="R372" s="183"/>
    </row>
    <row r="373" spans="1:18" x14ac:dyDescent="0.25">
      <c r="A373" s="285"/>
      <c r="B373" s="183"/>
      <c r="C373" s="183"/>
      <c r="D373" s="183"/>
      <c r="E373" s="183"/>
      <c r="F373" s="183"/>
      <c r="G373" s="183"/>
      <c r="H373" s="183"/>
      <c r="I373" s="183"/>
      <c r="J373" s="183"/>
      <c r="K373" s="183"/>
      <c r="L373" s="183"/>
      <c r="M373" s="183"/>
      <c r="N373" s="183"/>
      <c r="O373" s="183"/>
      <c r="P373" s="183"/>
      <c r="Q373" s="183"/>
      <c r="R373" s="183"/>
    </row>
    <row r="374" spans="1:18" x14ac:dyDescent="0.25">
      <c r="B374" s="183"/>
      <c r="C374" s="183"/>
      <c r="D374" s="197"/>
      <c r="E374" s="183"/>
      <c r="F374" s="183"/>
      <c r="G374" s="183"/>
      <c r="H374" s="183"/>
      <c r="I374" s="183"/>
      <c r="J374" s="183"/>
      <c r="K374" s="183"/>
      <c r="L374" s="183"/>
      <c r="M374" s="183"/>
      <c r="N374" s="183"/>
      <c r="O374" s="183"/>
      <c r="P374" s="183"/>
      <c r="Q374" s="183"/>
      <c r="R374" s="183"/>
    </row>
    <row r="375" spans="1:18" x14ac:dyDescent="0.25">
      <c r="B375" s="183"/>
      <c r="C375" s="183"/>
      <c r="D375" s="197"/>
      <c r="E375" s="183"/>
      <c r="F375" s="183"/>
      <c r="G375" s="183"/>
      <c r="H375" s="183"/>
      <c r="I375" s="183"/>
      <c r="J375" s="183"/>
      <c r="K375" s="183"/>
      <c r="L375" s="183"/>
      <c r="M375" s="183"/>
      <c r="N375" s="183"/>
      <c r="O375" s="183"/>
      <c r="P375" s="183"/>
      <c r="Q375" s="183"/>
      <c r="R375" s="183"/>
    </row>
    <row r="376" spans="1:18" x14ac:dyDescent="0.25">
      <c r="B376" s="183"/>
      <c r="C376" s="183"/>
      <c r="D376" s="197"/>
      <c r="E376" s="183"/>
      <c r="F376" s="183"/>
      <c r="G376" s="183"/>
      <c r="H376" s="183"/>
      <c r="I376" s="183"/>
      <c r="J376" s="183"/>
      <c r="K376" s="183"/>
      <c r="L376" s="183"/>
      <c r="M376" s="183"/>
      <c r="N376" s="183"/>
      <c r="O376" s="183"/>
      <c r="P376" s="183"/>
      <c r="Q376" s="183"/>
      <c r="R376" s="183"/>
    </row>
    <row r="377" spans="1:18" x14ac:dyDescent="0.25">
      <c r="B377" s="183"/>
      <c r="C377" s="183"/>
      <c r="D377" s="197"/>
      <c r="E377" s="183"/>
      <c r="F377" s="183"/>
      <c r="G377" s="183"/>
      <c r="H377" s="183"/>
      <c r="I377" s="183"/>
      <c r="J377" s="183"/>
      <c r="K377" s="183"/>
      <c r="L377" s="183"/>
      <c r="M377" s="183"/>
      <c r="N377" s="183"/>
      <c r="O377" s="183"/>
      <c r="P377" s="183"/>
      <c r="Q377" s="183"/>
      <c r="R377" s="183"/>
    </row>
  </sheetData>
  <conditionalFormatting sqref="E5:O7">
    <cfRule type="cellIs" dxfId="332" priority="4" operator="lessThan">
      <formula>0</formula>
    </cfRule>
  </conditionalFormatting>
  <conditionalFormatting sqref="H342:J342">
    <cfRule type="cellIs" dxfId="331" priority="3" operator="lessThan">
      <formula>0</formula>
    </cfRule>
  </conditionalFormatting>
  <conditionalFormatting sqref="C327:E327">
    <cfRule type="cellIs" dxfId="330" priority="2" operator="lessThan">
      <formula>0</formula>
    </cfRule>
  </conditionalFormatting>
  <conditionalFormatting sqref="B3">
    <cfRule type="cellIs" dxfId="329" priority="1" operator="less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79998168889431442"/>
  </sheetPr>
  <dimension ref="B2:N87"/>
  <sheetViews>
    <sheetView showGridLines="0" tabSelected="1" topLeftCell="A37" zoomScale="85" zoomScaleNormal="85" workbookViewId="0">
      <selection activeCell="D45" sqref="D45"/>
    </sheetView>
  </sheetViews>
  <sheetFormatPr defaultRowHeight="15" x14ac:dyDescent="0.25"/>
  <cols>
    <col min="2" max="2" width="40.5703125" customWidth="1"/>
    <col min="3" max="3" width="8.5703125" customWidth="1"/>
    <col min="4" max="4" width="10.140625" customWidth="1"/>
    <col min="5" max="6" width="13" customWidth="1"/>
    <col min="7" max="7" width="15.28515625" customWidth="1"/>
    <col min="8" max="10" width="14.42578125" customWidth="1"/>
    <col min="11" max="11" width="10.5703125" customWidth="1"/>
    <col min="12" max="12" width="8.7109375" customWidth="1"/>
    <col min="13" max="13" width="29.7109375" customWidth="1"/>
    <col min="14" max="14" width="12.7109375" customWidth="1"/>
  </cols>
  <sheetData>
    <row r="2" spans="2:11" ht="18.75" x14ac:dyDescent="0.3">
      <c r="B2" s="8" t="s">
        <v>61</v>
      </c>
      <c r="C2" s="8"/>
      <c r="D2" s="8"/>
      <c r="E2" s="8"/>
      <c r="F2" s="8"/>
    </row>
    <row r="3" spans="2:11" x14ac:dyDescent="0.25">
      <c r="B3" t="s">
        <v>611</v>
      </c>
    </row>
    <row r="4" spans="2:11" x14ac:dyDescent="0.25">
      <c r="H4" s="853" t="s">
        <v>49</v>
      </c>
      <c r="I4" s="853"/>
      <c r="J4" s="853"/>
    </row>
    <row r="5" spans="2:11" x14ac:dyDescent="0.25">
      <c r="B5" s="23" t="s">
        <v>65</v>
      </c>
      <c r="C5" s="31"/>
      <c r="D5" s="31"/>
      <c r="E5" s="31"/>
      <c r="F5" s="31"/>
      <c r="G5" s="26" t="s">
        <v>59</v>
      </c>
      <c r="H5" s="27" t="s">
        <v>28</v>
      </c>
      <c r="I5" s="28" t="s">
        <v>47</v>
      </c>
      <c r="J5" s="29" t="s">
        <v>48</v>
      </c>
      <c r="K5" s="30" t="s">
        <v>62</v>
      </c>
    </row>
    <row r="6" spans="2:11" x14ac:dyDescent="0.25">
      <c r="B6" s="51" t="s">
        <v>60</v>
      </c>
      <c r="C6" s="3"/>
      <c r="D6" s="3"/>
      <c r="E6" s="3"/>
      <c r="F6" s="3"/>
      <c r="G6" s="97">
        <f>Parcels!Z14</f>
        <v>258619</v>
      </c>
      <c r="H6" s="97"/>
      <c r="I6" s="97"/>
      <c r="J6" s="97"/>
      <c r="K6" s="715">
        <f t="shared" ref="K6:K16" ca="1" si="0">G6/$G$19</f>
        <v>0.10665201745657214</v>
      </c>
    </row>
    <row r="7" spans="2:11" x14ac:dyDescent="0.25">
      <c r="B7" s="104" t="s">
        <v>51</v>
      </c>
      <c r="C7" s="34"/>
      <c r="D7" s="34"/>
      <c r="E7" s="34"/>
      <c r="F7" s="34"/>
      <c r="G7" s="716">
        <f ca="1">SUM('Development Schedule'!F328,'Development Schedule'!F330)</f>
        <v>354226.30999999994</v>
      </c>
      <c r="H7" s="98">
        <f ca="1">'Development Schedule'!C328+'Development Schedule'!C330</f>
        <v>212781.30999999997</v>
      </c>
      <c r="I7" s="98">
        <f ca="1">'Development Schedule'!D328+'Development Schedule'!D330</f>
        <v>141445</v>
      </c>
      <c r="J7" s="98">
        <f ca="1">'Development Schedule'!E328+'Development Schedule'!E330</f>
        <v>0</v>
      </c>
      <c r="K7" s="717">
        <f t="shared" ca="1" si="0"/>
        <v>0.14607956336424288</v>
      </c>
    </row>
    <row r="8" spans="2:11" x14ac:dyDescent="0.25">
      <c r="B8" s="104" t="s">
        <v>52</v>
      </c>
      <c r="C8" s="34"/>
      <c r="D8" s="34"/>
      <c r="E8" s="34"/>
      <c r="F8" s="34"/>
      <c r="G8" s="716">
        <f ca="1">'Development Schedule'!F329+'Development Schedule'!F331</f>
        <v>281472.05000000005</v>
      </c>
      <c r="H8" s="98">
        <f ca="1">'Development Schedule'!C329+'Development Schedule'!C331</f>
        <v>59438</v>
      </c>
      <c r="I8" s="98">
        <f ca="1">'Development Schedule'!D329+'Development Schedule'!D331</f>
        <v>91554.05</v>
      </c>
      <c r="J8" s="98">
        <f ca="1">'Development Schedule'!E329+'Development Schedule'!E331</f>
        <v>130480</v>
      </c>
      <c r="K8" s="717">
        <f t="shared" ca="1" si="0"/>
        <v>0.11607639806099765</v>
      </c>
    </row>
    <row r="9" spans="2:11" x14ac:dyDescent="0.25">
      <c r="B9" s="104" t="s">
        <v>34</v>
      </c>
      <c r="C9" s="34"/>
      <c r="D9" s="34"/>
      <c r="E9" s="34"/>
      <c r="F9" s="34"/>
      <c r="G9" s="716">
        <f ca="1">'Development Schedule'!F336+'Development Schedule'!F337</f>
        <v>359625</v>
      </c>
      <c r="H9" s="98">
        <f ca="1">'Development Schedule'!C336+'Development Schedule'!C337</f>
        <v>0</v>
      </c>
      <c r="I9" s="98">
        <f ca="1">'Development Schedule'!D336+'Development Schedule'!D337</f>
        <v>131190</v>
      </c>
      <c r="J9" s="98">
        <f ca="1">'Development Schedule'!E336+'Development Schedule'!E337</f>
        <v>228435</v>
      </c>
      <c r="K9" s="717">
        <f t="shared" ca="1" si="0"/>
        <v>0.1483059318063242</v>
      </c>
    </row>
    <row r="10" spans="2:11" x14ac:dyDescent="0.25">
      <c r="B10" s="104" t="s">
        <v>35</v>
      </c>
      <c r="C10" s="34"/>
      <c r="D10" s="34"/>
      <c r="E10" s="34"/>
      <c r="F10" s="34"/>
      <c r="G10" s="716">
        <f ca="1">'Development Schedule'!F332</f>
        <v>352502</v>
      </c>
      <c r="H10" s="98">
        <f ca="1">'Development Schedule'!C332</f>
        <v>301131</v>
      </c>
      <c r="I10" s="98">
        <f ca="1">'Development Schedule'!D332</f>
        <v>32731</v>
      </c>
      <c r="J10" s="98">
        <f ca="1">'Development Schedule'!E332</f>
        <v>18640</v>
      </c>
      <c r="K10" s="717">
        <f t="shared" ca="1" si="0"/>
        <v>0.14536847430960831</v>
      </c>
    </row>
    <row r="11" spans="2:11" x14ac:dyDescent="0.25">
      <c r="B11" s="104" t="s">
        <v>33</v>
      </c>
      <c r="C11" s="34"/>
      <c r="D11" s="34"/>
      <c r="E11" s="34"/>
      <c r="F11" s="34"/>
      <c r="G11" s="716">
        <f ca="1">'Development Schedule'!F339</f>
        <v>48600</v>
      </c>
      <c r="H11" s="98">
        <f ca="1">'Development Schedule'!C339</f>
        <v>0</v>
      </c>
      <c r="I11" s="98">
        <f ca="1">'Development Schedule'!D339</f>
        <v>48600</v>
      </c>
      <c r="J11" s="98">
        <f ca="1">'Development Schedule'!E339</f>
        <v>0</v>
      </c>
      <c r="K11" s="717">
        <f t="shared" ca="1" si="0"/>
        <v>2.0042178062669048E-2</v>
      </c>
    </row>
    <row r="12" spans="2:11" x14ac:dyDescent="0.25">
      <c r="B12" s="104" t="s">
        <v>385</v>
      </c>
      <c r="C12" s="34"/>
      <c r="D12" s="34"/>
      <c r="E12" s="34"/>
      <c r="F12" s="34"/>
      <c r="G12" s="716">
        <f ca="1">'Development Schedule'!F338</f>
        <v>48940</v>
      </c>
      <c r="H12" s="98">
        <f ca="1">'Development Schedule'!C338</f>
        <v>48940</v>
      </c>
      <c r="I12" s="98">
        <f ca="1">'Development Schedule'!D338</f>
        <v>0</v>
      </c>
      <c r="J12" s="98">
        <f ca="1">'Development Schedule'!E338</f>
        <v>0</v>
      </c>
      <c r="K12" s="717">
        <f t="shared" ca="1" si="0"/>
        <v>2.0182390831008708E-2</v>
      </c>
    </row>
    <row r="13" spans="2:11" x14ac:dyDescent="0.25">
      <c r="B13" s="104" t="s">
        <v>355</v>
      </c>
      <c r="C13" s="34"/>
      <c r="D13" s="34"/>
      <c r="E13" s="34"/>
      <c r="F13" s="34"/>
      <c r="G13" s="716">
        <f ca="1">'Development Schedule'!F333+'Development Schedule'!F334+'Development Schedule'!F335</f>
        <v>285896.20999999996</v>
      </c>
      <c r="H13" s="98">
        <f ca="1">'Development Schedule'!C333+'Development Schedule'!C334+'Development Schedule'!C335</f>
        <v>61128</v>
      </c>
      <c r="I13" s="98">
        <f ca="1">'Development Schedule'!D333+'Development Schedule'!D334+'Development Schedule'!D335</f>
        <v>72025</v>
      </c>
      <c r="J13" s="98">
        <f ca="1">'Development Schedule'!E333+'Development Schedule'!E334+'Development Schedule'!E335</f>
        <v>152743.21</v>
      </c>
      <c r="K13" s="717">
        <f t="shared" ca="1" si="0"/>
        <v>0.11790087959387288</v>
      </c>
    </row>
    <row r="14" spans="2:11" x14ac:dyDescent="0.25">
      <c r="B14" s="104" t="s">
        <v>454</v>
      </c>
      <c r="C14" s="34"/>
      <c r="D14" s="34"/>
      <c r="E14" s="34"/>
      <c r="F14" s="34"/>
      <c r="G14" s="716">
        <f>'Development Schedule'!D13+'Development Schedule'!D14</f>
        <v>34542</v>
      </c>
      <c r="H14" s="98">
        <f ca="1">SUM('Development Schedule'!F13:H14)</f>
        <v>5321</v>
      </c>
      <c r="I14" s="98">
        <f ca="1">SUM('Development Schedule'!I13:L14)</f>
        <v>29221</v>
      </c>
      <c r="J14" s="98">
        <f ca="1">SUM('Development Schedule'!M12:O13)</f>
        <v>0</v>
      </c>
      <c r="K14" s="717">
        <f t="shared" ca="1" si="0"/>
        <v>1.4244792482319222E-2</v>
      </c>
    </row>
    <row r="15" spans="2:11" x14ac:dyDescent="0.25">
      <c r="B15" s="104" t="s">
        <v>453</v>
      </c>
      <c r="C15" s="34"/>
      <c r="D15" s="34"/>
      <c r="E15" s="34"/>
      <c r="F15" s="34"/>
      <c r="G15" s="716">
        <f>SUM('Development Schedule'!D15:D21)</f>
        <v>439907</v>
      </c>
      <c r="H15" s="98">
        <f ca="1">SUM('Development Schedule'!F15:H21)</f>
        <v>139480</v>
      </c>
      <c r="I15" s="98">
        <f ca="1">SUM('Development Schedule'!I15:L21)</f>
        <v>170815</v>
      </c>
      <c r="J15" s="98">
        <f ca="1">SUM('Development Schedule'!M15:O21)</f>
        <v>129612</v>
      </c>
      <c r="K15" s="717">
        <f t="shared" ca="1" si="0"/>
        <v>0.18141346553527884</v>
      </c>
    </row>
    <row r="16" spans="2:11" x14ac:dyDescent="0.25">
      <c r="B16" s="104" t="s">
        <v>471</v>
      </c>
      <c r="C16" s="34"/>
      <c r="D16" s="34"/>
      <c r="E16" s="34"/>
      <c r="F16" s="34"/>
      <c r="G16" s="716">
        <f>'Development Schedule'!D12</f>
        <v>34874</v>
      </c>
      <c r="H16" s="98">
        <f>SUM('Development Schedule'!F12:H12)</f>
        <v>34874</v>
      </c>
      <c r="I16" s="98">
        <f ca="1">SUM('Development Schedule'!I12:L12)</f>
        <v>0</v>
      </c>
      <c r="J16" s="98">
        <f ca="1">SUM('Development Schedule'!M12:O12)</f>
        <v>0</v>
      </c>
      <c r="K16" s="717">
        <f t="shared" ca="1" si="0"/>
        <v>1.4381706126697948E-2</v>
      </c>
    </row>
    <row r="17" spans="2:11" s="34" customFormat="1" x14ac:dyDescent="0.25">
      <c r="B17" s="718" t="s">
        <v>137</v>
      </c>
      <c r="C17" s="82"/>
      <c r="D17" s="82"/>
      <c r="E17" s="82"/>
      <c r="F17" s="82"/>
      <c r="G17" s="716">
        <f ca="1">SUM('Parking DCF'!C29,'Parking DCF'!C44,'Parking DCF'!C64)</f>
        <v>85268.58</v>
      </c>
      <c r="H17" s="98">
        <f ca="1">SUM('Parking DCF'!G29:I29,'Parking DCF'!G64:I64,'Parking DCF'!G44:I44)</f>
        <v>49999</v>
      </c>
      <c r="I17" s="98">
        <f ca="1">SUM('Parking DCF'!J29:M29)</f>
        <v>35269.58</v>
      </c>
      <c r="J17" s="98">
        <v>0</v>
      </c>
      <c r="K17" s="717">
        <f ca="1">G17/$G$19</f>
        <v>3.5163951924093426E-2</v>
      </c>
    </row>
    <row r="18" spans="2:11" s="34" customFormat="1" x14ac:dyDescent="0.25">
      <c r="B18" s="719" t="s">
        <v>138</v>
      </c>
      <c r="C18" s="22"/>
      <c r="D18" s="22"/>
      <c r="E18" s="22"/>
      <c r="F18" s="22"/>
      <c r="G18" s="487">
        <f ca="1">SUM('Parking DCF'!C34,'Parking DCF'!C39,'Parking DCF'!C49,'Parking DCF'!C54,'Parking DCF'!C59)</f>
        <v>99033</v>
      </c>
      <c r="H18" s="97">
        <f ca="1">SUM('Parking DCF'!G34:I34,'Parking DCF'!G39:I39,'Parking DCF'!G49:I49,'Parking DCF'!G54:I54,'Parking DCF'!G59:I59)</f>
        <v>14401</v>
      </c>
      <c r="I18" s="97">
        <f ca="1">SUM('Parking DCF'!J34:M34,'Parking DCF'!J39:M39,'Parking DCF'!J49:M49,'Parking DCF'!J54:M54,'Parking DCF'!J59:M59)</f>
        <v>15078</v>
      </c>
      <c r="J18" s="97">
        <f ca="1">SUM('Parking DCF'!N34:P34,'Parking DCF'!N39:P39,'Parking DCF'!N49:P49,'Parking DCF'!N54:P54,'Parking DCF'!N59:P59)</f>
        <v>69554</v>
      </c>
      <c r="K18" s="720">
        <f ca="1">G18/$G$19</f>
        <v>4.0840267902886904E-2</v>
      </c>
    </row>
    <row r="19" spans="2:11" s="34" customFormat="1" x14ac:dyDescent="0.25">
      <c r="B19" s="51" t="s">
        <v>66</v>
      </c>
      <c r="C19" s="3"/>
      <c r="D19" s="3"/>
      <c r="E19" s="3"/>
      <c r="F19" s="3"/>
      <c r="G19" s="97">
        <f ca="1">SUM(G7:G18)</f>
        <v>2424886.15</v>
      </c>
      <c r="H19" s="97">
        <f ca="1">SUM(H7:H18)</f>
        <v>927493.30999999994</v>
      </c>
      <c r="I19" s="97">
        <f ca="1">SUM(I7:I18)</f>
        <v>767928.63</v>
      </c>
      <c r="J19" s="97">
        <f ca="1">SUM(J7:J18)</f>
        <v>729464.21</v>
      </c>
      <c r="K19" s="715">
        <f ca="1">SUM(K7:K18)</f>
        <v>1</v>
      </c>
    </row>
    <row r="21" spans="2:11" x14ac:dyDescent="0.25">
      <c r="B21" s="23" t="s">
        <v>139</v>
      </c>
      <c r="C21" s="25"/>
      <c r="D21" s="31"/>
      <c r="E21" s="25" t="s">
        <v>58</v>
      </c>
      <c r="F21" s="25" t="s">
        <v>37</v>
      </c>
      <c r="G21" s="721" t="s">
        <v>59</v>
      </c>
    </row>
    <row r="22" spans="2:11" x14ac:dyDescent="0.25">
      <c r="B22" s="104" t="s">
        <v>461</v>
      </c>
      <c r="C22" s="722"/>
      <c r="D22" s="34"/>
      <c r="E22" s="34"/>
      <c r="F22" s="34"/>
      <c r="G22" s="723">
        <f>Parcels!Z20</f>
        <v>90223269</v>
      </c>
    </row>
    <row r="23" spans="2:11" x14ac:dyDescent="0.25">
      <c r="B23" s="51" t="s">
        <v>462</v>
      </c>
      <c r="C23" s="130"/>
      <c r="D23" s="3"/>
      <c r="E23" s="3"/>
      <c r="F23" s="3"/>
      <c r="G23" s="724">
        <f>Parcels!Z26</f>
        <v>5532663</v>
      </c>
    </row>
    <row r="24" spans="2:11" x14ac:dyDescent="0.25">
      <c r="B24" s="725" t="s">
        <v>210</v>
      </c>
      <c r="C24" s="42"/>
      <c r="D24" s="42"/>
      <c r="E24" s="42"/>
      <c r="F24" s="42"/>
      <c r="G24" s="726">
        <f>SUM(G22:G23)</f>
        <v>95755932</v>
      </c>
    </row>
    <row r="25" spans="2:11" x14ac:dyDescent="0.25">
      <c r="B25" s="347" t="s">
        <v>199</v>
      </c>
      <c r="C25" s="103">
        <v>0.02</v>
      </c>
      <c r="D25" s="3"/>
      <c r="E25" s="3"/>
      <c r="F25" s="3"/>
      <c r="G25" s="528">
        <f>SUM(G22:G24)*C25</f>
        <v>3830237.2800000003</v>
      </c>
    </row>
    <row r="26" spans="2:11" x14ac:dyDescent="0.25">
      <c r="B26" s="51" t="s">
        <v>64</v>
      </c>
      <c r="C26" s="3"/>
      <c r="D26" s="3"/>
      <c r="E26" s="3"/>
      <c r="F26" s="3"/>
      <c r="G26" s="528">
        <f>SUM(G24:G25)</f>
        <v>99586169.280000001</v>
      </c>
    </row>
    <row r="28" spans="2:11" x14ac:dyDescent="0.25">
      <c r="B28" s="23" t="s">
        <v>83</v>
      </c>
      <c r="C28" s="25" t="s">
        <v>197</v>
      </c>
      <c r="D28" s="24"/>
      <c r="E28" s="25" t="s">
        <v>37</v>
      </c>
      <c r="F28" s="25"/>
      <c r="G28" s="721" t="s">
        <v>59</v>
      </c>
    </row>
    <row r="29" spans="2:11" x14ac:dyDescent="0.25">
      <c r="B29" s="51" t="s">
        <v>83</v>
      </c>
      <c r="C29" s="101">
        <v>0.03</v>
      </c>
      <c r="D29" s="3"/>
      <c r="E29" s="134">
        <f ca="1">G29/G19</f>
        <v>1.2320516896844829</v>
      </c>
      <c r="F29" s="3"/>
      <c r="G29" s="727">
        <f>C29*G26</f>
        <v>2987585.0784</v>
      </c>
    </row>
    <row r="30" spans="2:11" x14ac:dyDescent="0.25">
      <c r="B30" s="51" t="s">
        <v>84</v>
      </c>
      <c r="C30" s="3"/>
      <c r="D30" s="3"/>
      <c r="E30" s="3"/>
      <c r="F30" s="3"/>
      <c r="G30" s="374"/>
    </row>
    <row r="31" spans="2:11" x14ac:dyDescent="0.25">
      <c r="H31" s="853" t="s">
        <v>49</v>
      </c>
      <c r="I31" s="853"/>
      <c r="J31" s="853"/>
    </row>
    <row r="32" spans="2:11" ht="30" customHeight="1" x14ac:dyDescent="0.25">
      <c r="B32" s="87" t="s">
        <v>30</v>
      </c>
      <c r="C32" s="100"/>
      <c r="D32" s="88" t="s">
        <v>30</v>
      </c>
      <c r="E32" s="88" t="s">
        <v>175</v>
      </c>
      <c r="F32" s="88" t="s">
        <v>182</v>
      </c>
      <c r="G32" s="89" t="s">
        <v>59</v>
      </c>
      <c r="H32" s="90" t="s">
        <v>28</v>
      </c>
      <c r="I32" s="91" t="s">
        <v>47</v>
      </c>
      <c r="J32" s="92" t="s">
        <v>48</v>
      </c>
      <c r="K32" s="93" t="s">
        <v>62</v>
      </c>
    </row>
    <row r="33" spans="2:13" x14ac:dyDescent="0.25">
      <c r="B33" s="104" t="s">
        <v>60</v>
      </c>
      <c r="C33" s="34"/>
      <c r="D33" s="794">
        <v>15</v>
      </c>
      <c r="E33" s="96">
        <f t="shared" ref="E33:E45" si="1">D33*$C$82</f>
        <v>1.5</v>
      </c>
      <c r="F33" s="795">
        <f t="shared" ref="F33:F41" si="2">D33+E33</f>
        <v>16.5</v>
      </c>
      <c r="G33" s="139">
        <f>F33*G6</f>
        <v>4267213.5</v>
      </c>
      <c r="H33" s="139"/>
      <c r="I33" s="139"/>
      <c r="J33" s="139"/>
      <c r="K33" s="791">
        <f t="shared" ref="K33:K43" ca="1" si="3">G33/$G$46</f>
        <v>7.6033116906498539E-3</v>
      </c>
    </row>
    <row r="34" spans="2:13" x14ac:dyDescent="0.25">
      <c r="B34" s="104" t="s">
        <v>51</v>
      </c>
      <c r="C34" s="34"/>
      <c r="D34" s="794">
        <v>200</v>
      </c>
      <c r="E34" s="96">
        <f t="shared" si="1"/>
        <v>20</v>
      </c>
      <c r="F34" s="795">
        <f t="shared" si="2"/>
        <v>220</v>
      </c>
      <c r="G34" s="139">
        <f ca="1">G$7*F$34</f>
        <v>77929788.199999988</v>
      </c>
      <c r="H34" s="796">
        <f ca="1">SUM('Multifamily DCF'!G127:I127)</f>
        <v>46811888.200000003</v>
      </c>
      <c r="I34" s="796">
        <f ca="1">SUM('Multifamily DCF'!J127:M127)</f>
        <v>31117900</v>
      </c>
      <c r="J34" s="796">
        <f ca="1">SUM('Multifamily DCF'!N127:P127)</f>
        <v>0</v>
      </c>
      <c r="K34" s="791">
        <f t="shared" ca="1" si="3"/>
        <v>0.13885512634203256</v>
      </c>
    </row>
    <row r="35" spans="2:13" x14ac:dyDescent="0.25">
      <c r="B35" s="104" t="s">
        <v>52</v>
      </c>
      <c r="C35" s="34"/>
      <c r="D35" s="794">
        <v>250</v>
      </c>
      <c r="E35" s="96">
        <f t="shared" si="1"/>
        <v>25</v>
      </c>
      <c r="F35" s="795">
        <f t="shared" si="2"/>
        <v>275</v>
      </c>
      <c r="G35" s="139">
        <f t="shared" ref="G35:G45" ca="1" si="4">G8*F35</f>
        <v>77404813.750000015</v>
      </c>
      <c r="H35" s="796">
        <f ca="1">SUM('Condominium DCF'!G116:I116)</f>
        <v>16345450</v>
      </c>
      <c r="I35" s="796">
        <f ca="1">SUM('Condominium DCF'!J116:M116)</f>
        <v>8599800.0000000019</v>
      </c>
      <c r="J35" s="796">
        <f ca="1">SUM('Condominium DCF'!N116:P116)</f>
        <v>35882000</v>
      </c>
      <c r="K35" s="791">
        <f t="shared" ca="1" si="3"/>
        <v>0.13791972801406577</v>
      </c>
    </row>
    <row r="36" spans="2:13" x14ac:dyDescent="0.25">
      <c r="B36" s="104" t="s">
        <v>34</v>
      </c>
      <c r="C36" s="34"/>
      <c r="D36" s="794">
        <v>230</v>
      </c>
      <c r="E36" s="96">
        <f t="shared" si="1"/>
        <v>23</v>
      </c>
      <c r="F36" s="795">
        <f t="shared" si="2"/>
        <v>253</v>
      </c>
      <c r="G36" s="139">
        <f t="shared" ca="1" si="4"/>
        <v>90985125</v>
      </c>
      <c r="H36" s="796">
        <f ca="1">SUM('Office DCF'!G72:I72)</f>
        <v>0</v>
      </c>
      <c r="I36" s="796">
        <f ca="1">SUM('Office DCF'!J72:M72)</f>
        <v>57794055</v>
      </c>
      <c r="J36" s="796">
        <f ca="1">SUM('Office DCF'!N72:P72)</f>
        <v>33191070</v>
      </c>
      <c r="K36" s="791">
        <f t="shared" ca="1" si="3"/>
        <v>0.16211709692700829</v>
      </c>
    </row>
    <row r="37" spans="2:13" x14ac:dyDescent="0.25">
      <c r="B37" s="104" t="s">
        <v>35</v>
      </c>
      <c r="C37" s="34"/>
      <c r="D37" s="794">
        <v>190</v>
      </c>
      <c r="E37" s="96">
        <f t="shared" si="1"/>
        <v>19</v>
      </c>
      <c r="F37" s="795">
        <f t="shared" si="2"/>
        <v>209</v>
      </c>
      <c r="G37" s="139">
        <f t="shared" ca="1" si="4"/>
        <v>73672918</v>
      </c>
      <c r="H37" s="796">
        <f ca="1">SUM('Retail DCF'!G104:I104)</f>
        <v>62936379</v>
      </c>
      <c r="I37" s="796">
        <f ca="1">SUM('Retail DCF'!J104:M104)</f>
        <v>6840779</v>
      </c>
      <c r="J37" s="796">
        <f ca="1">SUM('Retail DCF'!N104:P104)</f>
        <v>3895760</v>
      </c>
      <c r="K37" s="791">
        <f t="shared" ca="1" si="3"/>
        <v>0.13127024432072312</v>
      </c>
    </row>
    <row r="38" spans="2:13" x14ac:dyDescent="0.25">
      <c r="B38" s="104" t="s">
        <v>33</v>
      </c>
      <c r="C38" s="34"/>
      <c r="D38" s="794">
        <v>300</v>
      </c>
      <c r="E38" s="96">
        <f t="shared" si="1"/>
        <v>30</v>
      </c>
      <c r="F38" s="795">
        <f t="shared" si="2"/>
        <v>330</v>
      </c>
      <c r="G38" s="139">
        <f t="shared" ca="1" si="4"/>
        <v>16038000</v>
      </c>
      <c r="H38" s="796">
        <f ca="1">SUM('Hotel DCF'!G65:I65)</f>
        <v>0</v>
      </c>
      <c r="I38" s="796">
        <f ca="1">SUM('Hotel DCF'!J65:M65)</f>
        <v>16038000</v>
      </c>
      <c r="J38" s="796">
        <f ca="1">SUM('Hotel DCF'!N65:P65)</f>
        <v>0</v>
      </c>
      <c r="K38" s="791">
        <f t="shared" ca="1" si="3"/>
        <v>2.8576473357764347E-2</v>
      </c>
    </row>
    <row r="39" spans="2:13" x14ac:dyDescent="0.25">
      <c r="B39" s="104" t="s">
        <v>385</v>
      </c>
      <c r="C39" s="34"/>
      <c r="D39" s="794">
        <v>360</v>
      </c>
      <c r="E39" s="96">
        <f t="shared" si="1"/>
        <v>36</v>
      </c>
      <c r="F39" s="795">
        <f t="shared" si="2"/>
        <v>396</v>
      </c>
      <c r="G39" s="139">
        <f ca="1">SUM(H39:J39)</f>
        <v>16085599.199999999</v>
      </c>
      <c r="H39" s="796">
        <f ca="1">SUM('University DCF'!G42:I42)</f>
        <v>16085599.199999999</v>
      </c>
      <c r="I39" s="796">
        <f ca="1">SUM('University DCF'!J42:M42)</f>
        <v>0</v>
      </c>
      <c r="J39" s="796">
        <f ca="1">SUM('University DCF'!N42:P42)</f>
        <v>0</v>
      </c>
      <c r="K39" s="791">
        <f t="shared" ca="1" si="3"/>
        <v>2.8661285508322452E-2</v>
      </c>
    </row>
    <row r="40" spans="2:13" x14ac:dyDescent="0.25">
      <c r="B40" s="104" t="s">
        <v>355</v>
      </c>
      <c r="C40" s="34"/>
      <c r="D40" s="794">
        <v>400</v>
      </c>
      <c r="E40" s="96">
        <f t="shared" si="1"/>
        <v>40</v>
      </c>
      <c r="F40" s="795">
        <f t="shared" si="2"/>
        <v>440</v>
      </c>
      <c r="G40" s="139">
        <f t="shared" ca="1" si="4"/>
        <v>125794332.39999998</v>
      </c>
      <c r="H40" s="796">
        <f ca="1">SUM('Arts DCF'!G65:I65)</f>
        <v>26896320</v>
      </c>
      <c r="I40" s="796">
        <f ca="1">SUM('Arts DCF'!J65:M65)</f>
        <v>31691000</v>
      </c>
      <c r="J40" s="796">
        <f ca="1">SUM('Arts DCF'!N65:P65)</f>
        <v>67207012.399999991</v>
      </c>
      <c r="K40" s="791">
        <f t="shared" ca="1" si="3"/>
        <v>0.22414006661593414</v>
      </c>
    </row>
    <row r="41" spans="2:13" x14ac:dyDescent="0.25">
      <c r="B41" s="104" t="s">
        <v>454</v>
      </c>
      <c r="C41" s="34"/>
      <c r="D41" s="794">
        <v>550</v>
      </c>
      <c r="E41" s="96">
        <f t="shared" si="1"/>
        <v>55</v>
      </c>
      <c r="F41" s="795">
        <f t="shared" si="2"/>
        <v>605</v>
      </c>
      <c r="G41" s="139">
        <f t="shared" si="4"/>
        <v>20897910</v>
      </c>
      <c r="H41" s="796">
        <f ca="1">SUM('Infrastructure DCF'!G89:I89)</f>
        <v>3219205</v>
      </c>
      <c r="I41" s="796">
        <f ca="1">SUM('Infrastructure DCF'!J89:M89)</f>
        <v>17678705</v>
      </c>
      <c r="J41" s="796">
        <f ca="1">SUM('Infrastructure DCF'!N89:P89)</f>
        <v>0</v>
      </c>
      <c r="K41" s="791">
        <f t="shared" ca="1" si="3"/>
        <v>3.7235850377101705E-2</v>
      </c>
    </row>
    <row r="42" spans="2:13" x14ac:dyDescent="0.25">
      <c r="B42" s="104" t="s">
        <v>453</v>
      </c>
      <c r="C42" s="34"/>
      <c r="D42" s="794">
        <v>50</v>
      </c>
      <c r="E42" s="96">
        <f t="shared" si="1"/>
        <v>5</v>
      </c>
      <c r="F42" s="795">
        <f t="shared" ref="F42:F43" si="5">D42+E42</f>
        <v>55</v>
      </c>
      <c r="G42" s="139">
        <f t="shared" si="4"/>
        <v>24194885</v>
      </c>
      <c r="H42" s="796">
        <f ca="1">SUM('Infrastructure DCF'!G90:I90)</f>
        <v>7671400</v>
      </c>
      <c r="I42" s="796">
        <f ca="1">SUM('Infrastructure DCF'!J90:M90)</f>
        <v>9394825</v>
      </c>
      <c r="J42" s="796">
        <f ca="1">SUM('Infrastructure DCF'!N90:P90)</f>
        <v>7128660</v>
      </c>
      <c r="K42" s="791">
        <f t="shared" ca="1" si="3"/>
        <v>4.3110393228374629E-2</v>
      </c>
    </row>
    <row r="43" spans="2:13" x14ac:dyDescent="0.25">
      <c r="B43" s="104" t="s">
        <v>471</v>
      </c>
      <c r="C43" s="34"/>
      <c r="D43" s="794">
        <v>300</v>
      </c>
      <c r="E43" s="96">
        <f t="shared" si="1"/>
        <v>30</v>
      </c>
      <c r="F43" s="795">
        <f t="shared" si="5"/>
        <v>330</v>
      </c>
      <c r="G43" s="139">
        <f t="shared" si="4"/>
        <v>11508420</v>
      </c>
      <c r="H43" s="796">
        <f>SUM('Infrastructure DCF'!G91:I91)</f>
        <v>11508420</v>
      </c>
      <c r="I43" s="796">
        <f ca="1">SUM('Infrastructure DCF'!J91:M91)</f>
        <v>0</v>
      </c>
      <c r="J43" s="796">
        <f ca="1">SUM('Infrastructure DCF'!N91:P91)</f>
        <v>0</v>
      </c>
      <c r="K43" s="791">
        <f t="shared" ca="1" si="3"/>
        <v>2.0505677610672301E-2</v>
      </c>
    </row>
    <row r="44" spans="2:13" x14ac:dyDescent="0.25">
      <c r="B44" s="104" t="s">
        <v>137</v>
      </c>
      <c r="C44" s="34"/>
      <c r="D44" s="794">
        <v>100</v>
      </c>
      <c r="E44" s="96">
        <f t="shared" si="1"/>
        <v>10</v>
      </c>
      <c r="F44" s="795">
        <f>D44+E44</f>
        <v>110</v>
      </c>
      <c r="G44" s="139">
        <f t="shared" ca="1" si="4"/>
        <v>9379543.8000000007</v>
      </c>
      <c r="H44" s="796">
        <f ca="1">SUM('Parking DCF'!G91:I91)</f>
        <v>5499890</v>
      </c>
      <c r="I44" s="796">
        <f ca="1">SUM('Parking DCF'!J91:M91)</f>
        <v>3879653.8000000003</v>
      </c>
      <c r="J44" s="796">
        <f ca="1">SUM('Parking DCF'!N91:P91)</f>
        <v>0</v>
      </c>
      <c r="K44" s="791">
        <f ca="1">G44/$G$46</f>
        <v>1.671245064900136E-2</v>
      </c>
      <c r="M44" s="74"/>
    </row>
    <row r="45" spans="2:13" x14ac:dyDescent="0.25">
      <c r="B45" s="104" t="s">
        <v>138</v>
      </c>
      <c r="C45" s="34"/>
      <c r="D45" s="794">
        <v>120</v>
      </c>
      <c r="E45" s="96">
        <f t="shared" si="1"/>
        <v>12</v>
      </c>
      <c r="F45" s="795">
        <f>D45+E45</f>
        <v>132</v>
      </c>
      <c r="G45" s="139">
        <f t="shared" ca="1" si="4"/>
        <v>13072356</v>
      </c>
      <c r="H45" s="796">
        <f ca="1">SUM('Parking DCF'!G92:I92)</f>
        <v>1900932</v>
      </c>
      <c r="I45" s="796">
        <f ca="1">SUM('Parking DCF'!J92:M92)</f>
        <v>1990296</v>
      </c>
      <c r="J45" s="796">
        <f ca="1">SUM('Parking DCF'!N92:P92)</f>
        <v>9181128</v>
      </c>
      <c r="K45" s="791">
        <f ca="1">G45/$G$46</f>
        <v>2.3292295358349601E-2</v>
      </c>
    </row>
    <row r="46" spans="2:13" x14ac:dyDescent="0.25">
      <c r="B46" s="51" t="s">
        <v>63</v>
      </c>
      <c r="C46" s="3"/>
      <c r="D46" s="3"/>
      <c r="E46" s="792"/>
      <c r="F46" s="130">
        <f t="shared" ref="F46:K46" si="6">SUM(F33:F45)</f>
        <v>3371.5</v>
      </c>
      <c r="G46" s="131">
        <f t="shared" ca="1" si="6"/>
        <v>561230904.8499999</v>
      </c>
      <c r="H46" s="131">
        <f t="shared" ca="1" si="6"/>
        <v>198875483.40000001</v>
      </c>
      <c r="I46" s="131">
        <f t="shared" ca="1" si="6"/>
        <v>185025013.80000001</v>
      </c>
      <c r="J46" s="131">
        <f t="shared" ca="1" si="6"/>
        <v>156485630.39999998</v>
      </c>
      <c r="K46" s="720">
        <f t="shared" ca="1" si="6"/>
        <v>1.0000000000000002</v>
      </c>
    </row>
    <row r="47" spans="2:13" x14ac:dyDescent="0.25">
      <c r="B47" s="490" t="s">
        <v>478</v>
      </c>
      <c r="E47" s="53"/>
      <c r="F47" s="74"/>
      <c r="G47" s="124"/>
      <c r="K47" s="54"/>
    </row>
    <row r="48" spans="2:13" x14ac:dyDescent="0.25">
      <c r="E48" s="53"/>
      <c r="F48" s="53"/>
      <c r="K48" s="54"/>
    </row>
    <row r="49" spans="2:14" ht="30" x14ac:dyDescent="0.25">
      <c r="B49" s="87" t="s">
        <v>36</v>
      </c>
      <c r="C49" s="100"/>
      <c r="D49" s="88" t="s">
        <v>36</v>
      </c>
      <c r="E49" s="88" t="s">
        <v>176</v>
      </c>
      <c r="F49" s="88" t="s">
        <v>181</v>
      </c>
      <c r="G49" s="89" t="s">
        <v>59</v>
      </c>
      <c r="H49" s="90" t="s">
        <v>28</v>
      </c>
      <c r="I49" s="91" t="s">
        <v>47</v>
      </c>
      <c r="J49" s="92" t="s">
        <v>48</v>
      </c>
      <c r="K49" s="93" t="s">
        <v>62</v>
      </c>
      <c r="M49" s="23" t="s">
        <v>174</v>
      </c>
      <c r="N49" s="710" t="s">
        <v>85</v>
      </c>
    </row>
    <row r="50" spans="2:14" x14ac:dyDescent="0.25">
      <c r="B50" s="104" t="s">
        <v>60</v>
      </c>
      <c r="C50" s="34"/>
      <c r="D50" s="96">
        <f t="shared" ref="D50:D62" si="7">D33*$N$65</f>
        <v>3.0000000000000004</v>
      </c>
      <c r="E50" s="96">
        <f>D50*$C$82</f>
        <v>0.30000000000000004</v>
      </c>
      <c r="F50" s="793">
        <f t="shared" ref="F50:F58" si="8">SUM(D50:E50)</f>
        <v>3.3000000000000007</v>
      </c>
      <c r="G50" s="790">
        <f>$F$50*$G$6</f>
        <v>853442.70000000019</v>
      </c>
      <c r="H50" s="34"/>
      <c r="I50" s="34"/>
      <c r="J50" s="34"/>
      <c r="K50" s="791">
        <f t="shared" ref="K50:K60" ca="1" si="9">G50/$G$63</f>
        <v>7.8882564622906968E-3</v>
      </c>
      <c r="M50" s="104" t="s">
        <v>67</v>
      </c>
      <c r="N50" s="711">
        <v>0.05</v>
      </c>
    </row>
    <row r="51" spans="2:14" x14ac:dyDescent="0.25">
      <c r="B51" s="104" t="s">
        <v>51</v>
      </c>
      <c r="C51" s="34"/>
      <c r="D51" s="96">
        <f t="shared" si="7"/>
        <v>40.000000000000007</v>
      </c>
      <c r="E51" s="96">
        <f t="shared" ref="E51:E62" si="10">D51*$C$82</f>
        <v>4.0000000000000009</v>
      </c>
      <c r="F51" s="96">
        <f t="shared" si="8"/>
        <v>44.000000000000007</v>
      </c>
      <c r="G51" s="790">
        <f ca="1">F51*G8</f>
        <v>12384770.200000005</v>
      </c>
      <c r="H51" s="139">
        <f t="shared" ref="H51:J62" ca="1" si="11">$N$65*H34</f>
        <v>9362377.6400000025</v>
      </c>
      <c r="I51" s="139">
        <f t="shared" ca="1" si="11"/>
        <v>6223580.0000000009</v>
      </c>
      <c r="J51" s="139">
        <f t="shared" ca="1" si="11"/>
        <v>0</v>
      </c>
      <c r="K51" s="791">
        <f t="shared" ca="1" si="9"/>
        <v>0.11447077063771859</v>
      </c>
      <c r="M51" s="104" t="s">
        <v>68</v>
      </c>
      <c r="N51" s="711">
        <v>0.01</v>
      </c>
    </row>
    <row r="52" spans="2:14" x14ac:dyDescent="0.25">
      <c r="B52" s="104" t="s">
        <v>52</v>
      </c>
      <c r="C52" s="34"/>
      <c r="D52" s="96">
        <f t="shared" si="7"/>
        <v>50.000000000000007</v>
      </c>
      <c r="E52" s="96">
        <f t="shared" si="10"/>
        <v>5.0000000000000009</v>
      </c>
      <c r="F52" s="96">
        <f t="shared" si="8"/>
        <v>55.000000000000007</v>
      </c>
      <c r="G52" s="790">
        <f t="shared" ref="G52:G62" ca="1" si="12">F52*G8</f>
        <v>15480962.750000004</v>
      </c>
      <c r="H52" s="139">
        <f t="shared" ca="1" si="11"/>
        <v>3269090.0000000005</v>
      </c>
      <c r="I52" s="139">
        <f t="shared" ca="1" si="11"/>
        <v>1719960.0000000007</v>
      </c>
      <c r="J52" s="139">
        <f t="shared" ca="1" si="11"/>
        <v>7176400.0000000009</v>
      </c>
      <c r="K52" s="791">
        <f t="shared" ca="1" si="9"/>
        <v>0.14308846329714819</v>
      </c>
      <c r="M52" s="104" t="s">
        <v>69</v>
      </c>
      <c r="N52" s="711">
        <v>0.01</v>
      </c>
    </row>
    <row r="53" spans="2:14" x14ac:dyDescent="0.25">
      <c r="B53" s="104" t="s">
        <v>34</v>
      </c>
      <c r="C53" s="34"/>
      <c r="D53" s="96">
        <f t="shared" si="7"/>
        <v>46.000000000000007</v>
      </c>
      <c r="E53" s="96">
        <f t="shared" si="10"/>
        <v>4.6000000000000005</v>
      </c>
      <c r="F53" s="96">
        <f t="shared" si="8"/>
        <v>50.600000000000009</v>
      </c>
      <c r="G53" s="790">
        <f t="shared" ca="1" si="12"/>
        <v>18197025.000000004</v>
      </c>
      <c r="H53" s="139">
        <f t="shared" ca="1" si="11"/>
        <v>0</v>
      </c>
      <c r="I53" s="139">
        <f t="shared" ca="1" si="11"/>
        <v>11558811.000000002</v>
      </c>
      <c r="J53" s="139">
        <f t="shared" ca="1" si="11"/>
        <v>6638214.0000000009</v>
      </c>
      <c r="K53" s="791">
        <f t="shared" ca="1" si="9"/>
        <v>0.1681926625545164</v>
      </c>
      <c r="M53" s="104" t="s">
        <v>70</v>
      </c>
      <c r="N53" s="711">
        <v>0.01</v>
      </c>
    </row>
    <row r="54" spans="2:14" x14ac:dyDescent="0.25">
      <c r="B54" s="104" t="s">
        <v>35</v>
      </c>
      <c r="C54" s="34"/>
      <c r="D54" s="96">
        <f t="shared" si="7"/>
        <v>38.000000000000007</v>
      </c>
      <c r="E54" s="96">
        <f t="shared" si="10"/>
        <v>3.8000000000000007</v>
      </c>
      <c r="F54" s="96">
        <f t="shared" si="8"/>
        <v>41.800000000000011</v>
      </c>
      <c r="G54" s="790">
        <f t="shared" ca="1" si="12"/>
        <v>14734583.600000003</v>
      </c>
      <c r="H54" s="139">
        <f t="shared" ca="1" si="11"/>
        <v>12587275.800000003</v>
      </c>
      <c r="I54" s="139">
        <f t="shared" ca="1" si="11"/>
        <v>1368155.8000000003</v>
      </c>
      <c r="J54" s="139">
        <f t="shared" ca="1" si="11"/>
        <v>779152.00000000012</v>
      </c>
      <c r="K54" s="791">
        <f t="shared" ca="1" si="9"/>
        <v>0.13618978087440731</v>
      </c>
      <c r="M54" s="104" t="s">
        <v>71</v>
      </c>
      <c r="N54" s="711">
        <v>0.02</v>
      </c>
    </row>
    <row r="55" spans="2:14" x14ac:dyDescent="0.25">
      <c r="B55" s="104" t="s">
        <v>33</v>
      </c>
      <c r="C55" s="34"/>
      <c r="D55" s="96">
        <f t="shared" si="7"/>
        <v>60.000000000000014</v>
      </c>
      <c r="E55" s="96">
        <f t="shared" si="10"/>
        <v>6.0000000000000018</v>
      </c>
      <c r="F55" s="96">
        <f t="shared" si="8"/>
        <v>66.000000000000014</v>
      </c>
      <c r="G55" s="790">
        <f t="shared" ca="1" si="12"/>
        <v>3207600.0000000005</v>
      </c>
      <c r="H55" s="139">
        <f t="shared" ca="1" si="11"/>
        <v>0</v>
      </c>
      <c r="I55" s="139">
        <f t="shared" ca="1" si="11"/>
        <v>3207600.0000000005</v>
      </c>
      <c r="J55" s="139">
        <f t="shared" ca="1" si="11"/>
        <v>0</v>
      </c>
      <c r="K55" s="791">
        <f t="shared" ca="1" si="9"/>
        <v>2.964741678432968E-2</v>
      </c>
      <c r="M55" s="104" t="s">
        <v>72</v>
      </c>
      <c r="N55" s="711">
        <v>0.01</v>
      </c>
    </row>
    <row r="56" spans="2:14" x14ac:dyDescent="0.25">
      <c r="B56" s="104" t="s">
        <v>385</v>
      </c>
      <c r="C56" s="34"/>
      <c r="D56" s="96">
        <f t="shared" si="7"/>
        <v>72.000000000000014</v>
      </c>
      <c r="E56" s="96">
        <f t="shared" si="10"/>
        <v>7.200000000000002</v>
      </c>
      <c r="F56" s="96">
        <f t="shared" si="8"/>
        <v>79.200000000000017</v>
      </c>
      <c r="G56" s="790">
        <f ca="1">SUM(H56:J56)</f>
        <v>3217119.8400000003</v>
      </c>
      <c r="H56" s="139">
        <f t="shared" ca="1" si="11"/>
        <v>3217119.8400000003</v>
      </c>
      <c r="I56" s="139">
        <f t="shared" ca="1" si="11"/>
        <v>0</v>
      </c>
      <c r="J56" s="139">
        <f t="shared" ca="1" si="11"/>
        <v>0</v>
      </c>
      <c r="K56" s="791">
        <f t="shared" ca="1" si="9"/>
        <v>2.9735407389205638E-2</v>
      </c>
      <c r="M56" s="104" t="s">
        <v>73</v>
      </c>
      <c r="N56" s="711">
        <v>5.0000000000000001E-3</v>
      </c>
    </row>
    <row r="57" spans="2:14" x14ac:dyDescent="0.25">
      <c r="B57" s="104" t="s">
        <v>355</v>
      </c>
      <c r="C57" s="34"/>
      <c r="D57" s="96">
        <f t="shared" si="7"/>
        <v>80.000000000000014</v>
      </c>
      <c r="E57" s="96">
        <f t="shared" si="10"/>
        <v>8.0000000000000018</v>
      </c>
      <c r="F57" s="96">
        <f t="shared" si="8"/>
        <v>88.000000000000014</v>
      </c>
      <c r="G57" s="790">
        <f t="shared" ca="1" si="12"/>
        <v>25158866.48</v>
      </c>
      <c r="H57" s="139">
        <f t="shared" ca="1" si="11"/>
        <v>5379264.0000000009</v>
      </c>
      <c r="I57" s="139">
        <f t="shared" ca="1" si="11"/>
        <v>6338200.0000000009</v>
      </c>
      <c r="J57" s="139">
        <f t="shared" ca="1" si="11"/>
        <v>13441402.48</v>
      </c>
      <c r="K57" s="791">
        <f t="shared" ca="1" si="9"/>
        <v>0.23254003003923845</v>
      </c>
      <c r="M57" s="104" t="s">
        <v>74</v>
      </c>
      <c r="N57" s="711">
        <v>5.0000000000000001E-3</v>
      </c>
    </row>
    <row r="58" spans="2:14" x14ac:dyDescent="0.25">
      <c r="B58" s="104" t="s">
        <v>454</v>
      </c>
      <c r="C58" s="34"/>
      <c r="D58" s="96">
        <f t="shared" si="7"/>
        <v>110.00000000000003</v>
      </c>
      <c r="E58" s="96">
        <f t="shared" si="10"/>
        <v>11.000000000000004</v>
      </c>
      <c r="F58" s="96">
        <f t="shared" si="8"/>
        <v>121.00000000000003</v>
      </c>
      <c r="G58" s="790">
        <f t="shared" si="12"/>
        <v>4179582.0000000009</v>
      </c>
      <c r="H58" s="139">
        <f t="shared" ca="1" si="11"/>
        <v>643841.00000000012</v>
      </c>
      <c r="I58" s="139">
        <f t="shared" ca="1" si="11"/>
        <v>3535741.0000000005</v>
      </c>
      <c r="J58" s="139">
        <f t="shared" ca="1" si="11"/>
        <v>0</v>
      </c>
      <c r="K58" s="791">
        <f t="shared" ca="1" si="9"/>
        <v>3.8631316104963905E-2</v>
      </c>
      <c r="M58" s="104" t="s">
        <v>75</v>
      </c>
      <c r="N58" s="711">
        <v>5.0000000000000001E-3</v>
      </c>
    </row>
    <row r="59" spans="2:14" x14ac:dyDescent="0.25">
      <c r="B59" s="104" t="s">
        <v>453</v>
      </c>
      <c r="C59" s="34"/>
      <c r="D59" s="96">
        <f t="shared" si="7"/>
        <v>10.000000000000002</v>
      </c>
      <c r="E59" s="96">
        <f t="shared" si="10"/>
        <v>1.0000000000000002</v>
      </c>
      <c r="F59" s="96">
        <f t="shared" ref="F59" si="13">SUM(D59:E59)</f>
        <v>11.000000000000002</v>
      </c>
      <c r="G59" s="790">
        <f t="shared" si="12"/>
        <v>4838977.0000000009</v>
      </c>
      <c r="H59" s="139">
        <f t="shared" ca="1" si="11"/>
        <v>1534280.0000000002</v>
      </c>
      <c r="I59" s="139">
        <f t="shared" ca="1" si="11"/>
        <v>1878965.0000000005</v>
      </c>
      <c r="J59" s="139">
        <f t="shared" ca="1" si="11"/>
        <v>1425732.0000000002</v>
      </c>
      <c r="K59" s="791">
        <f ca="1">G59/$G$63</f>
        <v>4.4726015690480507E-2</v>
      </c>
      <c r="M59" s="104" t="s">
        <v>76</v>
      </c>
      <c r="N59" s="711">
        <v>7.0000000000000001E-3</v>
      </c>
    </row>
    <row r="60" spans="2:14" x14ac:dyDescent="0.25">
      <c r="B60" s="104" t="s">
        <v>471</v>
      </c>
      <c r="C60" s="34"/>
      <c r="D60" s="96">
        <f t="shared" si="7"/>
        <v>60.000000000000014</v>
      </c>
      <c r="E60" s="96">
        <f t="shared" si="10"/>
        <v>6.0000000000000018</v>
      </c>
      <c r="F60" s="96">
        <f t="shared" ref="F60" si="14">SUM(D60:E60)</f>
        <v>66.000000000000014</v>
      </c>
      <c r="G60" s="790">
        <f t="shared" si="12"/>
        <v>2301684.0000000005</v>
      </c>
      <c r="H60" s="139">
        <f t="shared" si="11"/>
        <v>2301684.0000000005</v>
      </c>
      <c r="I60" s="139">
        <f t="shared" ca="1" si="11"/>
        <v>0</v>
      </c>
      <c r="J60" s="139">
        <f t="shared" ca="1" si="11"/>
        <v>0</v>
      </c>
      <c r="K60" s="791">
        <f t="shared" ca="1" si="9"/>
        <v>2.127415664478834E-2</v>
      </c>
      <c r="M60" s="104" t="s">
        <v>77</v>
      </c>
      <c r="N60" s="711">
        <v>5.0000000000000001E-3</v>
      </c>
    </row>
    <row r="61" spans="2:14" x14ac:dyDescent="0.25">
      <c r="B61" s="104" t="s">
        <v>137</v>
      </c>
      <c r="C61" s="34"/>
      <c r="D61" s="96">
        <f t="shared" si="7"/>
        <v>20.000000000000004</v>
      </c>
      <c r="E61" s="96">
        <f t="shared" si="10"/>
        <v>2.0000000000000004</v>
      </c>
      <c r="F61" s="96">
        <f>SUM(D61:E61)</f>
        <v>22.000000000000004</v>
      </c>
      <c r="G61" s="790">
        <f t="shared" ca="1" si="12"/>
        <v>1875908.7600000002</v>
      </c>
      <c r="H61" s="139">
        <f t="shared" ca="1" si="11"/>
        <v>1099978.0000000002</v>
      </c>
      <c r="I61" s="139">
        <f t="shared" ca="1" si="11"/>
        <v>775930.76000000024</v>
      </c>
      <c r="J61" s="139">
        <f t="shared" ca="1" si="11"/>
        <v>0</v>
      </c>
      <c r="K61" s="791">
        <f ca="1">G61/$G$63</f>
        <v>1.7338773181536062E-2</v>
      </c>
      <c r="M61" s="104" t="s">
        <v>78</v>
      </c>
      <c r="N61" s="711">
        <v>0.04</v>
      </c>
    </row>
    <row r="62" spans="2:14" x14ac:dyDescent="0.25">
      <c r="B62" s="104" t="s">
        <v>138</v>
      </c>
      <c r="C62" s="34"/>
      <c r="D62" s="96">
        <f t="shared" si="7"/>
        <v>24.000000000000004</v>
      </c>
      <c r="E62" s="96">
        <f t="shared" si="10"/>
        <v>2.4000000000000004</v>
      </c>
      <c r="F62" s="96">
        <f>SUM(D62:E62)</f>
        <v>26.400000000000006</v>
      </c>
      <c r="G62" s="790">
        <f t="shared" ca="1" si="12"/>
        <v>2614471.2000000007</v>
      </c>
      <c r="H62" s="139">
        <f t="shared" ca="1" si="11"/>
        <v>380186.40000000008</v>
      </c>
      <c r="I62" s="139">
        <f t="shared" ca="1" si="11"/>
        <v>398059.20000000007</v>
      </c>
      <c r="J62" s="139">
        <f t="shared" ca="1" si="11"/>
        <v>1836225.6000000003</v>
      </c>
      <c r="K62" s="791">
        <f ca="1">G62/$G$63</f>
        <v>2.4165206801666842E-2</v>
      </c>
      <c r="M62" s="104" t="s">
        <v>79</v>
      </c>
      <c r="N62" s="711">
        <v>0.01</v>
      </c>
    </row>
    <row r="63" spans="2:14" x14ac:dyDescent="0.25">
      <c r="B63" s="51" t="s">
        <v>82</v>
      </c>
      <c r="C63" s="3"/>
      <c r="D63" s="3"/>
      <c r="E63" s="792"/>
      <c r="F63" s="792">
        <f>SUM(F51:F62)</f>
        <v>671</v>
      </c>
      <c r="G63" s="132">
        <f ca="1">SUM(G51:G62)</f>
        <v>108191550.83000003</v>
      </c>
      <c r="H63" s="131">
        <f t="shared" ref="H63:J63" ca="1" si="15">SUM(H50:H62)</f>
        <v>39775096.680000007</v>
      </c>
      <c r="I63" s="131">
        <f t="shared" ca="1" si="15"/>
        <v>37005002.760000005</v>
      </c>
      <c r="J63" s="131">
        <f t="shared" ca="1" si="15"/>
        <v>31297126.080000006</v>
      </c>
      <c r="K63" s="720">
        <f ca="1">SUM(K51:K62)</f>
        <v>1</v>
      </c>
      <c r="M63" s="104" t="s">
        <v>80</v>
      </c>
      <c r="N63" s="711">
        <v>3.0000000000000001E-3</v>
      </c>
    </row>
    <row r="64" spans="2:14" x14ac:dyDescent="0.25">
      <c r="M64" s="51" t="s">
        <v>81</v>
      </c>
      <c r="N64" s="712">
        <v>0.01</v>
      </c>
    </row>
    <row r="65" spans="2:14" x14ac:dyDescent="0.25">
      <c r="B65" s="87" t="s">
        <v>472</v>
      </c>
      <c r="C65" s="100"/>
      <c r="D65" s="88"/>
      <c r="E65" s="88" t="s">
        <v>58</v>
      </c>
      <c r="F65" s="88" t="s">
        <v>37</v>
      </c>
      <c r="G65" s="89" t="s">
        <v>59</v>
      </c>
      <c r="H65" s="90" t="s">
        <v>28</v>
      </c>
      <c r="I65" s="91" t="s">
        <v>47</v>
      </c>
      <c r="J65" s="92" t="s">
        <v>48</v>
      </c>
      <c r="K65" s="93" t="s">
        <v>62</v>
      </c>
      <c r="M65" s="51" t="s">
        <v>82</v>
      </c>
      <c r="N65" s="712">
        <f>SUM(N50:N64)</f>
        <v>0.20000000000000004</v>
      </c>
    </row>
    <row r="66" spans="2:14" x14ac:dyDescent="0.25">
      <c r="B66" s="104" t="s">
        <v>60</v>
      </c>
      <c r="C66" s="34"/>
      <c r="D66" s="96"/>
      <c r="E66" s="789">
        <f t="shared" ref="E66:E78" si="16">G6</f>
        <v>258619</v>
      </c>
      <c r="F66" s="96">
        <f>G66/E66</f>
        <v>19.8</v>
      </c>
      <c r="G66" s="790">
        <f>G50+G33</f>
        <v>5120656.2</v>
      </c>
      <c r="H66" s="139">
        <f>H50+H33</f>
        <v>0</v>
      </c>
      <c r="I66" s="139">
        <f t="shared" ref="I66:J67" si="17">I50+I33</f>
        <v>0</v>
      </c>
      <c r="J66" s="139">
        <f t="shared" si="17"/>
        <v>0</v>
      </c>
      <c r="K66" s="791">
        <f t="shared" ref="K66:K78" ca="1" si="18">G66/$G$79</f>
        <v>7.5589378246589192E-3</v>
      </c>
      <c r="N66" s="95"/>
    </row>
    <row r="67" spans="2:14" x14ac:dyDescent="0.25">
      <c r="B67" s="104" t="s">
        <v>51</v>
      </c>
      <c r="C67" s="34"/>
      <c r="D67" s="96"/>
      <c r="E67" s="789">
        <f t="shared" ca="1" si="16"/>
        <v>354226.30999999994</v>
      </c>
      <c r="F67" s="96">
        <f>F51+F34</f>
        <v>264</v>
      </c>
      <c r="G67" s="790">
        <f ca="1">F67*E67</f>
        <v>93515745.839999989</v>
      </c>
      <c r="H67" s="139">
        <f ca="1">H51+H34</f>
        <v>56174265.840000004</v>
      </c>
      <c r="I67" s="139">
        <f t="shared" ca="1" si="17"/>
        <v>37341480</v>
      </c>
      <c r="J67" s="139">
        <f t="shared" ca="1" si="17"/>
        <v>0</v>
      </c>
      <c r="K67" s="791">
        <f t="shared" ca="1" si="18"/>
        <v>0.13804475067690852</v>
      </c>
      <c r="M67" s="728" t="s">
        <v>518</v>
      </c>
      <c r="N67" s="729"/>
    </row>
    <row r="68" spans="2:14" x14ac:dyDescent="0.25">
      <c r="B68" s="104" t="s">
        <v>52</v>
      </c>
      <c r="C68" s="34"/>
      <c r="D68" s="96"/>
      <c r="E68" s="789">
        <f t="shared" ca="1" si="16"/>
        <v>281472.05000000005</v>
      </c>
      <c r="F68" s="96">
        <f t="shared" ref="F68:F78" si="19">F52+F35</f>
        <v>330</v>
      </c>
      <c r="G68" s="790">
        <f t="shared" ref="G68:G78" ca="1" si="20">F68*E68</f>
        <v>92885776.500000015</v>
      </c>
      <c r="H68" s="139">
        <f t="shared" ref="H68:J78" ca="1" si="21">H52+H35</f>
        <v>19614540</v>
      </c>
      <c r="I68" s="139">
        <f t="shared" ca="1" si="21"/>
        <v>10319760.000000002</v>
      </c>
      <c r="J68" s="139">
        <f t="shared" ca="1" si="21"/>
        <v>43058400</v>
      </c>
      <c r="K68" s="791">
        <f t="shared" ca="1" si="18"/>
        <v>0.13711481144909995</v>
      </c>
      <c r="M68" s="730">
        <f>SUM(G43,G60)</f>
        <v>13810104</v>
      </c>
      <c r="N68" s="372"/>
    </row>
    <row r="69" spans="2:14" x14ac:dyDescent="0.25">
      <c r="B69" s="104" t="s">
        <v>34</v>
      </c>
      <c r="C69" s="34"/>
      <c r="D69" s="96"/>
      <c r="E69" s="789">
        <f t="shared" ca="1" si="16"/>
        <v>359625</v>
      </c>
      <c r="F69" s="96">
        <f t="shared" si="19"/>
        <v>303.60000000000002</v>
      </c>
      <c r="G69" s="790">
        <f t="shared" ca="1" si="20"/>
        <v>109182150.00000001</v>
      </c>
      <c r="H69" s="139">
        <f t="shared" ca="1" si="21"/>
        <v>0</v>
      </c>
      <c r="I69" s="139">
        <f t="shared" ca="1" si="21"/>
        <v>69352866</v>
      </c>
      <c r="J69" s="139">
        <f t="shared" ca="1" si="21"/>
        <v>39829284</v>
      </c>
      <c r="K69" s="791">
        <f t="shared" ca="1" si="18"/>
        <v>0.16117096152883373</v>
      </c>
      <c r="M69" s="730">
        <f>C82*M68</f>
        <v>1381010.4000000001</v>
      </c>
      <c r="N69" s="711"/>
    </row>
    <row r="70" spans="2:14" x14ac:dyDescent="0.25">
      <c r="B70" s="104" t="s">
        <v>35</v>
      </c>
      <c r="C70" s="34"/>
      <c r="D70" s="96"/>
      <c r="E70" s="789">
        <f t="shared" ca="1" si="16"/>
        <v>352502</v>
      </c>
      <c r="F70" s="96">
        <f t="shared" si="19"/>
        <v>250.8</v>
      </c>
      <c r="G70" s="790">
        <f t="shared" ca="1" si="20"/>
        <v>88407501.600000009</v>
      </c>
      <c r="H70" s="139">
        <f t="shared" ca="1" si="21"/>
        <v>75523654.799999997</v>
      </c>
      <c r="I70" s="139">
        <f t="shared" ca="1" si="21"/>
        <v>8208934.8000000007</v>
      </c>
      <c r="J70" s="139">
        <f t="shared" ca="1" si="21"/>
        <v>4674912</v>
      </c>
      <c r="K70" s="791">
        <f t="shared" ca="1" si="18"/>
        <v>0.13050413496376381</v>
      </c>
      <c r="M70" s="731">
        <f>SUM(M68:M69)*C86</f>
        <v>455733.43199999997</v>
      </c>
      <c r="N70" s="374"/>
    </row>
    <row r="71" spans="2:14" x14ac:dyDescent="0.25">
      <c r="B71" s="104" t="s">
        <v>33</v>
      </c>
      <c r="C71" s="34"/>
      <c r="D71" s="96"/>
      <c r="E71" s="789">
        <f t="shared" ca="1" si="16"/>
        <v>48600</v>
      </c>
      <c r="F71" s="96">
        <f t="shared" si="19"/>
        <v>396</v>
      </c>
      <c r="G71" s="790">
        <f t="shared" ca="1" si="20"/>
        <v>19245600</v>
      </c>
      <c r="H71" s="139">
        <f t="shared" ca="1" si="21"/>
        <v>0</v>
      </c>
      <c r="I71" s="139">
        <f t="shared" ca="1" si="21"/>
        <v>19245600</v>
      </c>
      <c r="J71" s="139">
        <f t="shared" ca="1" si="21"/>
        <v>0</v>
      </c>
      <c r="K71" s="791">
        <f t="shared" ca="1" si="18"/>
        <v>2.8409697530221944E-2</v>
      </c>
      <c r="M71" s="731">
        <f>SUM(M68:M70)</f>
        <v>15646847.832</v>
      </c>
      <c r="N71" s="374"/>
    </row>
    <row r="72" spans="2:14" x14ac:dyDescent="0.25">
      <c r="B72" s="104" t="s">
        <v>385</v>
      </c>
      <c r="C72" s="34"/>
      <c r="D72" s="96"/>
      <c r="E72" s="789">
        <f t="shared" ca="1" si="16"/>
        <v>48940</v>
      </c>
      <c r="F72" s="96">
        <f t="shared" si="19"/>
        <v>475.20000000000005</v>
      </c>
      <c r="G72" s="790">
        <f t="shared" ca="1" si="20"/>
        <v>23256288.000000004</v>
      </c>
      <c r="H72" s="139">
        <f t="shared" ca="1" si="21"/>
        <v>19302719.039999999</v>
      </c>
      <c r="I72" s="139">
        <f t="shared" ca="1" si="21"/>
        <v>0</v>
      </c>
      <c r="J72" s="139">
        <f t="shared" ca="1" si="21"/>
        <v>0</v>
      </c>
      <c r="K72" s="791">
        <f t="shared" ca="1" si="18"/>
        <v>3.4330138200717585E-2</v>
      </c>
    </row>
    <row r="73" spans="2:14" x14ac:dyDescent="0.25">
      <c r="B73" s="104" t="s">
        <v>355</v>
      </c>
      <c r="C73" s="34"/>
      <c r="D73" s="96"/>
      <c r="E73" s="789">
        <f t="shared" ca="1" si="16"/>
        <v>285896.20999999996</v>
      </c>
      <c r="F73" s="96">
        <f t="shared" si="19"/>
        <v>528</v>
      </c>
      <c r="G73" s="790">
        <f t="shared" ca="1" si="20"/>
        <v>150953198.88</v>
      </c>
      <c r="H73" s="139">
        <f t="shared" ca="1" si="21"/>
        <v>32275584</v>
      </c>
      <c r="I73" s="139">
        <f t="shared" ca="1" si="21"/>
        <v>38029200</v>
      </c>
      <c r="J73" s="139">
        <f t="shared" ca="1" si="21"/>
        <v>80648414.879999995</v>
      </c>
      <c r="K73" s="791">
        <f t="shared" ca="1" si="18"/>
        <v>0.22283195750718282</v>
      </c>
    </row>
    <row r="74" spans="2:14" x14ac:dyDescent="0.25">
      <c r="B74" s="104" t="s">
        <v>454</v>
      </c>
      <c r="C74" s="34"/>
      <c r="D74" s="96"/>
      <c r="E74" s="789">
        <f t="shared" si="16"/>
        <v>34542</v>
      </c>
      <c r="F74" s="96">
        <f t="shared" si="19"/>
        <v>726</v>
      </c>
      <c r="G74" s="790">
        <f t="shared" si="20"/>
        <v>25077492</v>
      </c>
      <c r="H74" s="139">
        <f t="shared" ca="1" si="21"/>
        <v>3863046</v>
      </c>
      <c r="I74" s="139">
        <f t="shared" ca="1" si="21"/>
        <v>21214446</v>
      </c>
      <c r="J74" s="139">
        <f t="shared" ca="1" si="21"/>
        <v>0</v>
      </c>
      <c r="K74" s="791">
        <f t="shared" ca="1" si="18"/>
        <v>3.7018537355892285E-2</v>
      </c>
    </row>
    <row r="75" spans="2:14" x14ac:dyDescent="0.25">
      <c r="B75" s="104" t="s">
        <v>453</v>
      </c>
      <c r="C75" s="34"/>
      <c r="D75" s="96"/>
      <c r="E75" s="789">
        <f t="shared" si="16"/>
        <v>439907</v>
      </c>
      <c r="F75" s="96">
        <f t="shared" si="19"/>
        <v>66</v>
      </c>
      <c r="G75" s="790">
        <f t="shared" si="20"/>
        <v>29033862</v>
      </c>
      <c r="H75" s="139">
        <f t="shared" ca="1" si="21"/>
        <v>9205680</v>
      </c>
      <c r="I75" s="139">
        <f t="shared" ca="1" si="21"/>
        <v>11273790</v>
      </c>
      <c r="J75" s="139">
        <f t="shared" ca="1" si="21"/>
        <v>8554392</v>
      </c>
      <c r="K75" s="791">
        <f t="shared" ca="1" si="18"/>
        <v>4.2858795649613667E-2</v>
      </c>
    </row>
    <row r="76" spans="2:14" x14ac:dyDescent="0.25">
      <c r="B76" s="104" t="s">
        <v>471</v>
      </c>
      <c r="C76" s="34"/>
      <c r="D76" s="96"/>
      <c r="E76" s="789">
        <f t="shared" si="16"/>
        <v>34874</v>
      </c>
      <c r="F76" s="96">
        <f t="shared" si="19"/>
        <v>396</v>
      </c>
      <c r="G76" s="790">
        <f t="shared" si="20"/>
        <v>13810104</v>
      </c>
      <c r="H76" s="139">
        <f t="shared" si="21"/>
        <v>13810104</v>
      </c>
      <c r="I76" s="139">
        <f t="shared" ca="1" si="21"/>
        <v>0</v>
      </c>
      <c r="J76" s="139">
        <f t="shared" ca="1" si="21"/>
        <v>0</v>
      </c>
      <c r="K76" s="791">
        <f t="shared" ca="1" si="18"/>
        <v>2.0386003943805762E-2</v>
      </c>
    </row>
    <row r="77" spans="2:14" x14ac:dyDescent="0.25">
      <c r="B77" s="104" t="s">
        <v>137</v>
      </c>
      <c r="C77" s="34"/>
      <c r="D77" s="96"/>
      <c r="E77" s="789">
        <f t="shared" ca="1" si="16"/>
        <v>85268.58</v>
      </c>
      <c r="F77" s="96">
        <f t="shared" si="19"/>
        <v>132</v>
      </c>
      <c r="G77" s="790">
        <f t="shared" ca="1" si="20"/>
        <v>11255452.560000001</v>
      </c>
      <c r="H77" s="139">
        <f t="shared" ca="1" si="21"/>
        <v>6599868</v>
      </c>
      <c r="I77" s="139">
        <f t="shared" ca="1" si="21"/>
        <v>4655584.5600000005</v>
      </c>
      <c r="J77" s="139">
        <f t="shared" ca="1" si="21"/>
        <v>0</v>
      </c>
      <c r="K77" s="791">
        <f t="shared" ca="1" si="18"/>
        <v>1.6614914723124364E-2</v>
      </c>
    </row>
    <row r="78" spans="2:14" x14ac:dyDescent="0.25">
      <c r="B78" s="104" t="s">
        <v>138</v>
      </c>
      <c r="C78" s="34"/>
      <c r="D78" s="96"/>
      <c r="E78" s="789">
        <f t="shared" ca="1" si="16"/>
        <v>99033</v>
      </c>
      <c r="F78" s="96">
        <f t="shared" si="19"/>
        <v>158.4</v>
      </c>
      <c r="G78" s="790">
        <f t="shared" ca="1" si="20"/>
        <v>15686827.200000001</v>
      </c>
      <c r="H78" s="139">
        <f t="shared" ca="1" si="21"/>
        <v>2281118.4</v>
      </c>
      <c r="I78" s="139">
        <f t="shared" ca="1" si="21"/>
        <v>2388355.2000000002</v>
      </c>
      <c r="J78" s="139">
        <f t="shared" ca="1" si="21"/>
        <v>11017353.6</v>
      </c>
      <c r="K78" s="791">
        <f t="shared" ca="1" si="18"/>
        <v>2.3156358646176708E-2</v>
      </c>
    </row>
    <row r="79" spans="2:14" x14ac:dyDescent="0.25">
      <c r="B79" s="51" t="s">
        <v>479</v>
      </c>
      <c r="C79" s="3"/>
      <c r="D79" s="3"/>
      <c r="E79" s="792"/>
      <c r="F79" s="792"/>
      <c r="G79" s="132">
        <f ca="1">SUM(G66:G78)</f>
        <v>677430654.77999997</v>
      </c>
      <c r="H79" s="132">
        <f t="shared" ref="H79:J79" ca="1" si="22">SUM(H66:H78)</f>
        <v>238650580.07999998</v>
      </c>
      <c r="I79" s="132">
        <f t="shared" ca="1" si="22"/>
        <v>222030016.56</v>
      </c>
      <c r="J79" s="132">
        <f t="shared" ca="1" si="22"/>
        <v>187782756.47999999</v>
      </c>
      <c r="K79" s="720">
        <f ca="1">SUM(K66:K78)</f>
        <v>1</v>
      </c>
      <c r="L79" s="133"/>
    </row>
    <row r="81" spans="2:4" x14ac:dyDescent="0.25">
      <c r="B81" s="23" t="s">
        <v>39</v>
      </c>
      <c r="C81" s="25" t="s">
        <v>197</v>
      </c>
      <c r="D81" s="713"/>
    </row>
    <row r="82" spans="2:4" x14ac:dyDescent="0.25">
      <c r="B82" s="347" t="s">
        <v>39</v>
      </c>
      <c r="C82" s="102">
        <v>0.1</v>
      </c>
      <c r="D82" s="374"/>
    </row>
    <row r="83" spans="2:4" x14ac:dyDescent="0.25">
      <c r="B83" s="51" t="s">
        <v>198</v>
      </c>
      <c r="C83" s="3"/>
      <c r="D83" s="374"/>
    </row>
    <row r="85" spans="2:4" x14ac:dyDescent="0.25">
      <c r="B85" s="23" t="s">
        <v>195</v>
      </c>
      <c r="C85" s="25" t="s">
        <v>197</v>
      </c>
      <c r="D85" s="713"/>
    </row>
    <row r="86" spans="2:4" x14ac:dyDescent="0.25">
      <c r="B86" s="714" t="s">
        <v>195</v>
      </c>
      <c r="C86" s="101">
        <v>0.03</v>
      </c>
      <c r="D86" s="30"/>
    </row>
    <row r="87" spans="2:4" x14ac:dyDescent="0.25">
      <c r="B87" s="51" t="s">
        <v>196</v>
      </c>
      <c r="C87" s="3"/>
      <c r="D87" s="374"/>
    </row>
  </sheetData>
  <mergeCells count="2">
    <mergeCell ref="H31:J31"/>
    <mergeCell ref="H4:J4"/>
  </mergeCells>
  <conditionalFormatting sqref="B3">
    <cfRule type="cellIs" dxfId="328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4CB9B-AC9F-41DA-9C20-8632A2489B34}">
  <sheetPr>
    <tabColor rgb="FFFF0000"/>
  </sheetPr>
  <dimension ref="A1:T88"/>
  <sheetViews>
    <sheetView showGridLines="0" topLeftCell="A66" zoomScaleNormal="100" workbookViewId="0">
      <selection activeCell="Q88" sqref="Q88"/>
    </sheetView>
  </sheetViews>
  <sheetFormatPr defaultRowHeight="15" x14ac:dyDescent="0.25"/>
  <cols>
    <col min="2" max="2" width="47.28515625" customWidth="1"/>
    <col min="5" max="5" width="16.140625" customWidth="1"/>
    <col min="6" max="15" width="21.140625" customWidth="1"/>
    <col min="17" max="17" width="31.42578125" customWidth="1"/>
    <col min="18" max="18" width="19.85546875" customWidth="1"/>
  </cols>
  <sheetData>
    <row r="1" spans="1:15" x14ac:dyDescent="0.2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8.75" x14ac:dyDescent="0.3">
      <c r="A2" s="33"/>
      <c r="B2" s="8" t="s">
        <v>543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x14ac:dyDescent="0.25">
      <c r="A3" s="33"/>
      <c r="B3" t="s">
        <v>611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x14ac:dyDescent="0.2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15" x14ac:dyDescent="0.25">
      <c r="A5" s="33"/>
      <c r="B5" s="33"/>
      <c r="C5" s="33"/>
      <c r="D5" s="33"/>
      <c r="E5" s="853" t="s">
        <v>49</v>
      </c>
      <c r="F5" s="853"/>
      <c r="G5" s="853"/>
      <c r="H5" s="853"/>
      <c r="I5" s="853"/>
      <c r="J5" s="853"/>
      <c r="K5" s="853"/>
      <c r="L5" s="853"/>
      <c r="M5" s="853"/>
      <c r="N5" s="853"/>
      <c r="O5" s="853"/>
    </row>
    <row r="6" spans="1:15" x14ac:dyDescent="0.25">
      <c r="A6" s="33"/>
      <c r="B6" s="857"/>
      <c r="C6" s="858"/>
      <c r="D6" s="859"/>
      <c r="E6" s="273" t="s">
        <v>105</v>
      </c>
      <c r="F6" s="207" t="s">
        <v>28</v>
      </c>
      <c r="G6" s="27" t="s">
        <v>28</v>
      </c>
      <c r="H6" s="275" t="s">
        <v>28</v>
      </c>
      <c r="I6" s="218" t="s">
        <v>47</v>
      </c>
      <c r="J6" s="28" t="s">
        <v>47</v>
      </c>
      <c r="K6" s="28" t="s">
        <v>47</v>
      </c>
      <c r="L6" s="277" t="s">
        <v>47</v>
      </c>
      <c r="M6" s="29" t="s">
        <v>48</v>
      </c>
      <c r="N6" s="29" t="s">
        <v>48</v>
      </c>
      <c r="O6" s="39" t="s">
        <v>48</v>
      </c>
    </row>
    <row r="7" spans="1:15" x14ac:dyDescent="0.25">
      <c r="A7" s="33"/>
      <c r="B7" s="860"/>
      <c r="C7" s="861"/>
      <c r="D7" s="862"/>
      <c r="E7" s="652">
        <v>0</v>
      </c>
      <c r="F7" s="517">
        <f>E7+1</f>
        <v>1</v>
      </c>
      <c r="G7" s="223">
        <f t="shared" ref="G7:O8" si="0">F7+1</f>
        <v>2</v>
      </c>
      <c r="H7" s="276">
        <f t="shared" si="0"/>
        <v>3</v>
      </c>
      <c r="I7" s="517">
        <f t="shared" si="0"/>
        <v>4</v>
      </c>
      <c r="J7" s="223">
        <f t="shared" si="0"/>
        <v>5</v>
      </c>
      <c r="K7" s="223">
        <f t="shared" si="0"/>
        <v>6</v>
      </c>
      <c r="L7" s="276">
        <f t="shared" si="0"/>
        <v>7</v>
      </c>
      <c r="M7" s="223">
        <f t="shared" si="0"/>
        <v>8</v>
      </c>
      <c r="N7" s="223">
        <f t="shared" si="0"/>
        <v>9</v>
      </c>
      <c r="O7" s="276">
        <f t="shared" si="0"/>
        <v>10</v>
      </c>
    </row>
    <row r="8" spans="1:15" x14ac:dyDescent="0.25">
      <c r="A8" s="33"/>
      <c r="B8" s="863"/>
      <c r="C8" s="864"/>
      <c r="D8" s="865"/>
      <c r="E8" s="669" t="s">
        <v>177</v>
      </c>
      <c r="F8" s="578">
        <v>2022</v>
      </c>
      <c r="G8" s="579">
        <f t="shared" si="0"/>
        <v>2023</v>
      </c>
      <c r="H8" s="580">
        <f t="shared" si="0"/>
        <v>2024</v>
      </c>
      <c r="I8" s="578">
        <f t="shared" si="0"/>
        <v>2025</v>
      </c>
      <c r="J8" s="579">
        <f t="shared" si="0"/>
        <v>2026</v>
      </c>
      <c r="K8" s="579">
        <f t="shared" si="0"/>
        <v>2027</v>
      </c>
      <c r="L8" s="580">
        <f t="shared" si="0"/>
        <v>2028</v>
      </c>
      <c r="M8" s="579">
        <f t="shared" si="0"/>
        <v>2029</v>
      </c>
      <c r="N8" s="579">
        <f t="shared" si="0"/>
        <v>2030</v>
      </c>
      <c r="O8" s="580">
        <f t="shared" si="0"/>
        <v>2031</v>
      </c>
    </row>
    <row r="9" spans="1:15" x14ac:dyDescent="0.25">
      <c r="A9" s="33"/>
      <c r="B9" s="797" t="s">
        <v>258</v>
      </c>
      <c r="C9" s="798"/>
      <c r="D9" s="799"/>
      <c r="E9" s="808"/>
      <c r="F9" s="809"/>
      <c r="G9" s="810"/>
      <c r="H9" s="811"/>
      <c r="I9" s="809"/>
      <c r="J9" s="810"/>
      <c r="K9" s="810"/>
      <c r="L9" s="811"/>
      <c r="M9" s="809"/>
      <c r="N9" s="810"/>
      <c r="O9" s="811"/>
    </row>
    <row r="10" spans="1:15" x14ac:dyDescent="0.25">
      <c r="A10" s="33"/>
      <c r="B10" s="416" t="s">
        <v>259</v>
      </c>
      <c r="C10" s="504"/>
      <c r="D10" s="565"/>
      <c r="E10" s="655">
        <f>'Multifamily DCF'!F120</f>
        <v>0</v>
      </c>
      <c r="F10" s="643">
        <f ca="1">'Multifamily DCF'!G120</f>
        <v>0</v>
      </c>
      <c r="G10" s="560">
        <f ca="1">'Multifamily DCF'!H120</f>
        <v>1870891.1230119893</v>
      </c>
      <c r="H10" s="561">
        <f ca="1">'Multifamily DCF'!I120</f>
        <v>4528574.7038735356</v>
      </c>
      <c r="I10" s="643">
        <f ca="1">'Multifamily DCF'!J120</f>
        <v>6367788.9764186023</v>
      </c>
      <c r="J10" s="560">
        <f ca="1">'Multifamily DCF'!K120</f>
        <v>8371491.8289282117</v>
      </c>
      <c r="K10" s="560">
        <f ca="1">'Multifamily DCF'!L120</f>
        <v>10518220.234289242</v>
      </c>
      <c r="L10" s="561">
        <f ca="1">'Multifamily DCF'!M120</f>
        <v>11979745.113732431</v>
      </c>
      <c r="M10" s="643">
        <f ca="1">'Multifamily DCF'!N120</f>
        <v>12880704.876935618</v>
      </c>
      <c r="N10" s="560">
        <f ca="1">'Multifamily DCF'!O120</f>
        <v>13155168.62116746</v>
      </c>
      <c r="O10" s="561">
        <f ca="1">'Multifamily DCF'!P120</f>
        <v>13418687.744017566</v>
      </c>
    </row>
    <row r="11" spans="1:15" x14ac:dyDescent="0.25">
      <c r="A11" s="33"/>
      <c r="B11" s="416" t="s">
        <v>261</v>
      </c>
      <c r="C11" s="504"/>
      <c r="D11" s="565"/>
      <c r="E11" s="655">
        <f>'Office DCF'!F66</f>
        <v>0</v>
      </c>
      <c r="F11" s="643">
        <f ca="1">'Office DCF'!G66</f>
        <v>0</v>
      </c>
      <c r="G11" s="560">
        <f ca="1">'Office DCF'!H66</f>
        <v>0</v>
      </c>
      <c r="H11" s="561">
        <f ca="1">'Office DCF'!I66</f>
        <v>0</v>
      </c>
      <c r="I11" s="643">
        <f ca="1">'Office DCF'!J66</f>
        <v>0</v>
      </c>
      <c r="J11" s="560">
        <f ca="1">'Office DCF'!K66</f>
        <v>2567252.6977818608</v>
      </c>
      <c r="K11" s="560">
        <f ca="1">'Office DCF'!L66</f>
        <v>4073487.775294777</v>
      </c>
      <c r="L11" s="561">
        <f ca="1">'Office DCF'!M66</f>
        <v>5180815.7741623884</v>
      </c>
      <c r="M11" s="643">
        <f ca="1">'Office DCF'!N66</f>
        <v>5333392.3656777646</v>
      </c>
      <c r="N11" s="560">
        <f ca="1">'Office DCF'!O66</f>
        <v>6860843.3194009895</v>
      </c>
      <c r="O11" s="561">
        <f ca="1">'Office DCF'!P66</f>
        <v>7301456.0961432792</v>
      </c>
    </row>
    <row r="12" spans="1:15" x14ac:dyDescent="0.25">
      <c r="A12" s="33"/>
      <c r="B12" s="416" t="s">
        <v>262</v>
      </c>
      <c r="C12" s="504"/>
      <c r="D12" s="565"/>
      <c r="E12" s="655">
        <f>'Retail DCF'!F$98</f>
        <v>0</v>
      </c>
      <c r="F12" s="643">
        <f ca="1">'Retail DCF'!G$98</f>
        <v>0</v>
      </c>
      <c r="G12" s="560">
        <f ca="1">'Retail DCF'!H$98</f>
        <v>0</v>
      </c>
      <c r="H12" s="561">
        <f ca="1">'Retail DCF'!I$98</f>
        <v>10418005.021571405</v>
      </c>
      <c r="I12" s="643">
        <f ca="1">'Retail DCF'!J$98</f>
        <v>21222964.515372604</v>
      </c>
      <c r="J12" s="560">
        <f ca="1">'Retail DCF'!K$98</f>
        <v>33309104.465986803</v>
      </c>
      <c r="K12" s="560">
        <f ca="1">'Retail DCF'!L$98</f>
        <v>46217489.644501388</v>
      </c>
      <c r="L12" s="561">
        <f ca="1">'Retail DCF'!M$98</f>
        <v>59747923.742363721</v>
      </c>
      <c r="M12" s="643">
        <f ca="1">'Retail DCF'!N$98</f>
        <v>73927047.505025491</v>
      </c>
      <c r="N12" s="560">
        <f ca="1">'Retail DCF'!O$98</f>
        <v>89387658.704283237</v>
      </c>
      <c r="O12" s="561">
        <f ca="1">'Retail DCF'!P$98</f>
        <v>105569122.07583511</v>
      </c>
    </row>
    <row r="13" spans="1:15" x14ac:dyDescent="0.25">
      <c r="A13" s="33"/>
      <c r="B13" s="416" t="s">
        <v>263</v>
      </c>
      <c r="C13" s="504"/>
      <c r="D13" s="565"/>
      <c r="E13" s="655">
        <f>'Hotel DCF'!F$59</f>
        <v>0</v>
      </c>
      <c r="F13" s="643">
        <f ca="1">'Hotel DCF'!G$59</f>
        <v>0</v>
      </c>
      <c r="G13" s="560">
        <f ca="1">'Hotel DCF'!H$59</f>
        <v>0</v>
      </c>
      <c r="H13" s="561">
        <f ca="1">'Hotel DCF'!I$59</f>
        <v>0</v>
      </c>
      <c r="I13" s="643">
        <f ca="1">'Hotel DCF'!J$59</f>
        <v>0</v>
      </c>
      <c r="J13" s="560">
        <f ca="1">'Hotel DCF'!K$59</f>
        <v>0</v>
      </c>
      <c r="K13" s="560">
        <f ca="1">'Hotel DCF'!L$59</f>
        <v>85279.950559882025</v>
      </c>
      <c r="L13" s="561">
        <f ca="1">'Hotel DCF'!M$59</f>
        <v>111148.2022297129</v>
      </c>
      <c r="M13" s="643">
        <f ca="1">'Hotel DCF'!N$59</f>
        <v>128838.10664085118</v>
      </c>
      <c r="N13" s="560">
        <f ca="1">'Hotel DCF'!O$59</f>
        <v>131851.27470733327</v>
      </c>
      <c r="O13" s="561">
        <f ca="1">'Hotel DCF'!P$59</f>
        <v>134499.59823146334</v>
      </c>
    </row>
    <row r="14" spans="1:15" x14ac:dyDescent="0.25">
      <c r="A14" s="33"/>
      <c r="B14" s="562" t="s">
        <v>264</v>
      </c>
      <c r="C14" s="588"/>
      <c r="D14" s="589"/>
      <c r="E14" s="656">
        <f>'Parking DCF'!F$84</f>
        <v>0</v>
      </c>
      <c r="F14" s="644">
        <f ca="1">'Parking DCF'!G$84</f>
        <v>6986.2977318787853</v>
      </c>
      <c r="G14" s="563">
        <f ca="1">'Parking DCF'!H$84</f>
        <v>41629.222570453334</v>
      </c>
      <c r="H14" s="564">
        <f ca="1">'Parking DCF'!I$84</f>
        <v>107892.13731697794</v>
      </c>
      <c r="I14" s="644">
        <f ca="1">'Parking DCF'!J$84</f>
        <v>130571.92558861441</v>
      </c>
      <c r="J14" s="563">
        <f ca="1">'Parking DCF'!K$84</f>
        <v>235825.21394952794</v>
      </c>
      <c r="K14" s="563">
        <f ca="1">'Parking DCF'!L$84</f>
        <v>294749.52249486308</v>
      </c>
      <c r="L14" s="564">
        <f ca="1">'Parking DCF'!M$84</f>
        <v>323387.82112757489</v>
      </c>
      <c r="M14" s="644">
        <f ca="1">'Parking DCF'!N$84</f>
        <v>378887.25079332059</v>
      </c>
      <c r="N14" s="563">
        <f ca="1">'Parking DCF'!O$84</f>
        <v>538658.97699054121</v>
      </c>
      <c r="O14" s="564">
        <f ca="1">'Parking DCF'!P$84</f>
        <v>569370.37970541802</v>
      </c>
    </row>
    <row r="15" spans="1:15" x14ac:dyDescent="0.25">
      <c r="A15" s="33"/>
      <c r="B15" s="343" t="s">
        <v>257</v>
      </c>
      <c r="C15" s="113"/>
      <c r="D15" s="603"/>
      <c r="E15" s="655">
        <f t="shared" ref="E15:O15" si="1">SUM(E10:E14)</f>
        <v>0</v>
      </c>
      <c r="F15" s="643">
        <f t="shared" ca="1" si="1"/>
        <v>6986.2977318787853</v>
      </c>
      <c r="G15" s="560">
        <f t="shared" ca="1" si="1"/>
        <v>1912520.3455824426</v>
      </c>
      <c r="H15" s="561">
        <f t="shared" ca="1" si="1"/>
        <v>15054471.862761918</v>
      </c>
      <c r="I15" s="643">
        <f t="shared" ca="1" si="1"/>
        <v>27721325.417379823</v>
      </c>
      <c r="J15" s="560">
        <f t="shared" ca="1" si="1"/>
        <v>44483674.206646405</v>
      </c>
      <c r="K15" s="560">
        <f t="shared" ca="1" si="1"/>
        <v>61189227.127140149</v>
      </c>
      <c r="L15" s="561">
        <f t="shared" ca="1" si="1"/>
        <v>77343020.653615832</v>
      </c>
      <c r="M15" s="643">
        <f t="shared" ca="1" si="1"/>
        <v>92648870.10507305</v>
      </c>
      <c r="N15" s="560">
        <f t="shared" ca="1" si="1"/>
        <v>110074180.89654955</v>
      </c>
      <c r="O15" s="561">
        <f t="shared" ca="1" si="1"/>
        <v>126993135.89393283</v>
      </c>
    </row>
    <row r="16" spans="1:15" x14ac:dyDescent="0.25">
      <c r="A16" s="33"/>
      <c r="B16" s="416"/>
      <c r="C16" s="504"/>
      <c r="D16" s="565"/>
      <c r="E16" s="657"/>
      <c r="F16" s="416"/>
      <c r="G16" s="504"/>
      <c r="H16" s="565"/>
      <c r="I16" s="416"/>
      <c r="J16" s="504"/>
      <c r="K16" s="504"/>
      <c r="L16" s="565"/>
      <c r="M16" s="416"/>
      <c r="N16" s="504"/>
      <c r="O16" s="565"/>
    </row>
    <row r="17" spans="1:15" x14ac:dyDescent="0.25">
      <c r="A17" s="33"/>
      <c r="B17" s="343" t="s">
        <v>268</v>
      </c>
      <c r="C17" s="113"/>
      <c r="D17" s="603"/>
      <c r="E17" s="657"/>
      <c r="F17" s="416"/>
      <c r="G17" s="504"/>
      <c r="H17" s="565"/>
      <c r="I17" s="416"/>
      <c r="J17" s="504"/>
      <c r="K17" s="504"/>
      <c r="L17" s="565"/>
      <c r="M17" s="416"/>
      <c r="N17" s="504"/>
      <c r="O17" s="565"/>
    </row>
    <row r="18" spans="1:15" x14ac:dyDescent="0.25">
      <c r="A18" s="33"/>
      <c r="B18" s="416" t="s">
        <v>259</v>
      </c>
      <c r="C18" s="708">
        <f>'Multifamily DCF'!G19</f>
        <v>0.02</v>
      </c>
      <c r="D18" s="800"/>
      <c r="E18" s="655">
        <f>'Multifamily DCF'!F124</f>
        <v>0</v>
      </c>
      <c r="F18" s="643">
        <f>'Multifamily DCF'!G124</f>
        <v>0</v>
      </c>
      <c r="G18" s="560">
        <f>'Multifamily DCF'!H124</f>
        <v>0</v>
      </c>
      <c r="H18" s="561">
        <f>'Multifamily DCF'!I124</f>
        <v>0</v>
      </c>
      <c r="I18" s="643">
        <f>'Multifamily DCF'!J124</f>
        <v>0</v>
      </c>
      <c r="J18" s="560">
        <f>'Multifamily DCF'!K124</f>
        <v>0</v>
      </c>
      <c r="K18" s="560">
        <f>'Multifamily DCF'!L124</f>
        <v>0</v>
      </c>
      <c r="L18" s="561">
        <f>'Multifamily DCF'!M124</f>
        <v>0</v>
      </c>
      <c r="M18" s="643">
        <f>'Multifamily DCF'!N124</f>
        <v>0</v>
      </c>
      <c r="N18" s="560">
        <f>'Multifamily DCF'!O124</f>
        <v>0</v>
      </c>
      <c r="O18" s="561">
        <f ca="1">'Multifamily DCF'!P124</f>
        <v>234401186.34080201</v>
      </c>
    </row>
    <row r="19" spans="1:15" x14ac:dyDescent="0.25">
      <c r="A19" s="33"/>
      <c r="B19" s="416" t="s">
        <v>260</v>
      </c>
      <c r="C19" s="19"/>
      <c r="D19" s="801"/>
      <c r="E19" s="655">
        <f>'Condominium DCF'!F113</f>
        <v>0</v>
      </c>
      <c r="F19" s="643">
        <f ca="1">'Condominium DCF'!G113</f>
        <v>0</v>
      </c>
      <c r="G19" s="560">
        <f ca="1">'Condominium DCF'!H113</f>
        <v>29841293.970302403</v>
      </c>
      <c r="H19" s="561">
        <f ca="1">'Condominium DCF'!I113</f>
        <v>0</v>
      </c>
      <c r="I19" s="643">
        <f ca="1">'Condominium DCF'!J113</f>
        <v>0</v>
      </c>
      <c r="J19" s="560">
        <f ca="1">'Condominium DCF'!K113</f>
        <v>48778847.971834503</v>
      </c>
      <c r="K19" s="560">
        <f ca="1">'Condominium DCF'!L113</f>
        <v>0</v>
      </c>
      <c r="L19" s="561">
        <f ca="1">'Condominium DCF'!M113</f>
        <v>0</v>
      </c>
      <c r="M19" s="643">
        <f ca="1">'Condominium DCF'!N113</f>
        <v>0</v>
      </c>
      <c r="N19" s="560">
        <f ca="1">'Condominium DCF'!O113</f>
        <v>75248632.817785352</v>
      </c>
      <c r="O19" s="561">
        <f ca="1">'Condominium DCF'!P113</f>
        <v>0</v>
      </c>
    </row>
    <row r="20" spans="1:15" x14ac:dyDescent="0.25">
      <c r="A20" s="33"/>
      <c r="B20" s="416" t="s">
        <v>261</v>
      </c>
      <c r="C20" s="708">
        <f>'Office DCF'!G24</f>
        <v>0.02</v>
      </c>
      <c r="D20" s="800"/>
      <c r="E20" s="655">
        <f>'Office DCF'!F66</f>
        <v>0</v>
      </c>
      <c r="F20" s="643">
        <f>'Office DCF'!G$68+'Office DCF'!G$69</f>
        <v>0</v>
      </c>
      <c r="G20" s="560">
        <f>'Office DCF'!H$68+'Office DCF'!H$69</f>
        <v>0</v>
      </c>
      <c r="H20" s="561">
        <f>'Office DCF'!I$68+'Office DCF'!I$69</f>
        <v>0</v>
      </c>
      <c r="I20" s="643">
        <f>'Office DCF'!J$68+'Office DCF'!J$69</f>
        <v>0</v>
      </c>
      <c r="J20" s="560">
        <f>'Office DCF'!K$68+'Office DCF'!K$69</f>
        <v>0</v>
      </c>
      <c r="K20" s="560">
        <f>'Office DCF'!L$68+'Office DCF'!L$69</f>
        <v>0</v>
      </c>
      <c r="L20" s="561">
        <f>'Office DCF'!M$68+'Office DCF'!M$69</f>
        <v>0</v>
      </c>
      <c r="M20" s="643">
        <f>'Office DCF'!N$68+'Office DCF'!N$69</f>
        <v>0</v>
      </c>
      <c r="N20" s="560">
        <f>'Office DCF'!O$68+'Office DCF'!O$69</f>
        <v>0</v>
      </c>
      <c r="O20" s="561">
        <f ca="1">'Office DCF'!P$68+'Office DCF'!P$69</f>
        <v>96051806.471613839</v>
      </c>
    </row>
    <row r="21" spans="1:15" x14ac:dyDescent="0.25">
      <c r="A21" s="33"/>
      <c r="B21" s="416" t="s">
        <v>262</v>
      </c>
      <c r="C21" s="708">
        <f>'Retail DCF'!G21</f>
        <v>0.02</v>
      </c>
      <c r="D21" s="800"/>
      <c r="E21" s="655">
        <f>'Retail DCF'!F$100+'Retail DCF'!F$101</f>
        <v>0</v>
      </c>
      <c r="F21" s="643">
        <f>'Retail DCF'!G$100+'Retail DCF'!G$101</f>
        <v>0</v>
      </c>
      <c r="G21" s="560">
        <f>'Retail DCF'!H$100+'Retail DCF'!H$101</f>
        <v>0</v>
      </c>
      <c r="H21" s="561">
        <f>'Retail DCF'!I$100+'Retail DCF'!I$101</f>
        <v>0</v>
      </c>
      <c r="I21" s="643">
        <f>'Retail DCF'!J$100+'Retail DCF'!J$101</f>
        <v>0</v>
      </c>
      <c r="J21" s="560">
        <f>'Retail DCF'!K$100+'Retail DCF'!K$101</f>
        <v>0</v>
      </c>
      <c r="K21" s="560">
        <f>'Retail DCF'!L$100+'Retail DCF'!L$101</f>
        <v>0</v>
      </c>
      <c r="L21" s="561">
        <f>'Retail DCF'!M$100+'Retail DCF'!M$101</f>
        <v>0</v>
      </c>
      <c r="M21" s="643">
        <f>'Retail DCF'!N$100+'Retail DCF'!N$101</f>
        <v>0</v>
      </c>
      <c r="N21" s="560">
        <f>'Retail DCF'!O$100+'Retail DCF'!O$101</f>
        <v>0</v>
      </c>
      <c r="O21" s="561">
        <f ca="1">'Retail DCF'!P$100+'Retail DCF'!P$101</f>
        <v>1347690854.3107319</v>
      </c>
    </row>
    <row r="22" spans="1:15" x14ac:dyDescent="0.25">
      <c r="A22" s="33"/>
      <c r="B22" s="416" t="s">
        <v>263</v>
      </c>
      <c r="C22" s="708">
        <f>'Hotel DCF'!J15</f>
        <v>0.02</v>
      </c>
      <c r="D22" s="800"/>
      <c r="E22" s="655">
        <f>'Hotel DCF'!F$61+'Hotel DCF'!F$62</f>
        <v>0</v>
      </c>
      <c r="F22" s="643">
        <f>'Hotel DCF'!G$61+'Hotel DCF'!G$62</f>
        <v>0</v>
      </c>
      <c r="G22" s="560">
        <f>'Hotel DCF'!H$61+'Hotel DCF'!H$62</f>
        <v>0</v>
      </c>
      <c r="H22" s="561">
        <f>'Hotel DCF'!I$61+'Hotel DCF'!I$62</f>
        <v>0</v>
      </c>
      <c r="I22" s="643">
        <f>'Hotel DCF'!J$61+'Hotel DCF'!J$62</f>
        <v>0</v>
      </c>
      <c r="J22" s="560">
        <f>'Hotel DCF'!K$61+'Hotel DCF'!K$62</f>
        <v>0</v>
      </c>
      <c r="K22" s="560">
        <f>'Hotel DCF'!L$61+'Hotel DCF'!L$62</f>
        <v>0</v>
      </c>
      <c r="L22" s="561">
        <f>'Hotel DCF'!M$61+'Hotel DCF'!M$62</f>
        <v>0</v>
      </c>
      <c r="M22" s="643">
        <f>'Hotel DCF'!N$61+'Hotel DCF'!N$62</f>
        <v>0</v>
      </c>
      <c r="N22" s="560">
        <f>'Hotel DCF'!O$61+'Hotel DCF'!O$62</f>
        <v>0</v>
      </c>
      <c r="O22" s="561">
        <f ca="1">'Hotel DCF'!P$61+'Hotel DCF'!P$62</f>
        <v>1722856.6561758216</v>
      </c>
    </row>
    <row r="23" spans="1:15" x14ac:dyDescent="0.25">
      <c r="A23" s="33"/>
      <c r="B23" s="505" t="s">
        <v>615</v>
      </c>
      <c r="C23" s="706">
        <f>'University DCF'!G13</f>
        <v>0.02</v>
      </c>
      <c r="D23" s="802"/>
      <c r="E23" s="655">
        <f>'University DCF'!F39</f>
        <v>0</v>
      </c>
      <c r="F23" s="643">
        <f>'University DCF'!G39</f>
        <v>0</v>
      </c>
      <c r="G23" s="560">
        <f>'University DCF'!H39</f>
        <v>0</v>
      </c>
      <c r="H23" s="561">
        <f ca="1">'University DCF'!I39</f>
        <v>12437687.005088041</v>
      </c>
      <c r="I23" s="643">
        <f>'University DCF'!J39</f>
        <v>0</v>
      </c>
      <c r="J23" s="560">
        <f>'University DCF'!K39</f>
        <v>0</v>
      </c>
      <c r="K23" s="560">
        <f>'University DCF'!L39</f>
        <v>0</v>
      </c>
      <c r="L23" s="561">
        <f>'University DCF'!M39</f>
        <v>0</v>
      </c>
      <c r="M23" s="643">
        <f>'University DCF'!N39</f>
        <v>0</v>
      </c>
      <c r="N23" s="560">
        <f>'University DCF'!O39</f>
        <v>0</v>
      </c>
      <c r="O23" s="561">
        <f>'University DCF'!P39</f>
        <v>0</v>
      </c>
    </row>
    <row r="24" spans="1:15" x14ac:dyDescent="0.25">
      <c r="A24" s="33"/>
      <c r="B24" s="505" t="s">
        <v>616</v>
      </c>
      <c r="C24" s="708">
        <f>'Arts DCF'!G18</f>
        <v>0.02</v>
      </c>
      <c r="D24" s="800"/>
      <c r="E24" s="655">
        <f>'Arts DCF'!F62</f>
        <v>0</v>
      </c>
      <c r="F24" s="643">
        <f>'Arts DCF'!G62</f>
        <v>0</v>
      </c>
      <c r="G24" s="560">
        <f>'Arts DCF'!H62</f>
        <v>0</v>
      </c>
      <c r="H24" s="561">
        <f>'Arts DCF'!I62</f>
        <v>0</v>
      </c>
      <c r="I24" s="643">
        <f>'Arts DCF'!J62</f>
        <v>0</v>
      </c>
      <c r="J24" s="560">
        <f>'Arts DCF'!K62</f>
        <v>0</v>
      </c>
      <c r="K24" s="560">
        <f>'Arts DCF'!L62</f>
        <v>0</v>
      </c>
      <c r="L24" s="561">
        <f>'Arts DCF'!M62</f>
        <v>0</v>
      </c>
      <c r="M24" s="643">
        <f>'Arts DCF'!N62</f>
        <v>0</v>
      </c>
      <c r="N24" s="560">
        <f ca="1">'Arts DCF'!O62</f>
        <v>15374440.584635423</v>
      </c>
      <c r="O24" s="561">
        <f ca="1">'Arts DCF'!P62</f>
        <v>30429340.241159268</v>
      </c>
    </row>
    <row r="25" spans="1:15" x14ac:dyDescent="0.25">
      <c r="A25" s="33"/>
      <c r="B25" s="562" t="s">
        <v>264</v>
      </c>
      <c r="C25" s="709">
        <f>'Parking DCF'!G22</f>
        <v>0</v>
      </c>
      <c r="D25" s="803"/>
      <c r="E25" s="656">
        <f>'Parking DCF'!F88</f>
        <v>0</v>
      </c>
      <c r="F25" s="644">
        <f>'Parking DCF'!G88</f>
        <v>0</v>
      </c>
      <c r="G25" s="563">
        <f>'Parking DCF'!H88</f>
        <v>0</v>
      </c>
      <c r="H25" s="564">
        <f>'Parking DCF'!I88</f>
        <v>0</v>
      </c>
      <c r="I25" s="644">
        <f>'Parking DCF'!J88</f>
        <v>0</v>
      </c>
      <c r="J25" s="563">
        <f>'Parking DCF'!K88</f>
        <v>0</v>
      </c>
      <c r="K25" s="563">
        <f>'Parking DCF'!L88</f>
        <v>0</v>
      </c>
      <c r="L25" s="564">
        <f>'Parking DCF'!M88</f>
        <v>0</v>
      </c>
      <c r="M25" s="644">
        <f>'Parking DCF'!N88</f>
        <v>0</v>
      </c>
      <c r="N25" s="563">
        <f>'Parking DCF'!O88</f>
        <v>0</v>
      </c>
      <c r="O25" s="564">
        <f ca="1">'Parking DCF'!P88</f>
        <v>6598572.4681341304</v>
      </c>
    </row>
    <row r="26" spans="1:15" x14ac:dyDescent="0.25">
      <c r="A26" s="33"/>
      <c r="B26" s="343" t="s">
        <v>265</v>
      </c>
      <c r="C26" s="113"/>
      <c r="D26" s="603"/>
      <c r="E26" s="655">
        <f t="shared" ref="E26:O26" si="2">SUM(E18:E25)</f>
        <v>0</v>
      </c>
      <c r="F26" s="643">
        <f t="shared" ca="1" si="2"/>
        <v>0</v>
      </c>
      <c r="G26" s="560">
        <f t="shared" ca="1" si="2"/>
        <v>29841293.970302403</v>
      </c>
      <c r="H26" s="561">
        <f t="shared" ca="1" si="2"/>
        <v>12437687.005088041</v>
      </c>
      <c r="I26" s="643">
        <f t="shared" ca="1" si="2"/>
        <v>0</v>
      </c>
      <c r="J26" s="560">
        <f t="shared" ca="1" si="2"/>
        <v>48778847.971834503</v>
      </c>
      <c r="K26" s="560">
        <f t="shared" ca="1" si="2"/>
        <v>0</v>
      </c>
      <c r="L26" s="561">
        <f t="shared" ca="1" si="2"/>
        <v>0</v>
      </c>
      <c r="M26" s="643">
        <f t="shared" ca="1" si="2"/>
        <v>0</v>
      </c>
      <c r="N26" s="560">
        <f t="shared" ca="1" si="2"/>
        <v>90623073.402420774</v>
      </c>
      <c r="O26" s="561">
        <f t="shared" ca="1" si="2"/>
        <v>1716894616.4886169</v>
      </c>
    </row>
    <row r="27" spans="1:15" x14ac:dyDescent="0.25">
      <c r="A27" s="33"/>
      <c r="B27" s="416"/>
      <c r="C27" s="504"/>
      <c r="D27" s="565"/>
      <c r="E27" s="655"/>
      <c r="F27" s="643"/>
      <c r="G27" s="560"/>
      <c r="H27" s="561"/>
      <c r="I27" s="643"/>
      <c r="J27" s="560"/>
      <c r="K27" s="560"/>
      <c r="L27" s="561"/>
      <c r="M27" s="643"/>
      <c r="N27" s="560"/>
      <c r="O27" s="561"/>
    </row>
    <row r="28" spans="1:15" x14ac:dyDescent="0.25">
      <c r="A28" s="33"/>
      <c r="B28" s="566"/>
      <c r="C28" s="567"/>
      <c r="D28" s="568"/>
      <c r="E28" s="658"/>
      <c r="F28" s="566"/>
      <c r="G28" s="567"/>
      <c r="H28" s="568"/>
      <c r="I28" s="566"/>
      <c r="J28" s="567"/>
      <c r="K28" s="567"/>
      <c r="L28" s="568"/>
      <c r="M28" s="566"/>
      <c r="N28" s="567"/>
      <c r="O28" s="568"/>
    </row>
    <row r="29" spans="1:15" x14ac:dyDescent="0.25">
      <c r="A29" s="33"/>
      <c r="B29" s="323" t="s">
        <v>457</v>
      </c>
      <c r="C29" s="13"/>
      <c r="D29" s="804"/>
      <c r="E29" s="659"/>
      <c r="F29" s="385"/>
      <c r="G29" s="11"/>
      <c r="H29" s="569"/>
      <c r="I29" s="385"/>
      <c r="J29" s="11"/>
      <c r="K29" s="11"/>
      <c r="L29" s="569"/>
      <c r="M29" s="385"/>
      <c r="N29" s="11"/>
      <c r="O29" s="569"/>
    </row>
    <row r="30" spans="1:15" x14ac:dyDescent="0.25">
      <c r="A30" s="33"/>
      <c r="B30" s="385" t="s">
        <v>458</v>
      </c>
      <c r="C30" s="11"/>
      <c r="D30" s="569"/>
      <c r="E30" s="660">
        <f>-Costs!G24</f>
        <v>-95755932</v>
      </c>
      <c r="F30" s="385"/>
      <c r="G30" s="11"/>
      <c r="H30" s="569"/>
      <c r="I30" s="385"/>
      <c r="J30" s="11"/>
      <c r="K30" s="11"/>
      <c r="L30" s="569"/>
      <c r="M30" s="385"/>
      <c r="N30" s="11"/>
      <c r="O30" s="569"/>
    </row>
    <row r="31" spans="1:15" x14ac:dyDescent="0.25">
      <c r="A31" s="33"/>
      <c r="B31" s="385" t="s">
        <v>459</v>
      </c>
      <c r="C31" s="11"/>
      <c r="D31" s="569"/>
      <c r="E31" s="660">
        <f>-Costs!G25</f>
        <v>-3830237.2800000003</v>
      </c>
      <c r="F31" s="385"/>
      <c r="G31" s="11"/>
      <c r="H31" s="569"/>
      <c r="I31" s="385"/>
      <c r="J31" s="11"/>
      <c r="K31" s="11"/>
      <c r="L31" s="569"/>
      <c r="M31" s="385"/>
      <c r="N31" s="11"/>
      <c r="O31" s="569"/>
    </row>
    <row r="32" spans="1:15" x14ac:dyDescent="0.25">
      <c r="A32" s="33"/>
      <c r="B32" s="570" t="s">
        <v>464</v>
      </c>
      <c r="C32" s="10"/>
      <c r="D32" s="571"/>
      <c r="E32" s="661">
        <f>-Costs!G27</f>
        <v>0</v>
      </c>
      <c r="F32" s="570"/>
      <c r="G32" s="10"/>
      <c r="H32" s="571"/>
      <c r="I32" s="570"/>
      <c r="J32" s="10"/>
      <c r="K32" s="10"/>
      <c r="L32" s="571"/>
      <c r="M32" s="570"/>
      <c r="N32" s="10"/>
      <c r="O32" s="571"/>
    </row>
    <row r="33" spans="1:15" x14ac:dyDescent="0.25">
      <c r="A33" s="33"/>
      <c r="B33" s="323" t="s">
        <v>465</v>
      </c>
      <c r="C33" s="13"/>
      <c r="D33" s="804"/>
      <c r="E33" s="660">
        <f>SUM(E30:E32)</f>
        <v>-99586169.280000001</v>
      </c>
      <c r="F33" s="385"/>
      <c r="G33" s="11"/>
      <c r="H33" s="569"/>
      <c r="I33" s="385"/>
      <c r="J33" s="11"/>
      <c r="K33" s="11"/>
      <c r="L33" s="569"/>
      <c r="M33" s="385"/>
      <c r="N33" s="11"/>
      <c r="O33" s="569"/>
    </row>
    <row r="34" spans="1:15" x14ac:dyDescent="0.25">
      <c r="A34" s="33"/>
      <c r="B34" s="385"/>
      <c r="C34" s="11"/>
      <c r="D34" s="569"/>
      <c r="E34" s="659"/>
      <c r="F34" s="385"/>
      <c r="G34" s="11"/>
      <c r="H34" s="569"/>
      <c r="I34" s="385"/>
      <c r="J34" s="11"/>
      <c r="K34" s="11"/>
      <c r="L34" s="569"/>
      <c r="M34" s="385"/>
      <c r="N34" s="11"/>
      <c r="O34" s="569"/>
    </row>
    <row r="35" spans="1:15" x14ac:dyDescent="0.25">
      <c r="A35" s="33"/>
      <c r="B35" s="566"/>
      <c r="C35" s="567"/>
      <c r="D35" s="568"/>
      <c r="E35" s="658"/>
      <c r="F35" s="566"/>
      <c r="G35" s="567"/>
      <c r="H35" s="568"/>
      <c r="I35" s="566"/>
      <c r="J35" s="567"/>
      <c r="K35" s="567"/>
      <c r="L35" s="568"/>
      <c r="M35" s="566"/>
      <c r="N35" s="567"/>
      <c r="O35" s="568"/>
    </row>
    <row r="36" spans="1:15" x14ac:dyDescent="0.25">
      <c r="A36" s="33"/>
      <c r="B36" s="323" t="s">
        <v>103</v>
      </c>
      <c r="C36" s="13"/>
      <c r="D36" s="804"/>
      <c r="E36" s="657"/>
      <c r="F36" s="416"/>
      <c r="G36" s="504"/>
      <c r="H36" s="565"/>
      <c r="I36" s="416"/>
      <c r="J36" s="504"/>
      <c r="K36" s="504"/>
      <c r="L36" s="565"/>
      <c r="M36" s="416"/>
      <c r="N36" s="504"/>
      <c r="O36" s="565"/>
    </row>
    <row r="37" spans="1:15" x14ac:dyDescent="0.25">
      <c r="A37" s="33"/>
      <c r="B37" s="416" t="s">
        <v>460</v>
      </c>
      <c r="C37" s="504"/>
      <c r="D37" s="565"/>
      <c r="E37" s="655">
        <f>-Costs!G66</f>
        <v>-5120656.2</v>
      </c>
      <c r="F37" s="416"/>
      <c r="G37" s="504"/>
      <c r="H37" s="565"/>
      <c r="I37" s="416"/>
      <c r="J37" s="504"/>
      <c r="K37" s="504"/>
      <c r="L37" s="565"/>
      <c r="M37" s="416"/>
      <c r="N37" s="504"/>
      <c r="O37" s="565"/>
    </row>
    <row r="38" spans="1:15" x14ac:dyDescent="0.25">
      <c r="A38" s="33"/>
      <c r="B38" s="416" t="s">
        <v>259</v>
      </c>
      <c r="C38" s="504"/>
      <c r="D38" s="565"/>
      <c r="E38" s="655">
        <f>-'Multifamily DCF'!F129</f>
        <v>0</v>
      </c>
      <c r="F38" s="643">
        <f ca="1">-'Multifamily DCF'!G129</f>
        <v>-15198124.92</v>
      </c>
      <c r="G38" s="560">
        <f ca="1">-'Multifamily DCF'!H129</f>
        <v>-28087132.920000002</v>
      </c>
      <c r="H38" s="561">
        <f ca="1">-'Multifamily DCF'!I129</f>
        <v>-12889008</v>
      </c>
      <c r="I38" s="643">
        <f ca="1">-'Multifamily DCF'!J129</f>
        <v>-8350980</v>
      </c>
      <c r="J38" s="560">
        <f ca="1">-'Multifamily DCF'!K129</f>
        <v>-18670740</v>
      </c>
      <c r="K38" s="560">
        <f ca="1">-'Multifamily DCF'!L129</f>
        <v>-10319760</v>
      </c>
      <c r="L38" s="561">
        <f ca="1">-'Multifamily DCF'!M129</f>
        <v>0</v>
      </c>
      <c r="M38" s="643">
        <f ca="1">-'Multifamily DCF'!N129</f>
        <v>0</v>
      </c>
      <c r="N38" s="560">
        <f ca="1">-'Multifamily DCF'!O129</f>
        <v>0</v>
      </c>
      <c r="O38" s="561">
        <f ca="1">-'Multifamily DCF'!P129</f>
        <v>0</v>
      </c>
    </row>
    <row r="39" spans="1:15" x14ac:dyDescent="0.25">
      <c r="A39" s="33"/>
      <c r="B39" s="416" t="s">
        <v>260</v>
      </c>
      <c r="C39" s="504"/>
      <c r="D39" s="565"/>
      <c r="E39" s="655">
        <f>-'Condominium DCF'!F118</f>
        <v>0</v>
      </c>
      <c r="F39" s="643">
        <f ca="1">-'Condominium DCF'!G118</f>
        <v>-9807270</v>
      </c>
      <c r="G39" s="560">
        <f ca="1">-'Condominium DCF'!H118</f>
        <v>-9807270</v>
      </c>
      <c r="H39" s="561">
        <f ca="1">-'Condominium DCF'!I118</f>
        <v>0</v>
      </c>
      <c r="I39" s="643">
        <f ca="1">-'Condominium DCF'!J118</f>
        <v>-5159880.0000000009</v>
      </c>
      <c r="J39" s="560">
        <f ca="1">-'Condominium DCF'!K118</f>
        <v>-5159880.0000000009</v>
      </c>
      <c r="K39" s="560">
        <f ca="1">-'Condominium DCF'!L118</f>
        <v>0</v>
      </c>
      <c r="L39" s="561">
        <f ca="1">-'Condominium DCF'!M118</f>
        <v>0</v>
      </c>
      <c r="M39" s="643">
        <f ca="1">-'Condominium DCF'!N118</f>
        <v>-21529200</v>
      </c>
      <c r="N39" s="560">
        <f ca="1">-'Condominium DCF'!O118</f>
        <v>-21529200</v>
      </c>
      <c r="O39" s="561">
        <f ca="1">-'Condominium DCF'!P118</f>
        <v>0</v>
      </c>
    </row>
    <row r="40" spans="1:15" x14ac:dyDescent="0.25">
      <c r="A40" s="33"/>
      <c r="B40" s="416" t="s">
        <v>261</v>
      </c>
      <c r="C40" s="504"/>
      <c r="D40" s="565"/>
      <c r="E40" s="655">
        <f>-'Office DCF'!F74</f>
        <v>0</v>
      </c>
      <c r="F40" s="643">
        <f ca="1">-'Office DCF'!G74</f>
        <v>0</v>
      </c>
      <c r="G40" s="560">
        <f ca="1">-'Office DCF'!H74</f>
        <v>0</v>
      </c>
      <c r="H40" s="561">
        <f ca="1">-'Office DCF'!I74</f>
        <v>0</v>
      </c>
      <c r="I40" s="643">
        <f ca="1">-'Office DCF'!J74</f>
        <v>-34676433</v>
      </c>
      <c r="J40" s="560">
        <f ca="1">-'Office DCF'!K74</f>
        <v>-34676433</v>
      </c>
      <c r="K40" s="560">
        <f ca="1">-'Office DCF'!L74</f>
        <v>0</v>
      </c>
      <c r="L40" s="561">
        <f ca="1">-'Office DCF'!M74</f>
        <v>0</v>
      </c>
      <c r="M40" s="643">
        <f ca="1">-'Office DCF'!N74</f>
        <v>-19914642</v>
      </c>
      <c r="N40" s="560">
        <f ca="1">-'Office DCF'!O74</f>
        <v>-19914642</v>
      </c>
      <c r="O40" s="561">
        <f ca="1">-'Office DCF'!P74</f>
        <v>0</v>
      </c>
    </row>
    <row r="41" spans="1:15" x14ac:dyDescent="0.25">
      <c r="A41" s="33"/>
      <c r="B41" s="416" t="s">
        <v>262</v>
      </c>
      <c r="C41" s="504"/>
      <c r="D41" s="565"/>
      <c r="E41" s="655">
        <f>-'Retail DCF'!F106</f>
        <v>0</v>
      </c>
      <c r="F41" s="643">
        <f ca="1">-'Retail DCF'!G106</f>
        <v>-19040109</v>
      </c>
      <c r="G41" s="560">
        <f ca="1">-'Retail DCF'!H106</f>
        <v>-37483564.800000004</v>
      </c>
      <c r="H41" s="561">
        <f ca="1">-'Retail DCF'!I106</f>
        <v>-18999981</v>
      </c>
      <c r="I41" s="643">
        <f ca="1">-'Retail DCF'!J106</f>
        <v>-6248180.4000000004</v>
      </c>
      <c r="J41" s="560">
        <f ca="1">-'Retail DCF'!K106</f>
        <v>-1960754.4000000001</v>
      </c>
      <c r="K41" s="560">
        <f ca="1">-'Retail DCF'!L106</f>
        <v>0</v>
      </c>
      <c r="L41" s="561">
        <f ca="1">-'Retail DCF'!M106</f>
        <v>0</v>
      </c>
      <c r="M41" s="643">
        <f ca="1">-'Retail DCF'!N106</f>
        <v>-2337456</v>
      </c>
      <c r="N41" s="560">
        <f ca="1">-'Retail DCF'!O106</f>
        <v>-2337456</v>
      </c>
      <c r="O41" s="561">
        <f ca="1">-'Retail DCF'!P106</f>
        <v>0</v>
      </c>
    </row>
    <row r="42" spans="1:15" x14ac:dyDescent="0.25">
      <c r="A42" s="33"/>
      <c r="B42" s="416" t="s">
        <v>263</v>
      </c>
      <c r="C42" s="504"/>
      <c r="D42" s="565"/>
      <c r="E42" s="655">
        <f>-'Hotel DCF'!F67</f>
        <v>0</v>
      </c>
      <c r="F42" s="643">
        <f ca="1">-'Hotel DCF'!G67</f>
        <v>0</v>
      </c>
      <c r="G42" s="560">
        <f ca="1">-'Hotel DCF'!H67</f>
        <v>0</v>
      </c>
      <c r="H42" s="561">
        <f ca="1">-'Hotel DCF'!I67</f>
        <v>0</v>
      </c>
      <c r="I42" s="643">
        <f ca="1">-'Hotel DCF'!J67</f>
        <v>0</v>
      </c>
      <c r="J42" s="560">
        <f>-'Hotel DCF'!K67</f>
        <v>-9622800</v>
      </c>
      <c r="K42" s="560">
        <f>-'Hotel DCF'!L67</f>
        <v>-9622800</v>
      </c>
      <c r="L42" s="561">
        <f ca="1">-'Hotel DCF'!M67</f>
        <v>0</v>
      </c>
      <c r="M42" s="643">
        <f ca="1">-'Hotel DCF'!N67</f>
        <v>0</v>
      </c>
      <c r="N42" s="560">
        <f ca="1">-'Hotel DCF'!O67</f>
        <v>0</v>
      </c>
      <c r="O42" s="561">
        <f ca="1">-'Hotel DCF'!P67</f>
        <v>0</v>
      </c>
    </row>
    <row r="43" spans="1:15" x14ac:dyDescent="0.25">
      <c r="A43" s="33"/>
      <c r="B43" s="505" t="s">
        <v>615</v>
      </c>
      <c r="C43" s="504"/>
      <c r="D43" s="565"/>
      <c r="E43" s="655">
        <f>-'University DCF'!F44</f>
        <v>0</v>
      </c>
      <c r="F43" s="643">
        <f ca="1">-'University DCF'!G44</f>
        <v>0</v>
      </c>
      <c r="G43" s="560">
        <f>-'University DCF'!H44</f>
        <v>-7674575.040000001</v>
      </c>
      <c r="H43" s="561">
        <f>-'University DCF'!I44</f>
        <v>-11628144</v>
      </c>
      <c r="I43" s="643">
        <f ca="1">-'University DCF'!J44</f>
        <v>0</v>
      </c>
      <c r="J43" s="560">
        <f ca="1">-'University DCF'!K44</f>
        <v>0</v>
      </c>
      <c r="K43" s="560">
        <f ca="1">-'University DCF'!L44</f>
        <v>0</v>
      </c>
      <c r="L43" s="561">
        <f ca="1">-'University DCF'!M44</f>
        <v>0</v>
      </c>
      <c r="M43" s="643">
        <f ca="1">-'University DCF'!N44</f>
        <v>0</v>
      </c>
      <c r="N43" s="560">
        <f ca="1">-'University DCF'!O44</f>
        <v>0</v>
      </c>
      <c r="O43" s="561">
        <f ca="1">-'University DCF'!P44</f>
        <v>0</v>
      </c>
    </row>
    <row r="44" spans="1:15" x14ac:dyDescent="0.25">
      <c r="A44" s="33"/>
      <c r="B44" s="505" t="s">
        <v>616</v>
      </c>
      <c r="C44" s="504"/>
      <c r="D44" s="565"/>
      <c r="E44" s="655">
        <f>-'Arts DCF'!F67</f>
        <v>0</v>
      </c>
      <c r="F44" s="643">
        <f ca="1">-'Arts DCF'!G67</f>
        <v>0</v>
      </c>
      <c r="G44" s="560">
        <f ca="1">-'Arts DCF'!H67</f>
        <v>-16137792</v>
      </c>
      <c r="H44" s="561">
        <f ca="1">-'Arts DCF'!I67</f>
        <v>-16137792</v>
      </c>
      <c r="I44" s="643">
        <f ca="1">-'Arts DCF'!J67</f>
        <v>-19014600</v>
      </c>
      <c r="J44" s="560">
        <f ca="1">-'Arts DCF'!K67</f>
        <v>-19014600</v>
      </c>
      <c r="K44" s="560">
        <f ca="1">-'Arts DCF'!L67</f>
        <v>0</v>
      </c>
      <c r="L44" s="561">
        <f ca="1">-'Arts DCF'!M67</f>
        <v>0</v>
      </c>
      <c r="M44" s="643">
        <f ca="1">-'Arts DCF'!N67</f>
        <v>-40324207.439999998</v>
      </c>
      <c r="N44" s="560">
        <f ca="1">-'Arts DCF'!O67</f>
        <v>-40324207.439999998</v>
      </c>
      <c r="O44" s="561">
        <f ca="1">-'Arts DCF'!P67</f>
        <v>0</v>
      </c>
    </row>
    <row r="45" spans="1:15" x14ac:dyDescent="0.25">
      <c r="A45" s="33"/>
      <c r="B45" s="416" t="s">
        <v>266</v>
      </c>
      <c r="C45" s="504"/>
      <c r="D45" s="565"/>
      <c r="E45" s="655">
        <f>-'Infrastructure DCF'!F95</f>
        <v>0</v>
      </c>
      <c r="F45" s="643">
        <f ca="1">-'Infrastructure DCF'!G95</f>
        <v>-7671928.0000000009</v>
      </c>
      <c r="G45" s="560">
        <f ca="1">-'Infrastructure DCF'!H95</f>
        <v>-9603451</v>
      </c>
      <c r="H45" s="561">
        <f ca="1">-'Infrastructure DCF'!I95</f>
        <v>-9603451</v>
      </c>
      <c r="I45" s="643">
        <f ca="1">-'Infrastructure DCF'!J95</f>
        <v>-2818447.5</v>
      </c>
      <c r="J45" s="560">
        <f ca="1">-'Infrastructure DCF'!K95</f>
        <v>-9889929.5</v>
      </c>
      <c r="K45" s="560">
        <f ca="1">-'Infrastructure DCF'!L95</f>
        <v>-9889929.5</v>
      </c>
      <c r="L45" s="561">
        <f ca="1">-'Infrastructure DCF'!M95</f>
        <v>-9889929.5</v>
      </c>
      <c r="M45" s="643">
        <f ca="1">-'Infrastructure DCF'!N95</f>
        <v>-2851464</v>
      </c>
      <c r="N45" s="560">
        <f ca="1">-'Infrastructure DCF'!O95</f>
        <v>-2851464</v>
      </c>
      <c r="O45" s="561">
        <f ca="1">-'Infrastructure DCF'!P95</f>
        <v>-2851464</v>
      </c>
    </row>
    <row r="46" spans="1:15" x14ac:dyDescent="0.25">
      <c r="A46" s="33"/>
      <c r="B46" s="416" t="s">
        <v>264</v>
      </c>
      <c r="C46" s="504"/>
      <c r="D46" s="565"/>
      <c r="E46" s="655">
        <f>-'Parking DCF'!F95</f>
        <v>0</v>
      </c>
      <c r="F46" s="643">
        <f ca="1">-'Parking DCF'!G95</f>
        <v>-1299936</v>
      </c>
      <c r="G46" s="560">
        <f ca="1">-'Parking DCF'!H95</f>
        <v>-5581052.4000000004</v>
      </c>
      <c r="H46" s="561">
        <f ca="1">-'Parking DCF'!I95</f>
        <v>-1999998</v>
      </c>
      <c r="I46" s="643">
        <f ca="1">-'Parking DCF'!J95</f>
        <v>-3753867.4800000004</v>
      </c>
      <c r="J46" s="560">
        <f ca="1">-'Parking DCF'!K95</f>
        <v>-3290072.2800000003</v>
      </c>
      <c r="K46" s="560">
        <f ca="1">-'Parking DCF'!L95</f>
        <v>0</v>
      </c>
      <c r="L46" s="561">
        <f ca="1">-'Parking DCF'!M95</f>
        <v>0</v>
      </c>
      <c r="M46" s="643">
        <f ca="1">-'Parking DCF'!N95</f>
        <v>-5508676.7999999998</v>
      </c>
      <c r="N46" s="560">
        <f ca="1">-'Parking DCF'!O95</f>
        <v>-5508676.7999999998</v>
      </c>
      <c r="O46" s="561">
        <f ca="1">-'Parking DCF'!P95</f>
        <v>0</v>
      </c>
    </row>
    <row r="47" spans="1:15" x14ac:dyDescent="0.25">
      <c r="A47" s="33"/>
      <c r="B47" s="416" t="s">
        <v>575</v>
      </c>
      <c r="C47" s="706">
        <f>Costs!C82</f>
        <v>0.1</v>
      </c>
      <c r="D47" s="802"/>
      <c r="E47" s="655">
        <f>SUM(E37:E46)*$C$47</f>
        <v>-512065.62000000005</v>
      </c>
      <c r="F47" s="643">
        <f t="shared" ref="F47:O47" ca="1" si="3">SUM(F37:F46)*$C$47</f>
        <v>-5301736.7920000004</v>
      </c>
      <c r="G47" s="560">
        <f t="shared" ca="1" si="3"/>
        <v>-11437483.816000002</v>
      </c>
      <c r="H47" s="561">
        <f t="shared" ca="1" si="3"/>
        <v>-7125837.4000000004</v>
      </c>
      <c r="I47" s="643">
        <f t="shared" ca="1" si="3"/>
        <v>-8002238.8380000014</v>
      </c>
      <c r="J47" s="560">
        <f t="shared" ca="1" si="3"/>
        <v>-10228520.918000001</v>
      </c>
      <c r="K47" s="560">
        <f t="shared" ca="1" si="3"/>
        <v>-2983248.95</v>
      </c>
      <c r="L47" s="561">
        <f t="shared" ca="1" si="3"/>
        <v>-988992.95000000007</v>
      </c>
      <c r="M47" s="643">
        <f t="shared" ca="1" si="3"/>
        <v>-9246564.6239999998</v>
      </c>
      <c r="N47" s="560">
        <f t="shared" ca="1" si="3"/>
        <v>-9246564.6239999998</v>
      </c>
      <c r="O47" s="561">
        <f t="shared" ca="1" si="3"/>
        <v>-285146.40000000002</v>
      </c>
    </row>
    <row r="48" spans="1:15" x14ac:dyDescent="0.25">
      <c r="A48" s="33"/>
      <c r="B48" s="562" t="s">
        <v>576</v>
      </c>
      <c r="C48" s="707">
        <f>Costs!C86</f>
        <v>0.03</v>
      </c>
      <c r="D48" s="805"/>
      <c r="E48" s="656">
        <f>SUM(E37:E46)*$C$48</f>
        <v>-153619.68599999999</v>
      </c>
      <c r="F48" s="644">
        <f t="shared" ref="F48:O48" ca="1" si="4">SUM(F37:F46)*$C$48</f>
        <v>-1590521.0375999999</v>
      </c>
      <c r="G48" s="563">
        <f t="shared" ca="1" si="4"/>
        <v>-3431245.1448000004</v>
      </c>
      <c r="H48" s="564">
        <f t="shared" ca="1" si="4"/>
        <v>-2137751.2199999997</v>
      </c>
      <c r="I48" s="644">
        <f t="shared" ca="1" si="4"/>
        <v>-2400671.6514000003</v>
      </c>
      <c r="J48" s="563">
        <f t="shared" ca="1" si="4"/>
        <v>-3068556.2754000002</v>
      </c>
      <c r="K48" s="563">
        <f t="shared" ca="1" si="4"/>
        <v>-894974.68499999994</v>
      </c>
      <c r="L48" s="564">
        <f t="shared" ca="1" si="4"/>
        <v>-296697.88500000001</v>
      </c>
      <c r="M48" s="644">
        <f t="shared" ca="1" si="4"/>
        <v>-2773969.3871999998</v>
      </c>
      <c r="N48" s="563">
        <f t="shared" ca="1" si="4"/>
        <v>-2773969.3871999998</v>
      </c>
      <c r="O48" s="564">
        <f t="shared" ca="1" si="4"/>
        <v>-85543.92</v>
      </c>
    </row>
    <row r="49" spans="1:20" x14ac:dyDescent="0.25">
      <c r="A49" s="33"/>
      <c r="B49" s="343" t="s">
        <v>104</v>
      </c>
      <c r="C49" s="113"/>
      <c r="D49" s="603"/>
      <c r="E49" s="655">
        <f>SUM(E37:E46)</f>
        <v>-5120656.2</v>
      </c>
      <c r="F49" s="643">
        <f t="shared" ref="F49:O49" ca="1" si="5">SUM(F37:F46)</f>
        <v>-53017367.920000002</v>
      </c>
      <c r="G49" s="560">
        <f t="shared" ca="1" si="5"/>
        <v>-114374838.16000001</v>
      </c>
      <c r="H49" s="561">
        <f t="shared" ca="1" si="5"/>
        <v>-71258374</v>
      </c>
      <c r="I49" s="643">
        <f t="shared" ca="1" si="5"/>
        <v>-80022388.38000001</v>
      </c>
      <c r="J49" s="560">
        <f t="shared" ca="1" si="5"/>
        <v>-102285209.18000001</v>
      </c>
      <c r="K49" s="560">
        <f t="shared" ca="1" si="5"/>
        <v>-29832489.5</v>
      </c>
      <c r="L49" s="561">
        <f t="shared" ca="1" si="5"/>
        <v>-9889929.5</v>
      </c>
      <c r="M49" s="643">
        <f t="shared" ca="1" si="5"/>
        <v>-92465646.239999995</v>
      </c>
      <c r="N49" s="560">
        <f t="shared" ca="1" si="5"/>
        <v>-92465646.239999995</v>
      </c>
      <c r="O49" s="561">
        <f t="shared" ca="1" si="5"/>
        <v>-2851464</v>
      </c>
    </row>
    <row r="50" spans="1:20" x14ac:dyDescent="0.25">
      <c r="A50" s="33"/>
      <c r="B50" s="416"/>
      <c r="C50" s="504"/>
      <c r="D50" s="565"/>
      <c r="E50" s="657"/>
      <c r="F50" s="416"/>
      <c r="G50" s="504"/>
      <c r="H50" s="565"/>
      <c r="I50" s="416"/>
      <c r="J50" s="504"/>
      <c r="K50" s="504"/>
      <c r="L50" s="565"/>
      <c r="M50" s="416"/>
      <c r="N50" s="504"/>
      <c r="O50" s="565"/>
    </row>
    <row r="51" spans="1:20" x14ac:dyDescent="0.25">
      <c r="A51" s="33"/>
      <c r="B51" s="566"/>
      <c r="C51" s="567"/>
      <c r="D51" s="568"/>
      <c r="E51" s="658"/>
      <c r="F51" s="566"/>
      <c r="G51" s="567"/>
      <c r="H51" s="568"/>
      <c r="I51" s="566"/>
      <c r="J51" s="567"/>
      <c r="K51" s="567"/>
      <c r="L51" s="568"/>
      <c r="M51" s="566"/>
      <c r="N51" s="567"/>
      <c r="O51" s="568"/>
    </row>
    <row r="52" spans="1:20" x14ac:dyDescent="0.25">
      <c r="A52" s="33"/>
      <c r="B52" s="323" t="s">
        <v>267</v>
      </c>
      <c r="C52" s="13"/>
      <c r="D52" s="804"/>
      <c r="E52" s="657"/>
      <c r="F52" s="416"/>
      <c r="G52" s="504"/>
      <c r="H52" s="565"/>
      <c r="I52" s="416"/>
      <c r="J52" s="504"/>
      <c r="K52" s="504"/>
      <c r="L52" s="565"/>
      <c r="M52" s="416"/>
      <c r="N52" s="504"/>
      <c r="O52" s="565"/>
    </row>
    <row r="53" spans="1:20" x14ac:dyDescent="0.25">
      <c r="A53" s="33"/>
      <c r="B53" s="416" t="s">
        <v>270</v>
      </c>
      <c r="C53" s="504"/>
      <c r="D53" s="565"/>
      <c r="E53" s="655">
        <f t="shared" ref="E53:O53" si="6">E15</f>
        <v>0</v>
      </c>
      <c r="F53" s="643">
        <f t="shared" ca="1" si="6"/>
        <v>6986.2977318787853</v>
      </c>
      <c r="G53" s="560">
        <f t="shared" ca="1" si="6"/>
        <v>1912520.3455824426</v>
      </c>
      <c r="H53" s="561">
        <f t="shared" ca="1" si="6"/>
        <v>15054471.862761918</v>
      </c>
      <c r="I53" s="643">
        <f t="shared" ca="1" si="6"/>
        <v>27721325.417379823</v>
      </c>
      <c r="J53" s="560">
        <f t="shared" ca="1" si="6"/>
        <v>44483674.206646405</v>
      </c>
      <c r="K53" s="560">
        <f t="shared" ca="1" si="6"/>
        <v>61189227.127140149</v>
      </c>
      <c r="L53" s="561">
        <f t="shared" ca="1" si="6"/>
        <v>77343020.653615832</v>
      </c>
      <c r="M53" s="643">
        <f t="shared" ca="1" si="6"/>
        <v>92648870.10507305</v>
      </c>
      <c r="N53" s="560">
        <f t="shared" ca="1" si="6"/>
        <v>110074180.89654955</v>
      </c>
      <c r="O53" s="561">
        <f t="shared" ca="1" si="6"/>
        <v>126993135.89393283</v>
      </c>
    </row>
    <row r="54" spans="1:20" x14ac:dyDescent="0.25">
      <c r="A54" s="33"/>
      <c r="B54" s="416" t="s">
        <v>269</v>
      </c>
      <c r="C54" s="504"/>
      <c r="D54" s="565"/>
      <c r="E54" s="655">
        <f t="shared" ref="E54:O54" si="7">E26</f>
        <v>0</v>
      </c>
      <c r="F54" s="643">
        <f t="shared" ca="1" si="7"/>
        <v>0</v>
      </c>
      <c r="G54" s="560">
        <f t="shared" ca="1" si="7"/>
        <v>29841293.970302403</v>
      </c>
      <c r="H54" s="561">
        <f t="shared" ca="1" si="7"/>
        <v>12437687.005088041</v>
      </c>
      <c r="I54" s="643">
        <f t="shared" ca="1" si="7"/>
        <v>0</v>
      </c>
      <c r="J54" s="560">
        <f t="shared" ca="1" si="7"/>
        <v>48778847.971834503</v>
      </c>
      <c r="K54" s="560">
        <f t="shared" ca="1" si="7"/>
        <v>0</v>
      </c>
      <c r="L54" s="561">
        <f t="shared" ca="1" si="7"/>
        <v>0</v>
      </c>
      <c r="M54" s="643">
        <f t="shared" ca="1" si="7"/>
        <v>0</v>
      </c>
      <c r="N54" s="560">
        <f t="shared" ca="1" si="7"/>
        <v>90623073.402420774</v>
      </c>
      <c r="O54" s="561">
        <f t="shared" ca="1" si="7"/>
        <v>1716894616.4886169</v>
      </c>
    </row>
    <row r="55" spans="1:20" x14ac:dyDescent="0.25">
      <c r="A55" s="33"/>
      <c r="B55" s="416" t="s">
        <v>466</v>
      </c>
      <c r="C55" s="504"/>
      <c r="D55" s="565"/>
      <c r="E55" s="655">
        <f>E33</f>
        <v>-99586169.280000001</v>
      </c>
      <c r="F55" s="643">
        <f t="shared" ref="F55:O55" si="8">F33</f>
        <v>0</v>
      </c>
      <c r="G55" s="560">
        <f t="shared" si="8"/>
        <v>0</v>
      </c>
      <c r="H55" s="561">
        <f t="shared" si="8"/>
        <v>0</v>
      </c>
      <c r="I55" s="643">
        <f t="shared" si="8"/>
        <v>0</v>
      </c>
      <c r="J55" s="560">
        <f t="shared" si="8"/>
        <v>0</v>
      </c>
      <c r="K55" s="560">
        <f t="shared" si="8"/>
        <v>0</v>
      </c>
      <c r="L55" s="561">
        <f t="shared" si="8"/>
        <v>0</v>
      </c>
      <c r="M55" s="643">
        <f t="shared" si="8"/>
        <v>0</v>
      </c>
      <c r="N55" s="560">
        <f t="shared" si="8"/>
        <v>0</v>
      </c>
      <c r="O55" s="561">
        <f t="shared" si="8"/>
        <v>0</v>
      </c>
    </row>
    <row r="56" spans="1:20" x14ac:dyDescent="0.25">
      <c r="B56" s="416" t="s">
        <v>271</v>
      </c>
      <c r="C56" s="504"/>
      <c r="D56" s="565"/>
      <c r="E56" s="655">
        <f t="shared" ref="E56:O56" si="9">E49</f>
        <v>-5120656.2</v>
      </c>
      <c r="F56" s="643">
        <f t="shared" ca="1" si="9"/>
        <v>-53017367.920000002</v>
      </c>
      <c r="G56" s="560">
        <f t="shared" ca="1" si="9"/>
        <v>-114374838.16000001</v>
      </c>
      <c r="H56" s="561">
        <f t="shared" ca="1" si="9"/>
        <v>-71258374</v>
      </c>
      <c r="I56" s="643">
        <f t="shared" ca="1" si="9"/>
        <v>-80022388.38000001</v>
      </c>
      <c r="J56" s="560">
        <f t="shared" ca="1" si="9"/>
        <v>-102285209.18000001</v>
      </c>
      <c r="K56" s="560">
        <f t="shared" ca="1" si="9"/>
        <v>-29832489.5</v>
      </c>
      <c r="L56" s="561">
        <f t="shared" ca="1" si="9"/>
        <v>-9889929.5</v>
      </c>
      <c r="M56" s="643">
        <f t="shared" ca="1" si="9"/>
        <v>-92465646.239999995</v>
      </c>
      <c r="N56" s="560">
        <f t="shared" ca="1" si="9"/>
        <v>-92465646.239999995</v>
      </c>
      <c r="O56" s="561">
        <f t="shared" ca="1" si="9"/>
        <v>-2851464</v>
      </c>
    </row>
    <row r="57" spans="1:20" x14ac:dyDescent="0.25">
      <c r="B57" s="650" t="s">
        <v>536</v>
      </c>
      <c r="C57" s="504"/>
      <c r="D57" s="565"/>
      <c r="E57" s="655"/>
      <c r="F57" s="643"/>
      <c r="G57" s="560">
        <f>Costs!M71</f>
        <v>15646847.832</v>
      </c>
      <c r="H57" s="561"/>
      <c r="I57" s="643"/>
      <c r="J57" s="560"/>
      <c r="K57" s="560"/>
      <c r="L57" s="561"/>
      <c r="M57" s="643"/>
      <c r="N57" s="560"/>
      <c r="O57" s="561"/>
    </row>
    <row r="58" spans="1:20" x14ac:dyDescent="0.25">
      <c r="B58" s="650" t="s">
        <v>534</v>
      </c>
      <c r="C58" s="504"/>
      <c r="D58" s="565"/>
      <c r="E58" s="655"/>
      <c r="F58" s="643"/>
      <c r="G58" s="560"/>
      <c r="H58" s="561"/>
      <c r="I58" s="104"/>
      <c r="J58" s="560"/>
      <c r="K58" s="560"/>
      <c r="L58" s="561"/>
      <c r="M58" s="643">
        <f>'S&amp;U'!D10</f>
        <v>25000000</v>
      </c>
      <c r="N58" s="560"/>
      <c r="O58" s="561"/>
    </row>
    <row r="59" spans="1:20" x14ac:dyDescent="0.25">
      <c r="B59" s="650" t="s">
        <v>535</v>
      </c>
      <c r="C59" s="504"/>
      <c r="D59" s="565"/>
      <c r="E59" s="657"/>
      <c r="F59" s="643">
        <f ca="1">'S&amp;U'!D11/10</f>
        <v>46856.734772537849</v>
      </c>
      <c r="G59" s="560">
        <f ca="1">F59</f>
        <v>46856.734772537849</v>
      </c>
      <c r="H59" s="561">
        <f t="shared" ref="H59:O59" ca="1" si="10">G59</f>
        <v>46856.734772537849</v>
      </c>
      <c r="I59" s="643">
        <f t="shared" ca="1" si="10"/>
        <v>46856.734772537849</v>
      </c>
      <c r="J59" s="560">
        <f t="shared" ca="1" si="10"/>
        <v>46856.734772537849</v>
      </c>
      <c r="K59" s="560">
        <f t="shared" ca="1" si="10"/>
        <v>46856.734772537849</v>
      </c>
      <c r="L59" s="561">
        <f t="shared" ca="1" si="10"/>
        <v>46856.734772537849</v>
      </c>
      <c r="M59" s="643">
        <f t="shared" ca="1" si="10"/>
        <v>46856.734772537849</v>
      </c>
      <c r="N59" s="560">
        <f t="shared" ca="1" si="10"/>
        <v>46856.734772537849</v>
      </c>
      <c r="O59" s="561">
        <f t="shared" ca="1" si="10"/>
        <v>46856.734772537849</v>
      </c>
    </row>
    <row r="60" spans="1:20" x14ac:dyDescent="0.25">
      <c r="B60" s="650"/>
      <c r="C60" s="504"/>
      <c r="D60" s="565"/>
      <c r="E60" s="657"/>
      <c r="F60" s="416"/>
      <c r="G60" s="504"/>
      <c r="H60" s="565"/>
      <c r="I60" s="416"/>
      <c r="J60" s="504"/>
      <c r="K60" s="504"/>
      <c r="L60" s="565"/>
      <c r="M60" s="416"/>
      <c r="N60" s="504"/>
      <c r="O60" s="565"/>
    </row>
    <row r="61" spans="1:20" x14ac:dyDescent="0.25">
      <c r="B61" s="670" t="s">
        <v>272</v>
      </c>
      <c r="C61" s="671"/>
      <c r="D61" s="806"/>
      <c r="E61" s="672">
        <f>SUM(E53:E59)</f>
        <v>-104706825.48</v>
      </c>
      <c r="F61" s="673">
        <f t="shared" ref="F61:O61" ca="1" si="11">SUM(F53:F59)</f>
        <v>-52963524.887495585</v>
      </c>
      <c r="G61" s="674">
        <f t="shared" ca="1" si="11"/>
        <v>-66927319.277342625</v>
      </c>
      <c r="H61" s="675">
        <f t="shared" ca="1" si="11"/>
        <v>-43719358.397377498</v>
      </c>
      <c r="I61" s="673">
        <f t="shared" ca="1" si="11"/>
        <v>-52254206.227847643</v>
      </c>
      <c r="J61" s="674">
        <f t="shared" ca="1" si="11"/>
        <v>-8975830.2667465601</v>
      </c>
      <c r="K61" s="674">
        <f t="shared" ca="1" si="11"/>
        <v>31403594.361912686</v>
      </c>
      <c r="L61" s="675">
        <f t="shared" ca="1" si="11"/>
        <v>67499947.888388366</v>
      </c>
      <c r="M61" s="673">
        <f t="shared" ca="1" si="11"/>
        <v>25230080.599845592</v>
      </c>
      <c r="N61" s="674">
        <f t="shared" ca="1" si="11"/>
        <v>108278464.79374288</v>
      </c>
      <c r="O61" s="675">
        <f t="shared" ca="1" si="11"/>
        <v>1841083145.1173222</v>
      </c>
    </row>
    <row r="62" spans="1:20" x14ac:dyDescent="0.25">
      <c r="B62" s="343"/>
      <c r="C62" s="113"/>
      <c r="D62" s="603"/>
      <c r="E62" s="655"/>
      <c r="F62" s="643"/>
      <c r="G62" s="560"/>
      <c r="H62" s="561"/>
      <c r="I62" s="643"/>
      <c r="J62" s="560"/>
      <c r="K62" s="560"/>
      <c r="L62" s="561"/>
      <c r="M62" s="643"/>
      <c r="N62" s="560"/>
      <c r="O62" s="561"/>
    </row>
    <row r="63" spans="1:20" x14ac:dyDescent="0.25">
      <c r="B63" s="323" t="s">
        <v>209</v>
      </c>
      <c r="C63" s="220"/>
      <c r="D63" s="306"/>
      <c r="E63" s="663"/>
      <c r="F63" s="665"/>
      <c r="G63" s="220"/>
      <c r="H63" s="306"/>
      <c r="I63" s="665"/>
      <c r="J63" s="220"/>
      <c r="K63" s="220"/>
      <c r="L63" s="306"/>
      <c r="M63" s="104"/>
      <c r="N63" s="34"/>
      <c r="O63" s="372"/>
    </row>
    <row r="64" spans="1:20" x14ac:dyDescent="0.25">
      <c r="B64" s="621" t="s">
        <v>557</v>
      </c>
      <c r="C64" s="220"/>
      <c r="D64" s="306"/>
      <c r="E64" s="434">
        <f ca="1">R73</f>
        <v>115341472.58788347</v>
      </c>
      <c r="F64" s="214">
        <f ca="1">E66</f>
        <v>10634647.107883468</v>
      </c>
      <c r="G64" s="240"/>
      <c r="H64" s="138"/>
      <c r="I64" s="214"/>
      <c r="J64" s="239"/>
      <c r="K64" s="34"/>
      <c r="L64" s="138"/>
      <c r="M64" s="104"/>
      <c r="N64" s="646"/>
      <c r="O64" s="204"/>
      <c r="Q64" s="682" t="s">
        <v>571</v>
      </c>
      <c r="R64" s="683"/>
      <c r="S64" s="635"/>
      <c r="T64" s="635"/>
    </row>
    <row r="65" spans="2:20" x14ac:dyDescent="0.25">
      <c r="B65" s="621" t="s">
        <v>558</v>
      </c>
      <c r="C65" s="220"/>
      <c r="D65" s="306"/>
      <c r="E65" s="434">
        <f ca="1">-MIN(E64,-E61)</f>
        <v>-104706825.48</v>
      </c>
      <c r="F65" s="214">
        <f ca="1">-MIN(F64,-F61)</f>
        <v>-10634647.107883468</v>
      </c>
      <c r="G65" s="240"/>
      <c r="H65" s="138"/>
      <c r="I65" s="214"/>
      <c r="J65" s="239"/>
      <c r="K65" s="239"/>
      <c r="L65" s="138"/>
      <c r="M65" s="214"/>
      <c r="N65" s="646"/>
      <c r="O65" s="204"/>
      <c r="Q65" s="684" t="s">
        <v>54</v>
      </c>
      <c r="R65" s="685">
        <f ca="1">-SUM(E61:J61)</f>
        <v>329547064.53680992</v>
      </c>
      <c r="S65" s="635"/>
      <c r="T65" s="639"/>
    </row>
    <row r="66" spans="2:20" x14ac:dyDescent="0.25">
      <c r="B66" s="621" t="s">
        <v>559</v>
      </c>
      <c r="C66" s="220"/>
      <c r="D66" s="306"/>
      <c r="E66" s="434">
        <f ca="1">SUM(E64:E65)</f>
        <v>10634647.107883468</v>
      </c>
      <c r="F66" s="214">
        <f ca="1">SUM(F64:F65)</f>
        <v>0</v>
      </c>
      <c r="G66" s="240"/>
      <c r="H66" s="138"/>
      <c r="I66" s="214"/>
      <c r="J66" s="239"/>
      <c r="K66" s="239"/>
      <c r="L66" s="138"/>
      <c r="M66" s="214"/>
      <c r="N66" s="646"/>
      <c r="O66" s="204"/>
      <c r="Q66" s="684" t="s">
        <v>480</v>
      </c>
      <c r="R66" s="686">
        <v>0.65</v>
      </c>
      <c r="S66" s="635"/>
      <c r="T66" s="636"/>
    </row>
    <row r="67" spans="2:20" x14ac:dyDescent="0.25">
      <c r="B67" s="621"/>
      <c r="C67" s="220"/>
      <c r="D67" s="306"/>
      <c r="E67" s="434"/>
      <c r="F67" s="214"/>
      <c r="G67" s="240"/>
      <c r="H67" s="138"/>
      <c r="I67" s="214"/>
      <c r="J67" s="239"/>
      <c r="K67" s="239"/>
      <c r="L67" s="138"/>
      <c r="M67" s="214"/>
      <c r="N67" s="646"/>
      <c r="O67" s="204"/>
      <c r="Q67" s="687" t="s">
        <v>549</v>
      </c>
      <c r="R67" s="685">
        <f ca="1">R65*R66</f>
        <v>214205591.94892645</v>
      </c>
      <c r="S67" s="635"/>
      <c r="T67" s="636"/>
    </row>
    <row r="68" spans="2:20" x14ac:dyDescent="0.25">
      <c r="B68" s="323" t="s">
        <v>415</v>
      </c>
      <c r="C68" s="220"/>
      <c r="D68" s="306"/>
      <c r="E68" s="454"/>
      <c r="F68" s="215"/>
      <c r="G68" s="240"/>
      <c r="H68" s="291"/>
      <c r="I68" s="215"/>
      <c r="J68" s="240"/>
      <c r="K68" s="240"/>
      <c r="L68" s="291"/>
      <c r="M68" s="215"/>
      <c r="N68" s="34"/>
      <c r="O68" s="372"/>
      <c r="Q68" s="688" t="s">
        <v>550</v>
      </c>
      <c r="R68" s="689"/>
      <c r="S68" s="635"/>
      <c r="T68" s="636"/>
    </row>
    <row r="69" spans="2:20" x14ac:dyDescent="0.25">
      <c r="B69" s="621" t="s">
        <v>545</v>
      </c>
      <c r="C69" s="220"/>
      <c r="D69" s="306"/>
      <c r="E69" s="434"/>
      <c r="F69" s="214">
        <f ca="1">R67</f>
        <v>214205591.94892645</v>
      </c>
      <c r="G69" s="649">
        <f ca="1">F71</f>
        <v>171876714.16931432</v>
      </c>
      <c r="H69" s="651">
        <f ca="1">G71</f>
        <v>104949394.89197171</v>
      </c>
      <c r="I69" s="668">
        <f ca="1">H71</f>
        <v>61230036.494594209</v>
      </c>
      <c r="J69" s="649">
        <f ca="1">I71</f>
        <v>8975830.2667465657</v>
      </c>
      <c r="K69" s="240"/>
      <c r="L69" s="291"/>
      <c r="M69" s="215"/>
      <c r="N69" s="34"/>
      <c r="O69" s="372"/>
      <c r="Q69" s="684" t="s">
        <v>551</v>
      </c>
      <c r="R69" s="686">
        <v>0.06</v>
      </c>
      <c r="S69" s="635"/>
      <c r="T69" s="636"/>
    </row>
    <row r="70" spans="2:20" x14ac:dyDescent="0.25">
      <c r="B70" s="621" t="s">
        <v>544</v>
      </c>
      <c r="C70" s="220"/>
      <c r="D70" s="306"/>
      <c r="E70" s="454"/>
      <c r="F70" s="214">
        <f ca="1">-F61-F64</f>
        <v>42328877.779612117</v>
      </c>
      <c r="G70" s="239">
        <f ca="1">-G61-G64</f>
        <v>66927319.277342625</v>
      </c>
      <c r="H70" s="138">
        <f ca="1">-H61-H64</f>
        <v>43719358.397377498</v>
      </c>
      <c r="I70" s="214">
        <f ca="1">-I61-I64</f>
        <v>52254206.227847643</v>
      </c>
      <c r="J70" s="239">
        <f ca="1">-J61-J64</f>
        <v>8975830.2667465601</v>
      </c>
      <c r="K70" s="240"/>
      <c r="L70" s="291"/>
      <c r="M70" s="215"/>
      <c r="N70" s="34"/>
      <c r="O70" s="372"/>
      <c r="Q70" s="684" t="s">
        <v>552</v>
      </c>
      <c r="R70" s="686">
        <v>0.02</v>
      </c>
      <c r="S70" s="635"/>
      <c r="T70" s="639"/>
    </row>
    <row r="71" spans="2:20" x14ac:dyDescent="0.25">
      <c r="B71" s="621" t="s">
        <v>562</v>
      </c>
      <c r="C71" s="220"/>
      <c r="D71" s="306"/>
      <c r="E71" s="454"/>
      <c r="F71" s="214">
        <f ca="1">F69-F70</f>
        <v>171876714.16931432</v>
      </c>
      <c r="G71" s="239">
        <f ca="1">G69-G70</f>
        <v>104949394.89197171</v>
      </c>
      <c r="H71" s="138">
        <f ca="1">H69-H70</f>
        <v>61230036.494594209</v>
      </c>
      <c r="I71" s="214">
        <f ca="1">I69-I70</f>
        <v>8975830.2667465657</v>
      </c>
      <c r="J71" s="239">
        <f ca="1">J69-J70</f>
        <v>0</v>
      </c>
      <c r="K71" s="240"/>
      <c r="L71" s="291"/>
      <c r="M71" s="215"/>
      <c r="N71" s="34"/>
      <c r="O71" s="372"/>
      <c r="Q71" s="684" t="s">
        <v>553</v>
      </c>
      <c r="R71" s="685">
        <f ca="1">R70*R67</f>
        <v>4284111.838978529</v>
      </c>
      <c r="S71" s="635"/>
      <c r="T71" s="637"/>
    </row>
    <row r="72" spans="2:20" x14ac:dyDescent="0.25">
      <c r="B72" s="621" t="s">
        <v>563</v>
      </c>
      <c r="C72" s="220"/>
      <c r="D72" s="306"/>
      <c r="E72" s="454"/>
      <c r="F72" s="214">
        <f ca="1">-R71</f>
        <v>-4284111.838978529</v>
      </c>
      <c r="G72" s="240"/>
      <c r="H72" s="291"/>
      <c r="I72" s="215"/>
      <c r="J72" s="240"/>
      <c r="K72" s="240"/>
      <c r="L72" s="291"/>
      <c r="M72" s="215"/>
      <c r="N72" s="34"/>
      <c r="O72" s="372"/>
      <c r="Q72" s="690"/>
      <c r="R72" s="691"/>
      <c r="S72" s="635"/>
      <c r="T72" s="639"/>
    </row>
    <row r="73" spans="2:20" x14ac:dyDescent="0.25">
      <c r="B73" s="647" t="s">
        <v>569</v>
      </c>
      <c r="C73" s="56"/>
      <c r="D73" s="308"/>
      <c r="E73" s="435"/>
      <c r="F73" s="448">
        <f ca="1">-SUM($E$70:F70)*$R$69</f>
        <v>-2539732.666776727</v>
      </c>
      <c r="G73" s="143">
        <f ca="1">-SUM($E$70:G70)*$R$69</f>
        <v>-6555371.8234172845</v>
      </c>
      <c r="H73" s="299">
        <f ca="1">-SUM($E$70:H70)*$R$69</f>
        <v>-9178533.3272599336</v>
      </c>
      <c r="I73" s="448">
        <f ca="1">-SUM($E$70:I70)*$R$69</f>
        <v>-12313785.700930791</v>
      </c>
      <c r="J73" s="143">
        <f ca="1">-SUM($E$70:J70)*$R$69</f>
        <v>-12852335.516935585</v>
      </c>
      <c r="K73" s="648"/>
      <c r="L73" s="667"/>
      <c r="M73" s="666"/>
      <c r="N73" s="3"/>
      <c r="O73" s="374"/>
      <c r="Q73" s="687" t="s">
        <v>548</v>
      </c>
      <c r="R73" s="685">
        <f ca="1">R65-R67</f>
        <v>115341472.58788347</v>
      </c>
      <c r="S73" s="635"/>
      <c r="T73" s="637"/>
    </row>
    <row r="74" spans="2:20" x14ac:dyDescent="0.25">
      <c r="B74" s="698" t="s">
        <v>546</v>
      </c>
      <c r="C74" s="220"/>
      <c r="D74" s="306"/>
      <c r="E74" s="454"/>
      <c r="F74" s="215"/>
      <c r="G74" s="240"/>
      <c r="H74" s="291"/>
      <c r="I74" s="215"/>
      <c r="J74" s="239">
        <f ca="1">-SUM(E70:J70)</f>
        <v>-214205591.94892642</v>
      </c>
      <c r="K74" s="240"/>
      <c r="L74" s="291"/>
      <c r="M74" s="215"/>
      <c r="N74" s="34"/>
      <c r="O74" s="372"/>
      <c r="Q74" s="690"/>
      <c r="R74" s="691"/>
      <c r="S74" s="635"/>
      <c r="T74" s="637"/>
    </row>
    <row r="75" spans="2:20" x14ac:dyDescent="0.25">
      <c r="B75" s="104"/>
      <c r="C75" s="34"/>
      <c r="D75" s="372"/>
      <c r="E75" s="436"/>
      <c r="F75" s="104"/>
      <c r="G75" s="34"/>
      <c r="H75" s="372"/>
      <c r="I75" s="104"/>
      <c r="J75" s="34"/>
      <c r="K75" s="34"/>
      <c r="L75" s="291"/>
      <c r="M75" s="215"/>
      <c r="N75" s="34"/>
      <c r="O75" s="372"/>
      <c r="Q75" s="692" t="s">
        <v>560</v>
      </c>
      <c r="R75" s="689"/>
      <c r="S75" s="635"/>
      <c r="T75" s="638"/>
    </row>
    <row r="76" spans="2:20" x14ac:dyDescent="0.25">
      <c r="B76" s="323" t="s">
        <v>547</v>
      </c>
      <c r="C76" s="220"/>
      <c r="D76" s="306"/>
      <c r="E76" s="454"/>
      <c r="F76" s="215"/>
      <c r="G76" s="240"/>
      <c r="H76" s="291"/>
      <c r="I76" s="215"/>
      <c r="J76" s="240"/>
      <c r="K76" s="240"/>
      <c r="L76" s="291"/>
      <c r="M76" s="215"/>
      <c r="N76" s="34"/>
      <c r="O76" s="372"/>
      <c r="Q76" s="684" t="s">
        <v>542</v>
      </c>
      <c r="R76" s="685">
        <f ca="1">J53</f>
        <v>44483674.206646405</v>
      </c>
      <c r="S76" s="635"/>
      <c r="T76" s="639"/>
    </row>
    <row r="77" spans="2:20" x14ac:dyDescent="0.25">
      <c r="B77" s="621" t="s">
        <v>570</v>
      </c>
      <c r="C77" s="220"/>
      <c r="D77" s="306"/>
      <c r="E77" s="454"/>
      <c r="F77" s="215"/>
      <c r="G77" s="240"/>
      <c r="H77" s="291"/>
      <c r="I77" s="215"/>
      <c r="J77" s="239">
        <f ca="1">-R87</f>
        <v>-8988453.7572192717</v>
      </c>
      <c r="K77" s="239"/>
      <c r="L77" s="138"/>
      <c r="M77" s="214"/>
      <c r="N77" s="139"/>
      <c r="O77" s="387"/>
      <c r="Q77" s="684" t="s">
        <v>561</v>
      </c>
      <c r="R77" s="693">
        <v>5</v>
      </c>
      <c r="S77" s="635"/>
      <c r="T77" s="637"/>
    </row>
    <row r="78" spans="2:20" x14ac:dyDescent="0.25">
      <c r="B78" s="621" t="s">
        <v>565</v>
      </c>
      <c r="C78" s="220"/>
      <c r="D78" s="306"/>
      <c r="E78" s="454"/>
      <c r="F78" s="215"/>
      <c r="G78" s="240"/>
      <c r="H78" s="291"/>
      <c r="I78" s="215"/>
      <c r="J78" s="239">
        <f ca="1">R82</f>
        <v>449422687.86096358</v>
      </c>
      <c r="K78" s="649">
        <f ca="1">J78+J81</f>
        <v>441652243.53771937</v>
      </c>
      <c r="L78" s="651">
        <f ca="1">K78+K81</f>
        <v>433570981.44154537</v>
      </c>
      <c r="M78" s="668">
        <f t="shared" ref="M78:O78" ca="1" si="12">L78+L81</f>
        <v>425166468.86152446</v>
      </c>
      <c r="N78" s="649">
        <f t="shared" ca="1" si="12"/>
        <v>416425775.77830267</v>
      </c>
      <c r="O78" s="651">
        <f t="shared" ca="1" si="12"/>
        <v>407335454.97175205</v>
      </c>
      <c r="Q78" s="684" t="s">
        <v>556</v>
      </c>
      <c r="R78" s="694">
        <f>AVERAGE(Summary!C20:C27)</f>
        <v>6.9285714285714298E-2</v>
      </c>
      <c r="S78" s="635"/>
      <c r="T78" s="639"/>
    </row>
    <row r="79" spans="2:20" x14ac:dyDescent="0.25">
      <c r="B79" s="621" t="s">
        <v>572</v>
      </c>
      <c r="C79" s="220"/>
      <c r="D79" s="306"/>
      <c r="E79" s="454"/>
      <c r="F79" s="215"/>
      <c r="G79" s="240"/>
      <c r="H79" s="291"/>
      <c r="I79" s="215"/>
      <c r="J79" s="239">
        <f ca="1">J78</f>
        <v>449422687.86096358</v>
      </c>
      <c r="K79" s="649"/>
      <c r="L79" s="651"/>
      <c r="M79" s="668"/>
      <c r="N79" s="649"/>
      <c r="O79" s="651"/>
      <c r="Q79" s="684"/>
      <c r="R79" s="694"/>
      <c r="S79" s="635"/>
      <c r="T79" s="639"/>
    </row>
    <row r="80" spans="2:20" x14ac:dyDescent="0.25">
      <c r="B80" s="621" t="s">
        <v>566</v>
      </c>
      <c r="C80" s="220"/>
      <c r="D80" s="306"/>
      <c r="E80" s="454"/>
      <c r="F80" s="215"/>
      <c r="G80" s="240"/>
      <c r="H80" s="291"/>
      <c r="I80" s="215"/>
      <c r="J80" s="239">
        <f t="shared" ref="J80:O80" ca="1" si="13">-$R$85</f>
        <v>-25747351.83768275</v>
      </c>
      <c r="K80" s="239">
        <f t="shared" ca="1" si="13"/>
        <v>-25747351.83768275</v>
      </c>
      <c r="L80" s="138">
        <f t="shared" ca="1" si="13"/>
        <v>-25747351.83768275</v>
      </c>
      <c r="M80" s="214">
        <f t="shared" ca="1" si="13"/>
        <v>-25747351.83768275</v>
      </c>
      <c r="N80" s="239">
        <f t="shared" ca="1" si="13"/>
        <v>-25747351.83768275</v>
      </c>
      <c r="O80" s="138">
        <f t="shared" ca="1" si="13"/>
        <v>-25747351.83768275</v>
      </c>
      <c r="Q80" s="684" t="s">
        <v>554</v>
      </c>
      <c r="R80" s="685">
        <f ca="1">R76/R78</f>
        <v>642032411.22994804</v>
      </c>
    </row>
    <row r="81" spans="2:18" x14ac:dyDescent="0.25">
      <c r="B81" s="621" t="s">
        <v>567</v>
      </c>
      <c r="C81" s="220"/>
      <c r="D81" s="306"/>
      <c r="E81" s="454"/>
      <c r="F81" s="215"/>
      <c r="G81" s="240"/>
      <c r="H81" s="291"/>
      <c r="I81" s="215"/>
      <c r="J81" s="239">
        <f ca="1">J80-J82</f>
        <v>-7770444.3232442066</v>
      </c>
      <c r="K81" s="239">
        <f ca="1">K80-K82</f>
        <v>-8081262.0961739756</v>
      </c>
      <c r="L81" s="138">
        <f t="shared" ref="L81:O81" ca="1" si="14">L80-L82</f>
        <v>-8404512.5800209343</v>
      </c>
      <c r="M81" s="214">
        <f t="shared" ca="1" si="14"/>
        <v>-8740693.0832217708</v>
      </c>
      <c r="N81" s="239">
        <f t="shared" ca="1" si="14"/>
        <v>-9090320.8065506425</v>
      </c>
      <c r="O81" s="138">
        <f t="shared" ca="1" si="14"/>
        <v>-9453933.6388126686</v>
      </c>
      <c r="Q81" s="684" t="s">
        <v>488</v>
      </c>
      <c r="R81" s="686">
        <v>0.7</v>
      </c>
    </row>
    <row r="82" spans="2:18" x14ac:dyDescent="0.25">
      <c r="B82" s="647" t="s">
        <v>568</v>
      </c>
      <c r="C82" s="3"/>
      <c r="D82" s="374"/>
      <c r="E82" s="664"/>
      <c r="F82" s="666"/>
      <c r="G82" s="648"/>
      <c r="H82" s="667"/>
      <c r="I82" s="666"/>
      <c r="J82" s="143">
        <f t="shared" ref="J82:O82" ca="1" si="15">J78*-$R$83</f>
        <v>-17976907.514438543</v>
      </c>
      <c r="K82" s="143">
        <f t="shared" ca="1" si="15"/>
        <v>-17666089.741508774</v>
      </c>
      <c r="L82" s="299">
        <f t="shared" ca="1" si="15"/>
        <v>-17342839.257661816</v>
      </c>
      <c r="M82" s="448">
        <f t="shared" ca="1" si="15"/>
        <v>-17006658.754460979</v>
      </c>
      <c r="N82" s="143">
        <f t="shared" ca="1" si="15"/>
        <v>-16657031.031132108</v>
      </c>
      <c r="O82" s="299">
        <f t="shared" ca="1" si="15"/>
        <v>-16293418.198870081</v>
      </c>
      <c r="Q82" s="687" t="s">
        <v>205</v>
      </c>
      <c r="R82" s="685">
        <f ca="1">R81*R80</f>
        <v>449422687.86096358</v>
      </c>
    </row>
    <row r="83" spans="2:18" x14ac:dyDescent="0.25">
      <c r="B83" s="698" t="s">
        <v>546</v>
      </c>
      <c r="C83" s="34"/>
      <c r="D83" s="372"/>
      <c r="E83" s="454"/>
      <c r="F83" s="215"/>
      <c r="G83" s="240"/>
      <c r="H83" s="291"/>
      <c r="I83" s="215"/>
      <c r="J83" s="239"/>
      <c r="K83" s="239"/>
      <c r="L83" s="138"/>
      <c r="M83" s="214"/>
      <c r="N83" s="139"/>
      <c r="O83" s="387">
        <f ca="1">-O78</f>
        <v>-407335454.97175205</v>
      </c>
      <c r="Q83" s="684" t="s">
        <v>551</v>
      </c>
      <c r="R83" s="686">
        <v>0.04</v>
      </c>
    </row>
    <row r="84" spans="2:18" x14ac:dyDescent="0.25">
      <c r="B84" s="104"/>
      <c r="C84" s="34"/>
      <c r="D84" s="372"/>
      <c r="E84" s="436"/>
      <c r="F84" s="104"/>
      <c r="G84" s="34"/>
      <c r="H84" s="372"/>
      <c r="I84" s="104"/>
      <c r="J84" s="34"/>
      <c r="K84" s="34"/>
      <c r="L84" s="372"/>
      <c r="M84" s="104"/>
      <c r="N84" s="34"/>
      <c r="O84" s="372"/>
      <c r="Q84" s="684" t="s">
        <v>206</v>
      </c>
      <c r="R84" s="695">
        <v>30</v>
      </c>
    </row>
    <row r="85" spans="2:18" x14ac:dyDescent="0.25">
      <c r="B85" s="104"/>
      <c r="C85" s="34"/>
      <c r="D85" s="372"/>
      <c r="E85" s="436"/>
      <c r="F85" s="104"/>
      <c r="G85" s="34"/>
      <c r="H85" s="372"/>
      <c r="I85" s="104"/>
      <c r="J85" s="34"/>
      <c r="K85" s="34"/>
      <c r="L85" s="372"/>
      <c r="M85" s="104"/>
      <c r="N85" s="34"/>
      <c r="O85" s="372"/>
      <c r="Q85" s="684" t="s">
        <v>555</v>
      </c>
      <c r="R85" s="685">
        <f ca="1">PMT(R83/12,R84*12,R82,0)*-12</f>
        <v>25747351.83768275</v>
      </c>
    </row>
    <row r="86" spans="2:18" x14ac:dyDescent="0.25">
      <c r="B86" s="104"/>
      <c r="C86" s="34"/>
      <c r="D86" s="372"/>
      <c r="E86" s="436"/>
      <c r="F86" s="104"/>
      <c r="G86" s="34"/>
      <c r="H86" s="372"/>
      <c r="I86" s="104"/>
      <c r="J86" s="34"/>
      <c r="K86" s="34"/>
      <c r="L86" s="372"/>
      <c r="M86" s="104"/>
      <c r="N86" s="34"/>
      <c r="O86" s="372"/>
      <c r="Q86" s="684" t="s">
        <v>552</v>
      </c>
      <c r="R86" s="686">
        <v>0.02</v>
      </c>
    </row>
    <row r="87" spans="2:18" x14ac:dyDescent="0.25">
      <c r="B87" s="676" t="s">
        <v>273</v>
      </c>
      <c r="C87" s="677"/>
      <c r="D87" s="807"/>
      <c r="E87" s="678">
        <f t="shared" ref="E87:O87" ca="1" si="16">SUM(E61,E66,E70,E72,E73,E74,E79,E80,E81,E83,E77)</f>
        <v>-94072178.372116536</v>
      </c>
      <c r="F87" s="679">
        <f t="shared" ca="1" si="16"/>
        <v>-17458491.613638725</v>
      </c>
      <c r="G87" s="680">
        <f t="shared" ca="1" si="16"/>
        <v>-6555371.8234172845</v>
      </c>
      <c r="H87" s="681">
        <f t="shared" ca="1" si="16"/>
        <v>-9178533.3272599336</v>
      </c>
      <c r="I87" s="679">
        <f t="shared" ca="1" si="16"/>
        <v>-12313785.700930791</v>
      </c>
      <c r="J87" s="680">
        <f t="shared" ca="1" si="16"/>
        <v>179858510.47695532</v>
      </c>
      <c r="K87" s="680">
        <f t="shared" ca="1" si="16"/>
        <v>-2425019.5719440393</v>
      </c>
      <c r="L87" s="681">
        <f t="shared" ca="1" si="16"/>
        <v>33348083.470684677</v>
      </c>
      <c r="M87" s="679">
        <f t="shared" ca="1" si="16"/>
        <v>-9257964.321058929</v>
      </c>
      <c r="N87" s="680">
        <f t="shared" ca="1" si="16"/>
        <v>73440792.14950949</v>
      </c>
      <c r="O87" s="681">
        <f t="shared" ca="1" si="16"/>
        <v>1398546404.6690745</v>
      </c>
      <c r="Q87" s="696" t="s">
        <v>553</v>
      </c>
      <c r="R87" s="697">
        <f ca="1">R86*R82</f>
        <v>8988453.7572192717</v>
      </c>
    </row>
    <row r="88" spans="2:18" x14ac:dyDescent="0.25">
      <c r="B88" s="676" t="s">
        <v>618</v>
      </c>
      <c r="C88" s="840"/>
      <c r="D88" s="677"/>
      <c r="E88" s="677"/>
      <c r="F88" s="677"/>
      <c r="G88" s="677"/>
      <c r="H88" s="677"/>
      <c r="I88" s="677"/>
      <c r="J88" s="680">
        <f ca="1">J81+J83</f>
        <v>-7770444.3232442066</v>
      </c>
      <c r="K88" s="680">
        <f t="shared" ref="K88:O88" ca="1" si="17">K81+K83</f>
        <v>-8081262.0961739756</v>
      </c>
      <c r="L88" s="680">
        <f t="shared" ca="1" si="17"/>
        <v>-8404512.5800209343</v>
      </c>
      <c r="M88" s="680">
        <f t="shared" ca="1" si="17"/>
        <v>-8740693.0832217708</v>
      </c>
      <c r="N88" s="680">
        <f t="shared" ca="1" si="17"/>
        <v>-9090320.8065506425</v>
      </c>
      <c r="O88" s="681">
        <f t="shared" ca="1" si="17"/>
        <v>-416789388.61056471</v>
      </c>
    </row>
  </sheetData>
  <mergeCells count="2">
    <mergeCell ref="E5:O5"/>
    <mergeCell ref="B6:D8"/>
  </mergeCells>
  <conditionalFormatting sqref="A6:A55 S70:T72 Q64:T69 B58:H58 J58:S58 P85:S85 B5:S5 B59:S63 B66:S84 B64:J65 I65:O67 L64 N64:S64 L65:S65 B9:S22 B6 E6:S8 B25:S42 C23:S24 B45:S57 C43:S44 B86:S98">
    <cfRule type="cellIs" dxfId="312" priority="28" operator="lessThan">
      <formula>0</formula>
    </cfRule>
  </conditionalFormatting>
  <conditionalFormatting sqref="B61:O62 B5:O5 B9:O22 B6 E6:O8 B25:O42 C23:O24 B45:O56 C43:O44">
    <cfRule type="cellIs" dxfId="311" priority="26" operator="lessThan">
      <formula>0</formula>
    </cfRule>
  </conditionalFormatting>
  <conditionalFormatting sqref="E5:O5">
    <cfRule type="cellIs" dxfId="310" priority="25" operator="lessThan">
      <formula>0</formula>
    </cfRule>
  </conditionalFormatting>
  <conditionalFormatting sqref="S73:S79 Q73">
    <cfRule type="cellIs" dxfId="309" priority="24" operator="lessThan">
      <formula>0</formula>
    </cfRule>
  </conditionalFormatting>
  <conditionalFormatting sqref="Q83:Q87 Q75:R82">
    <cfRule type="cellIs" dxfId="308" priority="23" operator="lessThan">
      <formula>0</formula>
    </cfRule>
  </conditionalFormatting>
  <conditionalFormatting sqref="Q115">
    <cfRule type="cellIs" dxfId="307" priority="21" operator="lessThan">
      <formula>0</formula>
    </cfRule>
  </conditionalFormatting>
  <conditionalFormatting sqref="B63:L63">
    <cfRule type="cellIs" dxfId="306" priority="20" operator="lessThan">
      <formula>0</formula>
    </cfRule>
  </conditionalFormatting>
  <conditionalFormatting sqref="Q93:R98 Q99:Q100 Q102">
    <cfRule type="cellIs" dxfId="305" priority="19" operator="lessThan">
      <formula>0</formula>
    </cfRule>
  </conditionalFormatting>
  <conditionalFormatting sqref="Q110:Q114 Q104:R109">
    <cfRule type="cellIs" dxfId="304" priority="18" operator="lessThan">
      <formula>0</formula>
    </cfRule>
  </conditionalFormatting>
  <conditionalFormatting sqref="Q116:R121 Q122:Q123 Q125">
    <cfRule type="cellIs" dxfId="303" priority="17" operator="lessThan">
      <formula>0</formula>
    </cfRule>
  </conditionalFormatting>
  <conditionalFormatting sqref="Q133:Q137 Q127:R132">
    <cfRule type="cellIs" dxfId="302" priority="16" operator="lessThan">
      <formula>0</formula>
    </cfRule>
  </conditionalFormatting>
  <conditionalFormatting sqref="B74">
    <cfRule type="cellIs" dxfId="301" priority="7" operator="lessThan">
      <formula>0</formula>
    </cfRule>
  </conditionalFormatting>
  <conditionalFormatting sqref="B82">
    <cfRule type="cellIs" dxfId="300" priority="6" operator="lessThan">
      <formula>0</formula>
    </cfRule>
  </conditionalFormatting>
  <conditionalFormatting sqref="L78:O81">
    <cfRule type="cellIs" dxfId="299" priority="5" operator="lessThan">
      <formula>0</formula>
    </cfRule>
  </conditionalFormatting>
  <conditionalFormatting sqref="B3">
    <cfRule type="cellIs" dxfId="298" priority="3" operator="lessThan">
      <formula>0</formula>
    </cfRule>
  </conditionalFormatting>
  <conditionalFormatting sqref="B23:B24">
    <cfRule type="cellIs" dxfId="297" priority="2" operator="lessThan">
      <formula>0</formula>
    </cfRule>
  </conditionalFormatting>
  <conditionalFormatting sqref="B43:B44">
    <cfRule type="cellIs" dxfId="296" priority="1" operator="lessThan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B0E8A-8634-47A4-9F73-3B48B71E6AF8}">
  <sheetPr>
    <tabColor rgb="FF00B0F0"/>
  </sheetPr>
  <dimension ref="B1:P169"/>
  <sheetViews>
    <sheetView showGridLines="0" topLeftCell="A28" zoomScaleNormal="100" workbookViewId="0">
      <pane xSplit="5" topLeftCell="I1" activePane="topRight" state="frozen"/>
      <selection pane="topRight" activeCell="K38" sqref="K38"/>
    </sheetView>
  </sheetViews>
  <sheetFormatPr defaultRowHeight="15" x14ac:dyDescent="0.25"/>
  <cols>
    <col min="2" max="2" width="39.140625" customWidth="1"/>
    <col min="3" max="3" width="13.85546875" customWidth="1"/>
    <col min="4" max="4" width="10.5703125" customWidth="1"/>
    <col min="6" max="6" width="16.85546875" customWidth="1"/>
    <col min="7" max="16" width="22" customWidth="1"/>
  </cols>
  <sheetData>
    <row r="1" spans="2:16" x14ac:dyDescent="0.25">
      <c r="C1" s="121"/>
      <c r="D1" s="121"/>
      <c r="E1" s="121"/>
    </row>
    <row r="2" spans="2:16" ht="18.75" x14ac:dyDescent="0.3">
      <c r="B2" s="8" t="s">
        <v>145</v>
      </c>
      <c r="C2" s="121"/>
      <c r="D2" s="121"/>
      <c r="E2" s="121"/>
    </row>
    <row r="3" spans="2:16" x14ac:dyDescent="0.25">
      <c r="B3" t="s">
        <v>611</v>
      </c>
      <c r="C3" s="121"/>
      <c r="D3" s="121"/>
      <c r="E3" s="121"/>
    </row>
    <row r="4" spans="2:16" x14ac:dyDescent="0.25">
      <c r="C4" s="121"/>
      <c r="D4" s="121"/>
      <c r="E4" s="121"/>
    </row>
    <row r="5" spans="2:16" x14ac:dyDescent="0.25">
      <c r="B5" s="855" t="s">
        <v>112</v>
      </c>
      <c r="C5" s="856"/>
      <c r="D5" s="856"/>
      <c r="E5" s="856"/>
      <c r="F5" s="45" t="s">
        <v>304</v>
      </c>
      <c r="G5" s="44"/>
      <c r="H5" s="44"/>
      <c r="I5" s="106" t="s">
        <v>179</v>
      </c>
      <c r="J5" s="107" t="s">
        <v>172</v>
      </c>
      <c r="K5" s="107" t="s">
        <v>578</v>
      </c>
      <c r="L5" s="107" t="s">
        <v>284</v>
      </c>
      <c r="M5" s="107" t="s">
        <v>399</v>
      </c>
      <c r="N5" s="107" t="s">
        <v>285</v>
      </c>
      <c r="O5" s="44"/>
      <c r="P5" s="44"/>
    </row>
    <row r="6" spans="2:16" x14ac:dyDescent="0.25">
      <c r="B6" s="856"/>
      <c r="C6" s="856"/>
      <c r="D6" s="856"/>
      <c r="E6" s="856"/>
      <c r="F6" s="44" t="s">
        <v>108</v>
      </c>
      <c r="G6" s="57">
        <f ca="1">Costs!G7</f>
        <v>354226.30999999994</v>
      </c>
      <c r="H6" s="44"/>
      <c r="I6" s="108" t="s">
        <v>50</v>
      </c>
      <c r="J6" s="109">
        <v>350</v>
      </c>
      <c r="K6" s="110">
        <f>L6/12</f>
        <v>3.0833333333333335</v>
      </c>
      <c r="L6" s="110">
        <v>37</v>
      </c>
      <c r="M6" s="199">
        <f>L6*J6</f>
        <v>12950</v>
      </c>
      <c r="N6" s="169">
        <v>0.1</v>
      </c>
      <c r="O6" s="44"/>
      <c r="P6" s="44"/>
    </row>
    <row r="7" spans="2:16" x14ac:dyDescent="0.25">
      <c r="B7" s="856"/>
      <c r="C7" s="856"/>
      <c r="D7" s="856"/>
      <c r="E7" s="856"/>
      <c r="F7" s="44" t="s">
        <v>126</v>
      </c>
      <c r="G7" s="57">
        <f ca="1">G6*G8</f>
        <v>301092.36349999992</v>
      </c>
      <c r="H7" s="44"/>
      <c r="I7" s="108" t="s">
        <v>120</v>
      </c>
      <c r="J7" s="109">
        <v>550</v>
      </c>
      <c r="K7" s="110">
        <f t="shared" ref="K7:K10" si="0">L7/12</f>
        <v>3.0833333333333335</v>
      </c>
      <c r="L7" s="110">
        <v>37</v>
      </c>
      <c r="M7" s="199">
        <f>L7*J7</f>
        <v>20350</v>
      </c>
      <c r="N7" s="169">
        <v>0.15</v>
      </c>
      <c r="O7" s="44"/>
      <c r="P7" s="44"/>
    </row>
    <row r="8" spans="2:16" x14ac:dyDescent="0.25">
      <c r="B8" s="856"/>
      <c r="C8" s="856"/>
      <c r="D8" s="856"/>
      <c r="E8" s="856"/>
      <c r="F8" s="44" t="s">
        <v>109</v>
      </c>
      <c r="G8" s="47">
        <v>0.85</v>
      </c>
      <c r="H8" s="44"/>
      <c r="I8" s="108" t="s">
        <v>121</v>
      </c>
      <c r="J8" s="109">
        <v>800</v>
      </c>
      <c r="K8" s="110">
        <f t="shared" si="0"/>
        <v>3.3333333333333335</v>
      </c>
      <c r="L8" s="110">
        <v>40</v>
      </c>
      <c r="M8" s="199">
        <f>L8*J8</f>
        <v>32000</v>
      </c>
      <c r="N8" s="169">
        <v>0.25</v>
      </c>
      <c r="O8" s="44"/>
      <c r="P8" s="44"/>
    </row>
    <row r="9" spans="2:16" x14ac:dyDescent="0.25">
      <c r="B9" s="856"/>
      <c r="C9" s="856"/>
      <c r="D9" s="856"/>
      <c r="E9" s="856"/>
      <c r="F9" s="44"/>
      <c r="G9" s="44"/>
      <c r="H9" s="44"/>
      <c r="I9" s="108" t="s">
        <v>122</v>
      </c>
      <c r="J9" s="109">
        <v>1200</v>
      </c>
      <c r="K9" s="110">
        <f t="shared" si="0"/>
        <v>3.3333333333333335</v>
      </c>
      <c r="L9" s="110">
        <v>40</v>
      </c>
      <c r="M9" s="199">
        <f>L9*J9</f>
        <v>48000</v>
      </c>
      <c r="N9" s="169">
        <v>0.25</v>
      </c>
      <c r="O9" s="44"/>
      <c r="P9" s="44"/>
    </row>
    <row r="10" spans="2:16" x14ac:dyDescent="0.25">
      <c r="B10" s="856"/>
      <c r="C10" s="856"/>
      <c r="D10" s="856"/>
      <c r="E10" s="856"/>
      <c r="F10" s="45" t="s">
        <v>111</v>
      </c>
      <c r="G10" s="44"/>
      <c r="H10" s="44"/>
      <c r="I10" s="108" t="s">
        <v>123</v>
      </c>
      <c r="J10" s="109">
        <v>1650</v>
      </c>
      <c r="K10" s="110">
        <f t="shared" si="0"/>
        <v>3.5833333333333335</v>
      </c>
      <c r="L10" s="110">
        <v>43</v>
      </c>
      <c r="M10" s="199">
        <f>L10*J10</f>
        <v>70950</v>
      </c>
      <c r="N10" s="169">
        <v>0.05</v>
      </c>
      <c r="O10" s="44"/>
      <c r="P10" s="44"/>
    </row>
    <row r="11" spans="2:16" x14ac:dyDescent="0.25">
      <c r="B11" s="856"/>
      <c r="C11" s="856"/>
      <c r="D11" s="856"/>
      <c r="E11" s="856"/>
      <c r="F11" s="44" t="s">
        <v>113</v>
      </c>
      <c r="G11" s="47">
        <v>0.03</v>
      </c>
      <c r="H11" s="44"/>
      <c r="I11" s="44"/>
      <c r="J11" s="44"/>
      <c r="K11" s="44"/>
      <c r="L11" s="44"/>
      <c r="M11" s="85"/>
      <c r="N11" s="44"/>
      <c r="O11" s="44"/>
      <c r="P11" s="44"/>
    </row>
    <row r="12" spans="2:16" x14ac:dyDescent="0.25">
      <c r="B12" s="856"/>
      <c r="C12" s="856"/>
      <c r="D12" s="856"/>
      <c r="E12" s="856"/>
      <c r="F12" s="44" t="s">
        <v>46</v>
      </c>
      <c r="G12" s="47">
        <v>0.03</v>
      </c>
      <c r="H12" s="44"/>
      <c r="I12" s="106" t="s">
        <v>178</v>
      </c>
      <c r="J12" s="107" t="s">
        <v>172</v>
      </c>
      <c r="K12" s="107" t="s">
        <v>578</v>
      </c>
      <c r="L12" s="107" t="s">
        <v>284</v>
      </c>
      <c r="M12" s="200" t="s">
        <v>399</v>
      </c>
      <c r="N12" s="107" t="s">
        <v>285</v>
      </c>
      <c r="O12" s="45"/>
      <c r="P12" s="44"/>
    </row>
    <row r="13" spans="2:16" x14ac:dyDescent="0.25">
      <c r="B13" s="856"/>
      <c r="C13" s="856"/>
      <c r="D13" s="856"/>
      <c r="E13" s="856"/>
      <c r="F13" s="44" t="s">
        <v>114</v>
      </c>
      <c r="G13" s="47">
        <v>0.5</v>
      </c>
      <c r="H13" s="44"/>
      <c r="I13" s="108" t="s">
        <v>121</v>
      </c>
      <c r="J13" s="109">
        <v>800</v>
      </c>
      <c r="K13" s="110">
        <v>1</v>
      </c>
      <c r="L13" s="110">
        <v>18</v>
      </c>
      <c r="M13" s="199">
        <f>L13*J13</f>
        <v>14400</v>
      </c>
      <c r="N13" s="169">
        <v>0.1</v>
      </c>
      <c r="O13" s="44"/>
      <c r="P13" s="47"/>
    </row>
    <row r="14" spans="2:16" x14ac:dyDescent="0.25">
      <c r="B14" s="856"/>
      <c r="C14" s="856"/>
      <c r="D14" s="856"/>
      <c r="E14" s="856"/>
      <c r="F14" s="44" t="s">
        <v>115</v>
      </c>
      <c r="G14" s="47">
        <v>0.75</v>
      </c>
      <c r="H14" s="44"/>
      <c r="I14" s="108" t="s">
        <v>122</v>
      </c>
      <c r="J14" s="109">
        <v>1200</v>
      </c>
      <c r="K14" s="110">
        <v>1.2</v>
      </c>
      <c r="L14" s="110">
        <v>20</v>
      </c>
      <c r="M14" s="199">
        <f>L14*J14</f>
        <v>24000</v>
      </c>
      <c r="N14" s="169">
        <v>0.1</v>
      </c>
      <c r="O14" s="44"/>
      <c r="P14" s="85"/>
    </row>
    <row r="15" spans="2:16" x14ac:dyDescent="0.25">
      <c r="B15" s="856"/>
      <c r="C15" s="856"/>
      <c r="D15" s="856"/>
      <c r="E15" s="856"/>
      <c r="F15" s="44" t="s">
        <v>116</v>
      </c>
      <c r="G15" s="47">
        <v>0.97</v>
      </c>
      <c r="H15" s="44"/>
      <c r="I15" s="44"/>
      <c r="J15" s="44"/>
      <c r="K15" s="117">
        <f>K13*J13</f>
        <v>800</v>
      </c>
      <c r="L15" s="44"/>
      <c r="M15" s="44"/>
      <c r="N15" s="44"/>
      <c r="O15" s="44"/>
      <c r="P15" s="47"/>
    </row>
    <row r="16" spans="2:16" x14ac:dyDescent="0.25">
      <c r="B16" s="856"/>
      <c r="C16" s="856"/>
      <c r="D16" s="856"/>
      <c r="E16" s="856"/>
      <c r="F16" s="44" t="s">
        <v>117</v>
      </c>
      <c r="G16" s="835">
        <v>5.5E-2</v>
      </c>
      <c r="H16" s="44"/>
      <c r="I16" s="45" t="s">
        <v>124</v>
      </c>
      <c r="J16" s="44"/>
      <c r="K16" s="44"/>
      <c r="L16" s="44"/>
      <c r="M16" s="44"/>
      <c r="N16" s="44"/>
      <c r="O16" s="44"/>
      <c r="P16" s="52"/>
    </row>
    <row r="17" spans="2:16" x14ac:dyDescent="0.25">
      <c r="B17" s="856"/>
      <c r="C17" s="856"/>
      <c r="D17" s="856"/>
      <c r="E17" s="856"/>
      <c r="F17" s="44" t="s">
        <v>118</v>
      </c>
      <c r="G17" s="836">
        <v>5.5E-2</v>
      </c>
      <c r="H17" s="44"/>
      <c r="I17" s="44" t="s">
        <v>55</v>
      </c>
      <c r="J17" s="84">
        <v>0.2</v>
      </c>
      <c r="K17" s="44"/>
      <c r="L17" s="44" t="s">
        <v>225</v>
      </c>
      <c r="M17" s="84">
        <v>0.15</v>
      </c>
      <c r="N17" s="44"/>
      <c r="O17" s="44"/>
      <c r="P17" s="120"/>
    </row>
    <row r="18" spans="2:16" x14ac:dyDescent="0.25">
      <c r="B18" s="856"/>
      <c r="C18" s="856"/>
      <c r="D18" s="856"/>
      <c r="E18" s="856"/>
      <c r="F18" s="44" t="s">
        <v>170</v>
      </c>
      <c r="G18" s="47">
        <v>0.02</v>
      </c>
      <c r="H18" s="44"/>
      <c r="I18" s="44" t="s">
        <v>56</v>
      </c>
      <c r="J18" s="84">
        <v>0.03</v>
      </c>
      <c r="K18" s="44"/>
      <c r="L18" s="44"/>
      <c r="M18" s="117"/>
      <c r="N18" s="44"/>
      <c r="O18" s="44"/>
      <c r="P18" s="120"/>
    </row>
    <row r="19" spans="2:16" x14ac:dyDescent="0.25">
      <c r="B19" s="856"/>
      <c r="C19" s="856"/>
      <c r="D19" s="856"/>
      <c r="E19" s="856"/>
      <c r="F19" s="44" t="s">
        <v>119</v>
      </c>
      <c r="G19" s="47">
        <v>0.02</v>
      </c>
      <c r="H19" s="44"/>
      <c r="I19" s="44" t="s">
        <v>125</v>
      </c>
      <c r="J19" s="84">
        <v>0.02</v>
      </c>
      <c r="K19" s="44"/>
      <c r="L19" s="44"/>
      <c r="M19" s="489"/>
      <c r="N19" s="44"/>
      <c r="O19" s="44"/>
      <c r="P19" s="44"/>
    </row>
    <row r="20" spans="2:16" x14ac:dyDescent="0.25">
      <c r="B20" s="856"/>
      <c r="C20" s="856"/>
      <c r="D20" s="856"/>
      <c r="E20" s="856"/>
      <c r="F20" s="44" t="s">
        <v>43</v>
      </c>
      <c r="G20" s="94">
        <v>10</v>
      </c>
      <c r="H20" s="44" t="s">
        <v>44</v>
      </c>
      <c r="I20" s="44" t="s">
        <v>171</v>
      </c>
      <c r="J20" s="84">
        <v>0.03</v>
      </c>
      <c r="K20" s="44"/>
      <c r="L20" s="44"/>
      <c r="M20" s="168"/>
      <c r="N20" s="44"/>
      <c r="O20" s="44"/>
      <c r="P20" s="44"/>
    </row>
    <row r="22" spans="2:16" x14ac:dyDescent="0.25">
      <c r="C22" s="121"/>
      <c r="D22" s="121"/>
      <c r="E22" s="121"/>
      <c r="F22" s="853" t="s">
        <v>49</v>
      </c>
      <c r="G22" s="853"/>
      <c r="H22" s="853"/>
      <c r="I22" s="853"/>
      <c r="J22" s="853"/>
      <c r="K22" s="853"/>
      <c r="L22" s="853"/>
      <c r="M22" s="853"/>
      <c r="N22" s="853"/>
      <c r="O22" s="853"/>
      <c r="P22" s="853"/>
    </row>
    <row r="23" spans="2:16" x14ac:dyDescent="0.25">
      <c r="C23" s="121"/>
      <c r="D23" s="121"/>
      <c r="E23" s="121"/>
      <c r="F23" s="272" t="s">
        <v>105</v>
      </c>
      <c r="G23" s="311" t="s">
        <v>28</v>
      </c>
      <c r="H23" s="311" t="s">
        <v>28</v>
      </c>
      <c r="I23" s="312" t="s">
        <v>28</v>
      </c>
      <c r="J23" s="313" t="s">
        <v>47</v>
      </c>
      <c r="K23" s="313" t="s">
        <v>47</v>
      </c>
      <c r="L23" s="313" t="s">
        <v>47</v>
      </c>
      <c r="M23" s="314" t="s">
        <v>47</v>
      </c>
      <c r="N23" s="315" t="s">
        <v>48</v>
      </c>
      <c r="O23" s="315" t="s">
        <v>48</v>
      </c>
      <c r="P23" s="316" t="s">
        <v>48</v>
      </c>
    </row>
    <row r="24" spans="2:16" x14ac:dyDescent="0.25">
      <c r="B24" s="317"/>
      <c r="C24" s="318"/>
      <c r="D24" s="318"/>
      <c r="E24" s="319"/>
      <c r="F24" s="274">
        <v>0</v>
      </c>
      <c r="G24" s="320">
        <f>F24+1</f>
        <v>1</v>
      </c>
      <c r="H24" s="320">
        <f t="shared" ref="H24:P25" si="1">G24+1</f>
        <v>2</v>
      </c>
      <c r="I24" s="274">
        <f t="shared" si="1"/>
        <v>3</v>
      </c>
      <c r="J24" s="320">
        <f t="shared" si="1"/>
        <v>4</v>
      </c>
      <c r="K24" s="320">
        <f t="shared" si="1"/>
        <v>5</v>
      </c>
      <c r="L24" s="320">
        <f t="shared" si="1"/>
        <v>6</v>
      </c>
      <c r="M24" s="274">
        <f t="shared" si="1"/>
        <v>7</v>
      </c>
      <c r="N24" s="320">
        <f t="shared" si="1"/>
        <v>8</v>
      </c>
      <c r="O24" s="320">
        <f t="shared" si="1"/>
        <v>9</v>
      </c>
      <c r="P24" s="274">
        <f t="shared" si="1"/>
        <v>10</v>
      </c>
    </row>
    <row r="25" spans="2:16" x14ac:dyDescent="0.25">
      <c r="B25" s="321"/>
      <c r="C25" s="221"/>
      <c r="D25" s="221"/>
      <c r="E25" s="300"/>
      <c r="F25" s="278" t="s">
        <v>177</v>
      </c>
      <c r="G25" s="225">
        <v>2022</v>
      </c>
      <c r="H25" s="225">
        <f t="shared" si="1"/>
        <v>2023</v>
      </c>
      <c r="I25" s="278">
        <f t="shared" si="1"/>
        <v>2024</v>
      </c>
      <c r="J25" s="225">
        <f t="shared" si="1"/>
        <v>2025</v>
      </c>
      <c r="K25" s="225">
        <f t="shared" si="1"/>
        <v>2026</v>
      </c>
      <c r="L25" s="225">
        <f t="shared" si="1"/>
        <v>2027</v>
      </c>
      <c r="M25" s="278">
        <f t="shared" si="1"/>
        <v>2028</v>
      </c>
      <c r="N25" s="225">
        <f t="shared" si="1"/>
        <v>2029</v>
      </c>
      <c r="O25" s="225">
        <f t="shared" si="1"/>
        <v>2030</v>
      </c>
      <c r="P25" s="278">
        <f t="shared" si="1"/>
        <v>2031</v>
      </c>
    </row>
    <row r="26" spans="2:16" x14ac:dyDescent="0.25">
      <c r="B26" s="322"/>
      <c r="C26" s="123"/>
      <c r="D26" s="123"/>
      <c r="E26" s="301"/>
      <c r="F26" s="286"/>
      <c r="G26" s="226"/>
      <c r="H26" s="226"/>
      <c r="I26" s="286"/>
      <c r="J26" s="226"/>
      <c r="K26" s="226"/>
      <c r="L26" s="226"/>
      <c r="M26" s="286"/>
      <c r="N26" s="226"/>
      <c r="O26" s="226"/>
      <c r="P26" s="286"/>
    </row>
    <row r="27" spans="2:16" x14ac:dyDescent="0.25">
      <c r="B27" s="323" t="s">
        <v>135</v>
      </c>
      <c r="C27" s="34"/>
      <c r="D27" s="34"/>
      <c r="E27" s="302"/>
      <c r="F27" s="286"/>
      <c r="G27" s="226"/>
      <c r="H27" s="226"/>
      <c r="I27" s="286"/>
      <c r="J27" s="226"/>
      <c r="K27" s="226"/>
      <c r="L27" s="226"/>
      <c r="M27" s="286"/>
      <c r="N27" s="226"/>
      <c r="O27" s="226"/>
      <c r="P27" s="286"/>
    </row>
    <row r="28" spans="2:16" x14ac:dyDescent="0.25">
      <c r="B28" s="323"/>
      <c r="C28" s="201" t="s">
        <v>58</v>
      </c>
      <c r="D28" s="201" t="s">
        <v>109</v>
      </c>
      <c r="E28" s="302"/>
      <c r="F28" s="286"/>
      <c r="G28" s="226"/>
      <c r="H28" s="226"/>
      <c r="I28" s="286"/>
      <c r="J28" s="226"/>
      <c r="K28" s="226"/>
      <c r="L28" s="226"/>
      <c r="M28" s="286"/>
      <c r="N28" s="226"/>
      <c r="O28" s="226"/>
      <c r="P28" s="286"/>
    </row>
    <row r="29" spans="2:16" x14ac:dyDescent="0.25">
      <c r="B29" s="324" t="s">
        <v>278</v>
      </c>
      <c r="C29" s="325">
        <f ca="1">SUM(F29:P29)*D29</f>
        <v>53775.25</v>
      </c>
      <c r="D29" s="326">
        <f>$G$8</f>
        <v>0.85</v>
      </c>
      <c r="E29" s="303"/>
      <c r="F29" s="287">
        <f>SUM('Development Schedule'!E70:E72)</f>
        <v>0</v>
      </c>
      <c r="G29" s="229">
        <f ca="1">SUM('Development Schedule'!F70:F72)</f>
        <v>0</v>
      </c>
      <c r="H29" s="229">
        <f ca="1">SUM('Development Schedule'!G70:G72)</f>
        <v>0</v>
      </c>
      <c r="I29" s="287">
        <f ca="1">SUM('Development Schedule'!H70:H72)</f>
        <v>0</v>
      </c>
      <c r="J29" s="229">
        <f ca="1">SUM('Development Schedule'!I70:I72)</f>
        <v>31632.5</v>
      </c>
      <c r="K29" s="229">
        <f ca="1">SUM('Development Schedule'!J70:J72)</f>
        <v>31632.5</v>
      </c>
      <c r="L29" s="229">
        <f ca="1">SUM('Development Schedule'!K70:K72)</f>
        <v>0</v>
      </c>
      <c r="M29" s="287">
        <f ca="1">SUM('Development Schedule'!L70:L72)</f>
        <v>0</v>
      </c>
      <c r="N29" s="229">
        <f ca="1">SUM('Development Schedule'!M70:M72)</f>
        <v>0</v>
      </c>
      <c r="O29" s="229">
        <f ca="1">SUM('Development Schedule'!N70:N72)</f>
        <v>0</v>
      </c>
      <c r="P29" s="287">
        <f ca="1">SUM('Development Schedule'!O70:O72)</f>
        <v>0</v>
      </c>
    </row>
    <row r="30" spans="2:16" x14ac:dyDescent="0.25">
      <c r="B30" s="322" t="s">
        <v>286</v>
      </c>
      <c r="C30" s="826">
        <f>$N$6</f>
        <v>0.1</v>
      </c>
      <c r="D30" s="328"/>
      <c r="E30" s="301"/>
      <c r="F30" s="288">
        <f t="shared" ref="F30:P30" si="2">(F$29*$C30/$J6)+E30</f>
        <v>0</v>
      </c>
      <c r="G30" s="329">
        <f t="shared" ca="1" si="2"/>
        <v>0</v>
      </c>
      <c r="H30" s="329">
        <f t="shared" ca="1" si="2"/>
        <v>0</v>
      </c>
      <c r="I30" s="288">
        <f t="shared" ca="1" si="2"/>
        <v>0</v>
      </c>
      <c r="J30" s="329">
        <f t="shared" ca="1" si="2"/>
        <v>9.0378571428571437</v>
      </c>
      <c r="K30" s="329">
        <f t="shared" ca="1" si="2"/>
        <v>18.075714285714287</v>
      </c>
      <c r="L30" s="329">
        <f t="shared" ca="1" si="2"/>
        <v>18.075714285714287</v>
      </c>
      <c r="M30" s="288">
        <f t="shared" ca="1" si="2"/>
        <v>18.075714285714287</v>
      </c>
      <c r="N30" s="329">
        <f t="shared" ca="1" si="2"/>
        <v>18.075714285714287</v>
      </c>
      <c r="O30" s="329">
        <f t="shared" ca="1" si="2"/>
        <v>18.075714285714287</v>
      </c>
      <c r="P30" s="288">
        <f t="shared" ca="1" si="2"/>
        <v>18.075714285714287</v>
      </c>
    </row>
    <row r="31" spans="2:16" x14ac:dyDescent="0.25">
      <c r="B31" s="322" t="s">
        <v>287</v>
      </c>
      <c r="C31" s="826">
        <f>$N$7</f>
        <v>0.15</v>
      </c>
      <c r="D31" s="328"/>
      <c r="E31" s="301"/>
      <c r="F31" s="288">
        <f t="shared" ref="F31:P31" si="3">(F$29*$C31/$J7)+E31</f>
        <v>0</v>
      </c>
      <c r="G31" s="329">
        <f t="shared" ca="1" si="3"/>
        <v>0</v>
      </c>
      <c r="H31" s="329">
        <f t="shared" ca="1" si="3"/>
        <v>0</v>
      </c>
      <c r="I31" s="288">
        <f t="shared" ca="1" si="3"/>
        <v>0</v>
      </c>
      <c r="J31" s="329">
        <f t="shared" ca="1" si="3"/>
        <v>8.6270454545454545</v>
      </c>
      <c r="K31" s="329">
        <f t="shared" ca="1" si="3"/>
        <v>17.254090909090909</v>
      </c>
      <c r="L31" s="329">
        <f t="shared" ca="1" si="3"/>
        <v>17.254090909090909</v>
      </c>
      <c r="M31" s="288">
        <f t="shared" ca="1" si="3"/>
        <v>17.254090909090909</v>
      </c>
      <c r="N31" s="329">
        <f t="shared" ca="1" si="3"/>
        <v>17.254090909090909</v>
      </c>
      <c r="O31" s="329">
        <f t="shared" ca="1" si="3"/>
        <v>17.254090909090909</v>
      </c>
      <c r="P31" s="288">
        <f t="shared" ca="1" si="3"/>
        <v>17.254090909090909</v>
      </c>
    </row>
    <row r="32" spans="2:16" x14ac:dyDescent="0.25">
      <c r="B32" s="322" t="s">
        <v>288</v>
      </c>
      <c r="C32" s="826">
        <f>$N$8</f>
        <v>0.25</v>
      </c>
      <c r="D32" s="328"/>
      <c r="E32" s="301"/>
      <c r="F32" s="288">
        <f t="shared" ref="F32:P32" si="4">(F$29*$C32/$J8)+E32</f>
        <v>0</v>
      </c>
      <c r="G32" s="329">
        <f t="shared" ca="1" si="4"/>
        <v>0</v>
      </c>
      <c r="H32" s="329">
        <f t="shared" ca="1" si="4"/>
        <v>0</v>
      </c>
      <c r="I32" s="288">
        <f t="shared" ca="1" si="4"/>
        <v>0</v>
      </c>
      <c r="J32" s="329">
        <f t="shared" ca="1" si="4"/>
        <v>9.8851562499999996</v>
      </c>
      <c r="K32" s="329">
        <f t="shared" ca="1" si="4"/>
        <v>19.770312499999999</v>
      </c>
      <c r="L32" s="329">
        <f t="shared" ca="1" si="4"/>
        <v>19.770312499999999</v>
      </c>
      <c r="M32" s="288">
        <f t="shared" ca="1" si="4"/>
        <v>19.770312499999999</v>
      </c>
      <c r="N32" s="329">
        <f t="shared" ca="1" si="4"/>
        <v>19.770312499999999</v>
      </c>
      <c r="O32" s="329">
        <f t="shared" ca="1" si="4"/>
        <v>19.770312499999999</v>
      </c>
      <c r="P32" s="288">
        <f t="shared" ca="1" si="4"/>
        <v>19.770312499999999</v>
      </c>
    </row>
    <row r="33" spans="2:16" x14ac:dyDescent="0.25">
      <c r="B33" s="322" t="s">
        <v>289</v>
      </c>
      <c r="C33" s="826">
        <f>$N$9</f>
        <v>0.25</v>
      </c>
      <c r="D33" s="328"/>
      <c r="E33" s="301"/>
      <c r="F33" s="288">
        <f t="shared" ref="F33:P33" si="5">(F$29*$C33/$J9)+E33</f>
        <v>0</v>
      </c>
      <c r="G33" s="329">
        <f t="shared" ca="1" si="5"/>
        <v>0</v>
      </c>
      <c r="H33" s="329">
        <f t="shared" ca="1" si="5"/>
        <v>0</v>
      </c>
      <c r="I33" s="288">
        <f t="shared" ca="1" si="5"/>
        <v>0</v>
      </c>
      <c r="J33" s="329">
        <f t="shared" ca="1" si="5"/>
        <v>6.5901041666666664</v>
      </c>
      <c r="K33" s="329">
        <f t="shared" ca="1" si="5"/>
        <v>13.180208333333333</v>
      </c>
      <c r="L33" s="329">
        <f t="shared" ca="1" si="5"/>
        <v>13.180208333333333</v>
      </c>
      <c r="M33" s="288">
        <f t="shared" ca="1" si="5"/>
        <v>13.180208333333333</v>
      </c>
      <c r="N33" s="329">
        <f t="shared" ca="1" si="5"/>
        <v>13.180208333333333</v>
      </c>
      <c r="O33" s="329">
        <f t="shared" ca="1" si="5"/>
        <v>13.180208333333333</v>
      </c>
      <c r="P33" s="288">
        <f t="shared" ca="1" si="5"/>
        <v>13.180208333333333</v>
      </c>
    </row>
    <row r="34" spans="2:16" x14ac:dyDescent="0.25">
      <c r="B34" s="322" t="s">
        <v>290</v>
      </c>
      <c r="C34" s="826">
        <f>$N$10</f>
        <v>0.05</v>
      </c>
      <c r="D34" s="328"/>
      <c r="E34" s="301"/>
      <c r="F34" s="288">
        <f t="shared" ref="F34:P34" si="6">(F$29*$C34/$J10)+E34</f>
        <v>0</v>
      </c>
      <c r="G34" s="329">
        <f t="shared" ca="1" si="6"/>
        <v>0</v>
      </c>
      <c r="H34" s="329">
        <f t="shared" ca="1" si="6"/>
        <v>0</v>
      </c>
      <c r="I34" s="288">
        <f t="shared" ca="1" si="6"/>
        <v>0</v>
      </c>
      <c r="J34" s="329">
        <f t="shared" ca="1" si="6"/>
        <v>0.95856060606060611</v>
      </c>
      <c r="K34" s="329">
        <f t="shared" ca="1" si="6"/>
        <v>1.9171212121212122</v>
      </c>
      <c r="L34" s="329">
        <f t="shared" ca="1" si="6"/>
        <v>1.9171212121212122</v>
      </c>
      <c r="M34" s="288">
        <f t="shared" ca="1" si="6"/>
        <v>1.9171212121212122</v>
      </c>
      <c r="N34" s="329">
        <f t="shared" ca="1" si="6"/>
        <v>1.9171212121212122</v>
      </c>
      <c r="O34" s="329">
        <f t="shared" ca="1" si="6"/>
        <v>1.9171212121212122</v>
      </c>
      <c r="P34" s="288">
        <f t="shared" ca="1" si="6"/>
        <v>1.9171212121212122</v>
      </c>
    </row>
    <row r="35" spans="2:16" x14ac:dyDescent="0.25">
      <c r="B35" s="322" t="s">
        <v>291</v>
      </c>
      <c r="C35" s="826">
        <f>$N$13</f>
        <v>0.1</v>
      </c>
      <c r="D35" s="328"/>
      <c r="E35" s="301"/>
      <c r="F35" s="288">
        <f t="shared" ref="F35:P35" si="7">(F$29*$C35/$J13)+E35</f>
        <v>0</v>
      </c>
      <c r="G35" s="329">
        <f t="shared" ca="1" si="7"/>
        <v>0</v>
      </c>
      <c r="H35" s="329">
        <f t="shared" ca="1" si="7"/>
        <v>0</v>
      </c>
      <c r="I35" s="288">
        <f t="shared" ca="1" si="7"/>
        <v>0</v>
      </c>
      <c r="J35" s="329">
        <f t="shared" ca="1" si="7"/>
        <v>3.9540625</v>
      </c>
      <c r="K35" s="329">
        <f t="shared" ca="1" si="7"/>
        <v>7.9081250000000001</v>
      </c>
      <c r="L35" s="329">
        <f t="shared" ca="1" si="7"/>
        <v>7.9081250000000001</v>
      </c>
      <c r="M35" s="288">
        <f t="shared" ca="1" si="7"/>
        <v>7.9081250000000001</v>
      </c>
      <c r="N35" s="329">
        <f t="shared" ca="1" si="7"/>
        <v>7.9081250000000001</v>
      </c>
      <c r="O35" s="329">
        <f t="shared" ca="1" si="7"/>
        <v>7.9081250000000001</v>
      </c>
      <c r="P35" s="288">
        <f t="shared" ca="1" si="7"/>
        <v>7.9081250000000001</v>
      </c>
    </row>
    <row r="36" spans="2:16" x14ac:dyDescent="0.25">
      <c r="B36" s="322" t="s">
        <v>292</v>
      </c>
      <c r="C36" s="826">
        <f>$N$14</f>
        <v>0.1</v>
      </c>
      <c r="D36" s="328"/>
      <c r="E36" s="301"/>
      <c r="F36" s="288">
        <f t="shared" ref="F36:P36" si="8">(F$29*$C36/$J14)+E36</f>
        <v>0</v>
      </c>
      <c r="G36" s="329">
        <f t="shared" ca="1" si="8"/>
        <v>0</v>
      </c>
      <c r="H36" s="329">
        <f t="shared" ca="1" si="8"/>
        <v>0</v>
      </c>
      <c r="I36" s="288">
        <f t="shared" ca="1" si="8"/>
        <v>0</v>
      </c>
      <c r="J36" s="329">
        <f t="shared" ca="1" si="8"/>
        <v>2.6360416666666668</v>
      </c>
      <c r="K36" s="329">
        <f t="shared" ca="1" si="8"/>
        <v>5.2720833333333337</v>
      </c>
      <c r="L36" s="329">
        <f t="shared" ca="1" si="8"/>
        <v>5.2720833333333337</v>
      </c>
      <c r="M36" s="288">
        <f t="shared" ca="1" si="8"/>
        <v>5.2720833333333337</v>
      </c>
      <c r="N36" s="329">
        <f t="shared" ca="1" si="8"/>
        <v>5.2720833333333337</v>
      </c>
      <c r="O36" s="329">
        <f t="shared" ca="1" si="8"/>
        <v>5.2720833333333337</v>
      </c>
      <c r="P36" s="288">
        <f t="shared" ca="1" si="8"/>
        <v>5.2720833333333337</v>
      </c>
    </row>
    <row r="37" spans="2:16" x14ac:dyDescent="0.25">
      <c r="B37" s="330" t="s">
        <v>192</v>
      </c>
      <c r="C37" s="331"/>
      <c r="D37" s="328"/>
      <c r="E37" s="302"/>
      <c r="F37" s="289">
        <v>0</v>
      </c>
      <c r="G37" s="332">
        <f>F37</f>
        <v>0</v>
      </c>
      <c r="H37" s="332">
        <f t="shared" ref="H37:I37" si="9">G37</f>
        <v>0</v>
      </c>
      <c r="I37" s="289">
        <f t="shared" si="9"/>
        <v>0</v>
      </c>
      <c r="J37" s="332">
        <v>0</v>
      </c>
      <c r="K37" s="332">
        <v>0.5</v>
      </c>
      <c r="L37" s="332">
        <v>0.75</v>
      </c>
      <c r="M37" s="289">
        <v>0.97</v>
      </c>
      <c r="N37" s="332">
        <v>0.97</v>
      </c>
      <c r="O37" s="332">
        <v>0.97</v>
      </c>
      <c r="P37" s="289">
        <f>O37</f>
        <v>0.97</v>
      </c>
    </row>
    <row r="38" spans="2:16" x14ac:dyDescent="0.25">
      <c r="B38" s="330" t="s">
        <v>495</v>
      </c>
      <c r="C38" s="331"/>
      <c r="D38" s="328"/>
      <c r="E38" s="302"/>
      <c r="F38" s="289"/>
      <c r="G38" s="512">
        <f ca="1">SUM(G30:G34)-SUM(F30:F34)</f>
        <v>0</v>
      </c>
      <c r="H38" s="512">
        <f t="shared" ref="H38:P38" ca="1" si="10">SUM(H30:H34)-SUM(G30:G34)</f>
        <v>0</v>
      </c>
      <c r="I38" s="513">
        <f t="shared" ca="1" si="10"/>
        <v>0</v>
      </c>
      <c r="J38" s="512">
        <f t="shared" ca="1" si="10"/>
        <v>35.098723620129867</v>
      </c>
      <c r="K38" s="512">
        <f t="shared" ca="1" si="10"/>
        <v>35.098723620129867</v>
      </c>
      <c r="L38" s="512">
        <f t="shared" ca="1" si="10"/>
        <v>0</v>
      </c>
      <c r="M38" s="513">
        <f t="shared" ca="1" si="10"/>
        <v>0</v>
      </c>
      <c r="N38" s="512">
        <f t="shared" ca="1" si="10"/>
        <v>0</v>
      </c>
      <c r="O38" s="512">
        <f t="shared" ca="1" si="10"/>
        <v>0</v>
      </c>
      <c r="P38" s="513">
        <f t="shared" ca="1" si="10"/>
        <v>0</v>
      </c>
    </row>
    <row r="39" spans="2:16" x14ac:dyDescent="0.25">
      <c r="B39" s="330" t="s">
        <v>496</v>
      </c>
      <c r="C39" s="331"/>
      <c r="D39" s="328"/>
      <c r="E39" s="302"/>
      <c r="F39" s="289"/>
      <c r="G39" s="512">
        <f ca="1">SUM(G35:G36)-SUM(F35:F36)</f>
        <v>0</v>
      </c>
      <c r="H39" s="512">
        <f t="shared" ref="H39:P39" ca="1" si="11">SUM(H35:H36)-SUM(G35:G36)</f>
        <v>0</v>
      </c>
      <c r="I39" s="513">
        <f t="shared" ca="1" si="11"/>
        <v>0</v>
      </c>
      <c r="J39" s="512">
        <f t="shared" ca="1" si="11"/>
        <v>6.5901041666666664</v>
      </c>
      <c r="K39" s="512">
        <f t="shared" ca="1" si="11"/>
        <v>6.5901041666666664</v>
      </c>
      <c r="L39" s="512">
        <f t="shared" ca="1" si="11"/>
        <v>0</v>
      </c>
      <c r="M39" s="513">
        <f t="shared" ca="1" si="11"/>
        <v>0</v>
      </c>
      <c r="N39" s="512">
        <f t="shared" ca="1" si="11"/>
        <v>0</v>
      </c>
      <c r="O39" s="512">
        <f t="shared" ca="1" si="11"/>
        <v>0</v>
      </c>
      <c r="P39" s="513">
        <f t="shared" ca="1" si="11"/>
        <v>0</v>
      </c>
    </row>
    <row r="40" spans="2:16" x14ac:dyDescent="0.25">
      <c r="B40" s="322"/>
      <c r="C40" s="34"/>
      <c r="D40" s="328"/>
      <c r="E40" s="301"/>
      <c r="F40" s="288"/>
      <c r="G40" s="329"/>
      <c r="H40" s="329"/>
      <c r="I40" s="288"/>
      <c r="J40" s="329"/>
      <c r="K40" s="329"/>
      <c r="L40" s="329"/>
      <c r="M40" s="288"/>
      <c r="N40" s="329"/>
      <c r="O40" s="329"/>
      <c r="P40" s="288"/>
    </row>
    <row r="41" spans="2:16" x14ac:dyDescent="0.25">
      <c r="B41" s="324" t="s">
        <v>391</v>
      </c>
      <c r="C41" s="325">
        <f ca="1">SUM(F41:P41)*D41</f>
        <v>82997.399999999994</v>
      </c>
      <c r="D41" s="326">
        <f>$G$8</f>
        <v>0.85</v>
      </c>
      <c r="E41" s="303"/>
      <c r="F41" s="287">
        <f>SUM('Development Schedule'!E145:E147)</f>
        <v>0</v>
      </c>
      <c r="G41" s="229">
        <f ca="1">SUM('Development Schedule'!F145:F147)</f>
        <v>0</v>
      </c>
      <c r="H41" s="229">
        <f ca="1">SUM('Development Schedule'!G145:G147)</f>
        <v>48822</v>
      </c>
      <c r="I41" s="287">
        <f ca="1">SUM('Development Schedule'!H145:H147)</f>
        <v>48822</v>
      </c>
      <c r="J41" s="229">
        <f ca="1">SUM('Development Schedule'!I145:I147)</f>
        <v>0</v>
      </c>
      <c r="K41" s="229">
        <f ca="1">SUM('Development Schedule'!J145:J147)</f>
        <v>0</v>
      </c>
      <c r="L41" s="229">
        <f ca="1">SUM('Development Schedule'!K145:K147)</f>
        <v>0</v>
      </c>
      <c r="M41" s="287">
        <f ca="1">SUM('Development Schedule'!L145:L147)</f>
        <v>0</v>
      </c>
      <c r="N41" s="229">
        <f ca="1">SUM('Development Schedule'!M145:M147)</f>
        <v>0</v>
      </c>
      <c r="O41" s="229">
        <f ca="1">SUM('Development Schedule'!N145:N147)</f>
        <v>0</v>
      </c>
      <c r="P41" s="287">
        <f ca="1">SUM('Development Schedule'!O145:O147)</f>
        <v>0</v>
      </c>
    </row>
    <row r="42" spans="2:16" x14ac:dyDescent="0.25">
      <c r="B42" s="322" t="s">
        <v>286</v>
      </c>
      <c r="C42" s="826">
        <f>$N$6</f>
        <v>0.1</v>
      </c>
      <c r="D42" s="328"/>
      <c r="E42" s="301"/>
      <c r="F42" s="288">
        <f t="shared" ref="F42:P42" si="12">(F$41*$C42/$J6)+E42</f>
        <v>0</v>
      </c>
      <c r="G42" s="329">
        <f t="shared" ca="1" si="12"/>
        <v>0</v>
      </c>
      <c r="H42" s="329">
        <f t="shared" ca="1" si="12"/>
        <v>13.949142857142856</v>
      </c>
      <c r="I42" s="288">
        <f t="shared" ca="1" si="12"/>
        <v>27.898285714285713</v>
      </c>
      <c r="J42" s="329">
        <f t="shared" ca="1" si="12"/>
        <v>27.898285714285713</v>
      </c>
      <c r="K42" s="329">
        <f t="shared" ca="1" si="12"/>
        <v>27.898285714285713</v>
      </c>
      <c r="L42" s="329">
        <f t="shared" ca="1" si="12"/>
        <v>27.898285714285713</v>
      </c>
      <c r="M42" s="288">
        <f t="shared" ca="1" si="12"/>
        <v>27.898285714285713</v>
      </c>
      <c r="N42" s="329">
        <f t="shared" ca="1" si="12"/>
        <v>27.898285714285713</v>
      </c>
      <c r="O42" s="329">
        <f t="shared" ca="1" si="12"/>
        <v>27.898285714285713</v>
      </c>
      <c r="P42" s="288">
        <f t="shared" ca="1" si="12"/>
        <v>27.898285714285713</v>
      </c>
    </row>
    <row r="43" spans="2:16" x14ac:dyDescent="0.25">
      <c r="B43" s="322" t="s">
        <v>287</v>
      </c>
      <c r="C43" s="826">
        <f>$N$7</f>
        <v>0.15</v>
      </c>
      <c r="D43" s="328"/>
      <c r="E43" s="301"/>
      <c r="F43" s="288">
        <f t="shared" ref="F43:P43" si="13">(F$41*$C43/$J7)+E43</f>
        <v>0</v>
      </c>
      <c r="G43" s="329">
        <f t="shared" ca="1" si="13"/>
        <v>0</v>
      </c>
      <c r="H43" s="329">
        <f t="shared" ca="1" si="13"/>
        <v>13.315090909090909</v>
      </c>
      <c r="I43" s="288">
        <f t="shared" ca="1" si="13"/>
        <v>26.630181818181818</v>
      </c>
      <c r="J43" s="329">
        <f t="shared" ca="1" si="13"/>
        <v>26.630181818181818</v>
      </c>
      <c r="K43" s="329">
        <f t="shared" ca="1" si="13"/>
        <v>26.630181818181818</v>
      </c>
      <c r="L43" s="329">
        <f t="shared" ca="1" si="13"/>
        <v>26.630181818181818</v>
      </c>
      <c r="M43" s="288">
        <f t="shared" ca="1" si="13"/>
        <v>26.630181818181818</v>
      </c>
      <c r="N43" s="329">
        <f t="shared" ca="1" si="13"/>
        <v>26.630181818181818</v>
      </c>
      <c r="O43" s="329">
        <f t="shared" ca="1" si="13"/>
        <v>26.630181818181818</v>
      </c>
      <c r="P43" s="288">
        <f t="shared" ca="1" si="13"/>
        <v>26.630181818181818</v>
      </c>
    </row>
    <row r="44" spans="2:16" x14ac:dyDescent="0.25">
      <c r="B44" s="322" t="s">
        <v>288</v>
      </c>
      <c r="C44" s="826">
        <f>$N$8</f>
        <v>0.25</v>
      </c>
      <c r="D44" s="328"/>
      <c r="E44" s="301"/>
      <c r="F44" s="288">
        <f t="shared" ref="F44:P44" si="14">(F$41*$C44/$J8)+E44</f>
        <v>0</v>
      </c>
      <c r="G44" s="329">
        <f t="shared" ca="1" si="14"/>
        <v>0</v>
      </c>
      <c r="H44" s="329">
        <f t="shared" ca="1" si="14"/>
        <v>15.256875000000001</v>
      </c>
      <c r="I44" s="288">
        <f t="shared" ca="1" si="14"/>
        <v>30.513750000000002</v>
      </c>
      <c r="J44" s="329">
        <f t="shared" ca="1" si="14"/>
        <v>30.513750000000002</v>
      </c>
      <c r="K44" s="329">
        <f t="shared" ca="1" si="14"/>
        <v>30.513750000000002</v>
      </c>
      <c r="L44" s="329">
        <f t="shared" ca="1" si="14"/>
        <v>30.513750000000002</v>
      </c>
      <c r="M44" s="288">
        <f t="shared" ca="1" si="14"/>
        <v>30.513750000000002</v>
      </c>
      <c r="N44" s="329">
        <f t="shared" ca="1" si="14"/>
        <v>30.513750000000002</v>
      </c>
      <c r="O44" s="329">
        <f t="shared" ca="1" si="14"/>
        <v>30.513750000000002</v>
      </c>
      <c r="P44" s="288">
        <f t="shared" ca="1" si="14"/>
        <v>30.513750000000002</v>
      </c>
    </row>
    <row r="45" spans="2:16" x14ac:dyDescent="0.25">
      <c r="B45" s="322" t="s">
        <v>289</v>
      </c>
      <c r="C45" s="826">
        <f>$N$9</f>
        <v>0.25</v>
      </c>
      <c r="D45" s="328"/>
      <c r="E45" s="301"/>
      <c r="F45" s="288">
        <f t="shared" ref="F45:P45" si="15">(F$41*$C45/$J9)+E45</f>
        <v>0</v>
      </c>
      <c r="G45" s="329">
        <f t="shared" ca="1" si="15"/>
        <v>0</v>
      </c>
      <c r="H45" s="329">
        <f t="shared" ca="1" si="15"/>
        <v>10.171250000000001</v>
      </c>
      <c r="I45" s="288">
        <f t="shared" ca="1" si="15"/>
        <v>20.342500000000001</v>
      </c>
      <c r="J45" s="329">
        <f t="shared" ca="1" si="15"/>
        <v>20.342500000000001</v>
      </c>
      <c r="K45" s="329">
        <f t="shared" ca="1" si="15"/>
        <v>20.342500000000001</v>
      </c>
      <c r="L45" s="329">
        <f t="shared" ca="1" si="15"/>
        <v>20.342500000000001</v>
      </c>
      <c r="M45" s="288">
        <f t="shared" ca="1" si="15"/>
        <v>20.342500000000001</v>
      </c>
      <c r="N45" s="329">
        <f t="shared" ca="1" si="15"/>
        <v>20.342500000000001</v>
      </c>
      <c r="O45" s="329">
        <f t="shared" ca="1" si="15"/>
        <v>20.342500000000001</v>
      </c>
      <c r="P45" s="288">
        <f t="shared" ca="1" si="15"/>
        <v>20.342500000000001</v>
      </c>
    </row>
    <row r="46" spans="2:16" x14ac:dyDescent="0.25">
      <c r="B46" s="322" t="s">
        <v>290</v>
      </c>
      <c r="C46" s="826">
        <f>$N$10</f>
        <v>0.05</v>
      </c>
      <c r="D46" s="328"/>
      <c r="E46" s="301"/>
      <c r="F46" s="288">
        <f t="shared" ref="F46:P46" si="16">(F$41*$C46/$J10)+E46</f>
        <v>0</v>
      </c>
      <c r="G46" s="329">
        <f t="shared" ca="1" si="16"/>
        <v>0</v>
      </c>
      <c r="H46" s="329">
        <f t="shared" ca="1" si="16"/>
        <v>1.4794545454545454</v>
      </c>
      <c r="I46" s="288">
        <f t="shared" ca="1" si="16"/>
        <v>2.9589090909090907</v>
      </c>
      <c r="J46" s="329">
        <f t="shared" ca="1" si="16"/>
        <v>2.9589090909090907</v>
      </c>
      <c r="K46" s="329">
        <f t="shared" ca="1" si="16"/>
        <v>2.9589090909090907</v>
      </c>
      <c r="L46" s="329">
        <f t="shared" ca="1" si="16"/>
        <v>2.9589090909090907</v>
      </c>
      <c r="M46" s="288">
        <f t="shared" ca="1" si="16"/>
        <v>2.9589090909090907</v>
      </c>
      <c r="N46" s="329">
        <f t="shared" ca="1" si="16"/>
        <v>2.9589090909090907</v>
      </c>
      <c r="O46" s="329">
        <f t="shared" ca="1" si="16"/>
        <v>2.9589090909090907</v>
      </c>
      <c r="P46" s="288">
        <f t="shared" ca="1" si="16"/>
        <v>2.9589090909090907</v>
      </c>
    </row>
    <row r="47" spans="2:16" x14ac:dyDescent="0.25">
      <c r="B47" s="322" t="s">
        <v>291</v>
      </c>
      <c r="C47" s="826">
        <f>$N$13</f>
        <v>0.1</v>
      </c>
      <c r="D47" s="328"/>
      <c r="E47" s="301"/>
      <c r="F47" s="288">
        <f t="shared" ref="F47:P47" si="17">(F$41*$C47/$J13)+E47</f>
        <v>0</v>
      </c>
      <c r="G47" s="329">
        <f t="shared" ca="1" si="17"/>
        <v>0</v>
      </c>
      <c r="H47" s="329">
        <f t="shared" ca="1" si="17"/>
        <v>6.1027499999999995</v>
      </c>
      <c r="I47" s="288">
        <f t="shared" ca="1" si="17"/>
        <v>12.205499999999999</v>
      </c>
      <c r="J47" s="329">
        <f t="shared" ca="1" si="17"/>
        <v>12.205499999999999</v>
      </c>
      <c r="K47" s="329">
        <f t="shared" ca="1" si="17"/>
        <v>12.205499999999999</v>
      </c>
      <c r="L47" s="329">
        <f t="shared" ca="1" si="17"/>
        <v>12.205499999999999</v>
      </c>
      <c r="M47" s="288">
        <f t="shared" ca="1" si="17"/>
        <v>12.205499999999999</v>
      </c>
      <c r="N47" s="329">
        <f t="shared" ca="1" si="17"/>
        <v>12.205499999999999</v>
      </c>
      <c r="O47" s="329">
        <f t="shared" ca="1" si="17"/>
        <v>12.205499999999999</v>
      </c>
      <c r="P47" s="288">
        <f t="shared" ca="1" si="17"/>
        <v>12.205499999999999</v>
      </c>
    </row>
    <row r="48" spans="2:16" x14ac:dyDescent="0.25">
      <c r="B48" s="322" t="s">
        <v>292</v>
      </c>
      <c r="C48" s="826">
        <f>$N$14</f>
        <v>0.1</v>
      </c>
      <c r="D48" s="328"/>
      <c r="E48" s="301"/>
      <c r="F48" s="288">
        <f t="shared" ref="F48:P48" si="18">(F$41*$C48/$J14)+E48</f>
        <v>0</v>
      </c>
      <c r="G48" s="329">
        <f t="shared" ca="1" si="18"/>
        <v>0</v>
      </c>
      <c r="H48" s="329">
        <f t="shared" ca="1" si="18"/>
        <v>4.0685000000000002</v>
      </c>
      <c r="I48" s="288">
        <f t="shared" ca="1" si="18"/>
        <v>8.1370000000000005</v>
      </c>
      <c r="J48" s="329">
        <f t="shared" ca="1" si="18"/>
        <v>8.1370000000000005</v>
      </c>
      <c r="K48" s="329">
        <f t="shared" ca="1" si="18"/>
        <v>8.1370000000000005</v>
      </c>
      <c r="L48" s="329">
        <f t="shared" ca="1" si="18"/>
        <v>8.1370000000000005</v>
      </c>
      <c r="M48" s="288">
        <f t="shared" ca="1" si="18"/>
        <v>8.1370000000000005</v>
      </c>
      <c r="N48" s="329">
        <f t="shared" ca="1" si="18"/>
        <v>8.1370000000000005</v>
      </c>
      <c r="O48" s="329">
        <f t="shared" ca="1" si="18"/>
        <v>8.1370000000000005</v>
      </c>
      <c r="P48" s="288">
        <f t="shared" ca="1" si="18"/>
        <v>8.1370000000000005</v>
      </c>
    </row>
    <row r="49" spans="2:16" x14ac:dyDescent="0.25">
      <c r="B49" s="330" t="s">
        <v>192</v>
      </c>
      <c r="C49" s="331"/>
      <c r="D49" s="328"/>
      <c r="E49" s="302"/>
      <c r="F49" s="289">
        <v>0</v>
      </c>
      <c r="G49" s="332">
        <v>0</v>
      </c>
      <c r="H49" s="332">
        <v>0</v>
      </c>
      <c r="I49" s="289">
        <v>0.5</v>
      </c>
      <c r="J49" s="332">
        <v>0.75</v>
      </c>
      <c r="K49" s="332">
        <v>0.97</v>
      </c>
      <c r="L49" s="332">
        <f t="shared" ref="L49:P49" si="19">K49</f>
        <v>0.97</v>
      </c>
      <c r="M49" s="289">
        <f t="shared" si="19"/>
        <v>0.97</v>
      </c>
      <c r="N49" s="332">
        <f t="shared" si="19"/>
        <v>0.97</v>
      </c>
      <c r="O49" s="332">
        <f t="shared" si="19"/>
        <v>0.97</v>
      </c>
      <c r="P49" s="289">
        <f t="shared" si="19"/>
        <v>0.97</v>
      </c>
    </row>
    <row r="50" spans="2:16" x14ac:dyDescent="0.25">
      <c r="B50" s="330" t="s">
        <v>495</v>
      </c>
      <c r="C50" s="331"/>
      <c r="D50" s="328"/>
      <c r="E50" s="302"/>
      <c r="F50" s="289"/>
      <c r="G50" s="512">
        <f ca="1">SUM(G42:G46)-SUM(F42:F46)</f>
        <v>0</v>
      </c>
      <c r="H50" s="512">
        <f t="shared" ref="H50:P50" ca="1" si="20">SUM(H42:H46)-SUM(G42:G46)</f>
        <v>54.171813311688311</v>
      </c>
      <c r="I50" s="513">
        <f t="shared" ca="1" si="20"/>
        <v>54.171813311688311</v>
      </c>
      <c r="J50" s="512">
        <f t="shared" ca="1" si="20"/>
        <v>0</v>
      </c>
      <c r="K50" s="512">
        <f t="shared" ca="1" si="20"/>
        <v>0</v>
      </c>
      <c r="L50" s="512">
        <f t="shared" ca="1" si="20"/>
        <v>0</v>
      </c>
      <c r="M50" s="513">
        <f t="shared" ca="1" si="20"/>
        <v>0</v>
      </c>
      <c r="N50" s="512">
        <f t="shared" ca="1" si="20"/>
        <v>0</v>
      </c>
      <c r="O50" s="512">
        <f t="shared" ca="1" si="20"/>
        <v>0</v>
      </c>
      <c r="P50" s="513">
        <f t="shared" ca="1" si="20"/>
        <v>0</v>
      </c>
    </row>
    <row r="51" spans="2:16" x14ac:dyDescent="0.25">
      <c r="B51" s="330" t="s">
        <v>496</v>
      </c>
      <c r="C51" s="331"/>
      <c r="D51" s="328"/>
      <c r="E51" s="302"/>
      <c r="F51" s="289"/>
      <c r="G51" s="512">
        <f ca="1">SUM(G47:G48)-SUM(F47:F48)</f>
        <v>0</v>
      </c>
      <c r="H51" s="512">
        <f t="shared" ref="H51:P51" ca="1" si="21">SUM(H47:H48)-SUM(G47:G48)</f>
        <v>10.171250000000001</v>
      </c>
      <c r="I51" s="513">
        <f t="shared" ca="1" si="21"/>
        <v>10.171250000000001</v>
      </c>
      <c r="J51" s="512">
        <f t="shared" ca="1" si="21"/>
        <v>0</v>
      </c>
      <c r="K51" s="512">
        <f t="shared" ca="1" si="21"/>
        <v>0</v>
      </c>
      <c r="L51" s="512">
        <f t="shared" ca="1" si="21"/>
        <v>0</v>
      </c>
      <c r="M51" s="513">
        <f t="shared" ca="1" si="21"/>
        <v>0</v>
      </c>
      <c r="N51" s="512">
        <f t="shared" ca="1" si="21"/>
        <v>0</v>
      </c>
      <c r="O51" s="512">
        <f t="shared" ca="1" si="21"/>
        <v>0</v>
      </c>
      <c r="P51" s="513">
        <f t="shared" ca="1" si="21"/>
        <v>0</v>
      </c>
    </row>
    <row r="52" spans="2:16" x14ac:dyDescent="0.25">
      <c r="B52" s="322"/>
      <c r="C52" s="34"/>
      <c r="D52" s="328"/>
      <c r="E52" s="301"/>
      <c r="F52" s="288"/>
      <c r="G52" s="329"/>
      <c r="H52" s="329"/>
      <c r="I52" s="288"/>
      <c r="J52" s="329"/>
      <c r="K52" s="329"/>
      <c r="L52" s="329"/>
      <c r="M52" s="288"/>
      <c r="N52" s="329"/>
      <c r="O52" s="329"/>
      <c r="P52" s="288"/>
    </row>
    <row r="53" spans="2:16" x14ac:dyDescent="0.25">
      <c r="B53" s="324" t="s">
        <v>279</v>
      </c>
      <c r="C53" s="325">
        <f ca="1">SUM(F53:P53)*D53</f>
        <v>41498.699999999997</v>
      </c>
      <c r="D53" s="326">
        <f>$G$8</f>
        <v>0.85</v>
      </c>
      <c r="E53" s="303"/>
      <c r="F53" s="290">
        <f>SUM('Development Schedule'!E160:E162)</f>
        <v>0</v>
      </c>
      <c r="G53" s="333">
        <f ca="1">SUM('Development Schedule'!F160:F162)</f>
        <v>24411</v>
      </c>
      <c r="H53" s="333">
        <f ca="1">SUM('Development Schedule'!G160:G162)</f>
        <v>24411</v>
      </c>
      <c r="I53" s="290">
        <f ca="1">SUM('Development Schedule'!H160:H162)</f>
        <v>0</v>
      </c>
      <c r="J53" s="333">
        <f ca="1">SUM('Development Schedule'!I160:I162)</f>
        <v>0</v>
      </c>
      <c r="K53" s="333">
        <f ca="1">SUM('Development Schedule'!J160:J162)</f>
        <v>0</v>
      </c>
      <c r="L53" s="333">
        <f ca="1">SUM('Development Schedule'!K160:K162)</f>
        <v>0</v>
      </c>
      <c r="M53" s="290">
        <f ca="1">SUM('Development Schedule'!L160:L162)</f>
        <v>0</v>
      </c>
      <c r="N53" s="333">
        <f ca="1">SUM('Development Schedule'!M160:M162)</f>
        <v>0</v>
      </c>
      <c r="O53" s="333">
        <f ca="1">SUM('Development Schedule'!N160:N162)</f>
        <v>0</v>
      </c>
      <c r="P53" s="290">
        <f ca="1">SUM('Development Schedule'!O160:O162)</f>
        <v>0</v>
      </c>
    </row>
    <row r="54" spans="2:16" x14ac:dyDescent="0.25">
      <c r="B54" s="322" t="s">
        <v>286</v>
      </c>
      <c r="C54" s="826">
        <f>$N$6</f>
        <v>0.1</v>
      </c>
      <c r="D54" s="328"/>
      <c r="E54" s="301"/>
      <c r="F54" s="288">
        <f t="shared" ref="F54:P54" si="22">(F$53*$C54/$J6)+E54</f>
        <v>0</v>
      </c>
      <c r="G54" s="329">
        <f t="shared" ca="1" si="22"/>
        <v>6.9745714285714282</v>
      </c>
      <c r="H54" s="329">
        <f t="shared" ca="1" si="22"/>
        <v>13.949142857142856</v>
      </c>
      <c r="I54" s="288">
        <f t="shared" ca="1" si="22"/>
        <v>13.949142857142856</v>
      </c>
      <c r="J54" s="329">
        <f t="shared" ca="1" si="22"/>
        <v>13.949142857142856</v>
      </c>
      <c r="K54" s="329">
        <f t="shared" ca="1" si="22"/>
        <v>13.949142857142856</v>
      </c>
      <c r="L54" s="329">
        <f t="shared" ca="1" si="22"/>
        <v>13.949142857142856</v>
      </c>
      <c r="M54" s="288">
        <f t="shared" ca="1" si="22"/>
        <v>13.949142857142856</v>
      </c>
      <c r="N54" s="329">
        <f t="shared" ca="1" si="22"/>
        <v>13.949142857142856</v>
      </c>
      <c r="O54" s="329">
        <f t="shared" ca="1" si="22"/>
        <v>13.949142857142856</v>
      </c>
      <c r="P54" s="288">
        <f t="shared" ca="1" si="22"/>
        <v>13.949142857142856</v>
      </c>
    </row>
    <row r="55" spans="2:16" x14ac:dyDescent="0.25">
      <c r="B55" s="322" t="s">
        <v>287</v>
      </c>
      <c r="C55" s="826">
        <f>$N$7</f>
        <v>0.15</v>
      </c>
      <c r="D55" s="328"/>
      <c r="E55" s="301"/>
      <c r="F55" s="288">
        <f t="shared" ref="F55:P55" si="23">(F$53*$C55/$J7)+E55</f>
        <v>0</v>
      </c>
      <c r="G55" s="329">
        <f t="shared" ca="1" si="23"/>
        <v>6.6575454545454544</v>
      </c>
      <c r="H55" s="329">
        <f t="shared" ca="1" si="23"/>
        <v>13.315090909090909</v>
      </c>
      <c r="I55" s="288">
        <f t="shared" ca="1" si="23"/>
        <v>13.315090909090909</v>
      </c>
      <c r="J55" s="329">
        <f t="shared" ca="1" si="23"/>
        <v>13.315090909090909</v>
      </c>
      <c r="K55" s="329">
        <f t="shared" ca="1" si="23"/>
        <v>13.315090909090909</v>
      </c>
      <c r="L55" s="329">
        <f t="shared" ca="1" si="23"/>
        <v>13.315090909090909</v>
      </c>
      <c r="M55" s="288">
        <f t="shared" ca="1" si="23"/>
        <v>13.315090909090909</v>
      </c>
      <c r="N55" s="329">
        <f t="shared" ca="1" si="23"/>
        <v>13.315090909090909</v>
      </c>
      <c r="O55" s="329">
        <f t="shared" ca="1" si="23"/>
        <v>13.315090909090909</v>
      </c>
      <c r="P55" s="288">
        <f t="shared" ca="1" si="23"/>
        <v>13.315090909090909</v>
      </c>
    </row>
    <row r="56" spans="2:16" x14ac:dyDescent="0.25">
      <c r="B56" s="322" t="s">
        <v>288</v>
      </c>
      <c r="C56" s="826">
        <f>$N$8</f>
        <v>0.25</v>
      </c>
      <c r="D56" s="328"/>
      <c r="E56" s="301"/>
      <c r="F56" s="288">
        <f t="shared" ref="F56:P56" si="24">(F$53*$C56/$J8)+E56</f>
        <v>0</v>
      </c>
      <c r="G56" s="329">
        <f t="shared" ca="1" si="24"/>
        <v>7.6284375000000004</v>
      </c>
      <c r="H56" s="329">
        <f t="shared" ca="1" si="24"/>
        <v>15.256875000000001</v>
      </c>
      <c r="I56" s="288">
        <f t="shared" ca="1" si="24"/>
        <v>15.256875000000001</v>
      </c>
      <c r="J56" s="329">
        <f t="shared" ca="1" si="24"/>
        <v>15.256875000000001</v>
      </c>
      <c r="K56" s="329">
        <f t="shared" ca="1" si="24"/>
        <v>15.256875000000001</v>
      </c>
      <c r="L56" s="329">
        <f t="shared" ca="1" si="24"/>
        <v>15.256875000000001</v>
      </c>
      <c r="M56" s="288">
        <f t="shared" ca="1" si="24"/>
        <v>15.256875000000001</v>
      </c>
      <c r="N56" s="329">
        <f t="shared" ca="1" si="24"/>
        <v>15.256875000000001</v>
      </c>
      <c r="O56" s="329">
        <f t="shared" ca="1" si="24"/>
        <v>15.256875000000001</v>
      </c>
      <c r="P56" s="288">
        <f t="shared" ca="1" si="24"/>
        <v>15.256875000000001</v>
      </c>
    </row>
    <row r="57" spans="2:16" x14ac:dyDescent="0.25">
      <c r="B57" s="322" t="s">
        <v>289</v>
      </c>
      <c r="C57" s="826">
        <f>$N$9</f>
        <v>0.25</v>
      </c>
      <c r="D57" s="328"/>
      <c r="E57" s="301"/>
      <c r="F57" s="288">
        <f t="shared" ref="F57:P57" si="25">(F$53*$C57/$J9)+E57</f>
        <v>0</v>
      </c>
      <c r="G57" s="329">
        <f t="shared" ca="1" si="25"/>
        <v>5.0856250000000003</v>
      </c>
      <c r="H57" s="329">
        <f t="shared" ca="1" si="25"/>
        <v>10.171250000000001</v>
      </c>
      <c r="I57" s="288">
        <f t="shared" ca="1" si="25"/>
        <v>10.171250000000001</v>
      </c>
      <c r="J57" s="329">
        <f t="shared" ca="1" si="25"/>
        <v>10.171250000000001</v>
      </c>
      <c r="K57" s="329">
        <f t="shared" ca="1" si="25"/>
        <v>10.171250000000001</v>
      </c>
      <c r="L57" s="329">
        <f t="shared" ca="1" si="25"/>
        <v>10.171250000000001</v>
      </c>
      <c r="M57" s="288">
        <f t="shared" ca="1" si="25"/>
        <v>10.171250000000001</v>
      </c>
      <c r="N57" s="329">
        <f t="shared" ca="1" si="25"/>
        <v>10.171250000000001</v>
      </c>
      <c r="O57" s="329">
        <f t="shared" ca="1" si="25"/>
        <v>10.171250000000001</v>
      </c>
      <c r="P57" s="288">
        <f t="shared" ca="1" si="25"/>
        <v>10.171250000000001</v>
      </c>
    </row>
    <row r="58" spans="2:16" x14ac:dyDescent="0.25">
      <c r="B58" s="322" t="s">
        <v>290</v>
      </c>
      <c r="C58" s="826">
        <f>$N$10</f>
        <v>0.05</v>
      </c>
      <c r="D58" s="328"/>
      <c r="E58" s="301"/>
      <c r="F58" s="288">
        <f t="shared" ref="F58:P58" si="26">(F$53*$C58/$J10)+E58</f>
        <v>0</v>
      </c>
      <c r="G58" s="329">
        <f t="shared" ca="1" si="26"/>
        <v>0.73972727272727268</v>
      </c>
      <c r="H58" s="329">
        <f t="shared" ca="1" si="26"/>
        <v>1.4794545454545454</v>
      </c>
      <c r="I58" s="288">
        <f t="shared" ca="1" si="26"/>
        <v>1.4794545454545454</v>
      </c>
      <c r="J58" s="329">
        <f t="shared" ca="1" si="26"/>
        <v>1.4794545454545454</v>
      </c>
      <c r="K58" s="329">
        <f t="shared" ca="1" si="26"/>
        <v>1.4794545454545454</v>
      </c>
      <c r="L58" s="329">
        <f t="shared" ca="1" si="26"/>
        <v>1.4794545454545454</v>
      </c>
      <c r="M58" s="288">
        <f t="shared" ca="1" si="26"/>
        <v>1.4794545454545454</v>
      </c>
      <c r="N58" s="329">
        <f t="shared" ca="1" si="26"/>
        <v>1.4794545454545454</v>
      </c>
      <c r="O58" s="329">
        <f t="shared" ca="1" si="26"/>
        <v>1.4794545454545454</v>
      </c>
      <c r="P58" s="288">
        <f t="shared" ca="1" si="26"/>
        <v>1.4794545454545454</v>
      </c>
    </row>
    <row r="59" spans="2:16" x14ac:dyDescent="0.25">
      <c r="B59" s="322" t="s">
        <v>291</v>
      </c>
      <c r="C59" s="826">
        <f>$N$13</f>
        <v>0.1</v>
      </c>
      <c r="D59" s="328"/>
      <c r="E59" s="301"/>
      <c r="F59" s="288">
        <f t="shared" ref="F59:P59" si="27">(F$53*$C59/$J13)+E59</f>
        <v>0</v>
      </c>
      <c r="G59" s="329">
        <f t="shared" ca="1" si="27"/>
        <v>3.0513749999999997</v>
      </c>
      <c r="H59" s="329">
        <f t="shared" ca="1" si="27"/>
        <v>6.1027499999999995</v>
      </c>
      <c r="I59" s="288">
        <f t="shared" ca="1" si="27"/>
        <v>6.1027499999999995</v>
      </c>
      <c r="J59" s="329">
        <f t="shared" ca="1" si="27"/>
        <v>6.1027499999999995</v>
      </c>
      <c r="K59" s="329">
        <f t="shared" ca="1" si="27"/>
        <v>6.1027499999999995</v>
      </c>
      <c r="L59" s="329">
        <f t="shared" ca="1" si="27"/>
        <v>6.1027499999999995</v>
      </c>
      <c r="M59" s="288">
        <f t="shared" ca="1" si="27"/>
        <v>6.1027499999999995</v>
      </c>
      <c r="N59" s="329">
        <f t="shared" ca="1" si="27"/>
        <v>6.1027499999999995</v>
      </c>
      <c r="O59" s="329">
        <f t="shared" ca="1" si="27"/>
        <v>6.1027499999999995</v>
      </c>
      <c r="P59" s="288">
        <f t="shared" ca="1" si="27"/>
        <v>6.1027499999999995</v>
      </c>
    </row>
    <row r="60" spans="2:16" x14ac:dyDescent="0.25">
      <c r="B60" s="322" t="s">
        <v>292</v>
      </c>
      <c r="C60" s="826">
        <f>$N$14</f>
        <v>0.1</v>
      </c>
      <c r="D60" s="328"/>
      <c r="E60" s="301"/>
      <c r="F60" s="288">
        <f t="shared" ref="F60:P60" si="28">(F$53*$C60/$J14)+E60</f>
        <v>0</v>
      </c>
      <c r="G60" s="329">
        <f t="shared" ca="1" si="28"/>
        <v>2.0342500000000001</v>
      </c>
      <c r="H60" s="329">
        <f t="shared" ca="1" si="28"/>
        <v>4.0685000000000002</v>
      </c>
      <c r="I60" s="288">
        <f t="shared" ca="1" si="28"/>
        <v>4.0685000000000002</v>
      </c>
      <c r="J60" s="329">
        <f t="shared" ca="1" si="28"/>
        <v>4.0685000000000002</v>
      </c>
      <c r="K60" s="329">
        <f t="shared" ca="1" si="28"/>
        <v>4.0685000000000002</v>
      </c>
      <c r="L60" s="329">
        <f t="shared" ca="1" si="28"/>
        <v>4.0685000000000002</v>
      </c>
      <c r="M60" s="288">
        <f t="shared" ca="1" si="28"/>
        <v>4.0685000000000002</v>
      </c>
      <c r="N60" s="329">
        <f t="shared" ca="1" si="28"/>
        <v>4.0685000000000002</v>
      </c>
      <c r="O60" s="329">
        <f t="shared" ca="1" si="28"/>
        <v>4.0685000000000002</v>
      </c>
      <c r="P60" s="288">
        <f t="shared" ca="1" si="28"/>
        <v>4.0685000000000002</v>
      </c>
    </row>
    <row r="61" spans="2:16" x14ac:dyDescent="0.25">
      <c r="B61" s="330" t="s">
        <v>192</v>
      </c>
      <c r="C61" s="331"/>
      <c r="D61" s="328"/>
      <c r="E61" s="302"/>
      <c r="F61" s="289">
        <v>0</v>
      </c>
      <c r="G61" s="332">
        <v>0</v>
      </c>
      <c r="H61" s="332">
        <v>0.5</v>
      </c>
      <c r="I61" s="289">
        <v>0.75</v>
      </c>
      <c r="J61" s="332">
        <v>0.97</v>
      </c>
      <c r="K61" s="332">
        <f>J61</f>
        <v>0.97</v>
      </c>
      <c r="L61" s="332">
        <f t="shared" ref="L61:P61" si="29">K61</f>
        <v>0.97</v>
      </c>
      <c r="M61" s="289">
        <f t="shared" si="29"/>
        <v>0.97</v>
      </c>
      <c r="N61" s="332">
        <f t="shared" si="29"/>
        <v>0.97</v>
      </c>
      <c r="O61" s="332">
        <f t="shared" si="29"/>
        <v>0.97</v>
      </c>
      <c r="P61" s="289">
        <f t="shared" si="29"/>
        <v>0.97</v>
      </c>
    </row>
    <row r="62" spans="2:16" x14ac:dyDescent="0.25">
      <c r="B62" s="330" t="s">
        <v>495</v>
      </c>
      <c r="C62" s="331"/>
      <c r="D62" s="328"/>
      <c r="E62" s="302"/>
      <c r="F62" s="289"/>
      <c r="G62" s="512">
        <f ca="1">SUM(G54:G58)-SUM(F54:F58)</f>
        <v>27.085906655844155</v>
      </c>
      <c r="H62" s="512">
        <f t="shared" ref="H62:P62" ca="1" si="30">SUM(H54:H58)-SUM(G54:G58)</f>
        <v>27.085906655844155</v>
      </c>
      <c r="I62" s="513">
        <f t="shared" ca="1" si="30"/>
        <v>0</v>
      </c>
      <c r="J62" s="512">
        <f t="shared" ca="1" si="30"/>
        <v>0</v>
      </c>
      <c r="K62" s="512">
        <f t="shared" ca="1" si="30"/>
        <v>0</v>
      </c>
      <c r="L62" s="512">
        <f t="shared" ca="1" si="30"/>
        <v>0</v>
      </c>
      <c r="M62" s="513">
        <f t="shared" ca="1" si="30"/>
        <v>0</v>
      </c>
      <c r="N62" s="512">
        <f t="shared" ca="1" si="30"/>
        <v>0</v>
      </c>
      <c r="O62" s="512">
        <f t="shared" ca="1" si="30"/>
        <v>0</v>
      </c>
      <c r="P62" s="513">
        <f t="shared" ca="1" si="30"/>
        <v>0</v>
      </c>
    </row>
    <row r="63" spans="2:16" x14ac:dyDescent="0.25">
      <c r="B63" s="330" t="s">
        <v>496</v>
      </c>
      <c r="C63" s="331"/>
      <c r="D63" s="328"/>
      <c r="E63" s="302"/>
      <c r="F63" s="289"/>
      <c r="G63" s="512">
        <f ca="1">SUM(G59:G60)-SUM(F59:F60)</f>
        <v>5.0856250000000003</v>
      </c>
      <c r="H63" s="512">
        <f t="shared" ref="H63:P63" ca="1" si="31">SUM(H59:H60)-SUM(G59:G60)</f>
        <v>5.0856250000000003</v>
      </c>
      <c r="I63" s="513">
        <f t="shared" ca="1" si="31"/>
        <v>0</v>
      </c>
      <c r="J63" s="512">
        <f t="shared" ca="1" si="31"/>
        <v>0</v>
      </c>
      <c r="K63" s="512">
        <f t="shared" ca="1" si="31"/>
        <v>0</v>
      </c>
      <c r="L63" s="512">
        <f t="shared" ca="1" si="31"/>
        <v>0</v>
      </c>
      <c r="M63" s="513">
        <f t="shared" ca="1" si="31"/>
        <v>0</v>
      </c>
      <c r="N63" s="512">
        <f t="shared" ca="1" si="31"/>
        <v>0</v>
      </c>
      <c r="O63" s="512">
        <f t="shared" ca="1" si="31"/>
        <v>0</v>
      </c>
      <c r="P63" s="513">
        <f t="shared" ca="1" si="31"/>
        <v>0</v>
      </c>
    </row>
    <row r="64" spans="2:16" x14ac:dyDescent="0.25">
      <c r="B64" s="322"/>
      <c r="C64" s="34"/>
      <c r="D64" s="328"/>
      <c r="E64" s="301"/>
      <c r="F64" s="288"/>
      <c r="G64" s="329"/>
      <c r="H64" s="329"/>
      <c r="I64" s="288"/>
      <c r="J64" s="329"/>
      <c r="K64" s="329"/>
      <c r="L64" s="329"/>
      <c r="M64" s="288"/>
      <c r="N64" s="329"/>
      <c r="O64" s="329"/>
      <c r="P64" s="288"/>
    </row>
    <row r="65" spans="2:16" x14ac:dyDescent="0.25">
      <c r="B65" s="324" t="s">
        <v>280</v>
      </c>
      <c r="C65" s="325">
        <f ca="1">SUM(F65:P65)*D65</f>
        <v>56368.013499999994</v>
      </c>
      <c r="D65" s="326">
        <f>$G$8</f>
        <v>0.85</v>
      </c>
      <c r="E65" s="303"/>
      <c r="F65" s="290">
        <f>SUM('Development Schedule'!E175:E177)</f>
        <v>0</v>
      </c>
      <c r="G65" s="333">
        <f ca="1">SUM('Development Schedule'!F175:F177)</f>
        <v>33157.654999999999</v>
      </c>
      <c r="H65" s="333">
        <f ca="1">SUM('Development Schedule'!G175:G177)</f>
        <v>33157.654999999999</v>
      </c>
      <c r="I65" s="290">
        <f ca="1">SUM('Development Schedule'!H175:H177)</f>
        <v>0</v>
      </c>
      <c r="J65" s="333">
        <f ca="1">SUM('Development Schedule'!I175:I177)</f>
        <v>0</v>
      </c>
      <c r="K65" s="333">
        <f ca="1">SUM('Development Schedule'!J175:J177)</f>
        <v>0</v>
      </c>
      <c r="L65" s="333">
        <f ca="1">SUM('Development Schedule'!K175:K177)</f>
        <v>0</v>
      </c>
      <c r="M65" s="290">
        <f ca="1">SUM('Development Schedule'!L175:L177)</f>
        <v>0</v>
      </c>
      <c r="N65" s="333">
        <f ca="1">SUM('Development Schedule'!M175:M177)</f>
        <v>0</v>
      </c>
      <c r="O65" s="333">
        <f ca="1">SUM('Development Schedule'!N175:N177)</f>
        <v>0</v>
      </c>
      <c r="P65" s="290">
        <f ca="1">SUM('Development Schedule'!O175:O177)</f>
        <v>0</v>
      </c>
    </row>
    <row r="66" spans="2:16" x14ac:dyDescent="0.25">
      <c r="B66" s="322" t="s">
        <v>286</v>
      </c>
      <c r="C66" s="826">
        <f>$N$6</f>
        <v>0.1</v>
      </c>
      <c r="D66" s="328"/>
      <c r="E66" s="301"/>
      <c r="F66" s="288">
        <f t="shared" ref="F66:P66" si="32">(F$65*$C66/$J6)+E66</f>
        <v>0</v>
      </c>
      <c r="G66" s="329">
        <f t="shared" ca="1" si="32"/>
        <v>9.4736157142857138</v>
      </c>
      <c r="H66" s="329">
        <f t="shared" ca="1" si="32"/>
        <v>18.947231428571428</v>
      </c>
      <c r="I66" s="288">
        <f t="shared" ca="1" si="32"/>
        <v>18.947231428571428</v>
      </c>
      <c r="J66" s="329">
        <f t="shared" ca="1" si="32"/>
        <v>18.947231428571428</v>
      </c>
      <c r="K66" s="329">
        <f t="shared" ca="1" si="32"/>
        <v>18.947231428571428</v>
      </c>
      <c r="L66" s="329">
        <f t="shared" ca="1" si="32"/>
        <v>18.947231428571428</v>
      </c>
      <c r="M66" s="288">
        <f t="shared" ca="1" si="32"/>
        <v>18.947231428571428</v>
      </c>
      <c r="N66" s="329">
        <f t="shared" ca="1" si="32"/>
        <v>18.947231428571428</v>
      </c>
      <c r="O66" s="329">
        <f t="shared" ca="1" si="32"/>
        <v>18.947231428571428</v>
      </c>
      <c r="P66" s="288">
        <f t="shared" ca="1" si="32"/>
        <v>18.947231428571428</v>
      </c>
    </row>
    <row r="67" spans="2:16" x14ac:dyDescent="0.25">
      <c r="B67" s="322" t="s">
        <v>287</v>
      </c>
      <c r="C67" s="826">
        <f>$N$7</f>
        <v>0.15</v>
      </c>
      <c r="D67" s="328"/>
      <c r="E67" s="301"/>
      <c r="F67" s="288">
        <f t="shared" ref="F67:P67" si="33">(F$65*$C67/$J7)+E67</f>
        <v>0</v>
      </c>
      <c r="G67" s="329">
        <f t="shared" ca="1" si="33"/>
        <v>9.0429968181818161</v>
      </c>
      <c r="H67" s="329">
        <f t="shared" ca="1" si="33"/>
        <v>18.085993636363632</v>
      </c>
      <c r="I67" s="288">
        <f t="shared" ca="1" si="33"/>
        <v>18.085993636363632</v>
      </c>
      <c r="J67" s="329">
        <f t="shared" ca="1" si="33"/>
        <v>18.085993636363632</v>
      </c>
      <c r="K67" s="329">
        <f t="shared" ca="1" si="33"/>
        <v>18.085993636363632</v>
      </c>
      <c r="L67" s="329">
        <f t="shared" ca="1" si="33"/>
        <v>18.085993636363632</v>
      </c>
      <c r="M67" s="288">
        <f t="shared" ca="1" si="33"/>
        <v>18.085993636363632</v>
      </c>
      <c r="N67" s="329">
        <f t="shared" ca="1" si="33"/>
        <v>18.085993636363632</v>
      </c>
      <c r="O67" s="329">
        <f t="shared" ca="1" si="33"/>
        <v>18.085993636363632</v>
      </c>
      <c r="P67" s="288">
        <f t="shared" ca="1" si="33"/>
        <v>18.085993636363632</v>
      </c>
    </row>
    <row r="68" spans="2:16" x14ac:dyDescent="0.25">
      <c r="B68" s="322" t="s">
        <v>288</v>
      </c>
      <c r="C68" s="826">
        <f>$N$8</f>
        <v>0.25</v>
      </c>
      <c r="D68" s="328"/>
      <c r="E68" s="301"/>
      <c r="F68" s="288">
        <f t="shared" ref="F68:P68" si="34">(F$65*$C68/$J8)+E68</f>
        <v>0</v>
      </c>
      <c r="G68" s="329">
        <f t="shared" ca="1" si="34"/>
        <v>10.3617671875</v>
      </c>
      <c r="H68" s="329">
        <f t="shared" ca="1" si="34"/>
        <v>20.723534375</v>
      </c>
      <c r="I68" s="288">
        <f t="shared" ca="1" si="34"/>
        <v>20.723534375</v>
      </c>
      <c r="J68" s="329">
        <f t="shared" ca="1" si="34"/>
        <v>20.723534375</v>
      </c>
      <c r="K68" s="329">
        <f t="shared" ca="1" si="34"/>
        <v>20.723534375</v>
      </c>
      <c r="L68" s="329">
        <f t="shared" ca="1" si="34"/>
        <v>20.723534375</v>
      </c>
      <c r="M68" s="288">
        <f t="shared" ca="1" si="34"/>
        <v>20.723534375</v>
      </c>
      <c r="N68" s="329">
        <f t="shared" ca="1" si="34"/>
        <v>20.723534375</v>
      </c>
      <c r="O68" s="329">
        <f t="shared" ca="1" si="34"/>
        <v>20.723534375</v>
      </c>
      <c r="P68" s="288">
        <f t="shared" ca="1" si="34"/>
        <v>20.723534375</v>
      </c>
    </row>
    <row r="69" spans="2:16" x14ac:dyDescent="0.25">
      <c r="B69" s="322" t="s">
        <v>289</v>
      </c>
      <c r="C69" s="826">
        <f>$N$9</f>
        <v>0.25</v>
      </c>
      <c r="D69" s="328"/>
      <c r="E69" s="301"/>
      <c r="F69" s="288">
        <f t="shared" ref="F69:P69" si="35">(F$65*$C69/$J9)+E69</f>
        <v>0</v>
      </c>
      <c r="G69" s="329">
        <f t="shared" ca="1" si="35"/>
        <v>6.9078447916666663</v>
      </c>
      <c r="H69" s="329">
        <f t="shared" ca="1" si="35"/>
        <v>13.815689583333333</v>
      </c>
      <c r="I69" s="288">
        <f t="shared" ca="1" si="35"/>
        <v>13.815689583333333</v>
      </c>
      <c r="J69" s="329">
        <f t="shared" ca="1" si="35"/>
        <v>13.815689583333333</v>
      </c>
      <c r="K69" s="329">
        <f t="shared" ca="1" si="35"/>
        <v>13.815689583333333</v>
      </c>
      <c r="L69" s="329">
        <f t="shared" ca="1" si="35"/>
        <v>13.815689583333333</v>
      </c>
      <c r="M69" s="288">
        <f t="shared" ca="1" si="35"/>
        <v>13.815689583333333</v>
      </c>
      <c r="N69" s="329">
        <f t="shared" ca="1" si="35"/>
        <v>13.815689583333333</v>
      </c>
      <c r="O69" s="329">
        <f t="shared" ca="1" si="35"/>
        <v>13.815689583333333</v>
      </c>
      <c r="P69" s="288">
        <f t="shared" ca="1" si="35"/>
        <v>13.815689583333333</v>
      </c>
    </row>
    <row r="70" spans="2:16" x14ac:dyDescent="0.25">
      <c r="B70" s="322" t="s">
        <v>290</v>
      </c>
      <c r="C70" s="826">
        <f>$N$10</f>
        <v>0.05</v>
      </c>
      <c r="D70" s="328"/>
      <c r="E70" s="301"/>
      <c r="F70" s="288">
        <f t="shared" ref="F70:P70" si="36">(F$65*$C70/$J10)+E70</f>
        <v>0</v>
      </c>
      <c r="G70" s="329">
        <f t="shared" ca="1" si="36"/>
        <v>1.0047774242424243</v>
      </c>
      <c r="H70" s="329">
        <f t="shared" ca="1" si="36"/>
        <v>2.0095548484848487</v>
      </c>
      <c r="I70" s="288">
        <f t="shared" ca="1" si="36"/>
        <v>2.0095548484848487</v>
      </c>
      <c r="J70" s="329">
        <f t="shared" ca="1" si="36"/>
        <v>2.0095548484848487</v>
      </c>
      <c r="K70" s="329">
        <f t="shared" ca="1" si="36"/>
        <v>2.0095548484848487</v>
      </c>
      <c r="L70" s="329">
        <f t="shared" ca="1" si="36"/>
        <v>2.0095548484848487</v>
      </c>
      <c r="M70" s="288">
        <f t="shared" ca="1" si="36"/>
        <v>2.0095548484848487</v>
      </c>
      <c r="N70" s="329">
        <f t="shared" ca="1" si="36"/>
        <v>2.0095548484848487</v>
      </c>
      <c r="O70" s="329">
        <f t="shared" ca="1" si="36"/>
        <v>2.0095548484848487</v>
      </c>
      <c r="P70" s="288">
        <f t="shared" ca="1" si="36"/>
        <v>2.0095548484848487</v>
      </c>
    </row>
    <row r="71" spans="2:16" x14ac:dyDescent="0.25">
      <c r="B71" s="322" t="s">
        <v>291</v>
      </c>
      <c r="C71" s="826">
        <f>$N$13</f>
        <v>0.1</v>
      </c>
      <c r="D71" s="328"/>
      <c r="E71" s="301"/>
      <c r="F71" s="288">
        <f t="shared" ref="F71:P71" si="37">(F$65*$C71/$J13)+E71</f>
        <v>0</v>
      </c>
      <c r="G71" s="329">
        <f t="shared" ca="1" si="37"/>
        <v>4.1447068749999998</v>
      </c>
      <c r="H71" s="329">
        <f t="shared" ca="1" si="37"/>
        <v>8.2894137499999996</v>
      </c>
      <c r="I71" s="288">
        <f t="shared" ca="1" si="37"/>
        <v>8.2894137499999996</v>
      </c>
      <c r="J71" s="329">
        <f t="shared" ca="1" si="37"/>
        <v>8.2894137499999996</v>
      </c>
      <c r="K71" s="329">
        <f t="shared" ca="1" si="37"/>
        <v>8.2894137499999996</v>
      </c>
      <c r="L71" s="329">
        <f t="shared" ca="1" si="37"/>
        <v>8.2894137499999996</v>
      </c>
      <c r="M71" s="288">
        <f t="shared" ca="1" si="37"/>
        <v>8.2894137499999996</v>
      </c>
      <c r="N71" s="329">
        <f t="shared" ca="1" si="37"/>
        <v>8.2894137499999996</v>
      </c>
      <c r="O71" s="329">
        <f t="shared" ca="1" si="37"/>
        <v>8.2894137499999996</v>
      </c>
      <c r="P71" s="288">
        <f t="shared" ca="1" si="37"/>
        <v>8.2894137499999996</v>
      </c>
    </row>
    <row r="72" spans="2:16" x14ac:dyDescent="0.25">
      <c r="B72" s="322" t="s">
        <v>292</v>
      </c>
      <c r="C72" s="826">
        <f>$N$14</f>
        <v>0.1</v>
      </c>
      <c r="D72" s="328"/>
      <c r="E72" s="301"/>
      <c r="F72" s="288">
        <f t="shared" ref="F72:P72" si="38">(F$65*$C72/$J14)+E72</f>
        <v>0</v>
      </c>
      <c r="G72" s="329">
        <f t="shared" ca="1" si="38"/>
        <v>2.7631379166666665</v>
      </c>
      <c r="H72" s="329">
        <f t="shared" ca="1" si="38"/>
        <v>5.5262758333333331</v>
      </c>
      <c r="I72" s="288">
        <f t="shared" ca="1" si="38"/>
        <v>5.5262758333333331</v>
      </c>
      <c r="J72" s="329">
        <f t="shared" ca="1" si="38"/>
        <v>5.5262758333333331</v>
      </c>
      <c r="K72" s="329">
        <f t="shared" ca="1" si="38"/>
        <v>5.5262758333333331</v>
      </c>
      <c r="L72" s="329">
        <f t="shared" ca="1" si="38"/>
        <v>5.5262758333333331</v>
      </c>
      <c r="M72" s="288">
        <f t="shared" ca="1" si="38"/>
        <v>5.5262758333333331</v>
      </c>
      <c r="N72" s="329">
        <f t="shared" ca="1" si="38"/>
        <v>5.5262758333333331</v>
      </c>
      <c r="O72" s="329">
        <f t="shared" ca="1" si="38"/>
        <v>5.5262758333333331</v>
      </c>
      <c r="P72" s="288">
        <f t="shared" ca="1" si="38"/>
        <v>5.5262758333333331</v>
      </c>
    </row>
    <row r="73" spans="2:16" x14ac:dyDescent="0.25">
      <c r="B73" s="330" t="s">
        <v>192</v>
      </c>
      <c r="C73" s="331"/>
      <c r="D73" s="328"/>
      <c r="E73" s="302"/>
      <c r="F73" s="289">
        <v>0</v>
      </c>
      <c r="G73" s="332">
        <v>0</v>
      </c>
      <c r="H73" s="332">
        <v>0.5</v>
      </c>
      <c r="I73" s="289">
        <v>0.75</v>
      </c>
      <c r="J73" s="332">
        <v>0.97</v>
      </c>
      <c r="K73" s="332">
        <f>J73</f>
        <v>0.97</v>
      </c>
      <c r="L73" s="332">
        <f t="shared" ref="L73:P73" si="39">K73</f>
        <v>0.97</v>
      </c>
      <c r="M73" s="289">
        <f t="shared" si="39"/>
        <v>0.97</v>
      </c>
      <c r="N73" s="332">
        <f t="shared" si="39"/>
        <v>0.97</v>
      </c>
      <c r="O73" s="332">
        <f t="shared" si="39"/>
        <v>0.97</v>
      </c>
      <c r="P73" s="289">
        <f t="shared" si="39"/>
        <v>0.97</v>
      </c>
    </row>
    <row r="74" spans="2:16" x14ac:dyDescent="0.25">
      <c r="B74" s="330" t="s">
        <v>495</v>
      </c>
      <c r="C74" s="331"/>
      <c r="D74" s="328"/>
      <c r="E74" s="302"/>
      <c r="F74" s="289"/>
      <c r="G74" s="512">
        <f ca="1">SUM(G66:G70)-SUM(F66:F70)</f>
        <v>36.791001935876622</v>
      </c>
      <c r="H74" s="512">
        <f t="shared" ref="H74:P74" ca="1" si="40">SUM(H66:H70)-SUM(G66:G70)</f>
        <v>36.791001935876622</v>
      </c>
      <c r="I74" s="513">
        <f t="shared" ca="1" si="40"/>
        <v>0</v>
      </c>
      <c r="J74" s="512">
        <f t="shared" ca="1" si="40"/>
        <v>0</v>
      </c>
      <c r="K74" s="512">
        <f t="shared" ca="1" si="40"/>
        <v>0</v>
      </c>
      <c r="L74" s="512">
        <f t="shared" ca="1" si="40"/>
        <v>0</v>
      </c>
      <c r="M74" s="513">
        <f t="shared" ca="1" si="40"/>
        <v>0</v>
      </c>
      <c r="N74" s="512">
        <f t="shared" ca="1" si="40"/>
        <v>0</v>
      </c>
      <c r="O74" s="512">
        <f t="shared" ca="1" si="40"/>
        <v>0</v>
      </c>
      <c r="P74" s="513">
        <f t="shared" ca="1" si="40"/>
        <v>0</v>
      </c>
    </row>
    <row r="75" spans="2:16" x14ac:dyDescent="0.25">
      <c r="B75" s="330" t="s">
        <v>496</v>
      </c>
      <c r="C75" s="331"/>
      <c r="D75" s="328"/>
      <c r="E75" s="302"/>
      <c r="F75" s="289"/>
      <c r="G75" s="512">
        <f ca="1">SUM(G71:G72)-SUM(F71:F72)</f>
        <v>6.9078447916666663</v>
      </c>
      <c r="H75" s="512">
        <f t="shared" ref="H75:P75" ca="1" si="41">SUM(H71:H72)-SUM(G71:G72)</f>
        <v>6.9078447916666663</v>
      </c>
      <c r="I75" s="513">
        <f t="shared" ca="1" si="41"/>
        <v>0</v>
      </c>
      <c r="J75" s="512">
        <f t="shared" ca="1" si="41"/>
        <v>0</v>
      </c>
      <c r="K75" s="512">
        <f t="shared" ca="1" si="41"/>
        <v>0</v>
      </c>
      <c r="L75" s="512">
        <f t="shared" ca="1" si="41"/>
        <v>0</v>
      </c>
      <c r="M75" s="513">
        <f t="shared" ca="1" si="41"/>
        <v>0</v>
      </c>
      <c r="N75" s="512">
        <f t="shared" ca="1" si="41"/>
        <v>0</v>
      </c>
      <c r="O75" s="512">
        <f t="shared" ca="1" si="41"/>
        <v>0</v>
      </c>
      <c r="P75" s="513">
        <f t="shared" ca="1" si="41"/>
        <v>0</v>
      </c>
    </row>
    <row r="76" spans="2:16" x14ac:dyDescent="0.25">
      <c r="B76" s="322"/>
      <c r="C76" s="34"/>
      <c r="D76" s="328"/>
      <c r="E76" s="301"/>
      <c r="F76" s="288"/>
      <c r="G76" s="329"/>
      <c r="H76" s="329"/>
      <c r="I76" s="288"/>
      <c r="J76" s="329"/>
      <c r="K76" s="329"/>
      <c r="L76" s="329"/>
      <c r="M76" s="288"/>
      <c r="N76" s="329"/>
      <c r="O76" s="329"/>
      <c r="P76" s="288"/>
    </row>
    <row r="77" spans="2:16" x14ac:dyDescent="0.25">
      <c r="B77" s="324" t="s">
        <v>281</v>
      </c>
      <c r="C77" s="325">
        <f ca="1">SUM(F77:P77)*D77</f>
        <v>66453</v>
      </c>
      <c r="D77" s="326">
        <f>$G$8</f>
        <v>0.85</v>
      </c>
      <c r="E77" s="303"/>
      <c r="F77" s="290">
        <f>SUM('Development Schedule'!E250:E252)</f>
        <v>0</v>
      </c>
      <c r="G77" s="333">
        <f ca="1">SUM('Development Schedule'!F250:F252)</f>
        <v>0</v>
      </c>
      <c r="H77" s="333">
        <f ca="1">SUM('Development Schedule'!G250:G252)</f>
        <v>0</v>
      </c>
      <c r="I77" s="290">
        <f ca="1">SUM('Development Schedule'!H250:H252)</f>
        <v>0</v>
      </c>
      <c r="J77" s="333">
        <f ca="1">SUM('Development Schedule'!I250:I252)</f>
        <v>0</v>
      </c>
      <c r="K77" s="333">
        <f ca="1">SUM('Development Schedule'!J250:J252)</f>
        <v>39090</v>
      </c>
      <c r="L77" s="333">
        <f ca="1">SUM('Development Schedule'!K250:K252)</f>
        <v>39090</v>
      </c>
      <c r="M77" s="290">
        <f ca="1">SUM('Development Schedule'!L250:L252)</f>
        <v>0</v>
      </c>
      <c r="N77" s="333">
        <f ca="1">SUM('Development Schedule'!M250:M252)</f>
        <v>0</v>
      </c>
      <c r="O77" s="333">
        <f ca="1">SUM('Development Schedule'!N250:N252)</f>
        <v>0</v>
      </c>
      <c r="P77" s="290">
        <f ca="1">SUM('Development Schedule'!O250:O252)</f>
        <v>0</v>
      </c>
    </row>
    <row r="78" spans="2:16" x14ac:dyDescent="0.25">
      <c r="B78" s="322" t="s">
        <v>286</v>
      </c>
      <c r="C78" s="826">
        <f>$N$6</f>
        <v>0.1</v>
      </c>
      <c r="D78" s="328"/>
      <c r="E78" s="301"/>
      <c r="F78" s="288">
        <f t="shared" ref="F78:P78" si="42">(F$77*$C78/$J6)+E78</f>
        <v>0</v>
      </c>
      <c r="G78" s="329">
        <f t="shared" ca="1" si="42"/>
        <v>0</v>
      </c>
      <c r="H78" s="329">
        <f t="shared" ca="1" si="42"/>
        <v>0</v>
      </c>
      <c r="I78" s="288">
        <f t="shared" ca="1" si="42"/>
        <v>0</v>
      </c>
      <c r="J78" s="329">
        <f t="shared" ca="1" si="42"/>
        <v>0</v>
      </c>
      <c r="K78" s="329">
        <f t="shared" ca="1" si="42"/>
        <v>11.168571428571429</v>
      </c>
      <c r="L78" s="329">
        <f t="shared" ca="1" si="42"/>
        <v>22.337142857142858</v>
      </c>
      <c r="M78" s="288">
        <f t="shared" ca="1" si="42"/>
        <v>22.337142857142858</v>
      </c>
      <c r="N78" s="329">
        <f t="shared" ca="1" si="42"/>
        <v>22.337142857142858</v>
      </c>
      <c r="O78" s="329">
        <f t="shared" ca="1" si="42"/>
        <v>22.337142857142858</v>
      </c>
      <c r="P78" s="288">
        <f t="shared" ca="1" si="42"/>
        <v>22.337142857142858</v>
      </c>
    </row>
    <row r="79" spans="2:16" x14ac:dyDescent="0.25">
      <c r="B79" s="322" t="s">
        <v>287</v>
      </c>
      <c r="C79" s="826">
        <f>$N$7</f>
        <v>0.15</v>
      </c>
      <c r="D79" s="328"/>
      <c r="E79" s="301"/>
      <c r="F79" s="288">
        <f t="shared" ref="F79:P79" si="43">(F$77*$C79/$J7)+E79</f>
        <v>0</v>
      </c>
      <c r="G79" s="329">
        <f t="shared" ca="1" si="43"/>
        <v>0</v>
      </c>
      <c r="H79" s="329">
        <f t="shared" ca="1" si="43"/>
        <v>0</v>
      </c>
      <c r="I79" s="288">
        <f t="shared" ca="1" si="43"/>
        <v>0</v>
      </c>
      <c r="J79" s="329">
        <f t="shared" ca="1" si="43"/>
        <v>0</v>
      </c>
      <c r="K79" s="329">
        <f t="shared" ca="1" si="43"/>
        <v>10.66090909090909</v>
      </c>
      <c r="L79" s="329">
        <f t="shared" ca="1" si="43"/>
        <v>21.32181818181818</v>
      </c>
      <c r="M79" s="288">
        <f t="shared" ca="1" si="43"/>
        <v>21.32181818181818</v>
      </c>
      <c r="N79" s="329">
        <f t="shared" ca="1" si="43"/>
        <v>21.32181818181818</v>
      </c>
      <c r="O79" s="329">
        <f t="shared" ca="1" si="43"/>
        <v>21.32181818181818</v>
      </c>
      <c r="P79" s="288">
        <f t="shared" ca="1" si="43"/>
        <v>21.32181818181818</v>
      </c>
    </row>
    <row r="80" spans="2:16" x14ac:dyDescent="0.25">
      <c r="B80" s="322" t="s">
        <v>288</v>
      </c>
      <c r="C80" s="826">
        <f>$N$8</f>
        <v>0.25</v>
      </c>
      <c r="D80" s="328"/>
      <c r="E80" s="301"/>
      <c r="F80" s="288">
        <f t="shared" ref="F80:P80" si="44">(F$77*$C80/$J8)+E80</f>
        <v>0</v>
      </c>
      <c r="G80" s="329">
        <f t="shared" ca="1" si="44"/>
        <v>0</v>
      </c>
      <c r="H80" s="329">
        <f t="shared" ca="1" si="44"/>
        <v>0</v>
      </c>
      <c r="I80" s="288">
        <f t="shared" ca="1" si="44"/>
        <v>0</v>
      </c>
      <c r="J80" s="329">
        <f t="shared" ca="1" si="44"/>
        <v>0</v>
      </c>
      <c r="K80" s="329">
        <f t="shared" ca="1" si="44"/>
        <v>12.215624999999999</v>
      </c>
      <c r="L80" s="329">
        <f t="shared" ca="1" si="44"/>
        <v>24.431249999999999</v>
      </c>
      <c r="M80" s="288">
        <f t="shared" ca="1" si="44"/>
        <v>24.431249999999999</v>
      </c>
      <c r="N80" s="329">
        <f t="shared" ca="1" si="44"/>
        <v>24.431249999999999</v>
      </c>
      <c r="O80" s="329">
        <f t="shared" ca="1" si="44"/>
        <v>24.431249999999999</v>
      </c>
      <c r="P80" s="288">
        <f t="shared" ca="1" si="44"/>
        <v>24.431249999999999</v>
      </c>
    </row>
    <row r="81" spans="2:16" x14ac:dyDescent="0.25">
      <c r="B81" s="322" t="s">
        <v>289</v>
      </c>
      <c r="C81" s="826">
        <f>$N$9</f>
        <v>0.25</v>
      </c>
      <c r="D81" s="328"/>
      <c r="E81" s="301"/>
      <c r="F81" s="288">
        <f t="shared" ref="F81:P81" si="45">(F$77*$C81/$J9)+E81</f>
        <v>0</v>
      </c>
      <c r="G81" s="329">
        <f t="shared" ca="1" si="45"/>
        <v>0</v>
      </c>
      <c r="H81" s="329">
        <f t="shared" ca="1" si="45"/>
        <v>0</v>
      </c>
      <c r="I81" s="288">
        <f t="shared" ca="1" si="45"/>
        <v>0</v>
      </c>
      <c r="J81" s="329">
        <f t="shared" ca="1" si="45"/>
        <v>0</v>
      </c>
      <c r="K81" s="329">
        <f t="shared" ca="1" si="45"/>
        <v>8.1437500000000007</v>
      </c>
      <c r="L81" s="329">
        <f t="shared" ca="1" si="45"/>
        <v>16.287500000000001</v>
      </c>
      <c r="M81" s="288">
        <f t="shared" ca="1" si="45"/>
        <v>16.287500000000001</v>
      </c>
      <c r="N81" s="329">
        <f t="shared" ca="1" si="45"/>
        <v>16.287500000000001</v>
      </c>
      <c r="O81" s="329">
        <f t="shared" ca="1" si="45"/>
        <v>16.287500000000001</v>
      </c>
      <c r="P81" s="288">
        <f t="shared" ca="1" si="45"/>
        <v>16.287500000000001</v>
      </c>
    </row>
    <row r="82" spans="2:16" x14ac:dyDescent="0.25">
      <c r="B82" s="322" t="s">
        <v>290</v>
      </c>
      <c r="C82" s="826">
        <f>$N$10</f>
        <v>0.05</v>
      </c>
      <c r="D82" s="328"/>
      <c r="E82" s="301"/>
      <c r="F82" s="288">
        <f t="shared" ref="F82:P82" si="46">(F$77*$C82/$J10)+E82</f>
        <v>0</v>
      </c>
      <c r="G82" s="329">
        <f t="shared" ca="1" si="46"/>
        <v>0</v>
      </c>
      <c r="H82" s="329">
        <f t="shared" ca="1" si="46"/>
        <v>0</v>
      </c>
      <c r="I82" s="288">
        <f t="shared" ca="1" si="46"/>
        <v>0</v>
      </c>
      <c r="J82" s="329">
        <f t="shared" ca="1" si="46"/>
        <v>0</v>
      </c>
      <c r="K82" s="329">
        <f t="shared" ca="1" si="46"/>
        <v>1.1845454545454546</v>
      </c>
      <c r="L82" s="329">
        <f t="shared" ca="1" si="46"/>
        <v>2.3690909090909091</v>
      </c>
      <c r="M82" s="288">
        <f t="shared" ca="1" si="46"/>
        <v>2.3690909090909091</v>
      </c>
      <c r="N82" s="329">
        <f t="shared" ca="1" si="46"/>
        <v>2.3690909090909091</v>
      </c>
      <c r="O82" s="329">
        <f t="shared" ca="1" si="46"/>
        <v>2.3690909090909091</v>
      </c>
      <c r="P82" s="288">
        <f t="shared" ca="1" si="46"/>
        <v>2.3690909090909091</v>
      </c>
    </row>
    <row r="83" spans="2:16" x14ac:dyDescent="0.25">
      <c r="B83" s="322" t="s">
        <v>291</v>
      </c>
      <c r="C83" s="826">
        <f>$N$13</f>
        <v>0.1</v>
      </c>
      <c r="D83" s="328"/>
      <c r="E83" s="301"/>
      <c r="F83" s="288">
        <f t="shared" ref="F83:P83" si="47">(F$77*$C83/$J13)+E83</f>
        <v>0</v>
      </c>
      <c r="G83" s="329">
        <f t="shared" ca="1" si="47"/>
        <v>0</v>
      </c>
      <c r="H83" s="329">
        <f t="shared" ca="1" si="47"/>
        <v>0</v>
      </c>
      <c r="I83" s="288">
        <f t="shared" ca="1" si="47"/>
        <v>0</v>
      </c>
      <c r="J83" s="329">
        <f t="shared" ca="1" si="47"/>
        <v>0</v>
      </c>
      <c r="K83" s="329">
        <f t="shared" ca="1" si="47"/>
        <v>4.8862500000000004</v>
      </c>
      <c r="L83" s="329">
        <f t="shared" ca="1" si="47"/>
        <v>9.7725000000000009</v>
      </c>
      <c r="M83" s="288">
        <f t="shared" ca="1" si="47"/>
        <v>9.7725000000000009</v>
      </c>
      <c r="N83" s="329">
        <f t="shared" ca="1" si="47"/>
        <v>9.7725000000000009</v>
      </c>
      <c r="O83" s="329">
        <f t="shared" ca="1" si="47"/>
        <v>9.7725000000000009</v>
      </c>
      <c r="P83" s="288">
        <f t="shared" ca="1" si="47"/>
        <v>9.7725000000000009</v>
      </c>
    </row>
    <row r="84" spans="2:16" x14ac:dyDescent="0.25">
      <c r="B84" s="322" t="s">
        <v>292</v>
      </c>
      <c r="C84" s="826">
        <f>$N$14</f>
        <v>0.1</v>
      </c>
      <c r="D84" s="328"/>
      <c r="E84" s="301"/>
      <c r="F84" s="288">
        <f t="shared" ref="F84:P84" si="48">(F$77*$C84/$J14)+E84</f>
        <v>0</v>
      </c>
      <c r="G84" s="329">
        <f t="shared" ca="1" si="48"/>
        <v>0</v>
      </c>
      <c r="H84" s="329">
        <f t="shared" ca="1" si="48"/>
        <v>0</v>
      </c>
      <c r="I84" s="288">
        <f t="shared" ca="1" si="48"/>
        <v>0</v>
      </c>
      <c r="J84" s="329">
        <f t="shared" ca="1" si="48"/>
        <v>0</v>
      </c>
      <c r="K84" s="329">
        <f t="shared" ca="1" si="48"/>
        <v>3.2574999999999998</v>
      </c>
      <c r="L84" s="329">
        <f t="shared" ca="1" si="48"/>
        <v>6.5149999999999997</v>
      </c>
      <c r="M84" s="288">
        <f t="shared" ca="1" si="48"/>
        <v>6.5149999999999997</v>
      </c>
      <c r="N84" s="329">
        <f t="shared" ca="1" si="48"/>
        <v>6.5149999999999997</v>
      </c>
      <c r="O84" s="329">
        <f t="shared" ca="1" si="48"/>
        <v>6.5149999999999997</v>
      </c>
      <c r="P84" s="288">
        <f t="shared" ca="1" si="48"/>
        <v>6.5149999999999997</v>
      </c>
    </row>
    <row r="85" spans="2:16" x14ac:dyDescent="0.25">
      <c r="B85" s="330" t="s">
        <v>192</v>
      </c>
      <c r="C85" s="331"/>
      <c r="D85" s="328"/>
      <c r="E85" s="302"/>
      <c r="F85" s="289">
        <v>0</v>
      </c>
      <c r="G85" s="332">
        <f>F85</f>
        <v>0</v>
      </c>
      <c r="H85" s="332">
        <f t="shared" ref="H85:I85" si="49">G85</f>
        <v>0</v>
      </c>
      <c r="I85" s="289">
        <f t="shared" si="49"/>
        <v>0</v>
      </c>
      <c r="J85" s="332">
        <v>0</v>
      </c>
      <c r="K85" s="332">
        <v>0</v>
      </c>
      <c r="L85" s="332">
        <v>0.5</v>
      </c>
      <c r="M85" s="289">
        <v>0.75</v>
      </c>
      <c r="N85" s="332">
        <v>0.97</v>
      </c>
      <c r="O85" s="332">
        <f>N85</f>
        <v>0.97</v>
      </c>
      <c r="P85" s="289">
        <f>O85</f>
        <v>0.97</v>
      </c>
    </row>
    <row r="86" spans="2:16" x14ac:dyDescent="0.25">
      <c r="B86" s="330" t="s">
        <v>495</v>
      </c>
      <c r="C86" s="331"/>
      <c r="D86" s="328"/>
      <c r="E86" s="302"/>
      <c r="F86" s="289"/>
      <c r="G86" s="512">
        <f ca="1">SUM(G78:G82)-SUM(F78:F82)</f>
        <v>0</v>
      </c>
      <c r="H86" s="512">
        <f t="shared" ref="H86:P86" ca="1" si="50">SUM(H78:H82)-SUM(G78:G82)</f>
        <v>0</v>
      </c>
      <c r="I86" s="513">
        <f t="shared" ca="1" si="50"/>
        <v>0</v>
      </c>
      <c r="J86" s="512">
        <f t="shared" ca="1" si="50"/>
        <v>0</v>
      </c>
      <c r="K86" s="512">
        <f t="shared" ca="1" si="50"/>
        <v>43.373400974025969</v>
      </c>
      <c r="L86" s="512">
        <f t="shared" ca="1" si="50"/>
        <v>43.373400974025969</v>
      </c>
      <c r="M86" s="513">
        <f t="shared" ca="1" si="50"/>
        <v>0</v>
      </c>
      <c r="N86" s="512">
        <f t="shared" ca="1" si="50"/>
        <v>0</v>
      </c>
      <c r="O86" s="512">
        <f t="shared" ca="1" si="50"/>
        <v>0</v>
      </c>
      <c r="P86" s="513">
        <f t="shared" ca="1" si="50"/>
        <v>0</v>
      </c>
    </row>
    <row r="87" spans="2:16" x14ac:dyDescent="0.25">
      <c r="B87" s="330" t="s">
        <v>496</v>
      </c>
      <c r="C87" s="331"/>
      <c r="D87" s="328"/>
      <c r="E87" s="302"/>
      <c r="F87" s="289"/>
      <c r="G87" s="512">
        <f ca="1">SUM(G83:G84)-SUM(F83:F84)</f>
        <v>0</v>
      </c>
      <c r="H87" s="512">
        <f t="shared" ref="H87:P87" ca="1" si="51">SUM(H83:H84)-SUM(G83:G84)</f>
        <v>0</v>
      </c>
      <c r="I87" s="513">
        <f t="shared" ca="1" si="51"/>
        <v>0</v>
      </c>
      <c r="J87" s="512">
        <f t="shared" ca="1" si="51"/>
        <v>0</v>
      </c>
      <c r="K87" s="512">
        <f t="shared" ca="1" si="51"/>
        <v>8.1437500000000007</v>
      </c>
      <c r="L87" s="512">
        <f t="shared" ca="1" si="51"/>
        <v>8.1437500000000007</v>
      </c>
      <c r="M87" s="513">
        <f t="shared" ca="1" si="51"/>
        <v>0</v>
      </c>
      <c r="N87" s="512">
        <f t="shared" ca="1" si="51"/>
        <v>0</v>
      </c>
      <c r="O87" s="512">
        <f t="shared" ca="1" si="51"/>
        <v>0</v>
      </c>
      <c r="P87" s="513">
        <f t="shared" ca="1" si="51"/>
        <v>0</v>
      </c>
    </row>
    <row r="88" spans="2:16" x14ac:dyDescent="0.25">
      <c r="B88" s="322"/>
      <c r="C88" s="34"/>
      <c r="D88" s="328"/>
      <c r="E88" s="301"/>
      <c r="F88" s="288"/>
      <c r="G88" s="329"/>
      <c r="H88" s="329"/>
      <c r="I88" s="288"/>
      <c r="J88" s="329"/>
      <c r="K88" s="329"/>
      <c r="L88" s="329"/>
      <c r="M88" s="288"/>
      <c r="N88" s="329"/>
      <c r="O88" s="329"/>
      <c r="P88" s="288"/>
    </row>
    <row r="89" spans="2:16" x14ac:dyDescent="0.25">
      <c r="B89" s="323" t="s">
        <v>293</v>
      </c>
      <c r="C89" s="34"/>
      <c r="D89" s="328"/>
      <c r="E89" s="301"/>
      <c r="F89" s="288">
        <f t="shared" ref="F89:F95" si="52">SUM(F$85*F78,F$73*F66,F$61*F54,F$49*F42,F$37*F30)</f>
        <v>0</v>
      </c>
      <c r="G89" s="329">
        <f t="shared" ref="G89:P89" ca="1" si="53">SUM(G$85*G78,G$73*G66,G$61*G54,G$49*G42,G$37*G30)</f>
        <v>0</v>
      </c>
      <c r="H89" s="329">
        <f t="shared" ca="1" si="53"/>
        <v>16.448187142857144</v>
      </c>
      <c r="I89" s="288">
        <f t="shared" ca="1" si="53"/>
        <v>38.621423571428565</v>
      </c>
      <c r="J89" s="329">
        <f t="shared" ca="1" si="53"/>
        <v>52.833197342857133</v>
      </c>
      <c r="K89" s="329">
        <f t="shared" ca="1" si="53"/>
        <v>68.008677342857141</v>
      </c>
      <c r="L89" s="329">
        <f t="shared" ca="1" si="53"/>
        <v>83.696177342857141</v>
      </c>
      <c r="M89" s="288">
        <f t="shared" ca="1" si="53"/>
        <v>93.257120200000003</v>
      </c>
      <c r="N89" s="329">
        <f t="shared" ca="1" si="53"/>
        <v>98.171291628571424</v>
      </c>
      <c r="O89" s="329">
        <f t="shared" ca="1" si="53"/>
        <v>98.171291628571424</v>
      </c>
      <c r="P89" s="288">
        <f t="shared" ca="1" si="53"/>
        <v>98.171291628571424</v>
      </c>
    </row>
    <row r="90" spans="2:16" x14ac:dyDescent="0.25">
      <c r="B90" s="323" t="s">
        <v>294</v>
      </c>
      <c r="C90" s="34"/>
      <c r="D90" s="328"/>
      <c r="E90" s="301"/>
      <c r="F90" s="288">
        <f t="shared" si="52"/>
        <v>0</v>
      </c>
      <c r="G90" s="329">
        <f t="shared" ref="G90:P90" ca="1" si="54">SUM(G$85*G79,G$73*G67,G$61*G55,G$49*G43,G$37*G31)</f>
        <v>0</v>
      </c>
      <c r="H90" s="329">
        <f t="shared" ca="1" si="54"/>
        <v>15.700542272727271</v>
      </c>
      <c r="I90" s="288">
        <f t="shared" ca="1" si="54"/>
        <v>36.865904318181819</v>
      </c>
      <c r="J90" s="329">
        <f t="shared" ca="1" si="54"/>
        <v>50.431688372727265</v>
      </c>
      <c r="K90" s="329">
        <f t="shared" ca="1" si="54"/>
        <v>64.917373827272726</v>
      </c>
      <c r="L90" s="329">
        <f t="shared" ca="1" si="54"/>
        <v>79.891805645454539</v>
      </c>
      <c r="M90" s="288">
        <f t="shared" ca="1" si="54"/>
        <v>89.018160190909086</v>
      </c>
      <c r="N90" s="329">
        <f t="shared" ca="1" si="54"/>
        <v>93.708960190909082</v>
      </c>
      <c r="O90" s="329">
        <f t="shared" ca="1" si="54"/>
        <v>93.708960190909082</v>
      </c>
      <c r="P90" s="288">
        <f t="shared" ca="1" si="54"/>
        <v>93.708960190909082</v>
      </c>
    </row>
    <row r="91" spans="2:16" x14ac:dyDescent="0.25">
      <c r="B91" s="323" t="s">
        <v>295</v>
      </c>
      <c r="C91" s="34"/>
      <c r="D91" s="328"/>
      <c r="E91" s="301"/>
      <c r="F91" s="288">
        <f t="shared" si="52"/>
        <v>0</v>
      </c>
      <c r="G91" s="329">
        <f t="shared" ref="G91:P91" ca="1" si="55">SUM(G$85*G80,G$73*G68,G$61*G56,G$49*G44,G$37*G32)</f>
        <v>0</v>
      </c>
      <c r="H91" s="329">
        <f t="shared" ca="1" si="55"/>
        <v>17.9902046875</v>
      </c>
      <c r="I91" s="288">
        <f t="shared" ca="1" si="55"/>
        <v>42.242182031250003</v>
      </c>
      <c r="J91" s="329">
        <f t="shared" ca="1" si="55"/>
        <v>57.786309593750005</v>
      </c>
      <c r="K91" s="329">
        <f t="shared" ca="1" si="55"/>
        <v>74.384490843750001</v>
      </c>
      <c r="L91" s="329">
        <f t="shared" ca="1" si="55"/>
        <v>91.542693968750001</v>
      </c>
      <c r="M91" s="288">
        <f t="shared" ca="1" si="55"/>
        <v>101.99997521875</v>
      </c>
      <c r="N91" s="329">
        <f t="shared" ca="1" si="55"/>
        <v>107.37485021875</v>
      </c>
      <c r="O91" s="329">
        <f t="shared" ca="1" si="55"/>
        <v>107.37485021875</v>
      </c>
      <c r="P91" s="288">
        <f t="shared" ca="1" si="55"/>
        <v>107.37485021875</v>
      </c>
    </row>
    <row r="92" spans="2:16" x14ac:dyDescent="0.25">
      <c r="B92" s="323" t="s">
        <v>296</v>
      </c>
      <c r="C92" s="34"/>
      <c r="D92" s="76"/>
      <c r="E92" s="301"/>
      <c r="F92" s="288">
        <f t="shared" si="52"/>
        <v>0</v>
      </c>
      <c r="G92" s="329">
        <f t="shared" ref="G92:P92" ca="1" si="56">SUM(G$85*G81,G$73*G69,G$61*G57,G$49*G45,G$37*G33)</f>
        <v>0</v>
      </c>
      <c r="H92" s="329">
        <f t="shared" ca="1" si="56"/>
        <v>11.993469791666666</v>
      </c>
      <c r="I92" s="288">
        <f t="shared" ca="1" si="56"/>
        <v>28.161454687500001</v>
      </c>
      <c r="J92" s="329">
        <f t="shared" ca="1" si="56"/>
        <v>38.524206395833332</v>
      </c>
      <c r="K92" s="329">
        <f t="shared" ca="1" si="56"/>
        <v>49.589660562500001</v>
      </c>
      <c r="L92" s="329">
        <f t="shared" ca="1" si="56"/>
        <v>61.028462645833336</v>
      </c>
      <c r="M92" s="288">
        <f t="shared" ca="1" si="56"/>
        <v>67.999983479166673</v>
      </c>
      <c r="N92" s="329">
        <f t="shared" ca="1" si="56"/>
        <v>71.583233479166665</v>
      </c>
      <c r="O92" s="329">
        <f t="shared" ca="1" si="56"/>
        <v>71.583233479166665</v>
      </c>
      <c r="P92" s="288">
        <f t="shared" ca="1" si="56"/>
        <v>71.583233479166665</v>
      </c>
    </row>
    <row r="93" spans="2:16" x14ac:dyDescent="0.25">
      <c r="B93" s="323" t="s">
        <v>297</v>
      </c>
      <c r="C93" s="34"/>
      <c r="D93" s="76"/>
      <c r="E93" s="301"/>
      <c r="F93" s="288">
        <f t="shared" si="52"/>
        <v>0</v>
      </c>
      <c r="G93" s="329">
        <f t="shared" ref="G93:P93" ca="1" si="57">SUM(G$85*G82,G$73*G70,G$61*G58,G$49*G46,G$37*G34)</f>
        <v>0</v>
      </c>
      <c r="H93" s="329">
        <f t="shared" ca="1" si="57"/>
        <v>1.7445046969696971</v>
      </c>
      <c r="I93" s="288">
        <f t="shared" ca="1" si="57"/>
        <v>4.0962115909090908</v>
      </c>
      <c r="J93" s="329">
        <f t="shared" ca="1" si="57"/>
        <v>5.6035209303030307</v>
      </c>
      <c r="K93" s="329">
        <f t="shared" ca="1" si="57"/>
        <v>7.2130415363636367</v>
      </c>
      <c r="L93" s="329">
        <f t="shared" ca="1" si="57"/>
        <v>8.8768672939393944</v>
      </c>
      <c r="M93" s="288">
        <f t="shared" ca="1" si="57"/>
        <v>9.8909066878787879</v>
      </c>
      <c r="N93" s="329">
        <f t="shared" ca="1" si="57"/>
        <v>10.412106687878786</v>
      </c>
      <c r="O93" s="329">
        <f t="shared" ca="1" si="57"/>
        <v>10.412106687878786</v>
      </c>
      <c r="P93" s="288">
        <f t="shared" ca="1" si="57"/>
        <v>10.412106687878786</v>
      </c>
    </row>
    <row r="94" spans="2:16" x14ac:dyDescent="0.25">
      <c r="B94" s="323" t="s">
        <v>298</v>
      </c>
      <c r="C94" s="34"/>
      <c r="D94" s="76"/>
      <c r="E94" s="301"/>
      <c r="F94" s="288">
        <f t="shared" si="52"/>
        <v>0</v>
      </c>
      <c r="G94" s="329">
        <f t="shared" ref="G94:P94" ca="1" si="58">SUM(G$85*G83,G$73*G71,G$61*G59,G$49*G47,G$37*G35)</f>
        <v>0</v>
      </c>
      <c r="H94" s="329">
        <f t="shared" ca="1" si="58"/>
        <v>7.1960818749999991</v>
      </c>
      <c r="I94" s="288">
        <f t="shared" ca="1" si="58"/>
        <v>16.8968728125</v>
      </c>
      <c r="J94" s="329">
        <f t="shared" ca="1" si="58"/>
        <v>23.114523837499995</v>
      </c>
      <c r="K94" s="329">
        <f t="shared" ca="1" si="58"/>
        <v>29.753796337499995</v>
      </c>
      <c r="L94" s="329">
        <f t="shared" ca="1" si="58"/>
        <v>36.617077587499999</v>
      </c>
      <c r="M94" s="288">
        <f t="shared" ca="1" si="58"/>
        <v>40.799990087499999</v>
      </c>
      <c r="N94" s="329">
        <f t="shared" ca="1" si="58"/>
        <v>42.949940087500003</v>
      </c>
      <c r="O94" s="329">
        <f t="shared" ca="1" si="58"/>
        <v>42.949940087500003</v>
      </c>
      <c r="P94" s="288">
        <f t="shared" ca="1" si="58"/>
        <v>42.949940087500003</v>
      </c>
    </row>
    <row r="95" spans="2:16" x14ac:dyDescent="0.25">
      <c r="B95" s="323" t="s">
        <v>299</v>
      </c>
      <c r="C95" s="34"/>
      <c r="D95" s="76"/>
      <c r="E95" s="301"/>
      <c r="F95" s="288">
        <f t="shared" si="52"/>
        <v>0</v>
      </c>
      <c r="G95" s="329">
        <f t="shared" ref="G95:P95" ca="1" si="59">SUM(G$85*G84,G$73*G72,G$61*G60,G$49*G48,G$37*G36)</f>
        <v>0</v>
      </c>
      <c r="H95" s="329">
        <f t="shared" ca="1" si="59"/>
        <v>4.7973879166666666</v>
      </c>
      <c r="I95" s="288">
        <f t="shared" ca="1" si="59"/>
        <v>11.264581875000001</v>
      </c>
      <c r="J95" s="329">
        <f t="shared" ca="1" si="59"/>
        <v>15.409682558333333</v>
      </c>
      <c r="K95" s="329">
        <f t="shared" ca="1" si="59"/>
        <v>19.835864225000002</v>
      </c>
      <c r="L95" s="329">
        <f t="shared" ca="1" si="59"/>
        <v>24.411385058333334</v>
      </c>
      <c r="M95" s="288">
        <f t="shared" ca="1" si="59"/>
        <v>27.199993391666666</v>
      </c>
      <c r="N95" s="329">
        <f t="shared" ca="1" si="59"/>
        <v>28.633293391666669</v>
      </c>
      <c r="O95" s="329">
        <f t="shared" ca="1" si="59"/>
        <v>28.633293391666669</v>
      </c>
      <c r="P95" s="288">
        <f t="shared" ca="1" si="59"/>
        <v>28.633293391666669</v>
      </c>
    </row>
    <row r="96" spans="2:16" x14ac:dyDescent="0.25">
      <c r="B96" s="322"/>
      <c r="C96" s="76"/>
      <c r="D96" s="123"/>
      <c r="E96" s="301"/>
      <c r="F96" s="286"/>
      <c r="G96" s="226"/>
      <c r="H96" s="226"/>
      <c r="I96" s="309"/>
      <c r="J96" s="226"/>
      <c r="K96" s="226"/>
      <c r="L96" s="226"/>
      <c r="M96" s="286"/>
      <c r="N96" s="226"/>
      <c r="O96" s="226"/>
      <c r="P96" s="286"/>
    </row>
    <row r="97" spans="2:16" x14ac:dyDescent="0.25">
      <c r="B97" s="323" t="s">
        <v>173</v>
      </c>
      <c r="C97" s="34"/>
      <c r="D97" s="123"/>
      <c r="E97" s="301"/>
      <c r="F97" s="291"/>
      <c r="G97" s="240"/>
      <c r="H97" s="240"/>
      <c r="I97" s="291"/>
      <c r="J97" s="240"/>
      <c r="K97" s="240"/>
      <c r="L97" s="240"/>
      <c r="M97" s="291"/>
      <c r="N97" s="240"/>
      <c r="O97" s="240"/>
      <c r="P97" s="291"/>
    </row>
    <row r="98" spans="2:16" x14ac:dyDescent="0.25">
      <c r="B98" s="322" t="s">
        <v>392</v>
      </c>
      <c r="C98" s="334">
        <f>$M$6</f>
        <v>12950</v>
      </c>
      <c r="D98" s="335"/>
      <c r="E98" s="304"/>
      <c r="F98" s="292">
        <f>C98*(1+$C$105)</f>
        <v>13209</v>
      </c>
      <c r="G98" s="336">
        <f t="shared" ref="G98:P98" si="60">F98*(1+$C$105)</f>
        <v>13473.18</v>
      </c>
      <c r="H98" s="336">
        <f t="shared" si="60"/>
        <v>13742.643600000001</v>
      </c>
      <c r="I98" s="292">
        <f t="shared" si="60"/>
        <v>14017.496472000001</v>
      </c>
      <c r="J98" s="336">
        <f t="shared" si="60"/>
        <v>14297.846401440002</v>
      </c>
      <c r="K98" s="336">
        <f t="shared" si="60"/>
        <v>14583.803329468801</v>
      </c>
      <c r="L98" s="336">
        <f t="shared" si="60"/>
        <v>14875.479396058177</v>
      </c>
      <c r="M98" s="292">
        <f t="shared" si="60"/>
        <v>15172.988983979341</v>
      </c>
      <c r="N98" s="336">
        <f t="shared" si="60"/>
        <v>15476.448763658929</v>
      </c>
      <c r="O98" s="336">
        <f t="shared" si="60"/>
        <v>15785.977738932108</v>
      </c>
      <c r="P98" s="292">
        <f t="shared" si="60"/>
        <v>16101.697293710751</v>
      </c>
    </row>
    <row r="99" spans="2:16" x14ac:dyDescent="0.25">
      <c r="B99" s="322" t="s">
        <v>393</v>
      </c>
      <c r="C99" s="337">
        <f>$M$7</f>
        <v>20350</v>
      </c>
      <c r="D99" s="123"/>
      <c r="E99" s="301"/>
      <c r="F99" s="292">
        <f>C99*(1+$C$105)</f>
        <v>20757</v>
      </c>
      <c r="G99" s="336">
        <f t="shared" ref="G99:P99" si="61">F99*(1+$C$105)</f>
        <v>21172.14</v>
      </c>
      <c r="H99" s="336">
        <f t="shared" si="61"/>
        <v>21595.5828</v>
      </c>
      <c r="I99" s="292">
        <f t="shared" si="61"/>
        <v>22027.494456</v>
      </c>
      <c r="J99" s="336">
        <f t="shared" si="61"/>
        <v>22468.044345120001</v>
      </c>
      <c r="K99" s="336">
        <f t="shared" si="61"/>
        <v>22917.4052320224</v>
      </c>
      <c r="L99" s="336">
        <f t="shared" si="61"/>
        <v>23375.753336662849</v>
      </c>
      <c r="M99" s="292">
        <f t="shared" si="61"/>
        <v>23843.268403396105</v>
      </c>
      <c r="N99" s="336">
        <f t="shared" si="61"/>
        <v>24320.133771464029</v>
      </c>
      <c r="O99" s="336">
        <f t="shared" si="61"/>
        <v>24806.536446893311</v>
      </c>
      <c r="P99" s="292">
        <f t="shared" si="61"/>
        <v>25302.667175831179</v>
      </c>
    </row>
    <row r="100" spans="2:16" x14ac:dyDescent="0.25">
      <c r="B100" s="322" t="s">
        <v>394</v>
      </c>
      <c r="C100" s="337">
        <f>$M$8</f>
        <v>32000</v>
      </c>
      <c r="D100" s="123"/>
      <c r="E100" s="301"/>
      <c r="F100" s="292">
        <f>C100*(1+$C$105)</f>
        <v>32640</v>
      </c>
      <c r="G100" s="336">
        <f t="shared" ref="G100:P100" si="62">F100*(1+$C$105)</f>
        <v>33292.800000000003</v>
      </c>
      <c r="H100" s="336">
        <f t="shared" si="62"/>
        <v>33958.656000000003</v>
      </c>
      <c r="I100" s="292">
        <f t="shared" si="62"/>
        <v>34637.829120000002</v>
      </c>
      <c r="J100" s="336">
        <f t="shared" si="62"/>
        <v>35330.5857024</v>
      </c>
      <c r="K100" s="336">
        <f t="shared" si="62"/>
        <v>36037.197416447998</v>
      </c>
      <c r="L100" s="336">
        <f t="shared" si="62"/>
        <v>36757.941364776962</v>
      </c>
      <c r="M100" s="292">
        <f t="shared" si="62"/>
        <v>37493.100192072503</v>
      </c>
      <c r="N100" s="336">
        <f t="shared" si="62"/>
        <v>38242.962195913955</v>
      </c>
      <c r="O100" s="336">
        <f t="shared" si="62"/>
        <v>39007.821439832238</v>
      </c>
      <c r="P100" s="292">
        <f t="shared" si="62"/>
        <v>39787.977868628885</v>
      </c>
    </row>
    <row r="101" spans="2:16" x14ac:dyDescent="0.25">
      <c r="B101" s="322" t="s">
        <v>395</v>
      </c>
      <c r="C101" s="337">
        <f>$M$9</f>
        <v>48000</v>
      </c>
      <c r="D101" s="123"/>
      <c r="E101" s="301"/>
      <c r="F101" s="292">
        <f>C101*(1+$C$105)</f>
        <v>48960</v>
      </c>
      <c r="G101" s="336">
        <f t="shared" ref="G101:P101" si="63">F101*(1+$C$105)</f>
        <v>49939.200000000004</v>
      </c>
      <c r="H101" s="336">
        <f t="shared" si="63"/>
        <v>50937.984000000004</v>
      </c>
      <c r="I101" s="292">
        <f t="shared" si="63"/>
        <v>51956.743680000007</v>
      </c>
      <c r="J101" s="336">
        <f t="shared" si="63"/>
        <v>52995.878553600007</v>
      </c>
      <c r="K101" s="336">
        <f t="shared" si="63"/>
        <v>54055.796124672008</v>
      </c>
      <c r="L101" s="336">
        <f t="shared" si="63"/>
        <v>55136.912047165446</v>
      </c>
      <c r="M101" s="292">
        <f t="shared" si="63"/>
        <v>56239.650288108758</v>
      </c>
      <c r="N101" s="336">
        <f t="shared" si="63"/>
        <v>57364.443293870936</v>
      </c>
      <c r="O101" s="336">
        <f t="shared" si="63"/>
        <v>58511.732159748353</v>
      </c>
      <c r="P101" s="292">
        <f t="shared" si="63"/>
        <v>59681.966802943323</v>
      </c>
    </row>
    <row r="102" spans="2:16" x14ac:dyDescent="0.25">
      <c r="B102" s="322" t="s">
        <v>396</v>
      </c>
      <c r="C102" s="337">
        <f>$M$10</f>
        <v>70950</v>
      </c>
      <c r="D102" s="123"/>
      <c r="E102" s="301"/>
      <c r="F102" s="292">
        <f>C102*(1+$C$105)</f>
        <v>72369</v>
      </c>
      <c r="G102" s="336">
        <f t="shared" ref="G102:P102" si="64">F102*(1+$C$105)</f>
        <v>73816.38</v>
      </c>
      <c r="H102" s="336">
        <f t="shared" si="64"/>
        <v>75292.707600000009</v>
      </c>
      <c r="I102" s="292">
        <f t="shared" si="64"/>
        <v>76798.561752000009</v>
      </c>
      <c r="J102" s="336">
        <f t="shared" si="64"/>
        <v>78334.532987040016</v>
      </c>
      <c r="K102" s="336">
        <f t="shared" si="64"/>
        <v>79901.223646780825</v>
      </c>
      <c r="L102" s="336">
        <f t="shared" si="64"/>
        <v>81499.248119716445</v>
      </c>
      <c r="M102" s="292">
        <f t="shared" si="64"/>
        <v>83129.233082110775</v>
      </c>
      <c r="N102" s="336">
        <f t="shared" si="64"/>
        <v>84791.817743752996</v>
      </c>
      <c r="O102" s="336">
        <f t="shared" si="64"/>
        <v>86487.65409862806</v>
      </c>
      <c r="P102" s="292">
        <f t="shared" si="64"/>
        <v>88217.407180600625</v>
      </c>
    </row>
    <row r="103" spans="2:16" x14ac:dyDescent="0.25">
      <c r="B103" s="322" t="s">
        <v>397</v>
      </c>
      <c r="C103" s="337">
        <f>M13</f>
        <v>14400</v>
      </c>
      <c r="D103" s="123"/>
      <c r="E103" s="301"/>
      <c r="F103" s="292">
        <f t="shared" ref="F103:F104" si="65">C103*(1+$C$105)</f>
        <v>14688</v>
      </c>
      <c r="G103" s="336">
        <f>F103*(1+$C$105)</f>
        <v>14981.76</v>
      </c>
      <c r="H103" s="336">
        <f t="shared" ref="H103:P103" si="66">G103*(1+$C$105)</f>
        <v>15281.395200000001</v>
      </c>
      <c r="I103" s="292">
        <f t="shared" si="66"/>
        <v>15587.023104000002</v>
      </c>
      <c r="J103" s="336">
        <f t="shared" si="66"/>
        <v>15898.763566080002</v>
      </c>
      <c r="K103" s="336">
        <f t="shared" si="66"/>
        <v>16216.738837401603</v>
      </c>
      <c r="L103" s="336">
        <f t="shared" si="66"/>
        <v>16541.073614149635</v>
      </c>
      <c r="M103" s="292">
        <f t="shared" si="66"/>
        <v>16871.895086432629</v>
      </c>
      <c r="N103" s="336">
        <f t="shared" si="66"/>
        <v>17209.332988161281</v>
      </c>
      <c r="O103" s="336">
        <f t="shared" si="66"/>
        <v>17553.519647924506</v>
      </c>
      <c r="P103" s="292">
        <f t="shared" si="66"/>
        <v>17904.590040882995</v>
      </c>
    </row>
    <row r="104" spans="2:16" x14ac:dyDescent="0.25">
      <c r="B104" s="322" t="s">
        <v>398</v>
      </c>
      <c r="C104" s="337">
        <f>M14</f>
        <v>24000</v>
      </c>
      <c r="D104" s="123"/>
      <c r="E104" s="301"/>
      <c r="F104" s="292">
        <f t="shared" si="65"/>
        <v>24480</v>
      </c>
      <c r="G104" s="336">
        <f>F104*(1+$C$105)</f>
        <v>24969.600000000002</v>
      </c>
      <c r="H104" s="336">
        <f t="shared" ref="H104:P104" si="67">G104*(1+$C$105)</f>
        <v>25468.992000000002</v>
      </c>
      <c r="I104" s="292">
        <f t="shared" si="67"/>
        <v>25978.371840000003</v>
      </c>
      <c r="J104" s="336">
        <f t="shared" si="67"/>
        <v>26497.939276800003</v>
      </c>
      <c r="K104" s="336">
        <f t="shared" si="67"/>
        <v>27027.898062336004</v>
      </c>
      <c r="L104" s="336">
        <f t="shared" si="67"/>
        <v>27568.456023582723</v>
      </c>
      <c r="M104" s="292">
        <f t="shared" si="67"/>
        <v>28119.825144054379</v>
      </c>
      <c r="N104" s="336">
        <f t="shared" si="67"/>
        <v>28682.221646935468</v>
      </c>
      <c r="O104" s="336">
        <f t="shared" si="67"/>
        <v>29255.866079874177</v>
      </c>
      <c r="P104" s="292">
        <f t="shared" si="67"/>
        <v>29840.983401471662</v>
      </c>
    </row>
    <row r="105" spans="2:16" x14ac:dyDescent="0.25">
      <c r="B105" s="322" t="s">
        <v>170</v>
      </c>
      <c r="C105" s="338">
        <f>G18</f>
        <v>0.02</v>
      </c>
      <c r="D105" s="123"/>
      <c r="E105" s="301"/>
      <c r="F105" s="293">
        <f t="shared" ref="F105:P105" si="68">$C$105</f>
        <v>0.02</v>
      </c>
      <c r="G105" s="339">
        <f t="shared" si="68"/>
        <v>0.02</v>
      </c>
      <c r="H105" s="339">
        <f t="shared" si="68"/>
        <v>0.02</v>
      </c>
      <c r="I105" s="293">
        <f t="shared" si="68"/>
        <v>0.02</v>
      </c>
      <c r="J105" s="339">
        <f t="shared" si="68"/>
        <v>0.02</v>
      </c>
      <c r="K105" s="339">
        <f t="shared" si="68"/>
        <v>0.02</v>
      </c>
      <c r="L105" s="339">
        <f t="shared" si="68"/>
        <v>0.02</v>
      </c>
      <c r="M105" s="293">
        <f t="shared" si="68"/>
        <v>0.02</v>
      </c>
      <c r="N105" s="339">
        <f t="shared" si="68"/>
        <v>0.02</v>
      </c>
      <c r="O105" s="339">
        <f t="shared" si="68"/>
        <v>0.02</v>
      </c>
      <c r="P105" s="293">
        <f t="shared" si="68"/>
        <v>0.02</v>
      </c>
    </row>
    <row r="106" spans="2:16" x14ac:dyDescent="0.25">
      <c r="B106" s="322"/>
      <c r="C106" s="340"/>
      <c r="D106" s="123"/>
      <c r="E106" s="301"/>
      <c r="F106" s="294"/>
      <c r="G106" s="341"/>
      <c r="H106" s="341"/>
      <c r="I106" s="294"/>
      <c r="J106" s="341"/>
      <c r="K106" s="341"/>
      <c r="L106" s="341"/>
      <c r="M106" s="294"/>
      <c r="N106" s="341"/>
      <c r="O106" s="341"/>
      <c r="P106" s="294"/>
    </row>
    <row r="107" spans="2:16" x14ac:dyDescent="0.25">
      <c r="B107" s="323" t="s">
        <v>127</v>
      </c>
      <c r="C107" s="76"/>
      <c r="D107" s="123"/>
      <c r="E107" s="301"/>
      <c r="F107" s="295"/>
      <c r="G107" s="144"/>
      <c r="H107" s="144"/>
      <c r="I107" s="295"/>
      <c r="J107" s="144"/>
      <c r="K107" s="144"/>
      <c r="L107" s="144"/>
      <c r="M107" s="295"/>
      <c r="N107" s="144"/>
      <c r="O107" s="144"/>
      <c r="P107" s="295"/>
    </row>
    <row r="108" spans="2:16" x14ac:dyDescent="0.25">
      <c r="B108" s="322" t="s">
        <v>88</v>
      </c>
      <c r="C108" s="76"/>
      <c r="D108" s="123"/>
      <c r="E108" s="301"/>
      <c r="F108" s="296">
        <f>SUM(F98*F89,F99*F90,F100*F91,F101*F92,F102*F93,F103*F94,F104*F95)+(E108*(F109))</f>
        <v>0</v>
      </c>
      <c r="G108" s="145">
        <f t="shared" ref="G108:P108" ca="1" si="69">SUM(G98*G89,G99*G90,G100*G91,G101*G92,G102*G93,G103*G94,G104*G95)+(F108*(G109))</f>
        <v>0</v>
      </c>
      <c r="H108" s="145">
        <f t="shared" ca="1" si="69"/>
        <v>2150449.5666804477</v>
      </c>
      <c r="I108" s="296">
        <f t="shared" ca="1" si="69"/>
        <v>5214898.2266478036</v>
      </c>
      <c r="J108" s="145">
        <f t="shared" ca="1" si="69"/>
        <v>7342964.0024158955</v>
      </c>
      <c r="K108" s="145">
        <f t="shared" ca="1" si="69"/>
        <v>9656031.1261012983</v>
      </c>
      <c r="L108" s="145">
        <f t="shared" ca="1" si="69"/>
        <v>12134202.773798199</v>
      </c>
      <c r="M108" s="296">
        <f t="shared" ca="1" si="69"/>
        <v>13825545.505652528</v>
      </c>
      <c r="N108" s="145">
        <f t="shared" ca="1" si="69"/>
        <v>14869056.193900254</v>
      </c>
      <c r="O108" s="145">
        <f t="shared" ca="1" si="69"/>
        <v>15189447.3111223</v>
      </c>
      <c r="P108" s="296">
        <f t="shared" ca="1" si="69"/>
        <v>15493926.557145068</v>
      </c>
    </row>
    <row r="109" spans="2:16" x14ac:dyDescent="0.25">
      <c r="B109" s="342" t="s">
        <v>132</v>
      </c>
      <c r="C109" s="166">
        <f>G11</f>
        <v>0.03</v>
      </c>
      <c r="D109" s="78"/>
      <c r="E109" s="305"/>
      <c r="F109" s="297">
        <f>$C$109</f>
        <v>0.03</v>
      </c>
      <c r="G109" s="202">
        <f>F109</f>
        <v>0.03</v>
      </c>
      <c r="H109" s="202">
        <f t="shared" ref="H109:P109" si="70">G109</f>
        <v>0.03</v>
      </c>
      <c r="I109" s="297">
        <f t="shared" si="70"/>
        <v>0.03</v>
      </c>
      <c r="J109" s="202">
        <f t="shared" si="70"/>
        <v>0.03</v>
      </c>
      <c r="K109" s="202">
        <f t="shared" si="70"/>
        <v>0.03</v>
      </c>
      <c r="L109" s="202">
        <f t="shared" si="70"/>
        <v>0.03</v>
      </c>
      <c r="M109" s="297">
        <f t="shared" si="70"/>
        <v>0.03</v>
      </c>
      <c r="N109" s="202">
        <f t="shared" si="70"/>
        <v>0.03</v>
      </c>
      <c r="O109" s="202">
        <f t="shared" si="70"/>
        <v>0.03</v>
      </c>
      <c r="P109" s="297">
        <f t="shared" si="70"/>
        <v>0.03</v>
      </c>
    </row>
    <row r="110" spans="2:16" x14ac:dyDescent="0.25">
      <c r="B110" s="343" t="s">
        <v>106</v>
      </c>
      <c r="C110" s="241"/>
      <c r="D110" s="220"/>
      <c r="E110" s="306"/>
      <c r="F110" s="138">
        <f>F108</f>
        <v>0</v>
      </c>
      <c r="G110" s="239">
        <f t="shared" ref="G110:P110" ca="1" si="71">G108</f>
        <v>0</v>
      </c>
      <c r="H110" s="239">
        <f t="shared" ca="1" si="71"/>
        <v>2150449.5666804477</v>
      </c>
      <c r="I110" s="138">
        <f t="shared" ca="1" si="71"/>
        <v>5214898.2266478036</v>
      </c>
      <c r="J110" s="239">
        <f t="shared" ca="1" si="71"/>
        <v>7342964.0024158955</v>
      </c>
      <c r="K110" s="239">
        <f t="shared" ca="1" si="71"/>
        <v>9656031.1261012983</v>
      </c>
      <c r="L110" s="239">
        <f t="shared" ca="1" si="71"/>
        <v>12134202.773798199</v>
      </c>
      <c r="M110" s="138">
        <f t="shared" ca="1" si="71"/>
        <v>13825545.505652528</v>
      </c>
      <c r="N110" s="239">
        <f t="shared" ca="1" si="71"/>
        <v>14869056.193900254</v>
      </c>
      <c r="O110" s="239">
        <f t="shared" ca="1" si="71"/>
        <v>15189447.3111223</v>
      </c>
      <c r="P110" s="138">
        <f t="shared" ca="1" si="71"/>
        <v>15493926.557145068</v>
      </c>
    </row>
    <row r="111" spans="2:16" x14ac:dyDescent="0.25">
      <c r="B111" s="104"/>
      <c r="C111" s="241"/>
      <c r="D111" s="220"/>
      <c r="E111" s="306"/>
      <c r="F111" s="291"/>
      <c r="G111" s="240"/>
      <c r="H111" s="240"/>
      <c r="I111" s="291"/>
      <c r="J111" s="240"/>
      <c r="K111" s="240"/>
      <c r="L111" s="240"/>
      <c r="M111" s="291"/>
      <c r="N111" s="240"/>
      <c r="O111" s="240"/>
      <c r="P111" s="291"/>
    </row>
    <row r="112" spans="2:16" x14ac:dyDescent="0.25">
      <c r="B112" s="343" t="s">
        <v>124</v>
      </c>
      <c r="C112" s="241" t="s">
        <v>180</v>
      </c>
      <c r="D112" s="220"/>
      <c r="E112" s="306"/>
      <c r="F112" s="291"/>
      <c r="G112" s="240"/>
      <c r="H112" s="240"/>
      <c r="I112" s="291"/>
      <c r="J112" s="240"/>
      <c r="K112" s="240"/>
      <c r="L112" s="240"/>
      <c r="M112" s="291"/>
      <c r="N112" s="240"/>
      <c r="O112" s="240"/>
      <c r="P112" s="291"/>
    </row>
    <row r="113" spans="2:16" x14ac:dyDescent="0.25">
      <c r="B113" s="104" t="s">
        <v>128</v>
      </c>
      <c r="C113" s="243">
        <f>$J$17</f>
        <v>0.2</v>
      </c>
      <c r="D113" s="220"/>
      <c r="E113" s="306"/>
      <c r="F113" s="138">
        <f>(E113*$C$118)-(F$110*$C113)</f>
        <v>0</v>
      </c>
      <c r="G113" s="239">
        <f t="shared" ref="G113:P113" ca="1" si="72">(F113*$C$118)-(G$110*$C113)</f>
        <v>0</v>
      </c>
      <c r="H113" s="239">
        <f t="shared" ca="1" si="72"/>
        <v>-430089.91333608958</v>
      </c>
      <c r="I113" s="138">
        <f t="shared" ca="1" si="72"/>
        <v>-1055882.3427296435</v>
      </c>
      <c r="J113" s="239">
        <f t="shared" ca="1" si="72"/>
        <v>-1500269.2707650685</v>
      </c>
      <c r="K113" s="239">
        <f t="shared" ca="1" si="72"/>
        <v>-1976214.3033432118</v>
      </c>
      <c r="L113" s="239">
        <f t="shared" ca="1" si="72"/>
        <v>-2486126.9838599362</v>
      </c>
      <c r="M113" s="138">
        <f t="shared" ca="1" si="72"/>
        <v>-2839692.910646304</v>
      </c>
      <c r="N113" s="239">
        <f t="shared" ca="1" si="72"/>
        <v>-3059002.0260994402</v>
      </c>
      <c r="O113" s="239">
        <f t="shared" ca="1" si="72"/>
        <v>-3129659.5230074432</v>
      </c>
      <c r="P113" s="138">
        <f t="shared" ca="1" si="72"/>
        <v>-3192675.0971192373</v>
      </c>
    </row>
    <row r="114" spans="2:16" x14ac:dyDescent="0.25">
      <c r="B114" s="104" t="s">
        <v>224</v>
      </c>
      <c r="C114" s="243">
        <f>M17</f>
        <v>0.15</v>
      </c>
      <c r="D114" s="220"/>
      <c r="E114" s="306"/>
      <c r="F114" s="138">
        <f>(E114*$C$118)+(F$110*$C114)</f>
        <v>0</v>
      </c>
      <c r="G114" s="239">
        <f t="shared" ref="G114:P114" ca="1" si="73">(F114*$C$118)+(G$110*$C114)</f>
        <v>0</v>
      </c>
      <c r="H114" s="239">
        <f t="shared" ca="1" si="73"/>
        <v>322567.43500206713</v>
      </c>
      <c r="I114" s="138">
        <f t="shared" ca="1" si="73"/>
        <v>791911.75704723247</v>
      </c>
      <c r="J114" s="239">
        <f t="shared" ca="1" si="73"/>
        <v>1125201.9530738012</v>
      </c>
      <c r="K114" s="239">
        <f t="shared" ca="1" si="73"/>
        <v>1482160.7275074087</v>
      </c>
      <c r="L114" s="239">
        <f t="shared" ca="1" si="73"/>
        <v>1864595.2378949523</v>
      </c>
      <c r="M114" s="138">
        <f t="shared" ca="1" si="73"/>
        <v>2129769.6829847274</v>
      </c>
      <c r="N114" s="239">
        <f t="shared" ca="1" si="73"/>
        <v>2294251.5195745798</v>
      </c>
      <c r="O114" s="239">
        <f t="shared" ca="1" si="73"/>
        <v>2347244.6422555824</v>
      </c>
      <c r="P114" s="138">
        <f t="shared" ca="1" si="73"/>
        <v>2394506.3228394277</v>
      </c>
    </row>
    <row r="115" spans="2:16" x14ac:dyDescent="0.25">
      <c r="B115" s="104" t="s">
        <v>89</v>
      </c>
      <c r="C115" s="243">
        <f>J18</f>
        <v>0.03</v>
      </c>
      <c r="D115" s="220"/>
      <c r="E115" s="306"/>
      <c r="F115" s="138">
        <f t="shared" ref="F115:P117" si="74">(E115*$C$118)-(F$110*$C115)</f>
        <v>0</v>
      </c>
      <c r="G115" s="239">
        <f t="shared" ca="1" si="74"/>
        <v>0</v>
      </c>
      <c r="H115" s="239">
        <f t="shared" ca="1" si="74"/>
        <v>-64513.487000413428</v>
      </c>
      <c r="I115" s="138">
        <f t="shared" ca="1" si="74"/>
        <v>-158382.35140944651</v>
      </c>
      <c r="J115" s="239">
        <f t="shared" ca="1" si="74"/>
        <v>-225040.39061476025</v>
      </c>
      <c r="K115" s="239">
        <f t="shared" ca="1" si="74"/>
        <v>-296432.14550148172</v>
      </c>
      <c r="L115" s="239">
        <f t="shared" ca="1" si="74"/>
        <v>-372919.0475789904</v>
      </c>
      <c r="M115" s="138">
        <f t="shared" ca="1" si="74"/>
        <v>-425953.93659694557</v>
      </c>
      <c r="N115" s="239">
        <f t="shared" ca="1" si="74"/>
        <v>-458850.303914916</v>
      </c>
      <c r="O115" s="239">
        <f t="shared" ca="1" si="74"/>
        <v>-469448.92845111649</v>
      </c>
      <c r="P115" s="138">
        <f t="shared" ca="1" si="74"/>
        <v>-478901.26456788555</v>
      </c>
    </row>
    <row r="116" spans="2:16" x14ac:dyDescent="0.25">
      <c r="B116" s="104" t="s">
        <v>134</v>
      </c>
      <c r="C116" s="243">
        <f>J19</f>
        <v>0.02</v>
      </c>
      <c r="D116" s="220"/>
      <c r="E116" s="306"/>
      <c r="F116" s="138">
        <f t="shared" si="74"/>
        <v>0</v>
      </c>
      <c r="G116" s="239">
        <f t="shared" ca="1" si="74"/>
        <v>0</v>
      </c>
      <c r="H116" s="239">
        <f t="shared" ca="1" si="74"/>
        <v>-43008.991333608952</v>
      </c>
      <c r="I116" s="138">
        <f t="shared" ca="1" si="74"/>
        <v>-105588.23427296434</v>
      </c>
      <c r="J116" s="239">
        <f t="shared" ca="1" si="74"/>
        <v>-150026.92707650684</v>
      </c>
      <c r="K116" s="239">
        <f t="shared" ca="1" si="74"/>
        <v>-197621.43033432119</v>
      </c>
      <c r="L116" s="239">
        <f t="shared" ca="1" si="74"/>
        <v>-248612.6983859936</v>
      </c>
      <c r="M116" s="138">
        <f t="shared" ca="1" si="74"/>
        <v>-283969.29106463038</v>
      </c>
      <c r="N116" s="239">
        <f t="shared" ca="1" si="74"/>
        <v>-305900.20260994398</v>
      </c>
      <c r="O116" s="239">
        <f t="shared" ca="1" si="74"/>
        <v>-312965.95230074431</v>
      </c>
      <c r="P116" s="138">
        <f t="shared" ca="1" si="74"/>
        <v>-319267.50971192372</v>
      </c>
    </row>
    <row r="117" spans="2:16" x14ac:dyDescent="0.25">
      <c r="B117" s="104" t="s">
        <v>91</v>
      </c>
      <c r="C117" s="243">
        <f>J20</f>
        <v>0.03</v>
      </c>
      <c r="D117" s="220"/>
      <c r="E117" s="306"/>
      <c r="F117" s="138">
        <f t="shared" si="74"/>
        <v>0</v>
      </c>
      <c r="G117" s="239">
        <f t="shared" ca="1" si="74"/>
        <v>0</v>
      </c>
      <c r="H117" s="239">
        <f t="shared" ca="1" si="74"/>
        <v>-64513.487000413428</v>
      </c>
      <c r="I117" s="138">
        <f t="shared" ca="1" si="74"/>
        <v>-158382.35140944651</v>
      </c>
      <c r="J117" s="239">
        <f t="shared" ca="1" si="74"/>
        <v>-225040.39061476025</v>
      </c>
      <c r="K117" s="239">
        <f t="shared" ca="1" si="74"/>
        <v>-296432.14550148172</v>
      </c>
      <c r="L117" s="239">
        <f t="shared" ca="1" si="74"/>
        <v>-372919.0475789904</v>
      </c>
      <c r="M117" s="138">
        <f t="shared" ca="1" si="74"/>
        <v>-425953.93659694557</v>
      </c>
      <c r="N117" s="239">
        <f t="shared" ca="1" si="74"/>
        <v>-458850.303914916</v>
      </c>
      <c r="O117" s="239">
        <f t="shared" ca="1" si="74"/>
        <v>-469448.92845111649</v>
      </c>
      <c r="P117" s="138">
        <f t="shared" ca="1" si="74"/>
        <v>-478901.26456788555</v>
      </c>
    </row>
    <row r="118" spans="2:16" x14ac:dyDescent="0.25">
      <c r="B118" s="344" t="s">
        <v>133</v>
      </c>
      <c r="C118" s="243">
        <f>G12</f>
        <v>0.03</v>
      </c>
      <c r="D118" s="220"/>
      <c r="E118" s="306"/>
      <c r="F118" s="298">
        <f t="shared" ref="F118:P118" si="75">$C$118</f>
        <v>0.03</v>
      </c>
      <c r="G118" s="345">
        <f t="shared" si="75"/>
        <v>0.03</v>
      </c>
      <c r="H118" s="345">
        <f t="shared" si="75"/>
        <v>0.03</v>
      </c>
      <c r="I118" s="298">
        <f t="shared" si="75"/>
        <v>0.03</v>
      </c>
      <c r="J118" s="345">
        <f t="shared" si="75"/>
        <v>0.03</v>
      </c>
      <c r="K118" s="345">
        <f t="shared" si="75"/>
        <v>0.03</v>
      </c>
      <c r="L118" s="345">
        <f t="shared" si="75"/>
        <v>0.03</v>
      </c>
      <c r="M118" s="298">
        <f t="shared" si="75"/>
        <v>0.03</v>
      </c>
      <c r="N118" s="345">
        <f t="shared" si="75"/>
        <v>0.03</v>
      </c>
      <c r="O118" s="345">
        <f t="shared" si="75"/>
        <v>0.03</v>
      </c>
      <c r="P118" s="298">
        <f t="shared" si="75"/>
        <v>0.03</v>
      </c>
    </row>
    <row r="119" spans="2:16" x14ac:dyDescent="0.25">
      <c r="B119" s="104"/>
      <c r="C119" s="241"/>
      <c r="D119" s="220"/>
      <c r="E119" s="306"/>
      <c r="F119" s="291"/>
      <c r="G119" s="240"/>
      <c r="H119" s="240"/>
      <c r="I119" s="291"/>
      <c r="J119" s="240"/>
      <c r="K119" s="240"/>
      <c r="L119" s="240"/>
      <c r="M119" s="291"/>
      <c r="N119" s="240"/>
      <c r="O119" s="240"/>
      <c r="P119" s="291"/>
    </row>
    <row r="120" spans="2:16" x14ac:dyDescent="0.25">
      <c r="B120" s="48" t="s">
        <v>99</v>
      </c>
      <c r="C120" s="77"/>
      <c r="D120" s="79"/>
      <c r="E120" s="307"/>
      <c r="F120" s="156">
        <f>SUM(F110:F117)</f>
        <v>0</v>
      </c>
      <c r="G120" s="142">
        <f t="shared" ref="G120:P120" ca="1" si="76">SUM(G110:G117)</f>
        <v>0</v>
      </c>
      <c r="H120" s="142">
        <f t="shared" ca="1" si="76"/>
        <v>1870891.1230119893</v>
      </c>
      <c r="I120" s="156">
        <f t="shared" ca="1" si="76"/>
        <v>4528574.7038735356</v>
      </c>
      <c r="J120" s="142">
        <f t="shared" ca="1" si="76"/>
        <v>6367788.9764186023</v>
      </c>
      <c r="K120" s="142">
        <f t="shared" ca="1" si="76"/>
        <v>8371491.8289282117</v>
      </c>
      <c r="L120" s="142">
        <f t="shared" ca="1" si="76"/>
        <v>10518220.234289242</v>
      </c>
      <c r="M120" s="156">
        <f t="shared" ca="1" si="76"/>
        <v>11979745.113732431</v>
      </c>
      <c r="N120" s="142">
        <f t="shared" ca="1" si="76"/>
        <v>12880704.876935618</v>
      </c>
      <c r="O120" s="142">
        <f t="shared" ca="1" si="76"/>
        <v>13155168.62116746</v>
      </c>
      <c r="P120" s="156">
        <f t="shared" ca="1" si="76"/>
        <v>13418687.744017566</v>
      </c>
    </row>
    <row r="121" spans="2:16" x14ac:dyDescent="0.25">
      <c r="B121" s="322"/>
      <c r="C121" s="241"/>
      <c r="D121" s="220"/>
      <c r="E121" s="306"/>
      <c r="F121" s="291"/>
      <c r="G121" s="240"/>
      <c r="H121" s="240"/>
      <c r="I121" s="291"/>
      <c r="J121" s="240"/>
      <c r="K121" s="240"/>
      <c r="L121" s="240"/>
      <c r="M121" s="291"/>
      <c r="N121" s="240"/>
      <c r="O121" s="240"/>
      <c r="P121" s="291"/>
    </row>
    <row r="122" spans="2:16" x14ac:dyDescent="0.25">
      <c r="B122" s="322" t="s">
        <v>129</v>
      </c>
      <c r="C122" s="241"/>
      <c r="D122" s="220"/>
      <c r="E122" s="306"/>
      <c r="F122" s="138">
        <f>IF(F24=$G$20,D120/$G$17,0)</f>
        <v>0</v>
      </c>
      <c r="G122" s="239">
        <f t="shared" ref="G122:P122" si="77">IF(G24=$G$20,F120/$G$17,0)</f>
        <v>0</v>
      </c>
      <c r="H122" s="239">
        <f t="shared" si="77"/>
        <v>0</v>
      </c>
      <c r="I122" s="138">
        <f t="shared" si="77"/>
        <v>0</v>
      </c>
      <c r="J122" s="239">
        <f t="shared" si="77"/>
        <v>0</v>
      </c>
      <c r="K122" s="239">
        <f t="shared" si="77"/>
        <v>0</v>
      </c>
      <c r="L122" s="239">
        <f t="shared" si="77"/>
        <v>0</v>
      </c>
      <c r="M122" s="138">
        <f t="shared" si="77"/>
        <v>0</v>
      </c>
      <c r="N122" s="239">
        <f t="shared" si="77"/>
        <v>0</v>
      </c>
      <c r="O122" s="239">
        <f t="shared" si="77"/>
        <v>0</v>
      </c>
      <c r="P122" s="310">
        <f t="shared" ca="1" si="77"/>
        <v>239184884.02122656</v>
      </c>
    </row>
    <row r="123" spans="2:16" x14ac:dyDescent="0.25">
      <c r="B123" s="347" t="s">
        <v>41</v>
      </c>
      <c r="C123" s="618">
        <f>G19</f>
        <v>0.02</v>
      </c>
      <c r="D123" s="56"/>
      <c r="E123" s="308"/>
      <c r="F123" s="299">
        <f t="shared" ref="F123:P123" si="78">-IF(F24=$G$20,F122*$C$123,0)</f>
        <v>0</v>
      </c>
      <c r="G123" s="143">
        <f t="shared" si="78"/>
        <v>0</v>
      </c>
      <c r="H123" s="143">
        <f t="shared" si="78"/>
        <v>0</v>
      </c>
      <c r="I123" s="299">
        <f t="shared" si="78"/>
        <v>0</v>
      </c>
      <c r="J123" s="143">
        <f t="shared" si="78"/>
        <v>0</v>
      </c>
      <c r="K123" s="143">
        <f t="shared" si="78"/>
        <v>0</v>
      </c>
      <c r="L123" s="143">
        <f t="shared" si="78"/>
        <v>0</v>
      </c>
      <c r="M123" s="299">
        <f t="shared" si="78"/>
        <v>0</v>
      </c>
      <c r="N123" s="143">
        <f t="shared" si="78"/>
        <v>0</v>
      </c>
      <c r="O123" s="143">
        <f t="shared" si="78"/>
        <v>0</v>
      </c>
      <c r="P123" s="299">
        <f t="shared" ca="1" si="78"/>
        <v>-4783697.680424531</v>
      </c>
    </row>
    <row r="124" spans="2:16" x14ac:dyDescent="0.25">
      <c r="B124" s="104" t="s">
        <v>268</v>
      </c>
      <c r="C124" s="241"/>
      <c r="D124" s="220"/>
      <c r="E124" s="306"/>
      <c r="F124" s="138">
        <f>SUM(F122:F123)</f>
        <v>0</v>
      </c>
      <c r="G124" s="239">
        <f t="shared" ref="G124:P124" si="79">SUM(G122:G123)</f>
        <v>0</v>
      </c>
      <c r="H124" s="239">
        <f t="shared" si="79"/>
        <v>0</v>
      </c>
      <c r="I124" s="138">
        <f t="shared" si="79"/>
        <v>0</v>
      </c>
      <c r="J124" s="239">
        <f t="shared" si="79"/>
        <v>0</v>
      </c>
      <c r="K124" s="239">
        <f t="shared" si="79"/>
        <v>0</v>
      </c>
      <c r="L124" s="239">
        <f t="shared" si="79"/>
        <v>0</v>
      </c>
      <c r="M124" s="138">
        <f t="shared" si="79"/>
        <v>0</v>
      </c>
      <c r="N124" s="239">
        <f t="shared" si="79"/>
        <v>0</v>
      </c>
      <c r="O124" s="239">
        <f t="shared" si="79"/>
        <v>0</v>
      </c>
      <c r="P124" s="138">
        <f t="shared" ca="1" si="79"/>
        <v>234401186.34080201</v>
      </c>
    </row>
    <row r="125" spans="2:16" x14ac:dyDescent="0.25">
      <c r="B125" s="104"/>
      <c r="C125" s="241"/>
      <c r="D125" s="220"/>
      <c r="E125" s="306"/>
      <c r="F125" s="291"/>
      <c r="G125" s="240"/>
      <c r="H125" s="240"/>
      <c r="I125" s="291"/>
      <c r="J125" s="240"/>
      <c r="K125" s="240"/>
      <c r="L125" s="240"/>
      <c r="M125" s="291"/>
      <c r="N125" s="240"/>
      <c r="O125" s="240"/>
      <c r="P125" s="291"/>
    </row>
    <row r="126" spans="2:16" x14ac:dyDescent="0.25">
      <c r="B126" s="323" t="s">
        <v>103</v>
      </c>
      <c r="C126" s="241" t="s">
        <v>37</v>
      </c>
      <c r="D126" s="220"/>
      <c r="E126" s="306"/>
      <c r="F126" s="291"/>
      <c r="G126" s="240"/>
      <c r="H126" s="240"/>
      <c r="I126" s="291"/>
      <c r="J126" s="240"/>
      <c r="K126" s="240"/>
      <c r="L126" s="240"/>
      <c r="M126" s="291"/>
      <c r="N126" s="240"/>
      <c r="O126" s="240"/>
      <c r="P126" s="291"/>
    </row>
    <row r="127" spans="2:16" x14ac:dyDescent="0.25">
      <c r="B127" s="322" t="s">
        <v>30</v>
      </c>
      <c r="C127" s="247">
        <f>Costs!F34</f>
        <v>220</v>
      </c>
      <c r="D127" s="220"/>
      <c r="E127" s="306"/>
      <c r="F127" s="138">
        <f>SUM(F77,F65,F53,F41,F29)*$C$127</f>
        <v>0</v>
      </c>
      <c r="G127" s="239">
        <f t="shared" ref="G127:P127" ca="1" si="80">SUM(G77,G65,G53,G41,G29)*$C$127</f>
        <v>12665104.1</v>
      </c>
      <c r="H127" s="239">
        <f t="shared" ca="1" si="80"/>
        <v>23405944.100000001</v>
      </c>
      <c r="I127" s="138">
        <f t="shared" ca="1" si="80"/>
        <v>10740840</v>
      </c>
      <c r="J127" s="239">
        <f t="shared" ca="1" si="80"/>
        <v>6959150</v>
      </c>
      <c r="K127" s="239">
        <f t="shared" ca="1" si="80"/>
        <v>15558950</v>
      </c>
      <c r="L127" s="239">
        <f t="shared" ca="1" si="80"/>
        <v>8599800</v>
      </c>
      <c r="M127" s="138">
        <f t="shared" ca="1" si="80"/>
        <v>0</v>
      </c>
      <c r="N127" s="239">
        <f t="shared" ca="1" si="80"/>
        <v>0</v>
      </c>
      <c r="O127" s="239">
        <f t="shared" ca="1" si="80"/>
        <v>0</v>
      </c>
      <c r="P127" s="138">
        <f t="shared" ca="1" si="80"/>
        <v>0</v>
      </c>
    </row>
    <row r="128" spans="2:16" x14ac:dyDescent="0.25">
      <c r="B128" s="347" t="s">
        <v>36</v>
      </c>
      <c r="C128" s="524">
        <f>Costs!F51</f>
        <v>44.000000000000007</v>
      </c>
      <c r="D128" s="56"/>
      <c r="E128" s="308"/>
      <c r="F128" s="299">
        <f>SUM(F77,F65,F53,F41,F29)*$C$128</f>
        <v>0</v>
      </c>
      <c r="G128" s="143">
        <f t="shared" ref="G128:P128" ca="1" si="81">SUM(G77,G65,G53,G41,G29)*$C$128</f>
        <v>2533020.8200000003</v>
      </c>
      <c r="H128" s="143">
        <f t="shared" ca="1" si="81"/>
        <v>4681188.82</v>
      </c>
      <c r="I128" s="299">
        <f t="shared" ca="1" si="81"/>
        <v>2148168.0000000005</v>
      </c>
      <c r="J128" s="143">
        <f t="shared" ca="1" si="81"/>
        <v>1391830.0000000002</v>
      </c>
      <c r="K128" s="143">
        <f t="shared" ca="1" si="81"/>
        <v>3111790.0000000005</v>
      </c>
      <c r="L128" s="143">
        <f t="shared" ca="1" si="81"/>
        <v>1719960.0000000002</v>
      </c>
      <c r="M128" s="299">
        <f t="shared" ca="1" si="81"/>
        <v>0</v>
      </c>
      <c r="N128" s="143">
        <f t="shared" ca="1" si="81"/>
        <v>0</v>
      </c>
      <c r="O128" s="143">
        <f t="shared" ca="1" si="81"/>
        <v>0</v>
      </c>
      <c r="P128" s="299">
        <f t="shared" ca="1" si="81"/>
        <v>0</v>
      </c>
    </row>
    <row r="129" spans="2:16" x14ac:dyDescent="0.25">
      <c r="B129" s="323" t="s">
        <v>104</v>
      </c>
      <c r="C129" s="220"/>
      <c r="D129" s="220"/>
      <c r="E129" s="306"/>
      <c r="F129" s="138">
        <f t="shared" ref="F129:P129" si="82">SUM(F127:F128)</f>
        <v>0</v>
      </c>
      <c r="G129" s="239">
        <f t="shared" ca="1" si="82"/>
        <v>15198124.92</v>
      </c>
      <c r="H129" s="239">
        <f t="shared" ca="1" si="82"/>
        <v>28087132.920000002</v>
      </c>
      <c r="I129" s="138">
        <f t="shared" ca="1" si="82"/>
        <v>12889008</v>
      </c>
      <c r="J129" s="239">
        <f t="shared" ca="1" si="82"/>
        <v>8350980</v>
      </c>
      <c r="K129" s="239">
        <f t="shared" ca="1" si="82"/>
        <v>18670740</v>
      </c>
      <c r="L129" s="239">
        <f t="shared" ca="1" si="82"/>
        <v>10319760</v>
      </c>
      <c r="M129" s="138">
        <f t="shared" ca="1" si="82"/>
        <v>0</v>
      </c>
      <c r="N129" s="239">
        <f t="shared" ca="1" si="82"/>
        <v>0</v>
      </c>
      <c r="O129" s="239">
        <f t="shared" ca="1" si="82"/>
        <v>0</v>
      </c>
      <c r="P129" s="138">
        <f t="shared" ca="1" si="82"/>
        <v>0</v>
      </c>
    </row>
    <row r="130" spans="2:16" x14ac:dyDescent="0.25">
      <c r="B130" s="323"/>
      <c r="C130" s="220"/>
      <c r="D130" s="220"/>
      <c r="E130" s="306"/>
      <c r="F130" s="138"/>
      <c r="G130" s="239"/>
      <c r="H130" s="239"/>
      <c r="I130" s="138"/>
      <c r="J130" s="239"/>
      <c r="K130" s="239"/>
      <c r="L130" s="239"/>
      <c r="M130" s="138"/>
      <c r="N130" s="239"/>
      <c r="O130" s="239"/>
      <c r="P130" s="138"/>
    </row>
    <row r="131" spans="2:16" x14ac:dyDescent="0.25">
      <c r="B131" s="48" t="s">
        <v>202</v>
      </c>
      <c r="C131" s="79"/>
      <c r="D131" s="79"/>
      <c r="E131" s="307"/>
      <c r="F131" s="156">
        <f t="shared" ref="F131:P131" si="83">-F129+F120+F122+F123</f>
        <v>0</v>
      </c>
      <c r="G131" s="142">
        <f t="shared" ca="1" si="83"/>
        <v>-15198124.92</v>
      </c>
      <c r="H131" s="142">
        <f t="shared" ca="1" si="83"/>
        <v>-26216241.796988014</v>
      </c>
      <c r="I131" s="156">
        <f t="shared" ca="1" si="83"/>
        <v>-8360433.2961264644</v>
      </c>
      <c r="J131" s="142">
        <f t="shared" ca="1" si="83"/>
        <v>-1983191.0235813977</v>
      </c>
      <c r="K131" s="142">
        <f t="shared" ca="1" si="83"/>
        <v>-10299248.171071788</v>
      </c>
      <c r="L131" s="142">
        <f t="shared" ca="1" si="83"/>
        <v>198460.23428924195</v>
      </c>
      <c r="M131" s="156">
        <f t="shared" ca="1" si="83"/>
        <v>11979745.113732431</v>
      </c>
      <c r="N131" s="142">
        <f t="shared" ca="1" si="83"/>
        <v>12880704.876935618</v>
      </c>
      <c r="O131" s="142">
        <f t="shared" ca="1" si="83"/>
        <v>13155168.62116746</v>
      </c>
      <c r="P131" s="156">
        <f t="shared" ca="1" si="83"/>
        <v>247819874.08481959</v>
      </c>
    </row>
    <row r="133" spans="2:16" x14ac:dyDescent="0.25">
      <c r="C133" s="121"/>
      <c r="D133" s="121"/>
      <c r="E133" s="121"/>
      <c r="F133" s="121"/>
      <c r="G133" s="121"/>
      <c r="H133" s="121"/>
      <c r="I133" s="121"/>
      <c r="J133" s="121"/>
      <c r="K133" s="7"/>
      <c r="L133" s="7"/>
      <c r="M133" s="7"/>
      <c r="N133" s="7"/>
      <c r="O133" s="7"/>
      <c r="P133" s="7"/>
    </row>
    <row r="134" spans="2:16" x14ac:dyDescent="0.25">
      <c r="B134" s="50" t="s">
        <v>130</v>
      </c>
      <c r="C134" s="135">
        <f ca="1">SUM(F131:P131)</f>
        <v>223976713.72317666</v>
      </c>
      <c r="D134" s="121"/>
      <c r="E134" s="121"/>
      <c r="G134" s="635"/>
      <c r="H134" s="635"/>
      <c r="I134" s="635"/>
      <c r="J134" s="635"/>
      <c r="K134" s="7"/>
      <c r="P134" s="7"/>
    </row>
    <row r="135" spans="2:16" x14ac:dyDescent="0.25">
      <c r="B135" s="104" t="s">
        <v>228</v>
      </c>
      <c r="C135" s="138">
        <f ca="1">SUM(F129:P129)</f>
        <v>93515745.840000004</v>
      </c>
      <c r="D135" s="121"/>
      <c r="E135" s="121"/>
      <c r="G135" s="635"/>
      <c r="H135" s="639"/>
      <c r="I135" s="635"/>
      <c r="J135" s="639"/>
      <c r="K135" s="7"/>
      <c r="P135" s="7"/>
    </row>
    <row r="136" spans="2:16" x14ac:dyDescent="0.25">
      <c r="B136" s="104" t="s">
        <v>202</v>
      </c>
      <c r="C136" s="136">
        <f ca="1">IRR(F131:P131)</f>
        <v>0.22972253888446614</v>
      </c>
      <c r="D136" s="121"/>
      <c r="E136" s="121"/>
      <c r="G136" s="635"/>
      <c r="H136" s="637"/>
      <c r="I136" s="635"/>
      <c r="J136" s="636"/>
      <c r="K136" s="7"/>
      <c r="P136" s="7"/>
    </row>
    <row r="137" spans="2:16" x14ac:dyDescent="0.25">
      <c r="B137" s="51" t="s">
        <v>201</v>
      </c>
      <c r="C137" s="137">
        <f ca="1">C134/C135</f>
        <v>2.3950695330643867</v>
      </c>
      <c r="D137" s="121"/>
      <c r="E137" s="121"/>
      <c r="G137" s="635"/>
      <c r="H137" s="639"/>
      <c r="I137" s="635"/>
      <c r="J137" s="639"/>
      <c r="K137" s="7"/>
      <c r="P137" s="7"/>
    </row>
    <row r="138" spans="2:16" x14ac:dyDescent="0.25">
      <c r="C138" s="121"/>
      <c r="D138" s="121"/>
      <c r="E138" s="121"/>
      <c r="G138" s="635"/>
      <c r="H138" s="635"/>
      <c r="I138" s="635"/>
      <c r="J138" s="637"/>
    </row>
    <row r="139" spans="2:16" x14ac:dyDescent="0.25">
      <c r="C139" s="121"/>
      <c r="D139" s="121"/>
      <c r="E139" s="121"/>
      <c r="G139" s="635"/>
      <c r="H139" s="637"/>
      <c r="I139" s="635"/>
      <c r="J139" s="639"/>
    </row>
    <row r="140" spans="2:16" x14ac:dyDescent="0.25">
      <c r="C140" s="121"/>
      <c r="D140" s="121"/>
      <c r="E140" s="121"/>
      <c r="G140" s="635"/>
      <c r="H140" s="637"/>
      <c r="I140" s="635"/>
      <c r="J140" s="637"/>
    </row>
    <row r="141" spans="2:16" x14ac:dyDescent="0.25">
      <c r="C141" s="121"/>
      <c r="D141" s="121"/>
      <c r="E141" s="121"/>
      <c r="G141" s="635"/>
      <c r="H141" s="639"/>
      <c r="I141" s="635"/>
      <c r="J141" s="638"/>
    </row>
    <row r="142" spans="2:16" x14ac:dyDescent="0.25">
      <c r="C142" s="121"/>
      <c r="D142" s="121"/>
      <c r="E142" s="121"/>
      <c r="I142" s="635"/>
      <c r="J142" s="639"/>
    </row>
    <row r="143" spans="2:16" x14ac:dyDescent="0.25">
      <c r="C143" s="121"/>
      <c r="D143" s="121"/>
      <c r="E143" s="121"/>
      <c r="I143" s="635"/>
      <c r="J143" s="637"/>
    </row>
    <row r="144" spans="2:16" x14ac:dyDescent="0.25">
      <c r="C144" s="121"/>
      <c r="D144" s="121"/>
      <c r="E144" s="121"/>
      <c r="G144" s="635"/>
      <c r="H144" s="639"/>
      <c r="I144" s="635"/>
      <c r="J144" s="639"/>
    </row>
    <row r="145" spans="3:10" x14ac:dyDescent="0.25">
      <c r="C145" s="121"/>
      <c r="D145" s="121"/>
      <c r="E145" s="121"/>
      <c r="F145" s="121"/>
      <c r="G145" s="121"/>
      <c r="H145" s="121"/>
      <c r="I145" s="121"/>
      <c r="J145" s="121"/>
    </row>
    <row r="146" spans="3:10" x14ac:dyDescent="0.25">
      <c r="C146" s="121"/>
      <c r="D146" s="121"/>
      <c r="E146" s="121"/>
      <c r="F146" s="121"/>
      <c r="G146" s="121"/>
      <c r="H146" s="121"/>
      <c r="I146" s="121"/>
      <c r="J146" s="121"/>
    </row>
    <row r="147" spans="3:10" x14ac:dyDescent="0.25">
      <c r="C147" s="121"/>
      <c r="D147" s="121"/>
      <c r="E147" s="121"/>
      <c r="F147" s="121"/>
      <c r="G147" s="121"/>
      <c r="H147" s="121"/>
      <c r="I147" s="121"/>
      <c r="J147" s="121"/>
    </row>
    <row r="148" spans="3:10" x14ac:dyDescent="0.25">
      <c r="C148" s="121"/>
      <c r="D148" s="121"/>
      <c r="E148" s="121"/>
      <c r="F148" s="121"/>
      <c r="G148" s="121"/>
      <c r="H148" s="121"/>
      <c r="I148" s="121"/>
      <c r="J148" s="121"/>
    </row>
    <row r="149" spans="3:10" x14ac:dyDescent="0.25">
      <c r="C149" s="121"/>
      <c r="D149" s="121"/>
      <c r="E149" s="121"/>
      <c r="F149" s="121"/>
      <c r="G149" s="121"/>
      <c r="H149" s="121"/>
      <c r="I149" s="121"/>
      <c r="J149" s="121"/>
    </row>
    <row r="150" spans="3:10" x14ac:dyDescent="0.25">
      <c r="C150" s="121"/>
      <c r="D150" s="121"/>
      <c r="E150" s="121"/>
      <c r="F150" s="121"/>
      <c r="G150" s="121"/>
      <c r="H150" s="121"/>
      <c r="I150" s="121"/>
      <c r="J150" s="121"/>
    </row>
    <row r="151" spans="3:10" x14ac:dyDescent="0.25">
      <c r="C151" s="121"/>
      <c r="D151" s="121"/>
      <c r="E151" s="121"/>
      <c r="F151" s="121"/>
      <c r="G151" s="121"/>
      <c r="H151" s="121"/>
      <c r="I151" s="121"/>
      <c r="J151" s="121"/>
    </row>
    <row r="152" spans="3:10" x14ac:dyDescent="0.25">
      <c r="C152" s="121"/>
      <c r="D152" s="121"/>
      <c r="E152" s="121"/>
      <c r="F152" s="121"/>
      <c r="G152" s="121"/>
      <c r="H152" s="121"/>
      <c r="I152" s="121"/>
      <c r="J152" s="121"/>
    </row>
    <row r="153" spans="3:10" x14ac:dyDescent="0.25">
      <c r="C153" s="121"/>
      <c r="D153" s="121"/>
      <c r="E153" s="121"/>
      <c r="F153" s="121"/>
      <c r="G153" s="121"/>
      <c r="H153" s="121"/>
      <c r="I153" s="121"/>
      <c r="J153" s="121"/>
    </row>
    <row r="154" spans="3:10" x14ac:dyDescent="0.25">
      <c r="C154" s="121"/>
      <c r="D154" s="121"/>
      <c r="E154" s="121"/>
      <c r="F154" s="121"/>
      <c r="G154" s="121"/>
      <c r="H154" s="121"/>
      <c r="I154" s="121"/>
      <c r="J154" s="121"/>
    </row>
    <row r="155" spans="3:10" x14ac:dyDescent="0.25">
      <c r="C155" s="121"/>
      <c r="D155" s="121"/>
      <c r="E155" s="121"/>
      <c r="F155" s="121"/>
      <c r="G155" s="121"/>
      <c r="H155" s="121"/>
      <c r="I155" s="121"/>
      <c r="J155" s="121"/>
    </row>
    <row r="156" spans="3:10" x14ac:dyDescent="0.25">
      <c r="C156" s="121"/>
      <c r="D156" s="121"/>
      <c r="E156" s="121"/>
      <c r="F156" s="121"/>
      <c r="G156" s="121"/>
      <c r="H156" s="121"/>
      <c r="I156" s="121"/>
      <c r="J156" s="121"/>
    </row>
    <row r="157" spans="3:10" x14ac:dyDescent="0.25">
      <c r="C157" s="121"/>
      <c r="D157" s="121"/>
      <c r="E157" s="121"/>
      <c r="F157" s="121"/>
      <c r="G157" s="121"/>
      <c r="H157" s="121"/>
      <c r="I157" s="121"/>
      <c r="J157" s="121"/>
    </row>
    <row r="158" spans="3:10" x14ac:dyDescent="0.25">
      <c r="C158" s="121"/>
      <c r="D158" s="121"/>
      <c r="E158" s="121"/>
      <c r="F158" s="121"/>
      <c r="G158" s="121"/>
      <c r="H158" s="121"/>
      <c r="I158" s="121"/>
      <c r="J158" s="121"/>
    </row>
    <row r="159" spans="3:10" x14ac:dyDescent="0.25">
      <c r="C159" s="121"/>
      <c r="D159" s="121"/>
      <c r="E159" s="121"/>
      <c r="F159" s="121"/>
      <c r="G159" s="121"/>
      <c r="H159" s="121"/>
      <c r="I159" s="121"/>
      <c r="J159" s="121"/>
    </row>
    <row r="160" spans="3:10" x14ac:dyDescent="0.25">
      <c r="C160" s="121"/>
      <c r="D160" s="121"/>
      <c r="E160" s="121"/>
      <c r="F160" s="121"/>
      <c r="G160" s="121"/>
      <c r="H160" s="121"/>
      <c r="I160" s="121"/>
      <c r="J160" s="121"/>
    </row>
    <row r="161" spans="3:10" x14ac:dyDescent="0.25">
      <c r="C161" s="121"/>
      <c r="D161" s="121"/>
      <c r="E161" s="121"/>
      <c r="F161" s="121"/>
      <c r="G161" s="121"/>
      <c r="H161" s="121"/>
      <c r="I161" s="121"/>
      <c r="J161" s="121"/>
    </row>
    <row r="162" spans="3:10" x14ac:dyDescent="0.25">
      <c r="C162" s="121"/>
      <c r="D162" s="121"/>
      <c r="E162" s="121"/>
      <c r="F162" s="121"/>
      <c r="G162" s="121"/>
      <c r="H162" s="121"/>
      <c r="I162" s="121"/>
      <c r="J162" s="121"/>
    </row>
    <row r="163" spans="3:10" x14ac:dyDescent="0.25">
      <c r="C163" s="121"/>
      <c r="D163" s="121"/>
      <c r="E163" s="121"/>
      <c r="F163" s="121"/>
      <c r="G163" s="121"/>
      <c r="H163" s="121"/>
      <c r="I163" s="121"/>
      <c r="J163" s="121"/>
    </row>
    <row r="164" spans="3:10" x14ac:dyDescent="0.25">
      <c r="C164" s="121"/>
      <c r="D164" s="121"/>
      <c r="E164" s="121"/>
      <c r="F164" s="121"/>
      <c r="G164" s="121"/>
      <c r="H164" s="121"/>
      <c r="I164" s="121"/>
      <c r="J164" s="121"/>
    </row>
    <row r="165" spans="3:10" x14ac:dyDescent="0.25">
      <c r="C165" s="121"/>
      <c r="D165" s="121"/>
      <c r="E165" s="121"/>
      <c r="F165" s="121"/>
      <c r="G165" s="121"/>
      <c r="H165" s="121"/>
      <c r="I165" s="121"/>
      <c r="J165" s="121"/>
    </row>
    <row r="166" spans="3:10" x14ac:dyDescent="0.25">
      <c r="C166" s="121"/>
      <c r="D166" s="121"/>
      <c r="E166" s="121"/>
    </row>
    <row r="167" spans="3:10" x14ac:dyDescent="0.25">
      <c r="C167" s="121"/>
      <c r="D167" s="121"/>
      <c r="E167" s="121"/>
    </row>
    <row r="168" spans="3:10" x14ac:dyDescent="0.25">
      <c r="D168" s="121"/>
      <c r="E168" s="121"/>
    </row>
    <row r="169" spans="3:10" x14ac:dyDescent="0.25">
      <c r="D169" s="121"/>
      <c r="E169" s="121"/>
    </row>
  </sheetData>
  <mergeCells count="2">
    <mergeCell ref="F22:P22"/>
    <mergeCell ref="B5:E20"/>
  </mergeCells>
  <conditionalFormatting sqref="E27:R27 A22:R26 Q42:R48 Q54:R60 Q66:R72 Q78:R84 D49:R49 D61:R61 D73:R73 A27:B49 D85:R85 A52:B61 A50:A51 D52:R53 Q50:R51 A64:B73 A62:A63 D64:R65 Q62:R63 A76:B85 A74:A75 D76:R77 Q74:R75 A88:B95 A86:A87 D88:R95 Q86:R87 D28:R41 I140:I144 A133:E139 K133:R133 P134:R139 G134:K139 G140:G141 G144 A96:R132">
    <cfRule type="cellIs" dxfId="327" priority="17" operator="lessThan">
      <formula>0</formula>
    </cfRule>
  </conditionalFormatting>
  <conditionalFormatting sqref="C28">
    <cfRule type="cellIs" dxfId="326" priority="16" operator="lessThan">
      <formula>0</formula>
    </cfRule>
  </conditionalFormatting>
  <conditionalFormatting sqref="D42:P48">
    <cfRule type="cellIs" dxfId="325" priority="15" operator="lessThan">
      <formula>0</formula>
    </cfRule>
  </conditionalFormatting>
  <conditionalFormatting sqref="D54:P60">
    <cfRule type="cellIs" dxfId="324" priority="13" operator="lessThan">
      <formula>0</formula>
    </cfRule>
  </conditionalFormatting>
  <conditionalFormatting sqref="D66:P72">
    <cfRule type="cellIs" dxfId="323" priority="12" operator="lessThan">
      <formula>0</formula>
    </cfRule>
  </conditionalFormatting>
  <conditionalFormatting sqref="D78:P84">
    <cfRule type="cellIs" dxfId="322" priority="11" operator="lessThan">
      <formula>0</formula>
    </cfRule>
  </conditionalFormatting>
  <conditionalFormatting sqref="B50:B51 D50:F51">
    <cfRule type="cellIs" dxfId="321" priority="9" operator="lessThan">
      <formula>0</formula>
    </cfRule>
  </conditionalFormatting>
  <conditionalFormatting sqref="B62:B63 D62:F63">
    <cfRule type="cellIs" dxfId="320" priority="8" operator="lessThan">
      <formula>0</formula>
    </cfRule>
  </conditionalFormatting>
  <conditionalFormatting sqref="B74:B75 D74:F75">
    <cfRule type="cellIs" dxfId="319" priority="7" operator="lessThan">
      <formula>0</formula>
    </cfRule>
  </conditionalFormatting>
  <conditionalFormatting sqref="B86:B87 D86:F87">
    <cfRule type="cellIs" dxfId="318" priority="6" operator="lessThan">
      <formula>0</formula>
    </cfRule>
  </conditionalFormatting>
  <conditionalFormatting sqref="G50:P51">
    <cfRule type="cellIs" dxfId="317" priority="5" operator="lessThan">
      <formula>0</formula>
    </cfRule>
  </conditionalFormatting>
  <conditionalFormatting sqref="G62:P63">
    <cfRule type="cellIs" dxfId="316" priority="4" operator="lessThan">
      <formula>0</formula>
    </cfRule>
  </conditionalFormatting>
  <conditionalFormatting sqref="G74:P75">
    <cfRule type="cellIs" dxfId="315" priority="3" operator="lessThan">
      <formula>0</formula>
    </cfRule>
  </conditionalFormatting>
  <conditionalFormatting sqref="G86:P87">
    <cfRule type="cellIs" dxfId="314" priority="2" operator="lessThan">
      <formula>0</formula>
    </cfRule>
  </conditionalFormatting>
  <conditionalFormatting sqref="B3">
    <cfRule type="cellIs" dxfId="313" priority="1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B2:S135"/>
  <sheetViews>
    <sheetView showGridLines="0" topLeftCell="A4" zoomScale="70" zoomScaleNormal="70" workbookViewId="0">
      <pane xSplit="5" topLeftCell="F1" activePane="topRight" state="frozen"/>
      <selection pane="topRight" activeCell="C30" sqref="C30"/>
    </sheetView>
  </sheetViews>
  <sheetFormatPr defaultRowHeight="15" x14ac:dyDescent="0.25"/>
  <cols>
    <col min="2" max="2" width="37.42578125" customWidth="1"/>
    <col min="3" max="3" width="20.5703125" style="5" bestFit="1" customWidth="1"/>
    <col min="4" max="4" width="16.140625" style="5" bestFit="1" customWidth="1"/>
    <col min="5" max="5" width="8.85546875" style="5"/>
    <col min="6" max="6" width="21.7109375" customWidth="1"/>
    <col min="7" max="16" width="16.7109375" customWidth="1"/>
    <col min="19" max="19" width="10" bestFit="1" customWidth="1"/>
  </cols>
  <sheetData>
    <row r="2" spans="2:19" ht="18.75" x14ac:dyDescent="0.3">
      <c r="B2" s="8" t="s">
        <v>146</v>
      </c>
      <c r="Q2" s="33"/>
    </row>
    <row r="3" spans="2:19" x14ac:dyDescent="0.25">
      <c r="B3" t="s">
        <v>611</v>
      </c>
      <c r="Q3" s="33"/>
    </row>
    <row r="4" spans="2:19" x14ac:dyDescent="0.25">
      <c r="Q4" s="33"/>
    </row>
    <row r="5" spans="2:19" x14ac:dyDescent="0.25">
      <c r="Q5" s="33"/>
    </row>
    <row r="6" spans="2:19" x14ac:dyDescent="0.25">
      <c r="B6" s="855" t="s">
        <v>112</v>
      </c>
      <c r="C6" s="856"/>
      <c r="D6" s="856"/>
      <c r="E6" s="856"/>
      <c r="F6" s="45" t="s">
        <v>107</v>
      </c>
      <c r="G6" s="44"/>
      <c r="H6" s="44"/>
      <c r="I6" s="106" t="s">
        <v>179</v>
      </c>
      <c r="J6" s="107" t="s">
        <v>172</v>
      </c>
      <c r="K6" s="107" t="s">
        <v>53</v>
      </c>
      <c r="L6" s="107" t="s">
        <v>168</v>
      </c>
      <c r="M6" s="107" t="s">
        <v>285</v>
      </c>
      <c r="N6" s="126"/>
      <c r="O6" s="45"/>
      <c r="P6" s="44"/>
      <c r="Q6" s="44"/>
      <c r="R6" s="44"/>
      <c r="S6" s="44"/>
    </row>
    <row r="7" spans="2:19" x14ac:dyDescent="0.25">
      <c r="B7" s="856"/>
      <c r="C7" s="856"/>
      <c r="D7" s="856"/>
      <c r="E7" s="856"/>
      <c r="F7" s="44" t="s">
        <v>108</v>
      </c>
      <c r="G7" s="57">
        <f ca="1">Costs!G8</f>
        <v>281472.05000000005</v>
      </c>
      <c r="H7" s="44"/>
      <c r="I7" s="108" t="s">
        <v>50</v>
      </c>
      <c r="J7" s="108">
        <v>400</v>
      </c>
      <c r="K7" s="110">
        <v>650</v>
      </c>
      <c r="L7" s="110">
        <f>K7*J7</f>
        <v>260000</v>
      </c>
      <c r="M7" s="169">
        <v>0.1</v>
      </c>
      <c r="N7" s="126"/>
      <c r="O7" s="44"/>
      <c r="P7" s="47"/>
      <c r="Q7" s="44"/>
      <c r="R7" s="44"/>
      <c r="S7" s="44"/>
    </row>
    <row r="8" spans="2:19" x14ac:dyDescent="0.25">
      <c r="B8" s="856"/>
      <c r="C8" s="856"/>
      <c r="D8" s="856"/>
      <c r="E8" s="856"/>
      <c r="F8" s="44" t="s">
        <v>126</v>
      </c>
      <c r="G8" s="57">
        <f ca="1">G7*G9</f>
        <v>225177.64000000004</v>
      </c>
      <c r="H8" s="44"/>
      <c r="I8" s="108" t="s">
        <v>120</v>
      </c>
      <c r="J8" s="108">
        <v>575</v>
      </c>
      <c r="K8" s="110">
        <v>650</v>
      </c>
      <c r="L8" s="110">
        <f t="shared" ref="L8:L11" si="0">K8*J8</f>
        <v>373750</v>
      </c>
      <c r="M8" s="169">
        <v>0.15</v>
      </c>
      <c r="N8" s="126"/>
      <c r="O8" s="44"/>
      <c r="P8" s="85"/>
      <c r="Q8" s="44"/>
      <c r="R8" s="44"/>
      <c r="S8" s="44"/>
    </row>
    <row r="9" spans="2:19" x14ac:dyDescent="0.25">
      <c r="B9" s="856"/>
      <c r="C9" s="856"/>
      <c r="D9" s="856"/>
      <c r="E9" s="856"/>
      <c r="F9" s="44" t="s">
        <v>109</v>
      </c>
      <c r="G9" s="47">
        <v>0.8</v>
      </c>
      <c r="H9" s="44"/>
      <c r="I9" s="108" t="s">
        <v>121</v>
      </c>
      <c r="J9" s="108">
        <v>850</v>
      </c>
      <c r="K9" s="110">
        <v>700</v>
      </c>
      <c r="L9" s="110">
        <f t="shared" si="0"/>
        <v>595000</v>
      </c>
      <c r="M9" s="169">
        <v>0.2</v>
      </c>
      <c r="N9" s="126"/>
      <c r="O9" s="44"/>
      <c r="P9" s="47"/>
      <c r="Q9" s="44"/>
      <c r="R9" s="44"/>
      <c r="S9" s="44"/>
    </row>
    <row r="10" spans="2:19" x14ac:dyDescent="0.25">
      <c r="B10" s="856"/>
      <c r="C10" s="856"/>
      <c r="D10" s="856"/>
      <c r="E10" s="856"/>
      <c r="F10" s="44" t="s">
        <v>223</v>
      </c>
      <c r="G10" s="47">
        <v>0.2</v>
      </c>
      <c r="H10" s="44"/>
      <c r="I10" s="108" t="s">
        <v>122</v>
      </c>
      <c r="J10" s="108">
        <v>1250</v>
      </c>
      <c r="K10" s="110">
        <v>700</v>
      </c>
      <c r="L10" s="110">
        <f t="shared" si="0"/>
        <v>875000</v>
      </c>
      <c r="M10" s="169">
        <v>0.25</v>
      </c>
      <c r="N10" s="126"/>
      <c r="O10" s="44"/>
      <c r="P10" s="52"/>
      <c r="Q10" s="44"/>
      <c r="R10" s="44"/>
      <c r="S10" s="44"/>
    </row>
    <row r="11" spans="2:19" x14ac:dyDescent="0.25">
      <c r="B11" s="856"/>
      <c r="C11" s="856"/>
      <c r="D11" s="856"/>
      <c r="E11" s="856"/>
      <c r="F11" s="44"/>
      <c r="G11" s="44"/>
      <c r="H11" s="44"/>
      <c r="I11" s="108" t="s">
        <v>123</v>
      </c>
      <c r="J11" s="108">
        <v>1750</v>
      </c>
      <c r="K11" s="110">
        <v>850</v>
      </c>
      <c r="L11" s="110">
        <f t="shared" si="0"/>
        <v>1487500</v>
      </c>
      <c r="M11" s="169">
        <v>0.1</v>
      </c>
      <c r="N11" s="126"/>
      <c r="O11" s="44"/>
      <c r="P11" s="120"/>
      <c r="Q11" s="44"/>
      <c r="R11" s="44"/>
      <c r="S11" s="44"/>
    </row>
    <row r="12" spans="2:19" x14ac:dyDescent="0.25">
      <c r="B12" s="856"/>
      <c r="C12" s="856"/>
      <c r="D12" s="856"/>
      <c r="E12" s="856"/>
      <c r="F12" s="45" t="s">
        <v>111</v>
      </c>
      <c r="G12" s="44"/>
      <c r="H12" s="44"/>
      <c r="I12" s="44"/>
      <c r="J12" s="44"/>
      <c r="K12" s="44"/>
      <c r="L12" s="44"/>
      <c r="M12" s="44"/>
      <c r="N12" s="128"/>
      <c r="O12" s="44"/>
      <c r="P12" s="120"/>
      <c r="Q12" s="44"/>
      <c r="R12" s="44"/>
      <c r="S12" s="44"/>
    </row>
    <row r="13" spans="2:19" x14ac:dyDescent="0.25">
      <c r="B13" s="856"/>
      <c r="C13" s="856"/>
      <c r="D13" s="856"/>
      <c r="E13" s="856"/>
      <c r="F13" s="44" t="s">
        <v>46</v>
      </c>
      <c r="G13" s="47">
        <v>0.03</v>
      </c>
      <c r="H13" s="44"/>
      <c r="I13" s="106" t="s">
        <v>178</v>
      </c>
      <c r="J13" s="107" t="s">
        <v>172</v>
      </c>
      <c r="K13" s="107" t="s">
        <v>53</v>
      </c>
      <c r="L13" s="107" t="s">
        <v>168</v>
      </c>
      <c r="M13" s="107" t="s">
        <v>285</v>
      </c>
      <c r="N13" s="44"/>
      <c r="O13" s="44"/>
      <c r="P13" s="44"/>
      <c r="Q13" s="44"/>
      <c r="R13" s="44"/>
      <c r="S13" s="44"/>
    </row>
    <row r="14" spans="2:19" x14ac:dyDescent="0.25">
      <c r="B14" s="856"/>
      <c r="C14" s="856"/>
      <c r="D14" s="856"/>
      <c r="E14" s="856"/>
      <c r="F14" s="44" t="s">
        <v>608</v>
      </c>
      <c r="G14" s="47">
        <v>1</v>
      </c>
      <c r="H14" s="44"/>
      <c r="I14" s="108" t="s">
        <v>121</v>
      </c>
      <c r="J14" s="108">
        <v>850</v>
      </c>
      <c r="K14" s="110">
        <v>300</v>
      </c>
      <c r="L14" s="110">
        <f t="shared" ref="L14:L15" si="1">K14*J14</f>
        <v>255000</v>
      </c>
      <c r="M14" s="169">
        <v>0.1</v>
      </c>
      <c r="N14" s="126"/>
      <c r="O14" s="45"/>
      <c r="P14" s="44"/>
      <c r="Q14" s="44"/>
      <c r="R14" s="44"/>
      <c r="S14" s="44"/>
    </row>
    <row r="15" spans="2:19" x14ac:dyDescent="0.25">
      <c r="B15" s="856"/>
      <c r="C15" s="856"/>
      <c r="D15" s="856"/>
      <c r="E15" s="856"/>
      <c r="F15" s="44" t="s">
        <v>170</v>
      </c>
      <c r="G15" s="47">
        <v>0.02</v>
      </c>
      <c r="H15" s="44"/>
      <c r="I15" s="108" t="s">
        <v>122</v>
      </c>
      <c r="J15" s="108">
        <v>1250</v>
      </c>
      <c r="K15" s="110">
        <v>300</v>
      </c>
      <c r="L15" s="110">
        <f t="shared" si="1"/>
        <v>375000</v>
      </c>
      <c r="M15" s="169">
        <v>0.1</v>
      </c>
      <c r="N15" s="127"/>
      <c r="O15" s="44"/>
      <c r="P15" s="44"/>
      <c r="Q15" s="44"/>
      <c r="R15" s="44"/>
      <c r="S15" s="44"/>
    </row>
    <row r="16" spans="2:19" x14ac:dyDescent="0.25">
      <c r="B16" s="856"/>
      <c r="C16" s="856"/>
      <c r="D16" s="856"/>
      <c r="E16" s="856"/>
      <c r="F16" s="44" t="s">
        <v>119</v>
      </c>
      <c r="G16" s="47">
        <v>0.03</v>
      </c>
      <c r="H16" s="44"/>
      <c r="I16" s="44"/>
      <c r="J16" s="44"/>
      <c r="K16" s="44"/>
      <c r="L16" s="44"/>
      <c r="M16" s="44"/>
      <c r="N16" s="127"/>
      <c r="O16" s="44"/>
      <c r="P16" s="44"/>
      <c r="Q16" s="44"/>
      <c r="R16" s="44"/>
      <c r="S16" s="44"/>
    </row>
    <row r="17" spans="2:19" x14ac:dyDescent="0.25">
      <c r="B17" s="856"/>
      <c r="C17" s="856"/>
      <c r="D17" s="856"/>
      <c r="E17" s="856"/>
      <c r="F17" s="44" t="s">
        <v>521</v>
      </c>
      <c r="G17" s="47">
        <v>0.02</v>
      </c>
      <c r="H17" s="44"/>
      <c r="I17" s="45"/>
      <c r="J17" s="44"/>
      <c r="K17" s="44"/>
      <c r="L17" s="45"/>
      <c r="M17" s="111"/>
      <c r="N17" s="128"/>
      <c r="O17" s="44"/>
      <c r="P17" s="44"/>
      <c r="Q17" s="44"/>
      <c r="R17" s="44"/>
      <c r="S17" s="44"/>
    </row>
    <row r="18" spans="2:19" x14ac:dyDescent="0.25">
      <c r="B18" s="856"/>
      <c r="C18" s="856"/>
      <c r="D18" s="856"/>
      <c r="E18" s="856"/>
      <c r="F18" s="44"/>
      <c r="G18" s="44"/>
      <c r="H18" s="44"/>
      <c r="I18" s="44"/>
      <c r="J18" s="47"/>
      <c r="K18" s="44"/>
      <c r="L18" s="44"/>
      <c r="M18" s="44"/>
      <c r="N18" s="44"/>
      <c r="O18" s="44"/>
      <c r="P18" s="44"/>
      <c r="Q18" s="44"/>
      <c r="R18" s="44"/>
      <c r="S18" s="44"/>
    </row>
    <row r="19" spans="2:19" x14ac:dyDescent="0.25">
      <c r="B19" s="856"/>
      <c r="C19" s="856"/>
      <c r="D19" s="856"/>
      <c r="E19" s="856"/>
      <c r="F19" s="44"/>
      <c r="G19" s="44"/>
      <c r="H19" s="44"/>
      <c r="I19" s="44"/>
      <c r="J19" s="47"/>
      <c r="K19" s="44"/>
      <c r="L19" s="44"/>
      <c r="M19" s="44"/>
      <c r="N19" s="44"/>
      <c r="O19" s="44"/>
      <c r="P19" s="44"/>
      <c r="Q19" s="44"/>
      <c r="R19" s="44"/>
      <c r="S19" s="44"/>
    </row>
    <row r="20" spans="2:19" x14ac:dyDescent="0.25">
      <c r="B20" s="856"/>
      <c r="C20" s="856"/>
      <c r="D20" s="856"/>
      <c r="E20" s="856"/>
      <c r="F20" s="44"/>
      <c r="G20" s="44"/>
      <c r="H20" s="44"/>
      <c r="I20" s="44"/>
      <c r="J20" s="47"/>
      <c r="K20" s="44"/>
      <c r="L20" s="44"/>
      <c r="M20" s="44"/>
      <c r="N20" s="44"/>
      <c r="O20" s="44"/>
      <c r="P20" s="44"/>
      <c r="Q20" s="44"/>
      <c r="R20" s="44"/>
      <c r="S20" s="44"/>
    </row>
    <row r="21" spans="2:19" x14ac:dyDescent="0.25">
      <c r="B21" s="856"/>
      <c r="C21" s="856"/>
      <c r="D21" s="856"/>
      <c r="E21" s="856"/>
      <c r="F21" s="44"/>
      <c r="G21" s="44"/>
      <c r="H21" s="44"/>
      <c r="I21" s="44"/>
      <c r="J21" s="47"/>
      <c r="K21" s="44"/>
      <c r="L21" s="44"/>
      <c r="M21" s="44"/>
      <c r="N21" s="44"/>
      <c r="O21" s="44"/>
      <c r="P21" s="44"/>
      <c r="Q21" s="44"/>
      <c r="R21" s="44"/>
      <c r="S21" s="44"/>
    </row>
    <row r="22" spans="2:19" x14ac:dyDescent="0.25">
      <c r="B22" s="856"/>
      <c r="C22" s="856"/>
      <c r="D22" s="856"/>
      <c r="E22" s="856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</row>
    <row r="23" spans="2:19" x14ac:dyDescent="0.25">
      <c r="C23"/>
      <c r="D23"/>
      <c r="E23"/>
      <c r="Q23" s="33"/>
    </row>
    <row r="24" spans="2:19" x14ac:dyDescent="0.25">
      <c r="C24" s="121"/>
      <c r="D24" s="121"/>
      <c r="E24" s="121"/>
      <c r="F24" s="853" t="s">
        <v>49</v>
      </c>
      <c r="G24" s="853"/>
      <c r="H24" s="853"/>
      <c r="I24" s="853"/>
      <c r="J24" s="853"/>
      <c r="K24" s="853"/>
      <c r="L24" s="853"/>
      <c r="M24" s="853"/>
      <c r="N24" s="853"/>
      <c r="O24" s="853"/>
      <c r="P24" s="853"/>
      <c r="Q24" s="33"/>
    </row>
    <row r="25" spans="2:19" x14ac:dyDescent="0.25">
      <c r="C25" s="121"/>
      <c r="D25" s="121"/>
      <c r="E25" s="121"/>
      <c r="F25" s="272" t="s">
        <v>105</v>
      </c>
      <c r="G25" s="311" t="s">
        <v>28</v>
      </c>
      <c r="H25" s="311" t="s">
        <v>28</v>
      </c>
      <c r="I25" s="312" t="s">
        <v>28</v>
      </c>
      <c r="J25" s="313" t="s">
        <v>47</v>
      </c>
      <c r="K25" s="313" t="s">
        <v>47</v>
      </c>
      <c r="L25" s="313" t="s">
        <v>47</v>
      </c>
      <c r="M25" s="314" t="s">
        <v>47</v>
      </c>
      <c r="N25" s="315" t="s">
        <v>48</v>
      </c>
      <c r="O25" s="315" t="s">
        <v>48</v>
      </c>
      <c r="P25" s="316" t="s">
        <v>48</v>
      </c>
      <c r="Q25" s="33"/>
    </row>
    <row r="26" spans="2:19" x14ac:dyDescent="0.25">
      <c r="B26" s="317"/>
      <c r="C26" s="318"/>
      <c r="D26" s="318"/>
      <c r="E26" s="318"/>
      <c r="F26" s="274">
        <v>0</v>
      </c>
      <c r="G26" s="320">
        <f>F26+1</f>
        <v>1</v>
      </c>
      <c r="H26" s="320">
        <f t="shared" ref="H26:P27" si="2">G26+1</f>
        <v>2</v>
      </c>
      <c r="I26" s="274">
        <f t="shared" si="2"/>
        <v>3</v>
      </c>
      <c r="J26" s="320">
        <f t="shared" si="2"/>
        <v>4</v>
      </c>
      <c r="K26" s="320">
        <f t="shared" si="2"/>
        <v>5</v>
      </c>
      <c r="L26" s="320">
        <f t="shared" si="2"/>
        <v>6</v>
      </c>
      <c r="M26" s="274">
        <f t="shared" si="2"/>
        <v>7</v>
      </c>
      <c r="N26" s="320">
        <f t="shared" si="2"/>
        <v>8</v>
      </c>
      <c r="O26" s="320">
        <f t="shared" si="2"/>
        <v>9</v>
      </c>
      <c r="P26" s="274">
        <f t="shared" si="2"/>
        <v>10</v>
      </c>
      <c r="Q26" s="33"/>
    </row>
    <row r="27" spans="2:19" x14ac:dyDescent="0.25">
      <c r="B27" s="321"/>
      <c r="C27" s="221"/>
      <c r="D27" s="221"/>
      <c r="E27" s="221"/>
      <c r="F27" s="278" t="s">
        <v>177</v>
      </c>
      <c r="G27" s="225">
        <v>2022</v>
      </c>
      <c r="H27" s="225">
        <f t="shared" si="2"/>
        <v>2023</v>
      </c>
      <c r="I27" s="278">
        <f t="shared" si="2"/>
        <v>2024</v>
      </c>
      <c r="J27" s="225">
        <f t="shared" si="2"/>
        <v>2025</v>
      </c>
      <c r="K27" s="225">
        <f t="shared" si="2"/>
        <v>2026</v>
      </c>
      <c r="L27" s="225">
        <f t="shared" si="2"/>
        <v>2027</v>
      </c>
      <c r="M27" s="278">
        <f t="shared" si="2"/>
        <v>2028</v>
      </c>
      <c r="N27" s="225">
        <f t="shared" si="2"/>
        <v>2029</v>
      </c>
      <c r="O27" s="225">
        <f t="shared" si="2"/>
        <v>2030</v>
      </c>
      <c r="P27" s="278">
        <f t="shared" si="2"/>
        <v>2031</v>
      </c>
      <c r="Q27" s="33"/>
    </row>
    <row r="28" spans="2:19" x14ac:dyDescent="0.25">
      <c r="B28" s="322"/>
      <c r="C28" s="123"/>
      <c r="D28" s="123"/>
      <c r="E28" s="123"/>
      <c r="F28" s="286"/>
      <c r="G28" s="226"/>
      <c r="H28" s="226"/>
      <c r="I28" s="286"/>
      <c r="J28" s="226"/>
      <c r="K28" s="226"/>
      <c r="L28" s="226"/>
      <c r="M28" s="286"/>
      <c r="N28" s="226"/>
      <c r="O28" s="226"/>
      <c r="P28" s="286"/>
      <c r="Q28" s="33"/>
    </row>
    <row r="29" spans="2:19" x14ac:dyDescent="0.25">
      <c r="B29" s="323" t="s">
        <v>135</v>
      </c>
      <c r="C29" s="34"/>
      <c r="D29" s="34"/>
      <c r="E29" s="76"/>
      <c r="F29" s="286"/>
      <c r="G29" s="226"/>
      <c r="H29" s="226"/>
      <c r="I29" s="286"/>
      <c r="J29" s="226"/>
      <c r="K29" s="226"/>
      <c r="L29" s="226"/>
      <c r="M29" s="286"/>
      <c r="N29" s="226"/>
      <c r="O29" s="226"/>
      <c r="P29" s="286"/>
      <c r="Q29" s="33"/>
    </row>
    <row r="30" spans="2:19" x14ac:dyDescent="0.25">
      <c r="B30" s="323"/>
      <c r="C30" s="829" t="s">
        <v>58</v>
      </c>
      <c r="D30" s="201" t="s">
        <v>109</v>
      </c>
      <c r="E30" s="76"/>
      <c r="F30" s="348"/>
      <c r="G30" s="233"/>
      <c r="H30" s="233"/>
      <c r="I30" s="348"/>
      <c r="J30" s="233"/>
      <c r="K30" s="233"/>
      <c r="L30" s="233"/>
      <c r="M30" s="348"/>
      <c r="N30" s="233"/>
      <c r="O30" s="233"/>
      <c r="P30" s="348"/>
      <c r="Q30" s="33"/>
    </row>
    <row r="31" spans="2:19" x14ac:dyDescent="0.25">
      <c r="B31" s="324" t="s">
        <v>300</v>
      </c>
      <c r="C31" s="404">
        <f ca="1">SUM(F31:I31)</f>
        <v>29719</v>
      </c>
      <c r="D31" s="326">
        <f>$G$9</f>
        <v>0.8</v>
      </c>
      <c r="E31" s="350"/>
      <c r="F31" s="287">
        <f>SUM('Development Schedule'!E115:E118)</f>
        <v>0</v>
      </c>
      <c r="G31" s="229">
        <f ca="1">SUM('Development Schedule'!F115:F118)</f>
        <v>14859.5</v>
      </c>
      <c r="H31" s="229">
        <f ca="1">SUM('Development Schedule'!G115:G118)</f>
        <v>14859.5</v>
      </c>
      <c r="I31" s="287">
        <f ca="1">SUM('Development Schedule'!H115:H118)</f>
        <v>0</v>
      </c>
      <c r="J31" s="229">
        <f ca="1">SUM('Development Schedule'!I115:I118)</f>
        <v>0</v>
      </c>
      <c r="K31" s="229">
        <f ca="1">SUM('Development Schedule'!J115:J118)</f>
        <v>0</v>
      </c>
      <c r="L31" s="229">
        <f ca="1">SUM('Development Schedule'!K115:K118)</f>
        <v>0</v>
      </c>
      <c r="M31" s="287">
        <f ca="1">SUM('Development Schedule'!L115:L118)</f>
        <v>0</v>
      </c>
      <c r="N31" s="229">
        <f ca="1">SUM('Development Schedule'!M115:M118)</f>
        <v>0</v>
      </c>
      <c r="O31" s="229">
        <f ca="1">SUM('Development Schedule'!N115:N118)</f>
        <v>0</v>
      </c>
      <c r="P31" s="287">
        <f ca="1">SUM('Development Schedule'!O115:O118)</f>
        <v>0</v>
      </c>
      <c r="Q31" s="33"/>
    </row>
    <row r="32" spans="2:19" x14ac:dyDescent="0.25">
      <c r="B32" s="322" t="s">
        <v>286</v>
      </c>
      <c r="C32" s="237">
        <f>$M$7</f>
        <v>0.1</v>
      </c>
      <c r="D32" s="328"/>
      <c r="E32" s="123"/>
      <c r="F32" s="348">
        <f>(F$31*$C32/$J7*$D$31)+E32</f>
        <v>0</v>
      </c>
      <c r="G32" s="233">
        <f t="shared" ref="G32:P32" ca="1" si="3">(G$31*$C32/$J7*$D$31)+F32</f>
        <v>2.9719000000000002</v>
      </c>
      <c r="H32" s="233">
        <f t="shared" ca="1" si="3"/>
        <v>5.9438000000000004</v>
      </c>
      <c r="I32" s="348">
        <f t="shared" ca="1" si="3"/>
        <v>5.9438000000000004</v>
      </c>
      <c r="J32" s="233">
        <f t="shared" ca="1" si="3"/>
        <v>5.9438000000000004</v>
      </c>
      <c r="K32" s="233">
        <f t="shared" ca="1" si="3"/>
        <v>5.9438000000000004</v>
      </c>
      <c r="L32" s="233">
        <f t="shared" ca="1" si="3"/>
        <v>5.9438000000000004</v>
      </c>
      <c r="M32" s="348">
        <f t="shared" ca="1" si="3"/>
        <v>5.9438000000000004</v>
      </c>
      <c r="N32" s="233">
        <f t="shared" ca="1" si="3"/>
        <v>5.9438000000000004</v>
      </c>
      <c r="O32" s="233">
        <f t="shared" ca="1" si="3"/>
        <v>5.9438000000000004</v>
      </c>
      <c r="P32" s="348">
        <f t="shared" ca="1" si="3"/>
        <v>5.9438000000000004</v>
      </c>
      <c r="Q32" s="33"/>
    </row>
    <row r="33" spans="2:17" x14ac:dyDescent="0.25">
      <c r="B33" s="322" t="s">
        <v>287</v>
      </c>
      <c r="C33" s="237">
        <f>$M$8</f>
        <v>0.15</v>
      </c>
      <c r="D33" s="328"/>
      <c r="E33" s="123"/>
      <c r="F33" s="348">
        <f t="shared" ref="F33:P36" si="4">(F$31*$C33/$J8*$D$31)+E33</f>
        <v>0</v>
      </c>
      <c r="G33" s="233">
        <f t="shared" ca="1" si="4"/>
        <v>3.1011130434782608</v>
      </c>
      <c r="H33" s="233">
        <f t="shared" ca="1" si="4"/>
        <v>6.2022260869565216</v>
      </c>
      <c r="I33" s="348">
        <f t="shared" ca="1" si="4"/>
        <v>6.2022260869565216</v>
      </c>
      <c r="J33" s="233">
        <f t="shared" ca="1" si="4"/>
        <v>6.2022260869565216</v>
      </c>
      <c r="K33" s="233">
        <f t="shared" ca="1" si="4"/>
        <v>6.2022260869565216</v>
      </c>
      <c r="L33" s="233">
        <f t="shared" ca="1" si="4"/>
        <v>6.2022260869565216</v>
      </c>
      <c r="M33" s="348">
        <f t="shared" ca="1" si="4"/>
        <v>6.2022260869565216</v>
      </c>
      <c r="N33" s="233">
        <f t="shared" ca="1" si="4"/>
        <v>6.2022260869565216</v>
      </c>
      <c r="O33" s="233">
        <f t="shared" ca="1" si="4"/>
        <v>6.2022260869565216</v>
      </c>
      <c r="P33" s="348">
        <f t="shared" ca="1" si="4"/>
        <v>6.2022260869565216</v>
      </c>
      <c r="Q33" s="33"/>
    </row>
    <row r="34" spans="2:17" x14ac:dyDescent="0.25">
      <c r="B34" s="322" t="s">
        <v>288</v>
      </c>
      <c r="C34" s="237">
        <f>$M$9</f>
        <v>0.2</v>
      </c>
      <c r="D34" s="328"/>
      <c r="E34" s="123"/>
      <c r="F34" s="348">
        <f t="shared" si="4"/>
        <v>0</v>
      </c>
      <c r="G34" s="233">
        <f t="shared" ca="1" si="4"/>
        <v>2.7970823529411768</v>
      </c>
      <c r="H34" s="233">
        <f t="shared" ca="1" si="4"/>
        <v>5.5941647058823536</v>
      </c>
      <c r="I34" s="348">
        <f t="shared" ca="1" si="4"/>
        <v>5.5941647058823536</v>
      </c>
      <c r="J34" s="233">
        <f t="shared" ca="1" si="4"/>
        <v>5.5941647058823536</v>
      </c>
      <c r="K34" s="233">
        <f t="shared" ca="1" si="4"/>
        <v>5.5941647058823536</v>
      </c>
      <c r="L34" s="233">
        <f t="shared" ca="1" si="4"/>
        <v>5.5941647058823536</v>
      </c>
      <c r="M34" s="348">
        <f t="shared" ca="1" si="4"/>
        <v>5.5941647058823536</v>
      </c>
      <c r="N34" s="233">
        <f t="shared" ca="1" si="4"/>
        <v>5.5941647058823536</v>
      </c>
      <c r="O34" s="233">
        <f t="shared" ca="1" si="4"/>
        <v>5.5941647058823536</v>
      </c>
      <c r="P34" s="348">
        <f t="shared" ca="1" si="4"/>
        <v>5.5941647058823536</v>
      </c>
      <c r="Q34" s="33"/>
    </row>
    <row r="35" spans="2:17" x14ac:dyDescent="0.25">
      <c r="B35" s="322" t="s">
        <v>289</v>
      </c>
      <c r="C35" s="237">
        <f>$M$10</f>
        <v>0.25</v>
      </c>
      <c r="D35" s="328"/>
      <c r="E35" s="123"/>
      <c r="F35" s="348">
        <f t="shared" si="4"/>
        <v>0</v>
      </c>
      <c r="G35" s="233">
        <f t="shared" ca="1" si="4"/>
        <v>2.3775200000000001</v>
      </c>
      <c r="H35" s="233">
        <f t="shared" ca="1" si="4"/>
        <v>4.7550400000000002</v>
      </c>
      <c r="I35" s="348">
        <f t="shared" ca="1" si="4"/>
        <v>4.7550400000000002</v>
      </c>
      <c r="J35" s="233">
        <f t="shared" ca="1" si="4"/>
        <v>4.7550400000000002</v>
      </c>
      <c r="K35" s="233">
        <f t="shared" ca="1" si="4"/>
        <v>4.7550400000000002</v>
      </c>
      <c r="L35" s="233">
        <f t="shared" ca="1" si="4"/>
        <v>4.7550400000000002</v>
      </c>
      <c r="M35" s="348">
        <f t="shared" ca="1" si="4"/>
        <v>4.7550400000000002</v>
      </c>
      <c r="N35" s="233">
        <f t="shared" ca="1" si="4"/>
        <v>4.7550400000000002</v>
      </c>
      <c r="O35" s="233">
        <f t="shared" ca="1" si="4"/>
        <v>4.7550400000000002</v>
      </c>
      <c r="P35" s="348">
        <f t="shared" ca="1" si="4"/>
        <v>4.7550400000000002</v>
      </c>
      <c r="Q35" s="33"/>
    </row>
    <row r="36" spans="2:17" x14ac:dyDescent="0.25">
      <c r="B36" s="322" t="s">
        <v>290</v>
      </c>
      <c r="C36" s="237">
        <f>$M$11</f>
        <v>0.1</v>
      </c>
      <c r="D36" s="328"/>
      <c r="E36" s="123"/>
      <c r="F36" s="348">
        <f t="shared" si="4"/>
        <v>0</v>
      </c>
      <c r="G36" s="233">
        <f t="shared" ca="1" si="4"/>
        <v>0.67929142857142866</v>
      </c>
      <c r="H36" s="233">
        <f t="shared" ca="1" si="4"/>
        <v>1.3585828571428573</v>
      </c>
      <c r="I36" s="348">
        <f t="shared" ca="1" si="4"/>
        <v>1.3585828571428573</v>
      </c>
      <c r="J36" s="233">
        <f t="shared" ca="1" si="4"/>
        <v>1.3585828571428573</v>
      </c>
      <c r="K36" s="233">
        <f t="shared" ca="1" si="4"/>
        <v>1.3585828571428573</v>
      </c>
      <c r="L36" s="233">
        <f t="shared" ca="1" si="4"/>
        <v>1.3585828571428573</v>
      </c>
      <c r="M36" s="348">
        <f t="shared" ca="1" si="4"/>
        <v>1.3585828571428573</v>
      </c>
      <c r="N36" s="233">
        <f t="shared" ca="1" si="4"/>
        <v>1.3585828571428573</v>
      </c>
      <c r="O36" s="233">
        <f t="shared" ca="1" si="4"/>
        <v>1.3585828571428573</v>
      </c>
      <c r="P36" s="348">
        <f t="shared" ca="1" si="4"/>
        <v>1.3585828571428573</v>
      </c>
      <c r="Q36" s="33"/>
    </row>
    <row r="37" spans="2:17" x14ac:dyDescent="0.25">
      <c r="B37" s="322" t="s">
        <v>291</v>
      </c>
      <c r="C37" s="237">
        <f>$M$14</f>
        <v>0.1</v>
      </c>
      <c r="D37" s="328"/>
      <c r="E37" s="123"/>
      <c r="F37" s="348">
        <f>(F$31*$C37/$J14*$D$31)+E37</f>
        <v>0</v>
      </c>
      <c r="G37" s="233">
        <f t="shared" ref="G37:P37" ca="1" si="5">(G$31*$C37/$J14*$D$31)+F37</f>
        <v>1.3985411764705884</v>
      </c>
      <c r="H37" s="233">
        <f t="shared" ca="1" si="5"/>
        <v>2.7970823529411768</v>
      </c>
      <c r="I37" s="348">
        <f t="shared" ca="1" si="5"/>
        <v>2.7970823529411768</v>
      </c>
      <c r="J37" s="233">
        <f t="shared" ca="1" si="5"/>
        <v>2.7970823529411768</v>
      </c>
      <c r="K37" s="233">
        <f t="shared" ca="1" si="5"/>
        <v>2.7970823529411768</v>
      </c>
      <c r="L37" s="233">
        <f t="shared" ca="1" si="5"/>
        <v>2.7970823529411768</v>
      </c>
      <c r="M37" s="348">
        <f t="shared" ca="1" si="5"/>
        <v>2.7970823529411768</v>
      </c>
      <c r="N37" s="233">
        <f t="shared" ca="1" si="5"/>
        <v>2.7970823529411768</v>
      </c>
      <c r="O37" s="233">
        <f t="shared" ca="1" si="5"/>
        <v>2.7970823529411768</v>
      </c>
      <c r="P37" s="348">
        <f t="shared" ca="1" si="5"/>
        <v>2.7970823529411768</v>
      </c>
      <c r="Q37" s="33"/>
    </row>
    <row r="38" spans="2:17" x14ac:dyDescent="0.25">
      <c r="B38" s="322" t="s">
        <v>292</v>
      </c>
      <c r="C38" s="237">
        <f>$M$15</f>
        <v>0.1</v>
      </c>
      <c r="D38" s="328"/>
      <c r="E38" s="123"/>
      <c r="F38" s="348">
        <f>(F$31*$C38/$J15*$D$31)+E38</f>
        <v>0</v>
      </c>
      <c r="G38" s="233">
        <f t="shared" ref="G38:P38" ca="1" si="6">(G$31*$C38/$J15*$D$31)+F38</f>
        <v>0.95100800000000008</v>
      </c>
      <c r="H38" s="233">
        <f t="shared" ca="1" si="6"/>
        <v>1.9020160000000002</v>
      </c>
      <c r="I38" s="348">
        <f t="shared" ca="1" si="6"/>
        <v>1.9020160000000002</v>
      </c>
      <c r="J38" s="233">
        <f t="shared" ca="1" si="6"/>
        <v>1.9020160000000002</v>
      </c>
      <c r="K38" s="233">
        <f t="shared" ca="1" si="6"/>
        <v>1.9020160000000002</v>
      </c>
      <c r="L38" s="233">
        <f t="shared" ca="1" si="6"/>
        <v>1.9020160000000002</v>
      </c>
      <c r="M38" s="348">
        <f t="shared" ca="1" si="6"/>
        <v>1.9020160000000002</v>
      </c>
      <c r="N38" s="233">
        <f t="shared" ca="1" si="6"/>
        <v>1.9020160000000002</v>
      </c>
      <c r="O38" s="233">
        <f t="shared" ca="1" si="6"/>
        <v>1.9020160000000002</v>
      </c>
      <c r="P38" s="348">
        <f t="shared" ca="1" si="6"/>
        <v>1.9020160000000002</v>
      </c>
      <c r="Q38" s="33"/>
    </row>
    <row r="39" spans="2:17" x14ac:dyDescent="0.25">
      <c r="B39" s="330" t="s">
        <v>416</v>
      </c>
      <c r="C39" s="827"/>
      <c r="D39" s="328"/>
      <c r="E39" s="76"/>
      <c r="F39" s="289">
        <v>0</v>
      </c>
      <c r="G39" s="332">
        <v>0</v>
      </c>
      <c r="H39" s="332">
        <v>1</v>
      </c>
      <c r="I39" s="289">
        <v>0</v>
      </c>
      <c r="J39" s="332">
        <v>0</v>
      </c>
      <c r="K39" s="332">
        <v>0</v>
      </c>
      <c r="L39" s="332">
        <v>0</v>
      </c>
      <c r="M39" s="289">
        <v>0</v>
      </c>
      <c r="N39" s="332">
        <f t="shared" ref="N39:P39" si="7">M39</f>
        <v>0</v>
      </c>
      <c r="O39" s="332">
        <f t="shared" si="7"/>
        <v>0</v>
      </c>
      <c r="P39" s="289">
        <f t="shared" si="7"/>
        <v>0</v>
      </c>
      <c r="Q39" s="33"/>
    </row>
    <row r="40" spans="2:17" x14ac:dyDescent="0.25">
      <c r="B40" s="330" t="s">
        <v>497</v>
      </c>
      <c r="C40" s="827"/>
      <c r="D40" s="328"/>
      <c r="E40" s="302"/>
      <c r="F40" s="289"/>
      <c r="G40" s="512">
        <f ca="1">SUM(G32:G36)-SUM(F32:F36)</f>
        <v>11.926906824990866</v>
      </c>
      <c r="H40" s="512">
        <f t="shared" ref="H40:P40" ca="1" si="8">SUM(H32:H36)-SUM(G32:G36)</f>
        <v>11.926906824990866</v>
      </c>
      <c r="I40" s="513">
        <f t="shared" ca="1" si="8"/>
        <v>0</v>
      </c>
      <c r="J40" s="512">
        <f t="shared" ca="1" si="8"/>
        <v>0</v>
      </c>
      <c r="K40" s="512">
        <f t="shared" ca="1" si="8"/>
        <v>0</v>
      </c>
      <c r="L40" s="512">
        <f t="shared" ca="1" si="8"/>
        <v>0</v>
      </c>
      <c r="M40" s="513">
        <f t="shared" ca="1" si="8"/>
        <v>0</v>
      </c>
      <c r="N40" s="512">
        <f t="shared" ca="1" si="8"/>
        <v>0</v>
      </c>
      <c r="O40" s="512">
        <f t="shared" ca="1" si="8"/>
        <v>0</v>
      </c>
      <c r="P40" s="513">
        <f t="shared" ca="1" si="8"/>
        <v>0</v>
      </c>
      <c r="Q40" s="33"/>
    </row>
    <row r="41" spans="2:17" x14ac:dyDescent="0.25">
      <c r="B41" s="330" t="s">
        <v>498</v>
      </c>
      <c r="C41" s="827"/>
      <c r="D41" s="328"/>
      <c r="E41" s="302"/>
      <c r="F41" s="289"/>
      <c r="G41" s="512">
        <f ca="1">SUM(G37:G38)-SUM(F37:F38)</f>
        <v>2.3495491764705885</v>
      </c>
      <c r="H41" s="512">
        <f t="shared" ref="H41:P41" ca="1" si="9">SUM(H37:H38)-SUM(G37:G38)</f>
        <v>2.3495491764705885</v>
      </c>
      <c r="I41" s="513">
        <f t="shared" ca="1" si="9"/>
        <v>0</v>
      </c>
      <c r="J41" s="512">
        <f t="shared" ca="1" si="9"/>
        <v>0</v>
      </c>
      <c r="K41" s="512">
        <f t="shared" ca="1" si="9"/>
        <v>0</v>
      </c>
      <c r="L41" s="512">
        <f t="shared" ca="1" si="9"/>
        <v>0</v>
      </c>
      <c r="M41" s="513">
        <f t="shared" ca="1" si="9"/>
        <v>0</v>
      </c>
      <c r="N41" s="512">
        <f t="shared" ca="1" si="9"/>
        <v>0</v>
      </c>
      <c r="O41" s="512">
        <f t="shared" ca="1" si="9"/>
        <v>0</v>
      </c>
      <c r="P41" s="513">
        <f t="shared" ca="1" si="9"/>
        <v>0</v>
      </c>
      <c r="Q41" s="33"/>
    </row>
    <row r="42" spans="2:17" x14ac:dyDescent="0.25">
      <c r="B42" s="322"/>
      <c r="C42" s="240"/>
      <c r="D42" s="328"/>
      <c r="E42" s="123"/>
      <c r="F42" s="348"/>
      <c r="G42" s="233"/>
      <c r="H42" s="233"/>
      <c r="I42" s="348"/>
      <c r="J42" s="233"/>
      <c r="K42" s="233"/>
      <c r="L42" s="233"/>
      <c r="M42" s="348"/>
      <c r="N42" s="233"/>
      <c r="O42" s="233"/>
      <c r="P42" s="348"/>
      <c r="Q42" s="33"/>
    </row>
    <row r="43" spans="2:17" x14ac:dyDescent="0.25">
      <c r="B43" s="324" t="s">
        <v>301</v>
      </c>
      <c r="C43" s="828">
        <f ca="1">SUM(F43:P43)</f>
        <v>29719</v>
      </c>
      <c r="D43" s="326">
        <f>$G$9</f>
        <v>0.8</v>
      </c>
      <c r="E43" s="350"/>
      <c r="F43" s="287">
        <f>SUM('Development Schedule'!E130:E133)</f>
        <v>0</v>
      </c>
      <c r="G43" s="229">
        <f ca="1">SUM('Development Schedule'!F130:F133)</f>
        <v>14859.5</v>
      </c>
      <c r="H43" s="229">
        <f ca="1">SUM('Development Schedule'!G130:G133)</f>
        <v>14859.5</v>
      </c>
      <c r="I43" s="287">
        <f ca="1">SUM('Development Schedule'!H130:H133)</f>
        <v>0</v>
      </c>
      <c r="J43" s="229">
        <f ca="1">SUM('Development Schedule'!I130:I133)</f>
        <v>0</v>
      </c>
      <c r="K43" s="229">
        <f ca="1">SUM('Development Schedule'!J130:J133)</f>
        <v>0</v>
      </c>
      <c r="L43" s="229">
        <f ca="1">SUM('Development Schedule'!K130:K133)</f>
        <v>0</v>
      </c>
      <c r="M43" s="287">
        <f ca="1">SUM('Development Schedule'!L130:L133)</f>
        <v>0</v>
      </c>
      <c r="N43" s="229">
        <f ca="1">SUM('Development Schedule'!M130:M133)</f>
        <v>0</v>
      </c>
      <c r="O43" s="229">
        <f ca="1">SUM('Development Schedule'!N130:N133)</f>
        <v>0</v>
      </c>
      <c r="P43" s="287">
        <f ca="1">SUM('Development Schedule'!O130:O133)</f>
        <v>0</v>
      </c>
      <c r="Q43" s="33"/>
    </row>
    <row r="44" spans="2:17" x14ac:dyDescent="0.25">
      <c r="B44" s="322" t="s">
        <v>286</v>
      </c>
      <c r="C44" s="237">
        <f>$M$7</f>
        <v>0.1</v>
      </c>
      <c r="D44" s="328"/>
      <c r="E44" s="123"/>
      <c r="F44" s="348">
        <f>(F$43*$C44/$J7*$D$31)+E44</f>
        <v>0</v>
      </c>
      <c r="G44" s="233">
        <f t="shared" ref="G44:P44" ca="1" si="10">(G$43*$C44/$J7*$D$31)+F44</f>
        <v>2.9719000000000002</v>
      </c>
      <c r="H44" s="233">
        <f t="shared" ca="1" si="10"/>
        <v>5.9438000000000004</v>
      </c>
      <c r="I44" s="348">
        <f t="shared" ca="1" si="10"/>
        <v>5.9438000000000004</v>
      </c>
      <c r="J44" s="233">
        <f t="shared" ca="1" si="10"/>
        <v>5.9438000000000004</v>
      </c>
      <c r="K44" s="233">
        <f t="shared" ca="1" si="10"/>
        <v>5.9438000000000004</v>
      </c>
      <c r="L44" s="233">
        <f t="shared" ca="1" si="10"/>
        <v>5.9438000000000004</v>
      </c>
      <c r="M44" s="348">
        <f t="shared" ca="1" si="10"/>
        <v>5.9438000000000004</v>
      </c>
      <c r="N44" s="233">
        <f t="shared" ca="1" si="10"/>
        <v>5.9438000000000004</v>
      </c>
      <c r="O44" s="233">
        <f t="shared" ca="1" si="10"/>
        <v>5.9438000000000004</v>
      </c>
      <c r="P44" s="348">
        <f t="shared" ca="1" si="10"/>
        <v>5.9438000000000004</v>
      </c>
      <c r="Q44" s="33"/>
    </row>
    <row r="45" spans="2:17" x14ac:dyDescent="0.25">
      <c r="B45" s="322" t="s">
        <v>287</v>
      </c>
      <c r="C45" s="237">
        <f>$M$8</f>
        <v>0.15</v>
      </c>
      <c r="D45" s="328"/>
      <c r="E45" s="123"/>
      <c r="F45" s="348">
        <f>(F$43*$C45/$J8*$D$31)+E45</f>
        <v>0</v>
      </c>
      <c r="G45" s="233">
        <f t="shared" ref="G45:P45" ca="1" si="11">(G$43*$C45/$J8*$D$31)+F45</f>
        <v>3.1011130434782608</v>
      </c>
      <c r="H45" s="233">
        <f t="shared" ca="1" si="11"/>
        <v>6.2022260869565216</v>
      </c>
      <c r="I45" s="348">
        <f t="shared" ca="1" si="11"/>
        <v>6.2022260869565216</v>
      </c>
      <c r="J45" s="233">
        <f t="shared" ca="1" si="11"/>
        <v>6.2022260869565216</v>
      </c>
      <c r="K45" s="233">
        <f t="shared" ca="1" si="11"/>
        <v>6.2022260869565216</v>
      </c>
      <c r="L45" s="233">
        <f t="shared" ca="1" si="11"/>
        <v>6.2022260869565216</v>
      </c>
      <c r="M45" s="348">
        <f t="shared" ca="1" si="11"/>
        <v>6.2022260869565216</v>
      </c>
      <c r="N45" s="233">
        <f t="shared" ca="1" si="11"/>
        <v>6.2022260869565216</v>
      </c>
      <c r="O45" s="233">
        <f t="shared" ca="1" si="11"/>
        <v>6.2022260869565216</v>
      </c>
      <c r="P45" s="348">
        <f t="shared" ca="1" si="11"/>
        <v>6.2022260869565216</v>
      </c>
      <c r="Q45" s="33"/>
    </row>
    <row r="46" spans="2:17" x14ac:dyDescent="0.25">
      <c r="B46" s="322" t="s">
        <v>288</v>
      </c>
      <c r="C46" s="237">
        <f>$M$9</f>
        <v>0.2</v>
      </c>
      <c r="D46" s="328"/>
      <c r="E46" s="123"/>
      <c r="F46" s="348">
        <f>(F$43*$C46/$J9*$D$31)+E46</f>
        <v>0</v>
      </c>
      <c r="G46" s="233">
        <f t="shared" ref="G46:P46" ca="1" si="12">(G$43*$C46/$J9*$D$31)+F46</f>
        <v>2.7970823529411768</v>
      </c>
      <c r="H46" s="233">
        <f t="shared" ca="1" si="12"/>
        <v>5.5941647058823536</v>
      </c>
      <c r="I46" s="348">
        <f t="shared" ca="1" si="12"/>
        <v>5.5941647058823536</v>
      </c>
      <c r="J46" s="233">
        <f t="shared" ca="1" si="12"/>
        <v>5.5941647058823536</v>
      </c>
      <c r="K46" s="233">
        <f t="shared" ca="1" si="12"/>
        <v>5.5941647058823536</v>
      </c>
      <c r="L46" s="233">
        <f t="shared" ca="1" si="12"/>
        <v>5.5941647058823536</v>
      </c>
      <c r="M46" s="348">
        <f t="shared" ca="1" si="12"/>
        <v>5.5941647058823536</v>
      </c>
      <c r="N46" s="233">
        <f t="shared" ca="1" si="12"/>
        <v>5.5941647058823536</v>
      </c>
      <c r="O46" s="233">
        <f t="shared" ca="1" si="12"/>
        <v>5.5941647058823536</v>
      </c>
      <c r="P46" s="348">
        <f t="shared" ca="1" si="12"/>
        <v>5.5941647058823536</v>
      </c>
      <c r="Q46" s="33"/>
    </row>
    <row r="47" spans="2:17" x14ac:dyDescent="0.25">
      <c r="B47" s="322" t="s">
        <v>289</v>
      </c>
      <c r="C47" s="237">
        <f>$M$10</f>
        <v>0.25</v>
      </c>
      <c r="D47" s="328"/>
      <c r="E47" s="123"/>
      <c r="F47" s="348">
        <f>(F$43*$C47/$J10*$D$31)+E47</f>
        <v>0</v>
      </c>
      <c r="G47" s="233">
        <f t="shared" ref="G47:P47" ca="1" si="13">(G$43*$C47/$J10*$D$31)+F47</f>
        <v>2.3775200000000001</v>
      </c>
      <c r="H47" s="233">
        <f t="shared" ca="1" si="13"/>
        <v>4.7550400000000002</v>
      </c>
      <c r="I47" s="348">
        <f t="shared" ca="1" si="13"/>
        <v>4.7550400000000002</v>
      </c>
      <c r="J47" s="233">
        <f t="shared" ca="1" si="13"/>
        <v>4.7550400000000002</v>
      </c>
      <c r="K47" s="233">
        <f t="shared" ca="1" si="13"/>
        <v>4.7550400000000002</v>
      </c>
      <c r="L47" s="233">
        <f t="shared" ca="1" si="13"/>
        <v>4.7550400000000002</v>
      </c>
      <c r="M47" s="348">
        <f t="shared" ca="1" si="13"/>
        <v>4.7550400000000002</v>
      </c>
      <c r="N47" s="233">
        <f t="shared" ca="1" si="13"/>
        <v>4.7550400000000002</v>
      </c>
      <c r="O47" s="233">
        <f t="shared" ca="1" si="13"/>
        <v>4.7550400000000002</v>
      </c>
      <c r="P47" s="348">
        <f t="shared" ca="1" si="13"/>
        <v>4.7550400000000002</v>
      </c>
      <c r="Q47" s="33"/>
    </row>
    <row r="48" spans="2:17" x14ac:dyDescent="0.25">
      <c r="B48" s="322" t="s">
        <v>290</v>
      </c>
      <c r="C48" s="237">
        <f>$M$11</f>
        <v>0.1</v>
      </c>
      <c r="D48" s="328"/>
      <c r="E48" s="123"/>
      <c r="F48" s="348">
        <f>(F$43*$C48/$J11*$D$31)+E48</f>
        <v>0</v>
      </c>
      <c r="G48" s="233">
        <f t="shared" ref="G48:P48" ca="1" si="14">(G$43*$C48/$J11*$D$31)+F48</f>
        <v>0.67929142857142866</v>
      </c>
      <c r="H48" s="233">
        <f t="shared" ca="1" si="14"/>
        <v>1.3585828571428573</v>
      </c>
      <c r="I48" s="348">
        <f t="shared" ca="1" si="14"/>
        <v>1.3585828571428573</v>
      </c>
      <c r="J48" s="233">
        <f t="shared" ca="1" si="14"/>
        <v>1.3585828571428573</v>
      </c>
      <c r="K48" s="233">
        <f t="shared" ca="1" si="14"/>
        <v>1.3585828571428573</v>
      </c>
      <c r="L48" s="233">
        <f t="shared" ca="1" si="14"/>
        <v>1.3585828571428573</v>
      </c>
      <c r="M48" s="348">
        <f t="shared" ca="1" si="14"/>
        <v>1.3585828571428573</v>
      </c>
      <c r="N48" s="233">
        <f t="shared" ca="1" si="14"/>
        <v>1.3585828571428573</v>
      </c>
      <c r="O48" s="233">
        <f t="shared" ca="1" si="14"/>
        <v>1.3585828571428573</v>
      </c>
      <c r="P48" s="348">
        <f t="shared" ca="1" si="14"/>
        <v>1.3585828571428573</v>
      </c>
      <c r="Q48" s="33"/>
    </row>
    <row r="49" spans="2:17" x14ac:dyDescent="0.25">
      <c r="B49" s="322" t="s">
        <v>291</v>
      </c>
      <c r="C49" s="237">
        <f>$M$14</f>
        <v>0.1</v>
      </c>
      <c r="D49" s="328"/>
      <c r="E49" s="123"/>
      <c r="F49" s="348">
        <f>(F$43*$C49/$J14*$D$31)+E49</f>
        <v>0</v>
      </c>
      <c r="G49" s="233">
        <f t="shared" ref="G49:P49" ca="1" si="15">(G$43*$C49/$J14*$D$31)+F49</f>
        <v>1.3985411764705884</v>
      </c>
      <c r="H49" s="233">
        <f t="shared" ca="1" si="15"/>
        <v>2.7970823529411768</v>
      </c>
      <c r="I49" s="348">
        <f t="shared" ca="1" si="15"/>
        <v>2.7970823529411768</v>
      </c>
      <c r="J49" s="233">
        <f t="shared" ca="1" si="15"/>
        <v>2.7970823529411768</v>
      </c>
      <c r="K49" s="233">
        <f t="shared" ca="1" si="15"/>
        <v>2.7970823529411768</v>
      </c>
      <c r="L49" s="233">
        <f t="shared" ca="1" si="15"/>
        <v>2.7970823529411768</v>
      </c>
      <c r="M49" s="348">
        <f t="shared" ca="1" si="15"/>
        <v>2.7970823529411768</v>
      </c>
      <c r="N49" s="233">
        <f t="shared" ca="1" si="15"/>
        <v>2.7970823529411768</v>
      </c>
      <c r="O49" s="233">
        <f t="shared" ca="1" si="15"/>
        <v>2.7970823529411768</v>
      </c>
      <c r="P49" s="348">
        <f t="shared" ca="1" si="15"/>
        <v>2.7970823529411768</v>
      </c>
      <c r="Q49" s="33"/>
    </row>
    <row r="50" spans="2:17" x14ac:dyDescent="0.25">
      <c r="B50" s="322" t="s">
        <v>292</v>
      </c>
      <c r="C50" s="237">
        <f>$M$15</f>
        <v>0.1</v>
      </c>
      <c r="D50" s="328"/>
      <c r="E50" s="123"/>
      <c r="F50" s="348">
        <f>(F$43*$C50/$J15*$D$31)+E50</f>
        <v>0</v>
      </c>
      <c r="G50" s="233">
        <f t="shared" ref="G50:P50" ca="1" si="16">(G$43*$C50/$J15*$D$31)+F50</f>
        <v>0.95100800000000008</v>
      </c>
      <c r="H50" s="233">
        <f t="shared" ca="1" si="16"/>
        <v>1.9020160000000002</v>
      </c>
      <c r="I50" s="348">
        <f t="shared" ca="1" si="16"/>
        <v>1.9020160000000002</v>
      </c>
      <c r="J50" s="233">
        <f t="shared" ca="1" si="16"/>
        <v>1.9020160000000002</v>
      </c>
      <c r="K50" s="233">
        <f t="shared" ca="1" si="16"/>
        <v>1.9020160000000002</v>
      </c>
      <c r="L50" s="233">
        <f t="shared" ca="1" si="16"/>
        <v>1.9020160000000002</v>
      </c>
      <c r="M50" s="348">
        <f t="shared" ca="1" si="16"/>
        <v>1.9020160000000002</v>
      </c>
      <c r="N50" s="233">
        <f t="shared" ca="1" si="16"/>
        <v>1.9020160000000002</v>
      </c>
      <c r="O50" s="233">
        <f t="shared" ca="1" si="16"/>
        <v>1.9020160000000002</v>
      </c>
      <c r="P50" s="348">
        <f t="shared" ca="1" si="16"/>
        <v>1.9020160000000002</v>
      </c>
      <c r="Q50" s="33"/>
    </row>
    <row r="51" spans="2:17" x14ac:dyDescent="0.25">
      <c r="B51" s="330" t="s">
        <v>416</v>
      </c>
      <c r="C51" s="827"/>
      <c r="D51" s="328"/>
      <c r="E51" s="76"/>
      <c r="F51" s="289">
        <v>0</v>
      </c>
      <c r="G51" s="332">
        <v>0</v>
      </c>
      <c r="H51" s="332">
        <v>1</v>
      </c>
      <c r="I51" s="289">
        <v>0</v>
      </c>
      <c r="J51" s="332">
        <v>0</v>
      </c>
      <c r="K51" s="332">
        <f>J51</f>
        <v>0</v>
      </c>
      <c r="L51" s="332">
        <f t="shared" ref="L51:P51" si="17">K51</f>
        <v>0</v>
      </c>
      <c r="M51" s="289">
        <f t="shared" si="17"/>
        <v>0</v>
      </c>
      <c r="N51" s="332">
        <f t="shared" si="17"/>
        <v>0</v>
      </c>
      <c r="O51" s="332">
        <f t="shared" si="17"/>
        <v>0</v>
      </c>
      <c r="P51" s="289">
        <f t="shared" si="17"/>
        <v>0</v>
      </c>
      <c r="Q51" s="33"/>
    </row>
    <row r="52" spans="2:17" x14ac:dyDescent="0.25">
      <c r="B52" s="330" t="s">
        <v>497</v>
      </c>
      <c r="C52" s="827"/>
      <c r="D52" s="328"/>
      <c r="E52" s="302"/>
      <c r="F52" s="289"/>
      <c r="G52" s="512">
        <f ca="1">SUM(G44:G48)-SUM(F44:F48)</f>
        <v>11.926906824990866</v>
      </c>
      <c r="H52" s="512">
        <f t="shared" ref="H52:P52" ca="1" si="18">SUM(H44:H48)-SUM(G44:G48)</f>
        <v>11.926906824990866</v>
      </c>
      <c r="I52" s="513">
        <f t="shared" ca="1" si="18"/>
        <v>0</v>
      </c>
      <c r="J52" s="512">
        <f t="shared" ca="1" si="18"/>
        <v>0</v>
      </c>
      <c r="K52" s="512">
        <f t="shared" ca="1" si="18"/>
        <v>0</v>
      </c>
      <c r="L52" s="512">
        <f t="shared" ca="1" si="18"/>
        <v>0</v>
      </c>
      <c r="M52" s="513">
        <f t="shared" ca="1" si="18"/>
        <v>0</v>
      </c>
      <c r="N52" s="512">
        <f t="shared" ca="1" si="18"/>
        <v>0</v>
      </c>
      <c r="O52" s="512">
        <f t="shared" ca="1" si="18"/>
        <v>0</v>
      </c>
      <c r="P52" s="513">
        <f t="shared" ca="1" si="18"/>
        <v>0</v>
      </c>
      <c r="Q52" s="33"/>
    </row>
    <row r="53" spans="2:17" x14ac:dyDescent="0.25">
      <c r="B53" s="330" t="s">
        <v>498</v>
      </c>
      <c r="C53" s="827"/>
      <c r="D53" s="328"/>
      <c r="E53" s="302"/>
      <c r="F53" s="289"/>
      <c r="G53" s="512">
        <f ca="1">SUM(G49:G50)-SUM(F49:F50)</f>
        <v>2.3495491764705885</v>
      </c>
      <c r="H53" s="512">
        <f t="shared" ref="H53:P53" ca="1" si="19">SUM(H49:H50)-SUM(G49:G50)</f>
        <v>2.3495491764705885</v>
      </c>
      <c r="I53" s="513">
        <f t="shared" ca="1" si="19"/>
        <v>0</v>
      </c>
      <c r="J53" s="512">
        <f t="shared" ca="1" si="19"/>
        <v>0</v>
      </c>
      <c r="K53" s="512">
        <f t="shared" ca="1" si="19"/>
        <v>0</v>
      </c>
      <c r="L53" s="512">
        <f t="shared" ca="1" si="19"/>
        <v>0</v>
      </c>
      <c r="M53" s="513">
        <f t="shared" ca="1" si="19"/>
        <v>0</v>
      </c>
      <c r="N53" s="512">
        <f t="shared" ca="1" si="19"/>
        <v>0</v>
      </c>
      <c r="O53" s="512">
        <f t="shared" ca="1" si="19"/>
        <v>0</v>
      </c>
      <c r="P53" s="513">
        <f t="shared" ca="1" si="19"/>
        <v>0</v>
      </c>
      <c r="Q53" s="33"/>
    </row>
    <row r="54" spans="2:17" x14ac:dyDescent="0.25">
      <c r="B54" s="322"/>
      <c r="C54" s="240"/>
      <c r="D54" s="328"/>
      <c r="E54" s="123"/>
      <c r="F54" s="348"/>
      <c r="G54" s="233"/>
      <c r="H54" s="233"/>
      <c r="I54" s="348"/>
      <c r="J54" s="233"/>
      <c r="K54" s="233"/>
      <c r="L54" s="233"/>
      <c r="M54" s="348"/>
      <c r="N54" s="233"/>
      <c r="O54" s="233"/>
      <c r="P54" s="348"/>
      <c r="Q54" s="33"/>
    </row>
    <row r="55" spans="2:17" x14ac:dyDescent="0.25">
      <c r="B55" s="324" t="s">
        <v>302</v>
      </c>
      <c r="C55" s="828">
        <f ca="1">SUM(F55:P55)*D55</f>
        <v>104384</v>
      </c>
      <c r="D55" s="326">
        <f>$G$9</f>
        <v>0.8</v>
      </c>
      <c r="E55" s="350"/>
      <c r="F55" s="287">
        <f>SUM('Development Schedule'!E205:E208)</f>
        <v>0</v>
      </c>
      <c r="G55" s="229">
        <f ca="1">SUM('Development Schedule'!F205:F208)</f>
        <v>0</v>
      </c>
      <c r="H55" s="229">
        <f ca="1">SUM('Development Schedule'!G205:G208)</f>
        <v>0</v>
      </c>
      <c r="I55" s="287">
        <f ca="1">SUM('Development Schedule'!H205:H208)</f>
        <v>0</v>
      </c>
      <c r="J55" s="229">
        <f ca="1">SUM('Development Schedule'!I205:I208)</f>
        <v>0</v>
      </c>
      <c r="K55" s="229">
        <f ca="1">SUM('Development Schedule'!J205:J208)</f>
        <v>0</v>
      </c>
      <c r="L55" s="229">
        <f ca="1">SUM('Development Schedule'!K205:K208)</f>
        <v>0</v>
      </c>
      <c r="M55" s="287">
        <f ca="1">SUM('Development Schedule'!L205:L208)</f>
        <v>0</v>
      </c>
      <c r="N55" s="229">
        <f ca="1">SUM('Development Schedule'!M205:M208)</f>
        <v>65240</v>
      </c>
      <c r="O55" s="229">
        <f ca="1">SUM('Development Schedule'!N205:N208)</f>
        <v>65240</v>
      </c>
      <c r="P55" s="287">
        <f ca="1">SUM('Development Schedule'!O205:O208)</f>
        <v>0</v>
      </c>
      <c r="Q55" s="33"/>
    </row>
    <row r="56" spans="2:17" x14ac:dyDescent="0.25">
      <c r="B56" s="322" t="s">
        <v>286</v>
      </c>
      <c r="C56" s="237">
        <f>$M$7</f>
        <v>0.1</v>
      </c>
      <c r="D56" s="328"/>
      <c r="E56" s="123"/>
      <c r="F56" s="348">
        <f>(F$55*$C56/$J7*$D$31)+E56</f>
        <v>0</v>
      </c>
      <c r="G56" s="233">
        <f t="shared" ref="G56:P56" ca="1" si="20">(G$55*$C56/$J7*$D$31)+F56</f>
        <v>0</v>
      </c>
      <c r="H56" s="233">
        <f t="shared" ca="1" si="20"/>
        <v>0</v>
      </c>
      <c r="I56" s="348">
        <f t="shared" ca="1" si="20"/>
        <v>0</v>
      </c>
      <c r="J56" s="233">
        <f t="shared" ca="1" si="20"/>
        <v>0</v>
      </c>
      <c r="K56" s="233">
        <f t="shared" ca="1" si="20"/>
        <v>0</v>
      </c>
      <c r="L56" s="233">
        <f t="shared" ca="1" si="20"/>
        <v>0</v>
      </c>
      <c r="M56" s="348">
        <f t="shared" ca="1" si="20"/>
        <v>0</v>
      </c>
      <c r="N56" s="233">
        <f t="shared" ca="1" si="20"/>
        <v>13.048</v>
      </c>
      <c r="O56" s="233">
        <f t="shared" ca="1" si="20"/>
        <v>26.096</v>
      </c>
      <c r="P56" s="348">
        <f t="shared" ca="1" si="20"/>
        <v>26.096</v>
      </c>
      <c r="Q56" s="33"/>
    </row>
    <row r="57" spans="2:17" x14ac:dyDescent="0.25">
      <c r="B57" s="322" t="s">
        <v>287</v>
      </c>
      <c r="C57" s="237">
        <f>$M$8</f>
        <v>0.15</v>
      </c>
      <c r="D57" s="328"/>
      <c r="E57" s="123"/>
      <c r="F57" s="348">
        <f>(F$55*$C57/$J8*$D$31)+E57</f>
        <v>0</v>
      </c>
      <c r="G57" s="233">
        <f t="shared" ref="G57:P57" ca="1" si="21">(G$55*$C57/$J8*$D$31)+F57</f>
        <v>0</v>
      </c>
      <c r="H57" s="233">
        <f t="shared" ca="1" si="21"/>
        <v>0</v>
      </c>
      <c r="I57" s="348">
        <f t="shared" ca="1" si="21"/>
        <v>0</v>
      </c>
      <c r="J57" s="233">
        <f t="shared" ca="1" si="21"/>
        <v>0</v>
      </c>
      <c r="K57" s="233">
        <f t="shared" ca="1" si="21"/>
        <v>0</v>
      </c>
      <c r="L57" s="233">
        <f t="shared" ca="1" si="21"/>
        <v>0</v>
      </c>
      <c r="M57" s="348">
        <f t="shared" ca="1" si="21"/>
        <v>0</v>
      </c>
      <c r="N57" s="233">
        <f t="shared" ca="1" si="21"/>
        <v>13.61530434782609</v>
      </c>
      <c r="O57" s="233">
        <f t="shared" ca="1" si="21"/>
        <v>27.23060869565218</v>
      </c>
      <c r="P57" s="348">
        <f t="shared" ca="1" si="21"/>
        <v>27.23060869565218</v>
      </c>
      <c r="Q57" s="33"/>
    </row>
    <row r="58" spans="2:17" x14ac:dyDescent="0.25">
      <c r="B58" s="322" t="s">
        <v>288</v>
      </c>
      <c r="C58" s="237">
        <f>$M$9</f>
        <v>0.2</v>
      </c>
      <c r="D58" s="328"/>
      <c r="E58" s="123"/>
      <c r="F58" s="348">
        <f>(F$55*$C58/$J9*$D$31)+E58</f>
        <v>0</v>
      </c>
      <c r="G58" s="233">
        <f t="shared" ref="G58:P58" ca="1" si="22">(G$55*$C58/$J9*$D$31)+F58</f>
        <v>0</v>
      </c>
      <c r="H58" s="233">
        <f t="shared" ca="1" si="22"/>
        <v>0</v>
      </c>
      <c r="I58" s="348">
        <f t="shared" ca="1" si="22"/>
        <v>0</v>
      </c>
      <c r="J58" s="233">
        <f t="shared" ca="1" si="22"/>
        <v>0</v>
      </c>
      <c r="K58" s="233">
        <f t="shared" ca="1" si="22"/>
        <v>0</v>
      </c>
      <c r="L58" s="233">
        <f t="shared" ca="1" si="22"/>
        <v>0</v>
      </c>
      <c r="M58" s="348">
        <f t="shared" ca="1" si="22"/>
        <v>0</v>
      </c>
      <c r="N58" s="233">
        <f t="shared" ca="1" si="22"/>
        <v>12.280470588235296</v>
      </c>
      <c r="O58" s="233">
        <f t="shared" ca="1" si="22"/>
        <v>24.560941176470592</v>
      </c>
      <c r="P58" s="348">
        <f t="shared" ca="1" si="22"/>
        <v>24.560941176470592</v>
      </c>
      <c r="Q58" s="33"/>
    </row>
    <row r="59" spans="2:17" x14ac:dyDescent="0.25">
      <c r="B59" s="322" t="s">
        <v>289</v>
      </c>
      <c r="C59" s="237">
        <f>$M$10</f>
        <v>0.25</v>
      </c>
      <c r="D59" s="328"/>
      <c r="E59" s="123"/>
      <c r="F59" s="348">
        <f>(F$55*$C59/$J10*$D$31)+E59</f>
        <v>0</v>
      </c>
      <c r="G59" s="233">
        <f t="shared" ref="G59:P59" ca="1" si="23">(G$55*$C59/$J10*$D$31)+F59</f>
        <v>0</v>
      </c>
      <c r="H59" s="233">
        <f t="shared" ca="1" si="23"/>
        <v>0</v>
      </c>
      <c r="I59" s="348">
        <f t="shared" ca="1" si="23"/>
        <v>0</v>
      </c>
      <c r="J59" s="233">
        <f t="shared" ca="1" si="23"/>
        <v>0</v>
      </c>
      <c r="K59" s="233">
        <f t="shared" ca="1" si="23"/>
        <v>0</v>
      </c>
      <c r="L59" s="233">
        <f t="shared" ca="1" si="23"/>
        <v>0</v>
      </c>
      <c r="M59" s="348">
        <f t="shared" ca="1" si="23"/>
        <v>0</v>
      </c>
      <c r="N59" s="233">
        <f t="shared" ca="1" si="23"/>
        <v>10.438400000000001</v>
      </c>
      <c r="O59" s="233">
        <f t="shared" ca="1" si="23"/>
        <v>20.876800000000003</v>
      </c>
      <c r="P59" s="348">
        <f t="shared" ca="1" si="23"/>
        <v>20.876800000000003</v>
      </c>
      <c r="Q59" s="33"/>
    </row>
    <row r="60" spans="2:17" x14ac:dyDescent="0.25">
      <c r="B60" s="322" t="s">
        <v>290</v>
      </c>
      <c r="C60" s="237">
        <f>$M$11</f>
        <v>0.1</v>
      </c>
      <c r="D60" s="328"/>
      <c r="E60" s="123"/>
      <c r="F60" s="348">
        <f>(F$55*$C60/$J11*$D$31)+E60</f>
        <v>0</v>
      </c>
      <c r="G60" s="233">
        <f t="shared" ref="G60:P60" ca="1" si="24">(G$55*$C60/$J11*$D$31)+F60</f>
        <v>0</v>
      </c>
      <c r="H60" s="233">
        <f t="shared" ca="1" si="24"/>
        <v>0</v>
      </c>
      <c r="I60" s="348">
        <f t="shared" ca="1" si="24"/>
        <v>0</v>
      </c>
      <c r="J60" s="233">
        <f t="shared" ca="1" si="24"/>
        <v>0</v>
      </c>
      <c r="K60" s="233">
        <f t="shared" ca="1" si="24"/>
        <v>0</v>
      </c>
      <c r="L60" s="233">
        <f t="shared" ca="1" si="24"/>
        <v>0</v>
      </c>
      <c r="M60" s="348">
        <f t="shared" ca="1" si="24"/>
        <v>0</v>
      </c>
      <c r="N60" s="233">
        <f t="shared" ca="1" si="24"/>
        <v>2.9824000000000002</v>
      </c>
      <c r="O60" s="233">
        <f t="shared" ca="1" si="24"/>
        <v>5.9648000000000003</v>
      </c>
      <c r="P60" s="348">
        <f t="shared" ca="1" si="24"/>
        <v>5.9648000000000003</v>
      </c>
      <c r="Q60" s="33"/>
    </row>
    <row r="61" spans="2:17" x14ac:dyDescent="0.25">
      <c r="B61" s="322" t="s">
        <v>291</v>
      </c>
      <c r="C61" s="237">
        <f>$M$14</f>
        <v>0.1</v>
      </c>
      <c r="D61" s="328"/>
      <c r="E61" s="123"/>
      <c r="F61" s="348">
        <f>(F$55*$C61/$J14*$D$31)+E61</f>
        <v>0</v>
      </c>
      <c r="G61" s="233">
        <f t="shared" ref="G61:P61" ca="1" si="25">(G$55*$C61/$J14*$D$31)+F61</f>
        <v>0</v>
      </c>
      <c r="H61" s="233">
        <f t="shared" ca="1" si="25"/>
        <v>0</v>
      </c>
      <c r="I61" s="348">
        <f t="shared" ca="1" si="25"/>
        <v>0</v>
      </c>
      <c r="J61" s="233">
        <f t="shared" ca="1" si="25"/>
        <v>0</v>
      </c>
      <c r="K61" s="233">
        <f t="shared" ca="1" si="25"/>
        <v>0</v>
      </c>
      <c r="L61" s="233">
        <f t="shared" ca="1" si="25"/>
        <v>0</v>
      </c>
      <c r="M61" s="348">
        <f t="shared" ca="1" si="25"/>
        <v>0</v>
      </c>
      <c r="N61" s="233">
        <f t="shared" ca="1" si="25"/>
        <v>6.1402352941176481</v>
      </c>
      <c r="O61" s="233">
        <f t="shared" ca="1" si="25"/>
        <v>12.280470588235296</v>
      </c>
      <c r="P61" s="348">
        <f t="shared" ca="1" si="25"/>
        <v>12.280470588235296</v>
      </c>
      <c r="Q61" s="33"/>
    </row>
    <row r="62" spans="2:17" x14ac:dyDescent="0.25">
      <c r="B62" s="322" t="s">
        <v>292</v>
      </c>
      <c r="C62" s="237">
        <f>$M$15</f>
        <v>0.1</v>
      </c>
      <c r="D62" s="328"/>
      <c r="E62" s="123"/>
      <c r="F62" s="348">
        <f>(F$55*$C62/$J15*$D$31)+E62</f>
        <v>0</v>
      </c>
      <c r="G62" s="233">
        <f t="shared" ref="G62:P62" ca="1" si="26">(G$55*$C62/$J15*$D$31)+F62</f>
        <v>0</v>
      </c>
      <c r="H62" s="233">
        <f t="shared" ca="1" si="26"/>
        <v>0</v>
      </c>
      <c r="I62" s="348">
        <f t="shared" ca="1" si="26"/>
        <v>0</v>
      </c>
      <c r="J62" s="233">
        <f t="shared" ca="1" si="26"/>
        <v>0</v>
      </c>
      <c r="K62" s="233">
        <f t="shared" ca="1" si="26"/>
        <v>0</v>
      </c>
      <c r="L62" s="233">
        <f t="shared" ca="1" si="26"/>
        <v>0</v>
      </c>
      <c r="M62" s="348">
        <f t="shared" ca="1" si="26"/>
        <v>0</v>
      </c>
      <c r="N62" s="233">
        <f t="shared" ca="1" si="26"/>
        <v>4.1753600000000004</v>
      </c>
      <c r="O62" s="233">
        <f t="shared" ca="1" si="26"/>
        <v>8.3507200000000008</v>
      </c>
      <c r="P62" s="348">
        <f t="shared" ca="1" si="26"/>
        <v>8.3507200000000008</v>
      </c>
      <c r="Q62" s="33"/>
    </row>
    <row r="63" spans="2:17" x14ac:dyDescent="0.25">
      <c r="B63" s="330" t="s">
        <v>416</v>
      </c>
      <c r="C63" s="827"/>
      <c r="D63" s="328"/>
      <c r="E63" s="76"/>
      <c r="F63" s="289">
        <v>0</v>
      </c>
      <c r="G63" s="488">
        <f ca="1">G62*$C63/$J$7*$D$31</f>
        <v>0</v>
      </c>
      <c r="H63" s="332">
        <f t="shared" ref="H63:M63" ca="1" si="27">G63</f>
        <v>0</v>
      </c>
      <c r="I63" s="289">
        <f t="shared" ca="1" si="27"/>
        <v>0</v>
      </c>
      <c r="J63" s="332">
        <f t="shared" ca="1" si="27"/>
        <v>0</v>
      </c>
      <c r="K63" s="332">
        <f t="shared" ca="1" si="27"/>
        <v>0</v>
      </c>
      <c r="L63" s="332">
        <f t="shared" ca="1" si="27"/>
        <v>0</v>
      </c>
      <c r="M63" s="289">
        <f t="shared" ca="1" si="27"/>
        <v>0</v>
      </c>
      <c r="N63" s="332">
        <v>0</v>
      </c>
      <c r="O63" s="332">
        <v>1</v>
      </c>
      <c r="P63" s="289">
        <v>0</v>
      </c>
    </row>
    <row r="64" spans="2:17" x14ac:dyDescent="0.25">
      <c r="B64" s="330" t="s">
        <v>497</v>
      </c>
      <c r="C64" s="827"/>
      <c r="D64" s="328"/>
      <c r="E64" s="302"/>
      <c r="F64" s="289"/>
      <c r="G64" s="512">
        <f ca="1">SUM(G56:G60)-SUM(F56:F60)</f>
        <v>0</v>
      </c>
      <c r="H64" s="512">
        <f t="shared" ref="H64:P64" ca="1" si="28">SUM(H56:H60)-SUM(G56:G60)</f>
        <v>0</v>
      </c>
      <c r="I64" s="513">
        <f t="shared" ca="1" si="28"/>
        <v>0</v>
      </c>
      <c r="J64" s="512">
        <f t="shared" ca="1" si="28"/>
        <v>0</v>
      </c>
      <c r="K64" s="512">
        <f t="shared" ca="1" si="28"/>
        <v>0</v>
      </c>
      <c r="L64" s="512">
        <f t="shared" ca="1" si="28"/>
        <v>0</v>
      </c>
      <c r="M64" s="513">
        <f t="shared" ca="1" si="28"/>
        <v>0</v>
      </c>
      <c r="N64" s="512">
        <f t="shared" ca="1" si="28"/>
        <v>52.364574936061388</v>
      </c>
      <c r="O64" s="512">
        <f t="shared" ca="1" si="28"/>
        <v>52.364574936061388</v>
      </c>
      <c r="P64" s="513">
        <f t="shared" ca="1" si="28"/>
        <v>0</v>
      </c>
    </row>
    <row r="65" spans="2:16" x14ac:dyDescent="0.25">
      <c r="B65" s="330" t="s">
        <v>498</v>
      </c>
      <c r="C65" s="827"/>
      <c r="D65" s="328"/>
      <c r="E65" s="302"/>
      <c r="F65" s="289"/>
      <c r="G65" s="512">
        <f ca="1">SUM(G61:G62)-SUM(F61:F62)</f>
        <v>0</v>
      </c>
      <c r="H65" s="512">
        <f t="shared" ref="H65:P65" ca="1" si="29">SUM(H61:H62)-SUM(G61:G62)</f>
        <v>0</v>
      </c>
      <c r="I65" s="513">
        <f t="shared" ca="1" si="29"/>
        <v>0</v>
      </c>
      <c r="J65" s="512">
        <f t="shared" ca="1" si="29"/>
        <v>0</v>
      </c>
      <c r="K65" s="512">
        <f t="shared" ca="1" si="29"/>
        <v>0</v>
      </c>
      <c r="L65" s="512">
        <f t="shared" ca="1" si="29"/>
        <v>0</v>
      </c>
      <c r="M65" s="513">
        <f t="shared" ca="1" si="29"/>
        <v>0</v>
      </c>
      <c r="N65" s="512">
        <f t="shared" ca="1" si="29"/>
        <v>10.315595294117649</v>
      </c>
      <c r="O65" s="512">
        <f t="shared" ca="1" si="29"/>
        <v>10.315595294117649</v>
      </c>
      <c r="P65" s="513">
        <f t="shared" ca="1" si="29"/>
        <v>0</v>
      </c>
    </row>
    <row r="66" spans="2:16" x14ac:dyDescent="0.25">
      <c r="B66" s="322"/>
      <c r="C66" s="240"/>
      <c r="D66" s="328"/>
      <c r="E66" s="123"/>
      <c r="F66" s="352"/>
      <c r="G66" s="351"/>
      <c r="H66" s="351"/>
      <c r="I66" s="352"/>
      <c r="J66" s="351"/>
      <c r="K66" s="351"/>
      <c r="L66" s="351"/>
      <c r="M66" s="352"/>
      <c r="N66" s="351"/>
      <c r="O66" s="351"/>
      <c r="P66" s="352"/>
    </row>
    <row r="67" spans="2:16" x14ac:dyDescent="0.25">
      <c r="B67" s="324" t="s">
        <v>401</v>
      </c>
      <c r="C67" s="828">
        <f ca="1">SUM(F67:P67)*D67</f>
        <v>25017.600000000006</v>
      </c>
      <c r="D67" s="326">
        <f>$G$9</f>
        <v>0.8</v>
      </c>
      <c r="E67" s="350"/>
      <c r="F67" s="287">
        <f>SUM('Development Schedule'!E296:E298)</f>
        <v>0</v>
      </c>
      <c r="G67" s="229">
        <f ca="1">SUM('Development Schedule'!F296:F298)</f>
        <v>0</v>
      </c>
      <c r="H67" s="229">
        <f ca="1">SUM('Development Schedule'!G296:G298)</f>
        <v>0</v>
      </c>
      <c r="I67" s="287">
        <f ca="1">SUM('Development Schedule'!H296:H298)</f>
        <v>0</v>
      </c>
      <c r="J67" s="229">
        <f ca="1">SUM('Development Schedule'!I296:I298)</f>
        <v>15636.000000000002</v>
      </c>
      <c r="K67" s="229">
        <f ca="1">SUM('Development Schedule'!J296:J298)</f>
        <v>15636.000000000002</v>
      </c>
      <c r="L67" s="229">
        <f ca="1">SUM('Development Schedule'!K296:K298)</f>
        <v>0</v>
      </c>
      <c r="M67" s="287">
        <f ca="1">SUM('Development Schedule'!L296:L298)</f>
        <v>0</v>
      </c>
      <c r="N67" s="229">
        <f ca="1">SUM('Development Schedule'!M296:M298)</f>
        <v>0</v>
      </c>
      <c r="O67" s="229">
        <f ca="1">SUM('Development Schedule'!N296:N298)</f>
        <v>0</v>
      </c>
      <c r="P67" s="287">
        <f ca="1">SUM('Development Schedule'!O296:O298)</f>
        <v>0</v>
      </c>
    </row>
    <row r="68" spans="2:16" x14ac:dyDescent="0.25">
      <c r="B68" s="322" t="s">
        <v>286</v>
      </c>
      <c r="C68" s="237">
        <f>$M$7</f>
        <v>0.1</v>
      </c>
      <c r="D68" s="328"/>
      <c r="E68" s="123"/>
      <c r="F68" s="348">
        <f>(F$67*$C68/$J7*$D$31)+E68</f>
        <v>0</v>
      </c>
      <c r="G68" s="233">
        <f t="shared" ref="G68:P68" ca="1" si="30">(G$67*$C68/$J7*$D$31)+F68</f>
        <v>0</v>
      </c>
      <c r="H68" s="233">
        <f t="shared" ca="1" si="30"/>
        <v>0</v>
      </c>
      <c r="I68" s="348">
        <f t="shared" ca="1" si="30"/>
        <v>0</v>
      </c>
      <c r="J68" s="233">
        <f t="shared" ca="1" si="30"/>
        <v>3.1272000000000006</v>
      </c>
      <c r="K68" s="233">
        <f t="shared" ca="1" si="30"/>
        <v>6.2544000000000013</v>
      </c>
      <c r="L68" s="233">
        <f t="shared" ca="1" si="30"/>
        <v>6.2544000000000013</v>
      </c>
      <c r="M68" s="348">
        <f t="shared" ca="1" si="30"/>
        <v>6.2544000000000013</v>
      </c>
      <c r="N68" s="233">
        <f t="shared" ca="1" si="30"/>
        <v>6.2544000000000013</v>
      </c>
      <c r="O68" s="233">
        <f t="shared" ca="1" si="30"/>
        <v>6.2544000000000013</v>
      </c>
      <c r="P68" s="348">
        <f t="shared" ca="1" si="30"/>
        <v>6.2544000000000013</v>
      </c>
    </row>
    <row r="69" spans="2:16" x14ac:dyDescent="0.25">
      <c r="B69" s="322" t="s">
        <v>287</v>
      </c>
      <c r="C69" s="237">
        <f>$M$8</f>
        <v>0.15</v>
      </c>
      <c r="D69" s="328"/>
      <c r="E69" s="123"/>
      <c r="F69" s="348">
        <f>(F$67*$C69/$J8*$D$31)+E69</f>
        <v>0</v>
      </c>
      <c r="G69" s="233">
        <f t="shared" ref="G69:P69" ca="1" si="31">(G$67*$C69/$J8*$D$31)+F69</f>
        <v>0</v>
      </c>
      <c r="H69" s="233">
        <f t="shared" ca="1" si="31"/>
        <v>0</v>
      </c>
      <c r="I69" s="348">
        <f t="shared" ca="1" si="31"/>
        <v>0</v>
      </c>
      <c r="J69" s="233">
        <f t="shared" ca="1" si="31"/>
        <v>3.2631652173913048</v>
      </c>
      <c r="K69" s="233">
        <f t="shared" ca="1" si="31"/>
        <v>6.5263304347826097</v>
      </c>
      <c r="L69" s="233">
        <f t="shared" ca="1" si="31"/>
        <v>6.5263304347826097</v>
      </c>
      <c r="M69" s="348">
        <f t="shared" ca="1" si="31"/>
        <v>6.5263304347826097</v>
      </c>
      <c r="N69" s="233">
        <f t="shared" ca="1" si="31"/>
        <v>6.5263304347826097</v>
      </c>
      <c r="O69" s="233">
        <f t="shared" ca="1" si="31"/>
        <v>6.5263304347826097</v>
      </c>
      <c r="P69" s="348">
        <f t="shared" ca="1" si="31"/>
        <v>6.5263304347826097</v>
      </c>
    </row>
    <row r="70" spans="2:16" x14ac:dyDescent="0.25">
      <c r="B70" s="322" t="s">
        <v>288</v>
      </c>
      <c r="C70" s="237">
        <f>$M$9</f>
        <v>0.2</v>
      </c>
      <c r="D70" s="328"/>
      <c r="E70" s="123"/>
      <c r="F70" s="348">
        <f>(F$67*$C70/$J9*$D$31)+E70</f>
        <v>0</v>
      </c>
      <c r="G70" s="233">
        <f t="shared" ref="G70:P70" ca="1" si="32">(G$67*$C70/$J9*$D$31)+F70</f>
        <v>0</v>
      </c>
      <c r="H70" s="233">
        <f t="shared" ca="1" si="32"/>
        <v>0</v>
      </c>
      <c r="I70" s="348">
        <f t="shared" ca="1" si="32"/>
        <v>0</v>
      </c>
      <c r="J70" s="233">
        <f t="shared" ca="1" si="32"/>
        <v>2.9432470588235304</v>
      </c>
      <c r="K70" s="233">
        <f t="shared" ca="1" si="32"/>
        <v>5.8864941176470609</v>
      </c>
      <c r="L70" s="233">
        <f t="shared" ca="1" si="32"/>
        <v>5.8864941176470609</v>
      </c>
      <c r="M70" s="348">
        <f t="shared" ca="1" si="32"/>
        <v>5.8864941176470609</v>
      </c>
      <c r="N70" s="233">
        <f t="shared" ca="1" si="32"/>
        <v>5.8864941176470609</v>
      </c>
      <c r="O70" s="233">
        <f t="shared" ca="1" si="32"/>
        <v>5.8864941176470609</v>
      </c>
      <c r="P70" s="348">
        <f t="shared" ca="1" si="32"/>
        <v>5.8864941176470609</v>
      </c>
    </row>
    <row r="71" spans="2:16" x14ac:dyDescent="0.25">
      <c r="B71" s="322" t="s">
        <v>289</v>
      </c>
      <c r="C71" s="237">
        <f>$M$10</f>
        <v>0.25</v>
      </c>
      <c r="D71" s="328"/>
      <c r="E71" s="123"/>
      <c r="F71" s="348">
        <f>(F$67*$C71/$J10*$D$31)+E71</f>
        <v>0</v>
      </c>
      <c r="G71" s="233">
        <f t="shared" ref="G71:P71" ca="1" si="33">(G$67*$C71/$J10*$D$31)+F71</f>
        <v>0</v>
      </c>
      <c r="H71" s="233">
        <f t="shared" ca="1" si="33"/>
        <v>0</v>
      </c>
      <c r="I71" s="348">
        <f t="shared" ca="1" si="33"/>
        <v>0</v>
      </c>
      <c r="J71" s="233">
        <f t="shared" ca="1" si="33"/>
        <v>2.5017600000000004</v>
      </c>
      <c r="K71" s="233">
        <f t="shared" ca="1" si="33"/>
        <v>5.0035200000000009</v>
      </c>
      <c r="L71" s="233">
        <f t="shared" ca="1" si="33"/>
        <v>5.0035200000000009</v>
      </c>
      <c r="M71" s="348">
        <f t="shared" ca="1" si="33"/>
        <v>5.0035200000000009</v>
      </c>
      <c r="N71" s="233">
        <f t="shared" ca="1" si="33"/>
        <v>5.0035200000000009</v>
      </c>
      <c r="O71" s="233">
        <f t="shared" ca="1" si="33"/>
        <v>5.0035200000000009</v>
      </c>
      <c r="P71" s="348">
        <f t="shared" ca="1" si="33"/>
        <v>5.0035200000000009</v>
      </c>
    </row>
    <row r="72" spans="2:16" x14ac:dyDescent="0.25">
      <c r="B72" s="322" t="s">
        <v>290</v>
      </c>
      <c r="C72" s="237">
        <f>$M$11</f>
        <v>0.1</v>
      </c>
      <c r="D72" s="328"/>
      <c r="E72" s="123"/>
      <c r="F72" s="348">
        <f>(F$67*$C72/$J11*$D$31)+E72</f>
        <v>0</v>
      </c>
      <c r="G72" s="233">
        <f t="shared" ref="G72:P72" ca="1" si="34">(G$67*$C72/$J11*$D$31)+F72</f>
        <v>0</v>
      </c>
      <c r="H72" s="233">
        <f t="shared" ca="1" si="34"/>
        <v>0</v>
      </c>
      <c r="I72" s="348">
        <f t="shared" ca="1" si="34"/>
        <v>0</v>
      </c>
      <c r="J72" s="233">
        <f t="shared" ca="1" si="34"/>
        <v>0.71478857142857155</v>
      </c>
      <c r="K72" s="233">
        <f t="shared" ca="1" si="34"/>
        <v>1.4295771428571431</v>
      </c>
      <c r="L72" s="233">
        <f t="shared" ca="1" si="34"/>
        <v>1.4295771428571431</v>
      </c>
      <c r="M72" s="348">
        <f t="shared" ca="1" si="34"/>
        <v>1.4295771428571431</v>
      </c>
      <c r="N72" s="233">
        <f t="shared" ca="1" si="34"/>
        <v>1.4295771428571431</v>
      </c>
      <c r="O72" s="233">
        <f t="shared" ca="1" si="34"/>
        <v>1.4295771428571431</v>
      </c>
      <c r="P72" s="348">
        <f t="shared" ca="1" si="34"/>
        <v>1.4295771428571431</v>
      </c>
    </row>
    <row r="73" spans="2:16" x14ac:dyDescent="0.25">
      <c r="B73" s="322" t="s">
        <v>291</v>
      </c>
      <c r="C73" s="237">
        <f>$M$14</f>
        <v>0.1</v>
      </c>
      <c r="D73" s="328"/>
      <c r="E73" s="123"/>
      <c r="F73" s="348">
        <f>(F$67*$C73/$J14*$D$31)+E73</f>
        <v>0</v>
      </c>
      <c r="G73" s="233">
        <f t="shared" ref="G73:P73" ca="1" si="35">(G$67*$C73/$J14*$D$31)+F73</f>
        <v>0</v>
      </c>
      <c r="H73" s="233">
        <f t="shared" ca="1" si="35"/>
        <v>0</v>
      </c>
      <c r="I73" s="348">
        <f t="shared" ca="1" si="35"/>
        <v>0</v>
      </c>
      <c r="J73" s="233">
        <f t="shared" ca="1" si="35"/>
        <v>1.4716235294117652</v>
      </c>
      <c r="K73" s="233">
        <f t="shared" ca="1" si="35"/>
        <v>2.9432470588235304</v>
      </c>
      <c r="L73" s="233">
        <f t="shared" ca="1" si="35"/>
        <v>2.9432470588235304</v>
      </c>
      <c r="M73" s="348">
        <f t="shared" ca="1" si="35"/>
        <v>2.9432470588235304</v>
      </c>
      <c r="N73" s="233">
        <f t="shared" ca="1" si="35"/>
        <v>2.9432470588235304</v>
      </c>
      <c r="O73" s="233">
        <f t="shared" ca="1" si="35"/>
        <v>2.9432470588235304</v>
      </c>
      <c r="P73" s="348">
        <f t="shared" ca="1" si="35"/>
        <v>2.9432470588235304</v>
      </c>
    </row>
    <row r="74" spans="2:16" x14ac:dyDescent="0.25">
      <c r="B74" s="322" t="s">
        <v>292</v>
      </c>
      <c r="C74" s="237">
        <f>$M$15</f>
        <v>0.1</v>
      </c>
      <c r="D74" s="328"/>
      <c r="E74" s="123"/>
      <c r="F74" s="348">
        <f>(F$67*$C74/$J15*$D$31)+E74</f>
        <v>0</v>
      </c>
      <c r="G74" s="233">
        <f t="shared" ref="G74:P74" ca="1" si="36">(G$67*$C74/$J15*$D$31)+F74</f>
        <v>0</v>
      </c>
      <c r="H74" s="233">
        <f t="shared" ca="1" si="36"/>
        <v>0</v>
      </c>
      <c r="I74" s="348">
        <f t="shared" ca="1" si="36"/>
        <v>0</v>
      </c>
      <c r="J74" s="233">
        <f t="shared" ca="1" si="36"/>
        <v>1.0007040000000003</v>
      </c>
      <c r="K74" s="233">
        <f t="shared" ca="1" si="36"/>
        <v>2.0014080000000005</v>
      </c>
      <c r="L74" s="233">
        <f t="shared" ca="1" si="36"/>
        <v>2.0014080000000005</v>
      </c>
      <c r="M74" s="348">
        <f t="shared" ca="1" si="36"/>
        <v>2.0014080000000005</v>
      </c>
      <c r="N74" s="233">
        <f t="shared" ca="1" si="36"/>
        <v>2.0014080000000005</v>
      </c>
      <c r="O74" s="233">
        <f t="shared" ca="1" si="36"/>
        <v>2.0014080000000005</v>
      </c>
      <c r="P74" s="348">
        <f t="shared" ca="1" si="36"/>
        <v>2.0014080000000005</v>
      </c>
    </row>
    <row r="75" spans="2:16" x14ac:dyDescent="0.25">
      <c r="B75" s="330" t="s">
        <v>416</v>
      </c>
      <c r="C75" s="827"/>
      <c r="D75" s="328"/>
      <c r="E75" s="76"/>
      <c r="F75" s="289">
        <v>0</v>
      </c>
      <c r="G75" s="332">
        <f>F75</f>
        <v>0</v>
      </c>
      <c r="H75" s="332">
        <f t="shared" ref="H75:I75" si="37">G75</f>
        <v>0</v>
      </c>
      <c r="I75" s="289">
        <f t="shared" si="37"/>
        <v>0</v>
      </c>
      <c r="J75" s="332">
        <v>0</v>
      </c>
      <c r="K75" s="332">
        <v>1</v>
      </c>
      <c r="L75" s="332">
        <v>0</v>
      </c>
      <c r="M75" s="289">
        <v>0</v>
      </c>
      <c r="N75" s="332">
        <v>0</v>
      </c>
      <c r="O75" s="332">
        <f>N75</f>
        <v>0</v>
      </c>
      <c r="P75" s="289">
        <f>O75</f>
        <v>0</v>
      </c>
    </row>
    <row r="76" spans="2:16" x14ac:dyDescent="0.25">
      <c r="B76" s="330" t="s">
        <v>497</v>
      </c>
      <c r="C76" s="827"/>
      <c r="D76" s="328"/>
      <c r="E76" s="302"/>
      <c r="F76" s="289"/>
      <c r="G76" s="512">
        <f ca="1">SUM(G68:G72)-SUM(F68:F72)</f>
        <v>0</v>
      </c>
      <c r="H76" s="512">
        <f t="shared" ref="H76:P76" ca="1" si="38">SUM(H68:H72)-SUM(G68:G72)</f>
        <v>0</v>
      </c>
      <c r="I76" s="513">
        <f t="shared" ca="1" si="38"/>
        <v>0</v>
      </c>
      <c r="J76" s="512">
        <f t="shared" ca="1" si="38"/>
        <v>12.550160847643408</v>
      </c>
      <c r="K76" s="512">
        <f t="shared" ca="1" si="38"/>
        <v>12.550160847643408</v>
      </c>
      <c r="L76" s="512">
        <f t="shared" ca="1" si="38"/>
        <v>0</v>
      </c>
      <c r="M76" s="513">
        <f t="shared" ca="1" si="38"/>
        <v>0</v>
      </c>
      <c r="N76" s="512">
        <f t="shared" ca="1" si="38"/>
        <v>0</v>
      </c>
      <c r="O76" s="512">
        <f t="shared" ca="1" si="38"/>
        <v>0</v>
      </c>
      <c r="P76" s="513">
        <f t="shared" ca="1" si="38"/>
        <v>0</v>
      </c>
    </row>
    <row r="77" spans="2:16" x14ac:dyDescent="0.25">
      <c r="B77" s="330" t="s">
        <v>498</v>
      </c>
      <c r="C77" s="827"/>
      <c r="D77" s="328"/>
      <c r="E77" s="302"/>
      <c r="F77" s="289"/>
      <c r="G77" s="512">
        <f ca="1">SUM(G73:G74)-SUM(F73:F74)</f>
        <v>0</v>
      </c>
      <c r="H77" s="512">
        <f t="shared" ref="H77:P77" ca="1" si="39">SUM(H73:H74)-SUM(G73:G74)</f>
        <v>0</v>
      </c>
      <c r="I77" s="513">
        <f t="shared" ca="1" si="39"/>
        <v>0</v>
      </c>
      <c r="J77" s="512">
        <f t="shared" ca="1" si="39"/>
        <v>2.4723275294117655</v>
      </c>
      <c r="K77" s="512">
        <f t="shared" ca="1" si="39"/>
        <v>2.4723275294117655</v>
      </c>
      <c r="L77" s="512">
        <f t="shared" ca="1" si="39"/>
        <v>0</v>
      </c>
      <c r="M77" s="513">
        <f t="shared" ca="1" si="39"/>
        <v>0</v>
      </c>
      <c r="N77" s="512">
        <f t="shared" ca="1" si="39"/>
        <v>0</v>
      </c>
      <c r="O77" s="512">
        <f t="shared" ca="1" si="39"/>
        <v>0</v>
      </c>
      <c r="P77" s="513">
        <f t="shared" ca="1" si="39"/>
        <v>0</v>
      </c>
    </row>
    <row r="78" spans="2:16" x14ac:dyDescent="0.25">
      <c r="B78" s="322"/>
      <c r="C78" s="240"/>
      <c r="D78" s="328"/>
      <c r="E78" s="123"/>
      <c r="F78" s="352"/>
      <c r="G78" s="351"/>
      <c r="H78" s="351"/>
      <c r="I78" s="352"/>
      <c r="J78" s="351"/>
      <c r="K78" s="351"/>
      <c r="L78" s="351"/>
      <c r="M78" s="352"/>
      <c r="N78" s="351"/>
      <c r="O78" s="351"/>
      <c r="P78" s="352"/>
    </row>
    <row r="79" spans="2:16" x14ac:dyDescent="0.25">
      <c r="B79" s="324" t="s">
        <v>468</v>
      </c>
      <c r="C79" s="828">
        <f ca="1">SUM(F79:P79)*D79</f>
        <v>48225.640000000014</v>
      </c>
      <c r="D79" s="326">
        <f>$G$9</f>
        <v>0.8</v>
      </c>
      <c r="E79" s="350"/>
      <c r="F79" s="287">
        <f>'Development Schedule'!E281+'Development Schedule'!E283</f>
        <v>0</v>
      </c>
      <c r="G79" s="229">
        <f ca="1">'Development Schedule'!F281+'Development Schedule'!F283</f>
        <v>0</v>
      </c>
      <c r="H79" s="229">
        <f ca="1">'Development Schedule'!G281+'Development Schedule'!G283</f>
        <v>0</v>
      </c>
      <c r="I79" s="287">
        <f ca="1">'Development Schedule'!H281+'Development Schedule'!H283</f>
        <v>0</v>
      </c>
      <c r="J79" s="229">
        <f>'Development Schedule'!I281+'Development Schedule'!I283</f>
        <v>30141.025000000005</v>
      </c>
      <c r="K79" s="229">
        <f>'Development Schedule'!J281+'Development Schedule'!J283</f>
        <v>30141.025000000005</v>
      </c>
      <c r="L79" s="229">
        <f ca="1">'Development Schedule'!K281+'Development Schedule'!K283</f>
        <v>0</v>
      </c>
      <c r="M79" s="287">
        <f ca="1">'Development Schedule'!L281+'Development Schedule'!L283</f>
        <v>0</v>
      </c>
      <c r="N79" s="229">
        <f ca="1">'Development Schedule'!M281+'Development Schedule'!M283</f>
        <v>0</v>
      </c>
      <c r="O79" s="229">
        <f ca="1">'Development Schedule'!N281+'Development Schedule'!N283</f>
        <v>0</v>
      </c>
      <c r="P79" s="287">
        <f ca="1">'Development Schedule'!O281+'Development Schedule'!O283</f>
        <v>0</v>
      </c>
    </row>
    <row r="80" spans="2:16" x14ac:dyDescent="0.25">
      <c r="B80" s="322" t="s">
        <v>286</v>
      </c>
      <c r="C80" s="237">
        <f>$M$7</f>
        <v>0.1</v>
      </c>
      <c r="D80" s="328"/>
      <c r="E80" s="123"/>
      <c r="F80" s="348">
        <f>(F$79*$C80/$J7*$D$31)+E80</f>
        <v>0</v>
      </c>
      <c r="G80" s="233">
        <f t="shared" ref="G80:P80" ca="1" si="40">(G$79*$C80/$J7*$D$31)+F80</f>
        <v>0</v>
      </c>
      <c r="H80" s="233">
        <f t="shared" ca="1" si="40"/>
        <v>0</v>
      </c>
      <c r="I80" s="348">
        <f t="shared" ca="1" si="40"/>
        <v>0</v>
      </c>
      <c r="J80" s="233">
        <f t="shared" ca="1" si="40"/>
        <v>6.0282050000000025</v>
      </c>
      <c r="K80" s="233">
        <f t="shared" ca="1" si="40"/>
        <v>12.056410000000005</v>
      </c>
      <c r="L80" s="233">
        <f t="shared" ca="1" si="40"/>
        <v>12.056410000000005</v>
      </c>
      <c r="M80" s="348">
        <f t="shared" ca="1" si="40"/>
        <v>12.056410000000005</v>
      </c>
      <c r="N80" s="233">
        <f t="shared" ca="1" si="40"/>
        <v>12.056410000000005</v>
      </c>
      <c r="O80" s="233">
        <f t="shared" ca="1" si="40"/>
        <v>12.056410000000005</v>
      </c>
      <c r="P80" s="348">
        <f t="shared" ca="1" si="40"/>
        <v>12.056410000000005</v>
      </c>
    </row>
    <row r="81" spans="2:16" x14ac:dyDescent="0.25">
      <c r="B81" s="322" t="s">
        <v>287</v>
      </c>
      <c r="C81" s="237">
        <f>$M$8</f>
        <v>0.15</v>
      </c>
      <c r="D81" s="76"/>
      <c r="E81" s="123"/>
      <c r="F81" s="348">
        <f>(F$79*$C81/$J8*$D$31)+E81</f>
        <v>0</v>
      </c>
      <c r="G81" s="233">
        <f t="shared" ref="G81:P81" ca="1" si="41">(G$79*$C81/$J8*$D$31)+F81</f>
        <v>0</v>
      </c>
      <c r="H81" s="233">
        <f t="shared" ca="1" si="41"/>
        <v>0</v>
      </c>
      <c r="I81" s="348">
        <f t="shared" ca="1" si="41"/>
        <v>0</v>
      </c>
      <c r="J81" s="233">
        <f t="shared" ca="1" si="41"/>
        <v>6.2903008695652183</v>
      </c>
      <c r="K81" s="233">
        <f t="shared" ca="1" si="41"/>
        <v>12.580601739130437</v>
      </c>
      <c r="L81" s="233">
        <f t="shared" ca="1" si="41"/>
        <v>12.580601739130437</v>
      </c>
      <c r="M81" s="348">
        <f t="shared" ca="1" si="41"/>
        <v>12.580601739130437</v>
      </c>
      <c r="N81" s="233">
        <f t="shared" ca="1" si="41"/>
        <v>12.580601739130437</v>
      </c>
      <c r="O81" s="233">
        <f t="shared" ca="1" si="41"/>
        <v>12.580601739130437</v>
      </c>
      <c r="P81" s="348">
        <f t="shared" ca="1" si="41"/>
        <v>12.580601739130437</v>
      </c>
    </row>
    <row r="82" spans="2:16" x14ac:dyDescent="0.25">
      <c r="B82" s="322" t="s">
        <v>288</v>
      </c>
      <c r="C82" s="237">
        <f>$M$9</f>
        <v>0.2</v>
      </c>
      <c r="D82" s="76"/>
      <c r="E82" s="123"/>
      <c r="F82" s="348">
        <f>(F$79*$C82/$J9*$D$31)+E82</f>
        <v>0</v>
      </c>
      <c r="G82" s="233">
        <f t="shared" ref="G82:P82" ca="1" si="42">(G$79*$C82/$J9*$D$31)+F82</f>
        <v>0</v>
      </c>
      <c r="H82" s="233">
        <f t="shared" ca="1" si="42"/>
        <v>0</v>
      </c>
      <c r="I82" s="348">
        <f t="shared" ca="1" si="42"/>
        <v>0</v>
      </c>
      <c r="J82" s="233">
        <f t="shared" ca="1" si="42"/>
        <v>5.6736047058823544</v>
      </c>
      <c r="K82" s="233">
        <f t="shared" ca="1" si="42"/>
        <v>11.347209411764709</v>
      </c>
      <c r="L82" s="233">
        <f t="shared" ca="1" si="42"/>
        <v>11.347209411764709</v>
      </c>
      <c r="M82" s="348">
        <f t="shared" ca="1" si="42"/>
        <v>11.347209411764709</v>
      </c>
      <c r="N82" s="233">
        <f t="shared" ca="1" si="42"/>
        <v>11.347209411764709</v>
      </c>
      <c r="O82" s="233">
        <f t="shared" ca="1" si="42"/>
        <v>11.347209411764709</v>
      </c>
      <c r="P82" s="348">
        <f t="shared" ca="1" si="42"/>
        <v>11.347209411764709</v>
      </c>
    </row>
    <row r="83" spans="2:16" x14ac:dyDescent="0.25">
      <c r="B83" s="322" t="s">
        <v>289</v>
      </c>
      <c r="C83" s="237">
        <f>$M$10</f>
        <v>0.25</v>
      </c>
      <c r="D83" s="76"/>
      <c r="E83" s="123"/>
      <c r="F83" s="348">
        <f>(F$79*$C83/$J10*$D$31)+E83</f>
        <v>0</v>
      </c>
      <c r="G83" s="233">
        <f t="shared" ref="G83:P83" ca="1" si="43">(G$79*$C83/$J10*$D$31)+F83</f>
        <v>0</v>
      </c>
      <c r="H83" s="233">
        <f t="shared" ca="1" si="43"/>
        <v>0</v>
      </c>
      <c r="I83" s="348">
        <f t="shared" ca="1" si="43"/>
        <v>0</v>
      </c>
      <c r="J83" s="233">
        <f t="shared" ca="1" si="43"/>
        <v>4.8225640000000007</v>
      </c>
      <c r="K83" s="233">
        <f t="shared" ca="1" si="43"/>
        <v>9.6451280000000015</v>
      </c>
      <c r="L83" s="233">
        <f t="shared" ca="1" si="43"/>
        <v>9.6451280000000015</v>
      </c>
      <c r="M83" s="348">
        <f t="shared" ca="1" si="43"/>
        <v>9.6451280000000015</v>
      </c>
      <c r="N83" s="233">
        <f t="shared" ca="1" si="43"/>
        <v>9.6451280000000015</v>
      </c>
      <c r="O83" s="233">
        <f t="shared" ca="1" si="43"/>
        <v>9.6451280000000015</v>
      </c>
      <c r="P83" s="348">
        <f t="shared" ca="1" si="43"/>
        <v>9.6451280000000015</v>
      </c>
    </row>
    <row r="84" spans="2:16" x14ac:dyDescent="0.25">
      <c r="B84" s="322" t="s">
        <v>290</v>
      </c>
      <c r="C84" s="237">
        <f>$M$11</f>
        <v>0.1</v>
      </c>
      <c r="D84" s="76"/>
      <c r="E84" s="123"/>
      <c r="F84" s="348">
        <f>(F$79*$C84/$J11*$D$31)+E84</f>
        <v>0</v>
      </c>
      <c r="G84" s="233">
        <f t="shared" ref="G84:P84" ca="1" si="44">(G$79*$C84/$J11*$D$31)+F84</f>
        <v>0</v>
      </c>
      <c r="H84" s="233">
        <f t="shared" ca="1" si="44"/>
        <v>0</v>
      </c>
      <c r="I84" s="348">
        <f t="shared" ca="1" si="44"/>
        <v>0</v>
      </c>
      <c r="J84" s="233">
        <f t="shared" ca="1" si="44"/>
        <v>1.377875428571429</v>
      </c>
      <c r="K84" s="233">
        <f t="shared" ca="1" si="44"/>
        <v>2.7557508571428579</v>
      </c>
      <c r="L84" s="233">
        <f t="shared" ca="1" si="44"/>
        <v>2.7557508571428579</v>
      </c>
      <c r="M84" s="348">
        <f t="shared" ca="1" si="44"/>
        <v>2.7557508571428579</v>
      </c>
      <c r="N84" s="233">
        <f t="shared" ca="1" si="44"/>
        <v>2.7557508571428579</v>
      </c>
      <c r="O84" s="233">
        <f t="shared" ca="1" si="44"/>
        <v>2.7557508571428579</v>
      </c>
      <c r="P84" s="348">
        <f t="shared" ca="1" si="44"/>
        <v>2.7557508571428579</v>
      </c>
    </row>
    <row r="85" spans="2:16" x14ac:dyDescent="0.25">
      <c r="B85" s="322" t="s">
        <v>291</v>
      </c>
      <c r="C85" s="237">
        <f>$M$14</f>
        <v>0.1</v>
      </c>
      <c r="D85" s="76"/>
      <c r="E85" s="123"/>
      <c r="F85" s="348">
        <f>(F$79*$C85/$J14*$D$31)+E85</f>
        <v>0</v>
      </c>
      <c r="G85" s="233">
        <f t="shared" ref="G85:P85" ca="1" si="45">(G$79*$C85/$J14*$D$31)+F85</f>
        <v>0</v>
      </c>
      <c r="H85" s="233">
        <f t="shared" ca="1" si="45"/>
        <v>0</v>
      </c>
      <c r="I85" s="348">
        <f t="shared" ca="1" si="45"/>
        <v>0</v>
      </c>
      <c r="J85" s="233">
        <f t="shared" ca="1" si="45"/>
        <v>2.8368023529411772</v>
      </c>
      <c r="K85" s="233">
        <f t="shared" ca="1" si="45"/>
        <v>5.6736047058823544</v>
      </c>
      <c r="L85" s="233">
        <f t="shared" ca="1" si="45"/>
        <v>5.6736047058823544</v>
      </c>
      <c r="M85" s="348">
        <f t="shared" ca="1" si="45"/>
        <v>5.6736047058823544</v>
      </c>
      <c r="N85" s="233">
        <f t="shared" ca="1" si="45"/>
        <v>5.6736047058823544</v>
      </c>
      <c r="O85" s="233">
        <f t="shared" ca="1" si="45"/>
        <v>5.6736047058823544</v>
      </c>
      <c r="P85" s="348">
        <f t="shared" ca="1" si="45"/>
        <v>5.6736047058823544</v>
      </c>
    </row>
    <row r="86" spans="2:16" x14ac:dyDescent="0.25">
      <c r="B86" s="322" t="s">
        <v>292</v>
      </c>
      <c r="C86" s="237">
        <f>$M$15</f>
        <v>0.1</v>
      </c>
      <c r="D86" s="76"/>
      <c r="E86" s="123"/>
      <c r="F86" s="348">
        <f>(F$79*$C86/$J15*$D$31)+E86</f>
        <v>0</v>
      </c>
      <c r="G86" s="233">
        <f t="shared" ref="G86:P86" ca="1" si="46">(G$79*$C86/$J15*$D$31)+F86</f>
        <v>0</v>
      </c>
      <c r="H86" s="233">
        <f t="shared" ca="1" si="46"/>
        <v>0</v>
      </c>
      <c r="I86" s="348">
        <f t="shared" ca="1" si="46"/>
        <v>0</v>
      </c>
      <c r="J86" s="233">
        <f t="shared" ca="1" si="46"/>
        <v>1.9290256000000008</v>
      </c>
      <c r="K86" s="233">
        <f t="shared" ca="1" si="46"/>
        <v>3.8580512000000016</v>
      </c>
      <c r="L86" s="233">
        <f t="shared" ca="1" si="46"/>
        <v>3.8580512000000016</v>
      </c>
      <c r="M86" s="348">
        <f t="shared" ca="1" si="46"/>
        <v>3.8580512000000016</v>
      </c>
      <c r="N86" s="233">
        <f t="shared" ca="1" si="46"/>
        <v>3.8580512000000016</v>
      </c>
      <c r="O86" s="233">
        <f t="shared" ca="1" si="46"/>
        <v>3.8580512000000016</v>
      </c>
      <c r="P86" s="348">
        <f t="shared" ca="1" si="46"/>
        <v>3.8580512000000016</v>
      </c>
    </row>
    <row r="87" spans="2:16" x14ac:dyDescent="0.25">
      <c r="B87" s="330" t="s">
        <v>416</v>
      </c>
      <c r="C87" s="331"/>
      <c r="D87" s="76"/>
      <c r="E87" s="76"/>
      <c r="F87" s="289">
        <v>0</v>
      </c>
      <c r="G87" s="332">
        <f>F87</f>
        <v>0</v>
      </c>
      <c r="H87" s="332">
        <f t="shared" ref="H87:I87" si="47">G87</f>
        <v>0</v>
      </c>
      <c r="I87" s="289">
        <f t="shared" si="47"/>
        <v>0</v>
      </c>
      <c r="J87" s="332">
        <v>0</v>
      </c>
      <c r="K87" s="332">
        <v>1</v>
      </c>
      <c r="L87" s="332">
        <v>0</v>
      </c>
      <c r="M87" s="289">
        <v>0</v>
      </c>
      <c r="N87" s="332">
        <v>0</v>
      </c>
      <c r="O87" s="332">
        <f>N87</f>
        <v>0</v>
      </c>
      <c r="P87" s="289">
        <f>O87</f>
        <v>0</v>
      </c>
    </row>
    <row r="88" spans="2:16" x14ac:dyDescent="0.25">
      <c r="B88" s="330" t="s">
        <v>497</v>
      </c>
      <c r="C88" s="331"/>
      <c r="D88" s="328"/>
      <c r="E88" s="302"/>
      <c r="F88" s="289"/>
      <c r="G88" s="512">
        <f ca="1">SUM(G80:G84)-SUM(F80:F84)</f>
        <v>0</v>
      </c>
      <c r="H88" s="512">
        <f t="shared" ref="H88:P88" ca="1" si="48">SUM(H80:H84)-SUM(G80:G84)</f>
        <v>0</v>
      </c>
      <c r="I88" s="513">
        <f t="shared" ca="1" si="48"/>
        <v>0</v>
      </c>
      <c r="J88" s="512">
        <f t="shared" ca="1" si="48"/>
        <v>24.192550004019004</v>
      </c>
      <c r="K88" s="512">
        <f t="shared" ca="1" si="48"/>
        <v>24.192550004019004</v>
      </c>
      <c r="L88" s="512">
        <f t="shared" ca="1" si="48"/>
        <v>0</v>
      </c>
      <c r="M88" s="513">
        <f t="shared" ca="1" si="48"/>
        <v>0</v>
      </c>
      <c r="N88" s="512">
        <f t="shared" ca="1" si="48"/>
        <v>0</v>
      </c>
      <c r="O88" s="512">
        <f t="shared" ca="1" si="48"/>
        <v>0</v>
      </c>
      <c r="P88" s="513">
        <f t="shared" ca="1" si="48"/>
        <v>0</v>
      </c>
    </row>
    <row r="89" spans="2:16" x14ac:dyDescent="0.25">
      <c r="B89" s="330" t="s">
        <v>498</v>
      </c>
      <c r="C89" s="331"/>
      <c r="D89" s="328"/>
      <c r="E89" s="302"/>
      <c r="F89" s="289"/>
      <c r="G89" s="512">
        <f ca="1">SUM(G85:G86)-SUM(F85:F86)</f>
        <v>0</v>
      </c>
      <c r="H89" s="512">
        <f t="shared" ref="H89:P89" ca="1" si="49">SUM(H85:H86)-SUM(G85:G86)</f>
        <v>0</v>
      </c>
      <c r="I89" s="513">
        <f t="shared" ca="1" si="49"/>
        <v>0</v>
      </c>
      <c r="J89" s="512">
        <f t="shared" ca="1" si="49"/>
        <v>4.7658279529411782</v>
      </c>
      <c r="K89" s="512">
        <f t="shared" ca="1" si="49"/>
        <v>4.7658279529411782</v>
      </c>
      <c r="L89" s="512">
        <f t="shared" ca="1" si="49"/>
        <v>0</v>
      </c>
      <c r="M89" s="513">
        <f t="shared" ca="1" si="49"/>
        <v>0</v>
      </c>
      <c r="N89" s="512">
        <f t="shared" ca="1" si="49"/>
        <v>0</v>
      </c>
      <c r="O89" s="512">
        <f t="shared" ca="1" si="49"/>
        <v>0</v>
      </c>
      <c r="P89" s="513">
        <f t="shared" ca="1" si="49"/>
        <v>0</v>
      </c>
    </row>
    <row r="90" spans="2:16" x14ac:dyDescent="0.25">
      <c r="B90" s="322"/>
      <c r="C90" s="34"/>
      <c r="D90" s="76"/>
      <c r="E90" s="123"/>
      <c r="F90" s="352"/>
      <c r="G90" s="351"/>
      <c r="H90" s="351"/>
      <c r="I90" s="352"/>
      <c r="J90" s="351"/>
      <c r="K90" s="351"/>
      <c r="L90" s="351"/>
      <c r="M90" s="352"/>
      <c r="N90" s="351"/>
      <c r="O90" s="351"/>
      <c r="P90" s="352"/>
    </row>
    <row r="91" spans="2:16" x14ac:dyDescent="0.25">
      <c r="B91" s="323" t="s">
        <v>293</v>
      </c>
      <c r="C91" s="34"/>
      <c r="D91" s="76"/>
      <c r="E91" s="123"/>
      <c r="F91" s="348">
        <f t="shared" ref="F91:I97" si="50">SUM(F68*F$75,F$63*F56,F$51*F44,F$39*F32,F$87*F80)</f>
        <v>0</v>
      </c>
      <c r="G91" s="233">
        <f t="shared" ca="1" si="50"/>
        <v>0</v>
      </c>
      <c r="H91" s="233">
        <f t="shared" ca="1" si="50"/>
        <v>11.887600000000001</v>
      </c>
      <c r="I91" s="348">
        <f t="shared" ca="1" si="50"/>
        <v>0</v>
      </c>
      <c r="J91" s="233">
        <f t="shared" ref="J91:P91" ca="1" si="51">SUM(J68*J$75,J$63*J56,J$51*J44,J$39*J32,J$87*J80)</f>
        <v>0</v>
      </c>
      <c r="K91" s="233">
        <f t="shared" ca="1" si="51"/>
        <v>18.310810000000007</v>
      </c>
      <c r="L91" s="233">
        <f t="shared" ca="1" si="51"/>
        <v>0</v>
      </c>
      <c r="M91" s="348">
        <f t="shared" ca="1" si="51"/>
        <v>0</v>
      </c>
      <c r="N91" s="233">
        <f t="shared" ca="1" si="51"/>
        <v>0</v>
      </c>
      <c r="O91" s="233">
        <f t="shared" ca="1" si="51"/>
        <v>26.096</v>
      </c>
      <c r="P91" s="348">
        <f t="shared" ca="1" si="51"/>
        <v>0</v>
      </c>
    </row>
    <row r="92" spans="2:16" x14ac:dyDescent="0.25">
      <c r="B92" s="323" t="s">
        <v>294</v>
      </c>
      <c r="C92" s="34"/>
      <c r="D92" s="76"/>
      <c r="E92" s="123"/>
      <c r="F92" s="348">
        <f t="shared" si="50"/>
        <v>0</v>
      </c>
      <c r="G92" s="233">
        <f t="shared" ca="1" si="50"/>
        <v>0</v>
      </c>
      <c r="H92" s="233">
        <f t="shared" ca="1" si="50"/>
        <v>12.404452173913043</v>
      </c>
      <c r="I92" s="348">
        <f t="shared" ca="1" si="50"/>
        <v>0</v>
      </c>
      <c r="J92" s="233">
        <f t="shared" ref="J92:P92" ca="1" si="52">SUM(J69*J$75,J$63*J57,J$51*J45,J$39*J33,J$87*J81)</f>
        <v>0</v>
      </c>
      <c r="K92" s="233">
        <f t="shared" ca="1" si="52"/>
        <v>19.106932173913044</v>
      </c>
      <c r="L92" s="233">
        <f t="shared" ca="1" si="52"/>
        <v>0</v>
      </c>
      <c r="M92" s="348">
        <f t="shared" ca="1" si="52"/>
        <v>0</v>
      </c>
      <c r="N92" s="233">
        <f t="shared" ca="1" si="52"/>
        <v>0</v>
      </c>
      <c r="O92" s="233">
        <f t="shared" ca="1" si="52"/>
        <v>27.23060869565218</v>
      </c>
      <c r="P92" s="348">
        <f t="shared" ca="1" si="52"/>
        <v>0</v>
      </c>
    </row>
    <row r="93" spans="2:16" x14ac:dyDescent="0.25">
      <c r="B93" s="323" t="s">
        <v>295</v>
      </c>
      <c r="C93" s="34"/>
      <c r="D93" s="76"/>
      <c r="E93" s="123"/>
      <c r="F93" s="348">
        <f t="shared" si="50"/>
        <v>0</v>
      </c>
      <c r="G93" s="233">
        <f t="shared" ca="1" si="50"/>
        <v>0</v>
      </c>
      <c r="H93" s="233">
        <f t="shared" ca="1" si="50"/>
        <v>11.188329411764707</v>
      </c>
      <c r="I93" s="348">
        <f t="shared" ca="1" si="50"/>
        <v>0</v>
      </c>
      <c r="J93" s="233">
        <f t="shared" ref="J93:P93" ca="1" si="53">SUM(J70*J$75,J$63*J58,J$51*J46,J$39*J34,J$87*J82)</f>
        <v>0</v>
      </c>
      <c r="K93" s="233">
        <f t="shared" ca="1" si="53"/>
        <v>17.23370352941177</v>
      </c>
      <c r="L93" s="233">
        <f t="shared" ca="1" si="53"/>
        <v>0</v>
      </c>
      <c r="M93" s="348">
        <f t="shared" ca="1" si="53"/>
        <v>0</v>
      </c>
      <c r="N93" s="233">
        <f t="shared" ca="1" si="53"/>
        <v>0</v>
      </c>
      <c r="O93" s="233">
        <f t="shared" ca="1" si="53"/>
        <v>24.560941176470592</v>
      </c>
      <c r="P93" s="348">
        <f t="shared" ca="1" si="53"/>
        <v>0</v>
      </c>
    </row>
    <row r="94" spans="2:16" x14ac:dyDescent="0.25">
      <c r="B94" s="323" t="s">
        <v>296</v>
      </c>
      <c r="C94" s="34"/>
      <c r="D94" s="76"/>
      <c r="E94" s="123"/>
      <c r="F94" s="348">
        <f t="shared" si="50"/>
        <v>0</v>
      </c>
      <c r="G94" s="233">
        <f t="shared" ca="1" si="50"/>
        <v>0</v>
      </c>
      <c r="H94" s="233">
        <f t="shared" ca="1" si="50"/>
        <v>9.5100800000000003</v>
      </c>
      <c r="I94" s="348">
        <f t="shared" ca="1" si="50"/>
        <v>0</v>
      </c>
      <c r="J94" s="233">
        <f t="shared" ref="J94:P94" ca="1" si="54">SUM(J71*J$75,J$63*J59,J$51*J47,J$39*J35,J$87*J83)</f>
        <v>0</v>
      </c>
      <c r="K94" s="233">
        <f t="shared" ca="1" si="54"/>
        <v>14.648648000000001</v>
      </c>
      <c r="L94" s="233">
        <f t="shared" ca="1" si="54"/>
        <v>0</v>
      </c>
      <c r="M94" s="348">
        <f t="shared" ca="1" si="54"/>
        <v>0</v>
      </c>
      <c r="N94" s="233">
        <f t="shared" ca="1" si="54"/>
        <v>0</v>
      </c>
      <c r="O94" s="233">
        <f t="shared" ca="1" si="54"/>
        <v>20.876800000000003</v>
      </c>
      <c r="P94" s="348">
        <f t="shared" ca="1" si="54"/>
        <v>0</v>
      </c>
    </row>
    <row r="95" spans="2:16" x14ac:dyDescent="0.25">
      <c r="B95" s="323" t="s">
        <v>297</v>
      </c>
      <c r="C95" s="34"/>
      <c r="D95" s="76"/>
      <c r="E95" s="123"/>
      <c r="F95" s="348">
        <f t="shared" si="50"/>
        <v>0</v>
      </c>
      <c r="G95" s="233">
        <f t="shared" ca="1" si="50"/>
        <v>0</v>
      </c>
      <c r="H95" s="233">
        <f t="shared" ca="1" si="50"/>
        <v>2.7171657142857146</v>
      </c>
      <c r="I95" s="348">
        <f t="shared" ca="1" si="50"/>
        <v>0</v>
      </c>
      <c r="J95" s="233">
        <f t="shared" ref="J95:P95" ca="1" si="55">SUM(J72*J$75,J$63*J60,J$51*J48,J$39*J36,J$87*J84)</f>
        <v>0</v>
      </c>
      <c r="K95" s="233">
        <f t="shared" ca="1" si="55"/>
        <v>4.185328000000001</v>
      </c>
      <c r="L95" s="233">
        <f t="shared" ca="1" si="55"/>
        <v>0</v>
      </c>
      <c r="M95" s="348">
        <f t="shared" ca="1" si="55"/>
        <v>0</v>
      </c>
      <c r="N95" s="233">
        <f t="shared" ca="1" si="55"/>
        <v>0</v>
      </c>
      <c r="O95" s="233">
        <f t="shared" ca="1" si="55"/>
        <v>5.9648000000000003</v>
      </c>
      <c r="P95" s="348">
        <f t="shared" ca="1" si="55"/>
        <v>0</v>
      </c>
    </row>
    <row r="96" spans="2:16" x14ac:dyDescent="0.25">
      <c r="B96" s="323" t="s">
        <v>298</v>
      </c>
      <c r="C96" s="34"/>
      <c r="D96" s="76"/>
      <c r="E96" s="123"/>
      <c r="F96" s="348">
        <f t="shared" si="50"/>
        <v>0</v>
      </c>
      <c r="G96" s="233">
        <f t="shared" ca="1" si="50"/>
        <v>0</v>
      </c>
      <c r="H96" s="233">
        <f t="shared" ca="1" si="50"/>
        <v>5.5941647058823536</v>
      </c>
      <c r="I96" s="348">
        <f t="shared" ca="1" si="50"/>
        <v>0</v>
      </c>
      <c r="J96" s="233">
        <f t="shared" ref="J96:P96" ca="1" si="56">SUM(J73*J$75,J$63*J61,J$51*J49,J$39*J37,J$87*J85)</f>
        <v>0</v>
      </c>
      <c r="K96" s="233">
        <f t="shared" ca="1" si="56"/>
        <v>8.6168517647058849</v>
      </c>
      <c r="L96" s="233">
        <f t="shared" ca="1" si="56"/>
        <v>0</v>
      </c>
      <c r="M96" s="348">
        <f t="shared" ca="1" si="56"/>
        <v>0</v>
      </c>
      <c r="N96" s="233">
        <f t="shared" ca="1" si="56"/>
        <v>0</v>
      </c>
      <c r="O96" s="233">
        <f t="shared" ca="1" si="56"/>
        <v>12.280470588235296</v>
      </c>
      <c r="P96" s="348">
        <f t="shared" ca="1" si="56"/>
        <v>0</v>
      </c>
    </row>
    <row r="97" spans="2:16" x14ac:dyDescent="0.25">
      <c r="B97" s="323" t="s">
        <v>299</v>
      </c>
      <c r="C97" s="34"/>
      <c r="D97" s="76"/>
      <c r="E97" s="123"/>
      <c r="F97" s="348">
        <f t="shared" si="50"/>
        <v>0</v>
      </c>
      <c r="G97" s="233">
        <f t="shared" ca="1" si="50"/>
        <v>0</v>
      </c>
      <c r="H97" s="233">
        <f t="shared" ca="1" si="50"/>
        <v>3.8040320000000003</v>
      </c>
      <c r="I97" s="348">
        <f t="shared" ca="1" si="50"/>
        <v>0</v>
      </c>
      <c r="J97" s="233">
        <f t="shared" ref="J97:P97" ca="1" si="57">SUM(J74*J$75,J$63*J62,J$51*J50,J$39*J38,J$87*J86)</f>
        <v>0</v>
      </c>
      <c r="K97" s="233">
        <f t="shared" ca="1" si="57"/>
        <v>5.8594592000000016</v>
      </c>
      <c r="L97" s="233">
        <f t="shared" ca="1" si="57"/>
        <v>0</v>
      </c>
      <c r="M97" s="348">
        <f t="shared" ca="1" si="57"/>
        <v>0</v>
      </c>
      <c r="N97" s="233">
        <f t="shared" ca="1" si="57"/>
        <v>0</v>
      </c>
      <c r="O97" s="233">
        <f t="shared" ca="1" si="57"/>
        <v>8.3507200000000008</v>
      </c>
      <c r="P97" s="348">
        <f t="shared" ca="1" si="57"/>
        <v>0</v>
      </c>
    </row>
    <row r="98" spans="2:16" x14ac:dyDescent="0.25">
      <c r="B98" s="322"/>
      <c r="C98" s="76"/>
      <c r="D98" s="123"/>
      <c r="E98" s="123"/>
      <c r="F98" s="286"/>
      <c r="G98" s="226"/>
      <c r="H98" s="226"/>
      <c r="I98" s="309"/>
      <c r="J98" s="226"/>
      <c r="K98" s="226"/>
      <c r="L98" s="226"/>
      <c r="M98" s="286"/>
      <c r="N98" s="226"/>
      <c r="O98" s="226"/>
      <c r="P98" s="286"/>
    </row>
    <row r="99" spans="2:16" x14ac:dyDescent="0.25">
      <c r="B99" s="323" t="s">
        <v>173</v>
      </c>
      <c r="C99" s="353" t="s">
        <v>303</v>
      </c>
      <c r="D99" s="123"/>
      <c r="E99" s="123"/>
      <c r="F99" s="291"/>
      <c r="G99" s="240"/>
      <c r="H99" s="240"/>
      <c r="I99" s="291"/>
      <c r="J99" s="240"/>
      <c r="K99" s="240"/>
      <c r="L99" s="240"/>
      <c r="M99" s="291"/>
      <c r="N99" s="240"/>
      <c r="O99" s="240"/>
      <c r="P99" s="291"/>
    </row>
    <row r="100" spans="2:16" x14ac:dyDescent="0.25">
      <c r="B100" s="322" t="s">
        <v>185</v>
      </c>
      <c r="C100" s="354">
        <f>L7</f>
        <v>260000</v>
      </c>
      <c r="D100" s="335"/>
      <c r="E100" s="335"/>
      <c r="F100" s="294">
        <f>$C100*(1+F$107)</f>
        <v>265200</v>
      </c>
      <c r="G100" s="341">
        <f>F100*(1+G$107)</f>
        <v>270504</v>
      </c>
      <c r="H100" s="341">
        <f t="shared" ref="H100:P100" si="58">G100*(1+H$107)</f>
        <v>275914.08</v>
      </c>
      <c r="I100" s="294">
        <f t="shared" si="58"/>
        <v>281432.3616</v>
      </c>
      <c r="J100" s="341">
        <f t="shared" si="58"/>
        <v>287061.00883200002</v>
      </c>
      <c r="K100" s="341">
        <f t="shared" si="58"/>
        <v>292802.22900864005</v>
      </c>
      <c r="L100" s="341">
        <f t="shared" si="58"/>
        <v>298658.27358881285</v>
      </c>
      <c r="M100" s="294">
        <f t="shared" si="58"/>
        <v>304631.43906058912</v>
      </c>
      <c r="N100" s="341">
        <f t="shared" si="58"/>
        <v>310724.06784180092</v>
      </c>
      <c r="O100" s="341">
        <f t="shared" si="58"/>
        <v>316938.54919863696</v>
      </c>
      <c r="P100" s="294">
        <f t="shared" si="58"/>
        <v>323277.32018260972</v>
      </c>
    </row>
    <row r="101" spans="2:16" x14ac:dyDescent="0.25">
      <c r="B101" s="322" t="s">
        <v>186</v>
      </c>
      <c r="C101" s="354">
        <f>L8</f>
        <v>373750</v>
      </c>
      <c r="D101" s="123"/>
      <c r="E101" s="123"/>
      <c r="F101" s="294">
        <f t="shared" ref="F101:F106" si="59">$C101*(1+F$107)</f>
        <v>381225</v>
      </c>
      <c r="G101" s="341">
        <f t="shared" ref="G101:P101" si="60">F101*(1+G$107)</f>
        <v>388849.5</v>
      </c>
      <c r="H101" s="341">
        <f t="shared" si="60"/>
        <v>396626.49</v>
      </c>
      <c r="I101" s="294">
        <f t="shared" si="60"/>
        <v>404559.01980000001</v>
      </c>
      <c r="J101" s="341">
        <f t="shared" si="60"/>
        <v>412650.20019599999</v>
      </c>
      <c r="K101" s="341">
        <f t="shared" si="60"/>
        <v>420903.20419992</v>
      </c>
      <c r="L101" s="341">
        <f t="shared" si="60"/>
        <v>429321.26828391838</v>
      </c>
      <c r="M101" s="294">
        <f t="shared" si="60"/>
        <v>437907.69364959677</v>
      </c>
      <c r="N101" s="341">
        <f t="shared" si="60"/>
        <v>446665.84752258874</v>
      </c>
      <c r="O101" s="341">
        <f t="shared" si="60"/>
        <v>455599.1644730405</v>
      </c>
      <c r="P101" s="294">
        <f t="shared" si="60"/>
        <v>464711.14776250132</v>
      </c>
    </row>
    <row r="102" spans="2:16" x14ac:dyDescent="0.25">
      <c r="B102" s="322" t="s">
        <v>187</v>
      </c>
      <c r="C102" s="354">
        <f>L9</f>
        <v>595000</v>
      </c>
      <c r="D102" s="123"/>
      <c r="E102" s="123"/>
      <c r="F102" s="294">
        <f t="shared" si="59"/>
        <v>606900</v>
      </c>
      <c r="G102" s="341">
        <f t="shared" ref="G102:P102" si="61">F102*(1+G$107)</f>
        <v>619038</v>
      </c>
      <c r="H102" s="341">
        <f t="shared" si="61"/>
        <v>631418.76</v>
      </c>
      <c r="I102" s="294">
        <f t="shared" si="61"/>
        <v>644047.13520000002</v>
      </c>
      <c r="J102" s="341">
        <f t="shared" si="61"/>
        <v>656928.07790400006</v>
      </c>
      <c r="K102" s="341">
        <f t="shared" si="61"/>
        <v>670066.63946208009</v>
      </c>
      <c r="L102" s="341">
        <f t="shared" si="61"/>
        <v>683467.97225132165</v>
      </c>
      <c r="M102" s="294">
        <f t="shared" si="61"/>
        <v>697137.33169634815</v>
      </c>
      <c r="N102" s="341">
        <f t="shared" si="61"/>
        <v>711080.07833027514</v>
      </c>
      <c r="O102" s="341">
        <f t="shared" si="61"/>
        <v>725301.67989688064</v>
      </c>
      <c r="P102" s="294">
        <f t="shared" si="61"/>
        <v>739807.71349481831</v>
      </c>
    </row>
    <row r="103" spans="2:16" x14ac:dyDescent="0.25">
      <c r="B103" s="322" t="s">
        <v>188</v>
      </c>
      <c r="C103" s="354">
        <f>L10</f>
        <v>875000</v>
      </c>
      <c r="D103" s="123"/>
      <c r="E103" s="123"/>
      <c r="F103" s="294">
        <f t="shared" si="59"/>
        <v>892500</v>
      </c>
      <c r="G103" s="341">
        <f t="shared" ref="G103:P103" si="62">F103*(1+G$107)</f>
        <v>910350</v>
      </c>
      <c r="H103" s="341">
        <f t="shared" si="62"/>
        <v>928557</v>
      </c>
      <c r="I103" s="294">
        <f t="shared" si="62"/>
        <v>947128.14</v>
      </c>
      <c r="J103" s="341">
        <f t="shared" si="62"/>
        <v>966070.70280000009</v>
      </c>
      <c r="K103" s="341">
        <f t="shared" si="62"/>
        <v>985392.11685600015</v>
      </c>
      <c r="L103" s="341">
        <f t="shared" si="62"/>
        <v>1005099.9591931201</v>
      </c>
      <c r="M103" s="294">
        <f t="shared" si="62"/>
        <v>1025201.9583769826</v>
      </c>
      <c r="N103" s="341">
        <f t="shared" si="62"/>
        <v>1045705.9975445223</v>
      </c>
      <c r="O103" s="341">
        <f t="shared" si="62"/>
        <v>1066620.1174954127</v>
      </c>
      <c r="P103" s="294">
        <f t="shared" si="62"/>
        <v>1087952.5198453211</v>
      </c>
    </row>
    <row r="104" spans="2:16" x14ac:dyDescent="0.25">
      <c r="B104" s="322" t="s">
        <v>189</v>
      </c>
      <c r="C104" s="354">
        <f>L11</f>
        <v>1487500</v>
      </c>
      <c r="D104" s="123"/>
      <c r="E104" s="123"/>
      <c r="F104" s="294">
        <f t="shared" si="59"/>
        <v>1517250</v>
      </c>
      <c r="G104" s="341">
        <f t="shared" ref="G104:P104" si="63">F104*(1+G$107)</f>
        <v>1547595</v>
      </c>
      <c r="H104" s="341">
        <f t="shared" si="63"/>
        <v>1578546.9000000001</v>
      </c>
      <c r="I104" s="294">
        <f t="shared" si="63"/>
        <v>1610117.8380000002</v>
      </c>
      <c r="J104" s="341">
        <f t="shared" si="63"/>
        <v>1642320.1947600003</v>
      </c>
      <c r="K104" s="341">
        <f t="shared" si="63"/>
        <v>1675166.5986552003</v>
      </c>
      <c r="L104" s="341">
        <f t="shared" si="63"/>
        <v>1708669.9306283044</v>
      </c>
      <c r="M104" s="294">
        <f t="shared" si="63"/>
        <v>1742843.3292408704</v>
      </c>
      <c r="N104" s="341">
        <f t="shared" si="63"/>
        <v>1777700.1958256878</v>
      </c>
      <c r="O104" s="341">
        <f t="shared" si="63"/>
        <v>1813254.1997422017</v>
      </c>
      <c r="P104" s="294">
        <f t="shared" si="63"/>
        <v>1849519.2837370457</v>
      </c>
    </row>
    <row r="105" spans="2:16" x14ac:dyDescent="0.25">
      <c r="B105" s="322" t="s">
        <v>190</v>
      </c>
      <c r="C105" s="355">
        <f>L14</f>
        <v>255000</v>
      </c>
      <c r="D105" s="123"/>
      <c r="E105" s="123"/>
      <c r="F105" s="294">
        <f t="shared" si="59"/>
        <v>260100</v>
      </c>
      <c r="G105" s="341">
        <f t="shared" ref="G105:P105" si="64">F105*(1+G$107)</f>
        <v>265302</v>
      </c>
      <c r="H105" s="341">
        <f t="shared" si="64"/>
        <v>270608.03999999998</v>
      </c>
      <c r="I105" s="294">
        <f t="shared" si="64"/>
        <v>276020.20079999999</v>
      </c>
      <c r="J105" s="341">
        <f t="shared" si="64"/>
        <v>281540.60481599998</v>
      </c>
      <c r="K105" s="341">
        <f t="shared" si="64"/>
        <v>287171.41691231995</v>
      </c>
      <c r="L105" s="341">
        <f t="shared" si="64"/>
        <v>292914.84525056637</v>
      </c>
      <c r="M105" s="294">
        <f t="shared" si="64"/>
        <v>298773.14215557772</v>
      </c>
      <c r="N105" s="341">
        <f t="shared" si="64"/>
        <v>304748.60499868926</v>
      </c>
      <c r="O105" s="341">
        <f t="shared" si="64"/>
        <v>310843.57709866302</v>
      </c>
      <c r="P105" s="294">
        <f t="shared" si="64"/>
        <v>317060.44864063628</v>
      </c>
    </row>
    <row r="106" spans="2:16" x14ac:dyDescent="0.25">
      <c r="B106" s="322" t="s">
        <v>191</v>
      </c>
      <c r="C106" s="355">
        <f>L15</f>
        <v>375000</v>
      </c>
      <c r="D106" s="123"/>
      <c r="E106" s="123"/>
      <c r="F106" s="294">
        <f t="shared" si="59"/>
        <v>382500</v>
      </c>
      <c r="G106" s="341">
        <f t="shared" ref="G106:P106" si="65">F106*(1+G$107)</f>
        <v>390150</v>
      </c>
      <c r="H106" s="341">
        <f t="shared" si="65"/>
        <v>397953</v>
      </c>
      <c r="I106" s="294">
        <f t="shared" si="65"/>
        <v>405912.06</v>
      </c>
      <c r="J106" s="341">
        <f t="shared" si="65"/>
        <v>414030.30119999999</v>
      </c>
      <c r="K106" s="341">
        <f t="shared" si="65"/>
        <v>422310.90722399997</v>
      </c>
      <c r="L106" s="341">
        <f t="shared" si="65"/>
        <v>430757.12536847999</v>
      </c>
      <c r="M106" s="294">
        <f t="shared" si="65"/>
        <v>439372.26787584962</v>
      </c>
      <c r="N106" s="341">
        <f t="shared" si="65"/>
        <v>448159.71323336661</v>
      </c>
      <c r="O106" s="341">
        <f t="shared" si="65"/>
        <v>457122.90749803395</v>
      </c>
      <c r="P106" s="294">
        <f t="shared" si="65"/>
        <v>466265.36564799462</v>
      </c>
    </row>
    <row r="107" spans="2:16" x14ac:dyDescent="0.25">
      <c r="B107" s="322" t="s">
        <v>170</v>
      </c>
      <c r="C107" s="338">
        <f>$G$15</f>
        <v>0.02</v>
      </c>
      <c r="D107" s="123"/>
      <c r="E107" s="123"/>
      <c r="F107" s="293">
        <f>C107</f>
        <v>0.02</v>
      </c>
      <c r="G107" s="339">
        <f>F107</f>
        <v>0.02</v>
      </c>
      <c r="H107" s="339">
        <f t="shared" ref="H107:P107" si="66">G107</f>
        <v>0.02</v>
      </c>
      <c r="I107" s="293">
        <f t="shared" si="66"/>
        <v>0.02</v>
      </c>
      <c r="J107" s="339">
        <f t="shared" si="66"/>
        <v>0.02</v>
      </c>
      <c r="K107" s="339">
        <f t="shared" si="66"/>
        <v>0.02</v>
      </c>
      <c r="L107" s="339">
        <f t="shared" si="66"/>
        <v>0.02</v>
      </c>
      <c r="M107" s="293">
        <f t="shared" si="66"/>
        <v>0.02</v>
      </c>
      <c r="N107" s="339">
        <f t="shared" si="66"/>
        <v>0.02</v>
      </c>
      <c r="O107" s="339">
        <f t="shared" si="66"/>
        <v>0.02</v>
      </c>
      <c r="P107" s="293">
        <f t="shared" si="66"/>
        <v>0.02</v>
      </c>
    </row>
    <row r="108" spans="2:16" x14ac:dyDescent="0.25">
      <c r="B108" s="322"/>
      <c r="C108" s="340"/>
      <c r="D108" s="123"/>
      <c r="E108" s="123"/>
      <c r="F108" s="294"/>
      <c r="G108" s="341"/>
      <c r="H108" s="341"/>
      <c r="I108" s="294"/>
      <c r="J108" s="341"/>
      <c r="K108" s="341"/>
      <c r="L108" s="341"/>
      <c r="M108" s="294"/>
      <c r="N108" s="341"/>
      <c r="O108" s="341"/>
      <c r="P108" s="294"/>
    </row>
    <row r="109" spans="2:16" x14ac:dyDescent="0.25">
      <c r="B109" s="323" t="s">
        <v>129</v>
      </c>
      <c r="C109" s="76"/>
      <c r="D109" s="123"/>
      <c r="E109" s="123"/>
      <c r="F109" s="295"/>
      <c r="G109" s="144"/>
      <c r="H109" s="144"/>
      <c r="I109" s="295"/>
      <c r="J109" s="144"/>
      <c r="K109" s="144"/>
      <c r="L109" s="144"/>
      <c r="M109" s="295"/>
      <c r="N109" s="144"/>
      <c r="O109" s="144"/>
      <c r="P109" s="295"/>
    </row>
    <row r="110" spans="2:16" x14ac:dyDescent="0.25">
      <c r="B110" s="322" t="s">
        <v>129</v>
      </c>
      <c r="C110" s="241"/>
      <c r="D110" s="220"/>
      <c r="E110" s="220"/>
      <c r="F110" s="138">
        <f>SUM(F100*F91,F101*F92,F102*F93,F103*F94,F104*F95,F105*F96,F106*F97)</f>
        <v>0</v>
      </c>
      <c r="G110" s="239">
        <f t="shared" ref="G110:P110" ca="1" si="67">SUM(G100*G91,G101*G92,G102*G93,G103*G94,G104*G95,G105*G96,G106*G97)</f>
        <v>0</v>
      </c>
      <c r="H110" s="239">
        <f t="shared" ca="1" si="67"/>
        <v>31411888.389792003</v>
      </c>
      <c r="I110" s="138">
        <f t="shared" ca="1" si="67"/>
        <v>0</v>
      </c>
      <c r="J110" s="239">
        <f t="shared" ca="1" si="67"/>
        <v>0</v>
      </c>
      <c r="K110" s="239">
        <f t="shared" ca="1" si="67"/>
        <v>51346155.759825796</v>
      </c>
      <c r="L110" s="239">
        <f t="shared" ca="1" si="67"/>
        <v>0</v>
      </c>
      <c r="M110" s="138">
        <f t="shared" ca="1" si="67"/>
        <v>0</v>
      </c>
      <c r="N110" s="239">
        <f t="shared" ca="1" si="67"/>
        <v>0</v>
      </c>
      <c r="O110" s="239">
        <f t="shared" ca="1" si="67"/>
        <v>79209087.176616162</v>
      </c>
      <c r="P110" s="138">
        <f t="shared" ca="1" si="67"/>
        <v>0</v>
      </c>
    </row>
    <row r="111" spans="2:16" x14ac:dyDescent="0.25">
      <c r="B111" s="322" t="s">
        <v>41</v>
      </c>
      <c r="C111" s="246">
        <f>$G$16</f>
        <v>0.03</v>
      </c>
      <c r="D111" s="220"/>
      <c r="E111" s="220"/>
      <c r="F111" s="138">
        <f>$C$111*-F110</f>
        <v>0</v>
      </c>
      <c r="G111" s="239">
        <f t="shared" ref="G111:P111" ca="1" si="68">$C$111*-G110</f>
        <v>0</v>
      </c>
      <c r="H111" s="239">
        <f t="shared" ca="1" si="68"/>
        <v>-942356.65169376007</v>
      </c>
      <c r="I111" s="138">
        <f t="shared" ca="1" si="68"/>
        <v>0</v>
      </c>
      <c r="J111" s="239">
        <f t="shared" ca="1" si="68"/>
        <v>0</v>
      </c>
      <c r="K111" s="239">
        <f t="shared" ca="1" si="68"/>
        <v>-1540384.6727947737</v>
      </c>
      <c r="L111" s="239">
        <f t="shared" ca="1" si="68"/>
        <v>0</v>
      </c>
      <c r="M111" s="138">
        <f t="shared" ca="1" si="68"/>
        <v>0</v>
      </c>
      <c r="N111" s="239">
        <f t="shared" ca="1" si="68"/>
        <v>0</v>
      </c>
      <c r="O111" s="239">
        <f t="shared" ca="1" si="68"/>
        <v>-2376272.6152984849</v>
      </c>
      <c r="P111" s="138">
        <f t="shared" ca="1" si="68"/>
        <v>0</v>
      </c>
    </row>
    <row r="112" spans="2:16" x14ac:dyDescent="0.25">
      <c r="B112" s="347" t="s">
        <v>520</v>
      </c>
      <c r="C112" s="102">
        <f>G17</f>
        <v>0.02</v>
      </c>
      <c r="D112" s="56"/>
      <c r="E112" s="56"/>
      <c r="F112" s="299">
        <f>$C$112*-F110</f>
        <v>0</v>
      </c>
      <c r="G112" s="143">
        <f t="shared" ref="G112:P112" ca="1" si="69">$C$112*-G110</f>
        <v>0</v>
      </c>
      <c r="H112" s="143">
        <f t="shared" ca="1" si="69"/>
        <v>-628237.76779584005</v>
      </c>
      <c r="I112" s="299">
        <f t="shared" ca="1" si="69"/>
        <v>0</v>
      </c>
      <c r="J112" s="143">
        <f t="shared" ca="1" si="69"/>
        <v>0</v>
      </c>
      <c r="K112" s="143">
        <f t="shared" ca="1" si="69"/>
        <v>-1026923.1151965159</v>
      </c>
      <c r="L112" s="143">
        <f t="shared" ca="1" si="69"/>
        <v>0</v>
      </c>
      <c r="M112" s="299">
        <f t="shared" ca="1" si="69"/>
        <v>0</v>
      </c>
      <c r="N112" s="143">
        <f t="shared" ca="1" si="69"/>
        <v>0</v>
      </c>
      <c r="O112" s="143">
        <f t="shared" ca="1" si="69"/>
        <v>-1584181.7435323233</v>
      </c>
      <c r="P112" s="299">
        <f t="shared" ca="1" si="69"/>
        <v>0</v>
      </c>
    </row>
    <row r="113" spans="2:16" x14ac:dyDescent="0.25">
      <c r="B113" s="322" t="s">
        <v>268</v>
      </c>
      <c r="C113" s="246"/>
      <c r="D113" s="220"/>
      <c r="E113" s="220"/>
      <c r="F113" s="138">
        <f>SUM(F110:F112)</f>
        <v>0</v>
      </c>
      <c r="G113" s="239">
        <f t="shared" ref="G113:P113" ca="1" si="70">SUM(G110:G112)</f>
        <v>0</v>
      </c>
      <c r="H113" s="239">
        <f t="shared" ca="1" si="70"/>
        <v>29841293.970302403</v>
      </c>
      <c r="I113" s="138">
        <f t="shared" ca="1" si="70"/>
        <v>0</v>
      </c>
      <c r="J113" s="239">
        <f t="shared" ca="1" si="70"/>
        <v>0</v>
      </c>
      <c r="K113" s="239">
        <f t="shared" ca="1" si="70"/>
        <v>48778847.971834503</v>
      </c>
      <c r="L113" s="239">
        <f t="shared" ca="1" si="70"/>
        <v>0</v>
      </c>
      <c r="M113" s="138">
        <f t="shared" ca="1" si="70"/>
        <v>0</v>
      </c>
      <c r="N113" s="239">
        <f t="shared" ca="1" si="70"/>
        <v>0</v>
      </c>
      <c r="O113" s="239">
        <f t="shared" ca="1" si="70"/>
        <v>75248632.817785352</v>
      </c>
      <c r="P113" s="138">
        <f t="shared" ca="1" si="70"/>
        <v>0</v>
      </c>
    </row>
    <row r="114" spans="2:16" x14ac:dyDescent="0.25">
      <c r="B114" s="104"/>
      <c r="C114" s="241"/>
      <c r="D114" s="220"/>
      <c r="E114" s="220"/>
      <c r="F114" s="291"/>
      <c r="G114" s="240"/>
      <c r="H114" s="240"/>
      <c r="I114" s="291"/>
      <c r="J114" s="240"/>
      <c r="K114" s="240"/>
      <c r="L114" s="240"/>
      <c r="M114" s="291"/>
      <c r="N114" s="240"/>
      <c r="O114" s="240"/>
      <c r="P114" s="291"/>
    </row>
    <row r="115" spans="2:16" x14ac:dyDescent="0.25">
      <c r="B115" s="323" t="s">
        <v>103</v>
      </c>
      <c r="C115" s="241" t="s">
        <v>37</v>
      </c>
      <c r="D115" s="220" t="s">
        <v>45</v>
      </c>
      <c r="E115" s="220"/>
      <c r="F115" s="291"/>
      <c r="G115" s="240"/>
      <c r="H115" s="240"/>
      <c r="I115" s="291"/>
      <c r="J115" s="240"/>
      <c r="K115" s="240"/>
      <c r="L115" s="240"/>
      <c r="M115" s="291"/>
      <c r="N115" s="240"/>
      <c r="O115" s="240"/>
      <c r="P115" s="291"/>
    </row>
    <row r="116" spans="2:16" x14ac:dyDescent="0.25">
      <c r="B116" s="322" t="s">
        <v>30</v>
      </c>
      <c r="C116" s="247">
        <f>Costs!F35</f>
        <v>275</v>
      </c>
      <c r="D116" s="220"/>
      <c r="E116" s="220"/>
      <c r="F116" s="138">
        <f t="shared" ref="F116:P116" si="71">$C$116*SUM(F55,F43,F31,F67)</f>
        <v>0</v>
      </c>
      <c r="G116" s="239">
        <f t="shared" ca="1" si="71"/>
        <v>8172725</v>
      </c>
      <c r="H116" s="239">
        <f t="shared" ca="1" si="71"/>
        <v>8172725</v>
      </c>
      <c r="I116" s="138">
        <f t="shared" ca="1" si="71"/>
        <v>0</v>
      </c>
      <c r="J116" s="239">
        <f t="shared" ca="1" si="71"/>
        <v>4299900.0000000009</v>
      </c>
      <c r="K116" s="239">
        <f t="shared" ca="1" si="71"/>
        <v>4299900.0000000009</v>
      </c>
      <c r="L116" s="239">
        <f t="shared" ca="1" si="71"/>
        <v>0</v>
      </c>
      <c r="M116" s="138">
        <f t="shared" ca="1" si="71"/>
        <v>0</v>
      </c>
      <c r="N116" s="239">
        <f t="shared" ca="1" si="71"/>
        <v>17941000</v>
      </c>
      <c r="O116" s="239">
        <f t="shared" ca="1" si="71"/>
        <v>17941000</v>
      </c>
      <c r="P116" s="138">
        <f t="shared" ca="1" si="71"/>
        <v>0</v>
      </c>
    </row>
    <row r="117" spans="2:16" x14ac:dyDescent="0.25">
      <c r="B117" s="347" t="s">
        <v>36</v>
      </c>
      <c r="C117" s="524">
        <f>Costs!F52</f>
        <v>55.000000000000007</v>
      </c>
      <c r="D117" s="56"/>
      <c r="E117" s="56"/>
      <c r="F117" s="299">
        <f t="shared" ref="F117:P117" si="72">$C$117*SUM(F55,F43,F31,F67)</f>
        <v>0</v>
      </c>
      <c r="G117" s="143">
        <f t="shared" ca="1" si="72"/>
        <v>1634545.0000000002</v>
      </c>
      <c r="H117" s="143">
        <f t="shared" ca="1" si="72"/>
        <v>1634545.0000000002</v>
      </c>
      <c r="I117" s="299">
        <f t="shared" ca="1" si="72"/>
        <v>0</v>
      </c>
      <c r="J117" s="143">
        <f t="shared" ca="1" si="72"/>
        <v>859980.00000000023</v>
      </c>
      <c r="K117" s="143">
        <f t="shared" ca="1" si="72"/>
        <v>859980.00000000023</v>
      </c>
      <c r="L117" s="143">
        <f t="shared" ca="1" si="72"/>
        <v>0</v>
      </c>
      <c r="M117" s="299">
        <f t="shared" ca="1" si="72"/>
        <v>0</v>
      </c>
      <c r="N117" s="143">
        <f t="shared" ca="1" si="72"/>
        <v>3588200.0000000005</v>
      </c>
      <c r="O117" s="143">
        <f t="shared" ca="1" si="72"/>
        <v>3588200.0000000005</v>
      </c>
      <c r="P117" s="299">
        <f t="shared" ca="1" si="72"/>
        <v>0</v>
      </c>
    </row>
    <row r="118" spans="2:16" x14ac:dyDescent="0.25">
      <c r="B118" s="323" t="s">
        <v>104</v>
      </c>
      <c r="C118" s="220"/>
      <c r="D118" s="220"/>
      <c r="E118" s="220"/>
      <c r="F118" s="138">
        <f t="shared" ref="F118:P118" si="73">SUM(F116:F117)</f>
        <v>0</v>
      </c>
      <c r="G118" s="239">
        <f t="shared" ca="1" si="73"/>
        <v>9807270</v>
      </c>
      <c r="H118" s="239">
        <f t="shared" ca="1" si="73"/>
        <v>9807270</v>
      </c>
      <c r="I118" s="138">
        <f t="shared" ca="1" si="73"/>
        <v>0</v>
      </c>
      <c r="J118" s="239">
        <f t="shared" ca="1" si="73"/>
        <v>5159880.0000000009</v>
      </c>
      <c r="K118" s="239">
        <f t="shared" ca="1" si="73"/>
        <v>5159880.0000000009</v>
      </c>
      <c r="L118" s="239">
        <f t="shared" ca="1" si="73"/>
        <v>0</v>
      </c>
      <c r="M118" s="138">
        <f t="shared" ca="1" si="73"/>
        <v>0</v>
      </c>
      <c r="N118" s="239">
        <f t="shared" ca="1" si="73"/>
        <v>21529200</v>
      </c>
      <c r="O118" s="239">
        <f t="shared" ca="1" si="73"/>
        <v>21529200</v>
      </c>
      <c r="P118" s="138">
        <f t="shared" ca="1" si="73"/>
        <v>0</v>
      </c>
    </row>
    <row r="119" spans="2:16" x14ac:dyDescent="0.25">
      <c r="B119" s="104"/>
      <c r="C119" s="220"/>
      <c r="D119" s="220"/>
      <c r="E119" s="220"/>
      <c r="F119" s="291"/>
      <c r="G119" s="240"/>
      <c r="H119" s="240"/>
      <c r="I119" s="291"/>
      <c r="J119" s="240"/>
      <c r="K119" s="240"/>
      <c r="L119" s="240"/>
      <c r="M119" s="291"/>
      <c r="N119" s="240"/>
      <c r="O119" s="240"/>
      <c r="P119" s="291"/>
    </row>
    <row r="120" spans="2:16" x14ac:dyDescent="0.25">
      <c r="B120" s="48" t="s">
        <v>202</v>
      </c>
      <c r="C120" s="79"/>
      <c r="D120" s="79"/>
      <c r="E120" s="79"/>
      <c r="F120" s="156">
        <f t="shared" ref="F120:P120" si="74">-F118+F110+F111</f>
        <v>0</v>
      </c>
      <c r="G120" s="142">
        <f t="shared" ca="1" si="74"/>
        <v>-9807270</v>
      </c>
      <c r="H120" s="142">
        <f t="shared" ca="1" si="74"/>
        <v>20662261.738098241</v>
      </c>
      <c r="I120" s="156">
        <f t="shared" ca="1" si="74"/>
        <v>0</v>
      </c>
      <c r="J120" s="142">
        <f t="shared" ca="1" si="74"/>
        <v>-5159880.0000000009</v>
      </c>
      <c r="K120" s="142">
        <f t="shared" ca="1" si="74"/>
        <v>44645891.087031022</v>
      </c>
      <c r="L120" s="142">
        <f t="shared" ca="1" si="74"/>
        <v>0</v>
      </c>
      <c r="M120" s="156">
        <f t="shared" ca="1" si="74"/>
        <v>0</v>
      </c>
      <c r="N120" s="142">
        <f t="shared" ca="1" si="74"/>
        <v>-21529200</v>
      </c>
      <c r="O120" s="142">
        <f t="shared" ca="1" si="74"/>
        <v>55303614.561317675</v>
      </c>
      <c r="P120" s="156">
        <f t="shared" ca="1" si="74"/>
        <v>0</v>
      </c>
    </row>
    <row r="121" spans="2:16" x14ac:dyDescent="0.25">
      <c r="C121" s="121"/>
      <c r="D121" s="121"/>
      <c r="E121" s="121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</row>
    <row r="122" spans="2:16" x14ac:dyDescent="0.25">
      <c r="B122" s="50" t="s">
        <v>130</v>
      </c>
      <c r="C122" s="135">
        <f ca="1">SUM(F120:P120)</f>
        <v>84115417.386446938</v>
      </c>
      <c r="D122" s="121"/>
      <c r="E122" s="121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</row>
    <row r="123" spans="2:16" x14ac:dyDescent="0.25">
      <c r="B123" s="104" t="s">
        <v>228</v>
      </c>
      <c r="C123" s="138">
        <f ca="1">SUM(F118:P118)</f>
        <v>72992700</v>
      </c>
      <c r="D123" s="121"/>
      <c r="E123" s="121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</row>
    <row r="124" spans="2:16" x14ac:dyDescent="0.25">
      <c r="B124" s="104" t="s">
        <v>202</v>
      </c>
      <c r="C124" s="136">
        <f ca="1">IRR(F120:P120)</f>
        <v>1.3598733826647926</v>
      </c>
      <c r="D124" s="121"/>
      <c r="E124" s="121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</row>
    <row r="125" spans="2:16" x14ac:dyDescent="0.25">
      <c r="B125" s="51" t="s">
        <v>201</v>
      </c>
      <c r="C125" s="137">
        <f ca="1">C122/C123</f>
        <v>1.1523812297181353</v>
      </c>
      <c r="D125" s="121"/>
      <c r="E125" s="121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</row>
    <row r="126" spans="2:16" x14ac:dyDescent="0.25">
      <c r="C126" s="121"/>
      <c r="D126" s="121"/>
      <c r="E126" s="121"/>
    </row>
    <row r="127" spans="2:16" x14ac:dyDescent="0.25">
      <c r="C127" s="121"/>
      <c r="D127" s="121"/>
      <c r="E127" s="121"/>
    </row>
    <row r="128" spans="2:16" x14ac:dyDescent="0.25">
      <c r="C128" s="121"/>
      <c r="D128" s="121"/>
      <c r="E128" s="121"/>
    </row>
    <row r="129" spans="3:5" x14ac:dyDescent="0.25">
      <c r="C129" s="121"/>
      <c r="D129" s="121"/>
      <c r="E129" s="121"/>
    </row>
    <row r="130" spans="3:5" x14ac:dyDescent="0.25">
      <c r="C130" s="121"/>
      <c r="D130" s="121"/>
      <c r="E130" s="121"/>
    </row>
    <row r="131" spans="3:5" x14ac:dyDescent="0.25">
      <c r="C131" s="121"/>
      <c r="D131" s="121"/>
      <c r="E131" s="121"/>
    </row>
    <row r="132" spans="3:5" x14ac:dyDescent="0.25">
      <c r="C132" s="121"/>
      <c r="D132" s="121"/>
      <c r="E132" s="121"/>
    </row>
    <row r="133" spans="3:5" x14ac:dyDescent="0.25">
      <c r="C133" s="121"/>
      <c r="D133" s="121"/>
      <c r="E133" s="121"/>
    </row>
    <row r="134" spans="3:5" x14ac:dyDescent="0.25">
      <c r="C134" s="121"/>
      <c r="D134" s="121"/>
      <c r="E134" s="121"/>
    </row>
    <row r="135" spans="3:5" x14ac:dyDescent="0.25">
      <c r="C135" s="121"/>
      <c r="D135" s="121"/>
      <c r="E135" s="121"/>
    </row>
  </sheetData>
  <mergeCells count="2">
    <mergeCell ref="F24:P24"/>
    <mergeCell ref="B6:E22"/>
  </mergeCells>
  <conditionalFormatting sqref="B91:B97 D30:P39 B29:B39 A23:A117 Q23:Q117 D91:P97 B42:B51 D42:P43 B54:B63 B66 B125:P126 C124:P124 B98:P123">
    <cfRule type="cellIs" dxfId="295" priority="44" operator="lessThan">
      <formula>0</formula>
    </cfRule>
  </conditionalFormatting>
  <conditionalFormatting sqref="E29:P29 B24:P28 D51:P51 D66:P66 D63:F63 H63:P63 D54:P55">
    <cfRule type="cellIs" dxfId="294" priority="43" operator="lessThan">
      <formula>0</formula>
    </cfRule>
  </conditionalFormatting>
  <conditionalFormatting sqref="D44:E50">
    <cfRule type="cellIs" dxfId="293" priority="41" operator="lessThan">
      <formula>0</formula>
    </cfRule>
  </conditionalFormatting>
  <conditionalFormatting sqref="D56:E62">
    <cfRule type="cellIs" dxfId="292" priority="40" operator="lessThan">
      <formula>0</formula>
    </cfRule>
  </conditionalFormatting>
  <conditionalFormatting sqref="B67:B74 B90">
    <cfRule type="cellIs" dxfId="291" priority="35" operator="lessThan">
      <formula>0</formula>
    </cfRule>
  </conditionalFormatting>
  <conditionalFormatting sqref="D90:P90 D67:P67 D75:I75 M75:P75 M78:P78 D78:I78">
    <cfRule type="cellIs" dxfId="290" priority="34" operator="lessThan">
      <formula>0</formula>
    </cfRule>
  </conditionalFormatting>
  <conditionalFormatting sqref="D68:E74">
    <cfRule type="cellIs" dxfId="289" priority="33" operator="lessThan">
      <formula>0</formula>
    </cfRule>
  </conditionalFormatting>
  <conditionalFormatting sqref="J75:L75 J78:L78">
    <cfRule type="cellIs" dxfId="288" priority="32" operator="lessThan">
      <formula>0</formula>
    </cfRule>
  </conditionalFormatting>
  <conditionalFormatting sqref="F68:P74">
    <cfRule type="cellIs" dxfId="287" priority="24" operator="lessThan">
      <formula>0</formula>
    </cfRule>
  </conditionalFormatting>
  <conditionalFormatting sqref="F44:P50">
    <cfRule type="cellIs" dxfId="286" priority="26" operator="lessThan">
      <formula>0</formula>
    </cfRule>
  </conditionalFormatting>
  <conditionalFormatting sqref="G63 F56:F62">
    <cfRule type="cellIs" dxfId="285" priority="25" operator="lessThan">
      <formula>0</formula>
    </cfRule>
  </conditionalFormatting>
  <conditionalFormatting sqref="C31">
    <cfRule type="cellIs" dxfId="284" priority="22" operator="lessThan">
      <formula>0</formula>
    </cfRule>
  </conditionalFormatting>
  <conditionalFormatting sqref="B75 B78">
    <cfRule type="cellIs" dxfId="283" priority="21" operator="lessThan">
      <formula>0</formula>
    </cfRule>
  </conditionalFormatting>
  <conditionalFormatting sqref="G56:P62">
    <cfRule type="cellIs" dxfId="282" priority="19" operator="lessThan">
      <formula>0</formula>
    </cfRule>
  </conditionalFormatting>
  <conditionalFormatting sqref="B79:B86">
    <cfRule type="cellIs" dxfId="281" priority="18" operator="lessThan">
      <formula>0</formula>
    </cfRule>
  </conditionalFormatting>
  <conditionalFormatting sqref="D87:I87 M87:P87 D79:P79">
    <cfRule type="cellIs" dxfId="280" priority="17" operator="lessThan">
      <formula>0</formula>
    </cfRule>
  </conditionalFormatting>
  <conditionalFormatting sqref="D80:E86">
    <cfRule type="cellIs" dxfId="279" priority="16" operator="lessThan">
      <formula>0</formula>
    </cfRule>
  </conditionalFormatting>
  <conditionalFormatting sqref="J87:L87">
    <cfRule type="cellIs" dxfId="278" priority="15" operator="lessThan">
      <formula>0</formula>
    </cfRule>
  </conditionalFormatting>
  <conditionalFormatting sqref="F80:P86">
    <cfRule type="cellIs" dxfId="277" priority="14" operator="lessThan">
      <formula>0</formula>
    </cfRule>
  </conditionalFormatting>
  <conditionalFormatting sqref="B87">
    <cfRule type="cellIs" dxfId="276" priority="13" operator="lessThan">
      <formula>0</formula>
    </cfRule>
  </conditionalFormatting>
  <conditionalFormatting sqref="B40:B41 D40:F41">
    <cfRule type="cellIs" dxfId="275" priority="12" operator="lessThan">
      <formula>0</formula>
    </cfRule>
  </conditionalFormatting>
  <conditionalFormatting sqref="B52:B53 D52:F53">
    <cfRule type="cellIs" dxfId="274" priority="11" operator="lessThan">
      <formula>0</formula>
    </cfRule>
  </conditionalFormatting>
  <conditionalFormatting sqref="B64:B65 D64:F65">
    <cfRule type="cellIs" dxfId="273" priority="10" operator="lessThan">
      <formula>0</formula>
    </cfRule>
  </conditionalFormatting>
  <conditionalFormatting sqref="B76:B77 D76:F77">
    <cfRule type="cellIs" dxfId="272" priority="9" operator="lessThan">
      <formula>0</formula>
    </cfRule>
  </conditionalFormatting>
  <conditionalFormatting sqref="B88:B89 D88:F89">
    <cfRule type="cellIs" dxfId="271" priority="8" operator="lessThan">
      <formula>0</formula>
    </cfRule>
  </conditionalFormatting>
  <conditionalFormatting sqref="G40:P41">
    <cfRule type="cellIs" dxfId="270" priority="7" operator="lessThan">
      <formula>0</formula>
    </cfRule>
  </conditionalFormatting>
  <conditionalFormatting sqref="G52:P53">
    <cfRule type="cellIs" dxfId="269" priority="6" operator="lessThan">
      <formula>0</formula>
    </cfRule>
  </conditionalFormatting>
  <conditionalFormatting sqref="G64:P65">
    <cfRule type="cellIs" dxfId="268" priority="5" operator="lessThan">
      <formula>0</formula>
    </cfRule>
  </conditionalFormatting>
  <conditionalFormatting sqref="G76:P77">
    <cfRule type="cellIs" dxfId="267" priority="4" operator="lessThan">
      <formula>0</formula>
    </cfRule>
  </conditionalFormatting>
  <conditionalFormatting sqref="G88:P89">
    <cfRule type="cellIs" dxfId="266" priority="3" operator="lessThan">
      <formula>0</formula>
    </cfRule>
  </conditionalFormatting>
  <conditionalFormatting sqref="B124">
    <cfRule type="cellIs" dxfId="265" priority="2" operator="lessThan">
      <formula>0</formula>
    </cfRule>
  </conditionalFormatting>
  <conditionalFormatting sqref="B3">
    <cfRule type="cellIs" dxfId="264" priority="1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</sheetPr>
  <dimension ref="B2:Q82"/>
  <sheetViews>
    <sheetView showGridLines="0" zoomScale="70" zoomScaleNormal="70" workbookViewId="0">
      <pane xSplit="5" topLeftCell="F1" activePane="topRight" state="frozen"/>
      <selection pane="topRight" activeCell="H14" sqref="H14"/>
    </sheetView>
  </sheetViews>
  <sheetFormatPr defaultRowHeight="15" x14ac:dyDescent="0.25"/>
  <cols>
    <col min="2" max="2" width="39.85546875" customWidth="1"/>
    <col min="3" max="3" width="15.140625" bestFit="1" customWidth="1"/>
    <col min="4" max="4" width="11.140625" customWidth="1"/>
    <col min="6" max="6" width="26" customWidth="1"/>
    <col min="7" max="16" width="16.5703125" customWidth="1"/>
  </cols>
  <sheetData>
    <row r="2" spans="2:16" ht="18.75" x14ac:dyDescent="0.3">
      <c r="B2" s="8" t="s">
        <v>154</v>
      </c>
    </row>
    <row r="3" spans="2:16" x14ac:dyDescent="0.25">
      <c r="B3" t="s">
        <v>611</v>
      </c>
    </row>
    <row r="5" spans="2:16" x14ac:dyDescent="0.25">
      <c r="B5" s="855" t="s">
        <v>112</v>
      </c>
      <c r="C5" s="855"/>
      <c r="D5" s="855"/>
      <c r="E5" s="855"/>
      <c r="F5" s="45" t="s">
        <v>107</v>
      </c>
      <c r="G5" s="44"/>
      <c r="H5" s="44"/>
      <c r="I5" s="45" t="s">
        <v>110</v>
      </c>
      <c r="J5" s="46"/>
      <c r="K5" s="46"/>
      <c r="L5" s="44"/>
      <c r="M5" s="45"/>
      <c r="N5" s="44"/>
      <c r="O5" s="44"/>
      <c r="P5" s="44"/>
    </row>
    <row r="6" spans="2:16" x14ac:dyDescent="0.25">
      <c r="B6" s="855"/>
      <c r="C6" s="855"/>
      <c r="D6" s="855"/>
      <c r="E6" s="855"/>
      <c r="F6" s="44" t="s">
        <v>108</v>
      </c>
      <c r="G6" s="57">
        <f ca="1">Costs!G9</f>
        <v>359625</v>
      </c>
      <c r="H6" s="44"/>
      <c r="I6" s="44" t="s">
        <v>590</v>
      </c>
      <c r="J6" s="44"/>
      <c r="K6" s="86">
        <v>18</v>
      </c>
      <c r="L6" s="44"/>
      <c r="M6" s="44"/>
      <c r="N6" s="47"/>
      <c r="O6" s="44"/>
      <c r="P6" s="44"/>
    </row>
    <row r="7" spans="2:16" x14ac:dyDescent="0.25">
      <c r="B7" s="855"/>
      <c r="C7" s="855"/>
      <c r="D7" s="855"/>
      <c r="E7" s="855"/>
      <c r="F7" s="44" t="s">
        <v>126</v>
      </c>
      <c r="G7" s="57">
        <f ca="1">G6*G8</f>
        <v>323662.5</v>
      </c>
      <c r="H7" s="44"/>
      <c r="I7" s="44" t="s">
        <v>591</v>
      </c>
      <c r="J7" s="44"/>
      <c r="K7" s="117">
        <f>K6/12</f>
        <v>1.5</v>
      </c>
      <c r="L7" s="44"/>
      <c r="M7" s="44"/>
      <c r="N7" s="85"/>
      <c r="O7" s="44"/>
      <c r="P7" s="44"/>
    </row>
    <row r="8" spans="2:16" x14ac:dyDescent="0.25">
      <c r="B8" s="855"/>
      <c r="C8" s="855"/>
      <c r="D8" s="855"/>
      <c r="E8" s="855"/>
      <c r="F8" s="44" t="s">
        <v>109</v>
      </c>
      <c r="G8" s="47">
        <v>0.9</v>
      </c>
      <c r="H8" s="44"/>
      <c r="I8" s="44" t="s">
        <v>589</v>
      </c>
      <c r="J8" s="44"/>
      <c r="K8" s="86">
        <v>10</v>
      </c>
      <c r="L8" s="44"/>
      <c r="M8" s="44"/>
      <c r="N8" s="47"/>
      <c r="O8" s="44"/>
      <c r="P8" s="44"/>
    </row>
    <row r="9" spans="2:16" x14ac:dyDescent="0.25">
      <c r="B9" s="855"/>
      <c r="C9" s="855"/>
      <c r="D9" s="855"/>
      <c r="E9" s="855"/>
      <c r="F9" s="44" t="s">
        <v>311</v>
      </c>
      <c r="G9" s="812">
        <v>0.9</v>
      </c>
      <c r="H9" s="44"/>
      <c r="I9" s="44" t="s">
        <v>593</v>
      </c>
      <c r="J9" s="44"/>
      <c r="K9" s="86">
        <v>30</v>
      </c>
      <c r="L9" s="44"/>
      <c r="M9" s="44"/>
      <c r="N9" s="52"/>
      <c r="O9" s="44"/>
      <c r="P9" s="44"/>
    </row>
    <row r="10" spans="2:16" x14ac:dyDescent="0.25">
      <c r="B10" s="855"/>
      <c r="C10" s="855"/>
      <c r="D10" s="855"/>
      <c r="E10" s="855"/>
      <c r="F10" s="44" t="s">
        <v>312</v>
      </c>
      <c r="G10" s="812">
        <v>0.1</v>
      </c>
      <c r="H10" s="44"/>
      <c r="I10" s="44" t="s">
        <v>592</v>
      </c>
      <c r="J10" s="44"/>
      <c r="K10" s="117">
        <f>K9/12</f>
        <v>2.5</v>
      </c>
      <c r="L10" s="44"/>
      <c r="M10" s="44"/>
      <c r="N10" s="120"/>
      <c r="O10" s="44"/>
      <c r="P10" s="44"/>
    </row>
    <row r="11" spans="2:16" x14ac:dyDescent="0.25">
      <c r="B11" s="855"/>
      <c r="C11" s="855"/>
      <c r="D11" s="855"/>
      <c r="E11" s="855"/>
      <c r="F11" s="44" t="s">
        <v>313</v>
      </c>
      <c r="G11" s="812">
        <v>0.9</v>
      </c>
      <c r="H11" s="44"/>
      <c r="I11" s="44" t="s">
        <v>402</v>
      </c>
      <c r="J11" s="44"/>
      <c r="K11" s="86">
        <v>20</v>
      </c>
      <c r="L11" s="44"/>
      <c r="M11" s="44"/>
      <c r="N11" s="120"/>
      <c r="O11" s="44"/>
      <c r="P11" s="44"/>
    </row>
    <row r="12" spans="2:16" x14ac:dyDescent="0.25">
      <c r="B12" s="855"/>
      <c r="C12" s="855"/>
      <c r="D12" s="855"/>
      <c r="E12" s="855"/>
      <c r="F12" s="44" t="s">
        <v>314</v>
      </c>
      <c r="G12" s="812">
        <v>0.1</v>
      </c>
      <c r="H12" s="44"/>
      <c r="I12" s="44"/>
      <c r="J12" s="44"/>
      <c r="K12" s="44"/>
      <c r="L12" s="44"/>
      <c r="M12" s="44"/>
      <c r="N12" s="44"/>
      <c r="O12" s="44"/>
      <c r="P12" s="44"/>
    </row>
    <row r="13" spans="2:16" x14ac:dyDescent="0.25">
      <c r="B13" s="855"/>
      <c r="C13" s="855"/>
      <c r="D13" s="855"/>
      <c r="E13" s="855"/>
      <c r="F13" s="44"/>
      <c r="G13" s="44"/>
      <c r="H13" s="44"/>
      <c r="I13" s="45" t="s">
        <v>124</v>
      </c>
      <c r="J13" s="44"/>
      <c r="K13" s="44"/>
      <c r="L13" s="44"/>
      <c r="M13" s="45"/>
      <c r="N13" s="44"/>
      <c r="O13" s="44"/>
      <c r="P13" s="44"/>
    </row>
    <row r="14" spans="2:16" x14ac:dyDescent="0.25">
      <c r="B14" s="855"/>
      <c r="C14" s="855"/>
      <c r="D14" s="855"/>
      <c r="E14" s="855"/>
      <c r="F14" s="45" t="s">
        <v>111</v>
      </c>
      <c r="G14" s="44"/>
      <c r="H14" s="44"/>
      <c r="I14" s="44" t="s">
        <v>55</v>
      </c>
      <c r="J14" s="52"/>
      <c r="K14" s="47">
        <v>0.15</v>
      </c>
      <c r="L14" s="44"/>
      <c r="M14" s="44"/>
      <c r="N14" s="44"/>
      <c r="O14" s="44"/>
      <c r="P14" s="44"/>
    </row>
    <row r="15" spans="2:16" x14ac:dyDescent="0.25">
      <c r="B15" s="855"/>
      <c r="C15" s="855"/>
      <c r="D15" s="855"/>
      <c r="E15" s="855"/>
      <c r="F15" s="44" t="s">
        <v>113</v>
      </c>
      <c r="G15" s="47">
        <v>0.03</v>
      </c>
      <c r="H15" s="44"/>
      <c r="I15" s="44" t="s">
        <v>56</v>
      </c>
      <c r="J15" s="52"/>
      <c r="K15" s="47">
        <v>0.03</v>
      </c>
      <c r="L15" s="44"/>
      <c r="M15" s="44"/>
      <c r="N15" s="44"/>
      <c r="O15" s="44"/>
      <c r="P15" s="44"/>
    </row>
    <row r="16" spans="2:16" x14ac:dyDescent="0.25">
      <c r="B16" s="855"/>
      <c r="C16" s="855"/>
      <c r="D16" s="855"/>
      <c r="E16" s="855"/>
      <c r="F16" s="44" t="s">
        <v>46</v>
      </c>
      <c r="G16" s="47">
        <v>0.03</v>
      </c>
      <c r="H16" s="44"/>
      <c r="I16" s="44" t="s">
        <v>125</v>
      </c>
      <c r="J16" s="52"/>
      <c r="K16" s="47">
        <v>0.02</v>
      </c>
      <c r="L16" s="44"/>
      <c r="M16" s="44"/>
      <c r="N16" s="44"/>
      <c r="O16" s="44"/>
      <c r="P16" s="44"/>
    </row>
    <row r="17" spans="2:17" x14ac:dyDescent="0.25">
      <c r="B17" s="855"/>
      <c r="C17" s="855"/>
      <c r="D17" s="855"/>
      <c r="E17" s="855"/>
      <c r="F17" s="44" t="s">
        <v>170</v>
      </c>
      <c r="G17" s="47">
        <v>0.02</v>
      </c>
      <c r="H17" s="44"/>
      <c r="I17" s="44" t="s">
        <v>171</v>
      </c>
      <c r="J17" s="52"/>
      <c r="K17" s="47">
        <v>0.02</v>
      </c>
      <c r="L17" s="44"/>
      <c r="M17" s="44"/>
      <c r="N17" s="44"/>
      <c r="O17" s="44"/>
      <c r="P17" s="44"/>
    </row>
    <row r="18" spans="2:17" x14ac:dyDescent="0.25">
      <c r="B18" s="855"/>
      <c r="C18" s="855"/>
      <c r="D18" s="855"/>
      <c r="E18" s="855"/>
      <c r="F18" s="44" t="s">
        <v>253</v>
      </c>
      <c r="G18" s="47">
        <v>0.85</v>
      </c>
      <c r="H18" s="44"/>
      <c r="I18" s="44" t="s">
        <v>252</v>
      </c>
      <c r="J18" s="44"/>
      <c r="K18" s="47">
        <v>0</v>
      </c>
      <c r="L18" s="44"/>
      <c r="M18" s="44"/>
      <c r="N18" s="44"/>
      <c r="O18" s="44"/>
      <c r="P18" s="44"/>
    </row>
    <row r="19" spans="2:17" x14ac:dyDescent="0.25">
      <c r="B19" s="855"/>
      <c r="C19" s="855"/>
      <c r="D19" s="855"/>
      <c r="E19" s="855"/>
      <c r="F19" s="44" t="s">
        <v>254</v>
      </c>
      <c r="G19" s="47">
        <v>0.95</v>
      </c>
      <c r="H19" s="44"/>
      <c r="I19" s="44"/>
      <c r="J19" s="44"/>
      <c r="K19" s="44"/>
      <c r="L19" s="44"/>
      <c r="M19" s="44"/>
      <c r="N19" s="44"/>
      <c r="O19" s="44"/>
      <c r="P19" s="44"/>
    </row>
    <row r="20" spans="2:17" x14ac:dyDescent="0.25">
      <c r="B20" s="855"/>
      <c r="C20" s="855"/>
      <c r="D20" s="855"/>
      <c r="E20" s="855"/>
      <c r="F20" s="44" t="s">
        <v>255</v>
      </c>
      <c r="G20" s="47">
        <v>0.85</v>
      </c>
      <c r="H20" s="44"/>
      <c r="I20" s="44"/>
      <c r="J20" s="44"/>
      <c r="K20" s="44"/>
      <c r="L20" s="44"/>
      <c r="M20" s="44"/>
      <c r="N20" s="44"/>
      <c r="O20" s="44"/>
      <c r="P20" s="44"/>
    </row>
    <row r="21" spans="2:17" x14ac:dyDescent="0.25">
      <c r="B21" s="855"/>
      <c r="C21" s="855"/>
      <c r="D21" s="855"/>
      <c r="E21" s="855"/>
      <c r="F21" s="44" t="s">
        <v>117</v>
      </c>
      <c r="G21" s="833">
        <v>7.1999999999999995E-2</v>
      </c>
      <c r="H21" s="44"/>
      <c r="I21" s="44"/>
      <c r="J21" s="44"/>
      <c r="K21" s="44"/>
      <c r="L21" s="44"/>
      <c r="M21" s="44"/>
      <c r="N21" s="44"/>
      <c r="O21" s="44"/>
      <c r="P21" s="44"/>
    </row>
    <row r="22" spans="2:17" x14ac:dyDescent="0.25">
      <c r="B22" s="855"/>
      <c r="C22" s="855"/>
      <c r="D22" s="855"/>
      <c r="E22" s="855"/>
      <c r="F22" s="44" t="s">
        <v>118</v>
      </c>
      <c r="G22" s="834">
        <v>7.0000000000000007E-2</v>
      </c>
      <c r="H22" s="44"/>
      <c r="I22" s="44"/>
      <c r="J22" s="44"/>
      <c r="K22" s="44"/>
      <c r="L22" s="44"/>
      <c r="M22" s="44"/>
      <c r="N22" s="44"/>
      <c r="O22" s="44"/>
      <c r="P22" s="44"/>
    </row>
    <row r="23" spans="2:17" x14ac:dyDescent="0.25">
      <c r="B23" s="855"/>
      <c r="C23" s="855"/>
      <c r="D23" s="855"/>
      <c r="E23" s="855"/>
      <c r="F23" s="44" t="s">
        <v>43</v>
      </c>
      <c r="G23" s="52">
        <v>10</v>
      </c>
      <c r="H23" s="44" t="s">
        <v>44</v>
      </c>
      <c r="I23" s="44"/>
      <c r="J23" s="44"/>
      <c r="K23" s="47"/>
      <c r="L23" s="44"/>
      <c r="M23" s="44"/>
      <c r="N23" s="44"/>
      <c r="O23" s="44"/>
      <c r="P23" s="44"/>
    </row>
    <row r="24" spans="2:17" x14ac:dyDescent="0.25">
      <c r="B24" s="855"/>
      <c r="C24" s="855"/>
      <c r="D24" s="855"/>
      <c r="E24" s="855"/>
      <c r="F24" s="44" t="s">
        <v>119</v>
      </c>
      <c r="G24" s="47">
        <v>0.02</v>
      </c>
      <c r="H24" s="44"/>
      <c r="I24" s="44"/>
      <c r="J24" s="44"/>
      <c r="K24" s="44"/>
      <c r="L24" s="44"/>
      <c r="M24" s="44"/>
      <c r="N24" s="44"/>
      <c r="O24" s="44"/>
      <c r="P24" s="44"/>
    </row>
    <row r="25" spans="2:17" x14ac:dyDescent="0.25">
      <c r="B25" s="855"/>
      <c r="C25" s="855"/>
      <c r="D25" s="855"/>
      <c r="E25" s="855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</row>
    <row r="27" spans="2:17" x14ac:dyDescent="0.25">
      <c r="C27" s="121"/>
      <c r="D27" s="121"/>
      <c r="F27" s="853" t="s">
        <v>49</v>
      </c>
      <c r="G27" s="853"/>
      <c r="H27" s="853"/>
      <c r="I27" s="853"/>
      <c r="J27" s="853"/>
      <c r="K27" s="853"/>
      <c r="L27" s="853"/>
      <c r="M27" s="853"/>
      <c r="N27" s="853"/>
      <c r="O27" s="853"/>
      <c r="P27" s="853"/>
    </row>
    <row r="28" spans="2:17" x14ac:dyDescent="0.25">
      <c r="C28" s="121"/>
      <c r="D28" s="121"/>
      <c r="F28" s="272" t="s">
        <v>105</v>
      </c>
      <c r="G28" s="311" t="s">
        <v>28</v>
      </c>
      <c r="H28" s="311" t="s">
        <v>28</v>
      </c>
      <c r="I28" s="312" t="s">
        <v>28</v>
      </c>
      <c r="J28" s="313" t="s">
        <v>47</v>
      </c>
      <c r="K28" s="313" t="s">
        <v>47</v>
      </c>
      <c r="L28" s="313" t="s">
        <v>47</v>
      </c>
      <c r="M28" s="314" t="s">
        <v>47</v>
      </c>
      <c r="N28" s="315" t="s">
        <v>48</v>
      </c>
      <c r="O28" s="315" t="s">
        <v>48</v>
      </c>
      <c r="P28" s="316" t="s">
        <v>48</v>
      </c>
    </row>
    <row r="29" spans="2:17" x14ac:dyDescent="0.25">
      <c r="B29" s="317"/>
      <c r="C29" s="318"/>
      <c r="D29" s="318"/>
      <c r="E29" s="367"/>
      <c r="F29" s="274">
        <v>0</v>
      </c>
      <c r="G29" s="320">
        <f>F29+1</f>
        <v>1</v>
      </c>
      <c r="H29" s="320">
        <f t="shared" ref="H29:P30" si="0">G29+1</f>
        <v>2</v>
      </c>
      <c r="I29" s="274">
        <f t="shared" si="0"/>
        <v>3</v>
      </c>
      <c r="J29" s="320">
        <f t="shared" si="0"/>
        <v>4</v>
      </c>
      <c r="K29" s="320">
        <f t="shared" si="0"/>
        <v>5</v>
      </c>
      <c r="L29" s="320">
        <f t="shared" si="0"/>
        <v>6</v>
      </c>
      <c r="M29" s="274">
        <f t="shared" si="0"/>
        <v>7</v>
      </c>
      <c r="N29" s="320">
        <f t="shared" si="0"/>
        <v>8</v>
      </c>
      <c r="O29" s="320">
        <f t="shared" si="0"/>
        <v>9</v>
      </c>
      <c r="P29" s="274">
        <f t="shared" si="0"/>
        <v>10</v>
      </c>
    </row>
    <row r="30" spans="2:17" x14ac:dyDescent="0.25">
      <c r="B30" s="321"/>
      <c r="C30" s="221"/>
      <c r="D30" s="221"/>
      <c r="E30" s="368"/>
      <c r="F30" s="278" t="s">
        <v>177</v>
      </c>
      <c r="G30" s="225">
        <v>2022</v>
      </c>
      <c r="H30" s="225">
        <f t="shared" si="0"/>
        <v>2023</v>
      </c>
      <c r="I30" s="278">
        <f t="shared" si="0"/>
        <v>2024</v>
      </c>
      <c r="J30" s="225">
        <f t="shared" si="0"/>
        <v>2025</v>
      </c>
      <c r="K30" s="225">
        <f t="shared" si="0"/>
        <v>2026</v>
      </c>
      <c r="L30" s="225">
        <f t="shared" si="0"/>
        <v>2027</v>
      </c>
      <c r="M30" s="278">
        <f t="shared" si="0"/>
        <v>2028</v>
      </c>
      <c r="N30" s="225">
        <f t="shared" si="0"/>
        <v>2029</v>
      </c>
      <c r="O30" s="225">
        <f t="shared" si="0"/>
        <v>2030</v>
      </c>
      <c r="P30" s="278">
        <f t="shared" si="0"/>
        <v>2031</v>
      </c>
    </row>
    <row r="31" spans="2:17" x14ac:dyDescent="0.25">
      <c r="B31" s="322"/>
      <c r="C31" s="123"/>
      <c r="D31" s="123"/>
      <c r="E31" s="369"/>
      <c r="F31" s="286"/>
      <c r="G31" s="226"/>
      <c r="H31" s="226"/>
      <c r="I31" s="286"/>
      <c r="J31" s="226"/>
      <c r="K31" s="226"/>
      <c r="L31" s="226"/>
      <c r="M31" s="286"/>
      <c r="N31" s="226"/>
      <c r="O31" s="226"/>
      <c r="P31" s="286"/>
      <c r="Q31" s="7"/>
    </row>
    <row r="32" spans="2:17" x14ac:dyDescent="0.25">
      <c r="B32" s="323" t="s">
        <v>135</v>
      </c>
      <c r="C32" s="76"/>
      <c r="D32" s="76"/>
      <c r="E32" s="370"/>
      <c r="F32" s="286"/>
      <c r="G32" s="226"/>
      <c r="H32" s="226"/>
      <c r="I32" s="286"/>
      <c r="J32" s="226"/>
      <c r="K32" s="226"/>
      <c r="L32" s="226"/>
      <c r="M32" s="286"/>
      <c r="N32" s="226"/>
      <c r="O32" s="226"/>
      <c r="P32" s="286"/>
      <c r="Q32" s="7"/>
    </row>
    <row r="33" spans="2:17" x14ac:dyDescent="0.25">
      <c r="B33" s="323"/>
      <c r="C33" s="201" t="s">
        <v>109</v>
      </c>
      <c r="D33" s="125" t="s">
        <v>283</v>
      </c>
      <c r="E33" s="370"/>
      <c r="F33" s="286"/>
      <c r="G33" s="226"/>
      <c r="H33" s="226"/>
      <c r="I33" s="286"/>
      <c r="J33" s="226"/>
      <c r="K33" s="226"/>
      <c r="L33" s="226"/>
      <c r="M33" s="286"/>
      <c r="N33" s="226"/>
      <c r="O33" s="226"/>
      <c r="P33" s="286"/>
      <c r="Q33" s="7"/>
    </row>
    <row r="34" spans="2:17" x14ac:dyDescent="0.25">
      <c r="B34" s="324" t="s">
        <v>305</v>
      </c>
      <c r="C34" s="326">
        <f>G8</f>
        <v>0.9</v>
      </c>
      <c r="D34" s="828">
        <f ca="1">SUM(F34:P34)*$C$34</f>
        <v>118071</v>
      </c>
      <c r="E34" s="303"/>
      <c r="F34" s="287">
        <f>SUM('Development Schedule'!E227:E228)</f>
        <v>0</v>
      </c>
      <c r="G34" s="229">
        <f ca="1">SUM('Development Schedule'!F227:F228)</f>
        <v>0</v>
      </c>
      <c r="H34" s="229">
        <f ca="1">SUM('Development Schedule'!G227:G228)</f>
        <v>0</v>
      </c>
      <c r="I34" s="287">
        <f ca="1">SUM('Development Schedule'!H227:H228)</f>
        <v>0</v>
      </c>
      <c r="J34" s="229">
        <f ca="1">SUM('Development Schedule'!I227:I228)</f>
        <v>0</v>
      </c>
      <c r="K34" s="229">
        <f ca="1">SUM('Development Schedule'!J227:J228)</f>
        <v>0</v>
      </c>
      <c r="L34" s="229">
        <f ca="1">SUM('Development Schedule'!K227:K228)</f>
        <v>0</v>
      </c>
      <c r="M34" s="287">
        <f ca="1">SUM('Development Schedule'!L227:L228)</f>
        <v>0</v>
      </c>
      <c r="N34" s="229">
        <f ca="1">SUM('Development Schedule'!M227:M228)</f>
        <v>65595</v>
      </c>
      <c r="O34" s="229">
        <f ca="1">SUM('Development Schedule'!N227:N228)</f>
        <v>65595</v>
      </c>
      <c r="P34" s="287">
        <f ca="1">SUM('Development Schedule'!O227:O228)</f>
        <v>0</v>
      </c>
      <c r="Q34" s="7"/>
    </row>
    <row r="35" spans="2:17" x14ac:dyDescent="0.25">
      <c r="B35" s="322" t="s">
        <v>306</v>
      </c>
      <c r="C35" s="237">
        <f>G9</f>
        <v>0.9</v>
      </c>
      <c r="D35" s="328"/>
      <c r="E35" s="301"/>
      <c r="F35" s="348">
        <f>($C$35*F34*$C$34)+E35</f>
        <v>0</v>
      </c>
      <c r="G35" s="233">
        <f t="shared" ref="G35:P35" ca="1" si="1">($C$35*G34*$C$34)+F35</f>
        <v>0</v>
      </c>
      <c r="H35" s="233">
        <f t="shared" ca="1" si="1"/>
        <v>0</v>
      </c>
      <c r="I35" s="348">
        <f t="shared" ca="1" si="1"/>
        <v>0</v>
      </c>
      <c r="J35" s="233">
        <f t="shared" ca="1" si="1"/>
        <v>0</v>
      </c>
      <c r="K35" s="233">
        <f t="shared" ca="1" si="1"/>
        <v>0</v>
      </c>
      <c r="L35" s="233">
        <f t="shared" ca="1" si="1"/>
        <v>0</v>
      </c>
      <c r="M35" s="348">
        <f t="shared" ca="1" si="1"/>
        <v>0</v>
      </c>
      <c r="N35" s="233">
        <f t="shared" ca="1" si="1"/>
        <v>53131.950000000004</v>
      </c>
      <c r="O35" s="233">
        <f t="shared" ca="1" si="1"/>
        <v>106263.90000000001</v>
      </c>
      <c r="P35" s="348">
        <f t="shared" ca="1" si="1"/>
        <v>106263.90000000001</v>
      </c>
      <c r="Q35" s="7"/>
    </row>
    <row r="36" spans="2:17" x14ac:dyDescent="0.25">
      <c r="B36" s="322" t="s">
        <v>192</v>
      </c>
      <c r="C36" s="237"/>
      <c r="D36" s="328"/>
      <c r="E36" s="301"/>
      <c r="F36" s="289">
        <v>0</v>
      </c>
      <c r="G36" s="332">
        <v>0</v>
      </c>
      <c r="H36" s="332">
        <v>0</v>
      </c>
      <c r="I36" s="289">
        <v>0</v>
      </c>
      <c r="J36" s="332">
        <v>0</v>
      </c>
      <c r="K36" s="332">
        <f>J36</f>
        <v>0</v>
      </c>
      <c r="L36" s="332">
        <v>0</v>
      </c>
      <c r="M36" s="289">
        <v>0</v>
      </c>
      <c r="N36" s="332">
        <v>0</v>
      </c>
      <c r="O36" s="332">
        <v>0.75</v>
      </c>
      <c r="P36" s="289">
        <v>0.9</v>
      </c>
      <c r="Q36" s="7"/>
    </row>
    <row r="37" spans="2:17" x14ac:dyDescent="0.25">
      <c r="B37" s="322" t="s">
        <v>309</v>
      </c>
      <c r="C37" s="237">
        <f>G10</f>
        <v>0.1</v>
      </c>
      <c r="D37" s="328"/>
      <c r="E37" s="301"/>
      <c r="F37" s="288">
        <f>($C$37*F34*$C$34)+E37</f>
        <v>0</v>
      </c>
      <c r="G37" s="329">
        <f t="shared" ref="G37:P37" ca="1" si="2">($C$37*G34*$C$34)+F37</f>
        <v>0</v>
      </c>
      <c r="H37" s="329">
        <f t="shared" ca="1" si="2"/>
        <v>0</v>
      </c>
      <c r="I37" s="288">
        <f t="shared" ca="1" si="2"/>
        <v>0</v>
      </c>
      <c r="J37" s="329">
        <f t="shared" ca="1" si="2"/>
        <v>0</v>
      </c>
      <c r="K37" s="329">
        <f t="shared" ca="1" si="2"/>
        <v>0</v>
      </c>
      <c r="L37" s="329">
        <f t="shared" ca="1" si="2"/>
        <v>0</v>
      </c>
      <c r="M37" s="288">
        <f t="shared" ca="1" si="2"/>
        <v>0</v>
      </c>
      <c r="N37" s="329">
        <f t="shared" ca="1" si="2"/>
        <v>5903.55</v>
      </c>
      <c r="O37" s="329">
        <f t="shared" ca="1" si="2"/>
        <v>11807.1</v>
      </c>
      <c r="P37" s="288">
        <f t="shared" ca="1" si="2"/>
        <v>11807.1</v>
      </c>
      <c r="Q37" s="7"/>
    </row>
    <row r="38" spans="2:17" x14ac:dyDescent="0.25">
      <c r="B38" s="322" t="s">
        <v>192</v>
      </c>
      <c r="C38" s="240"/>
      <c r="D38" s="328"/>
      <c r="E38" s="301"/>
      <c r="F38" s="289">
        <v>0</v>
      </c>
      <c r="G38" s="332">
        <v>0</v>
      </c>
      <c r="H38" s="332">
        <v>0</v>
      </c>
      <c r="I38" s="289">
        <v>0</v>
      </c>
      <c r="J38" s="332">
        <v>0</v>
      </c>
      <c r="K38" s="332">
        <v>0</v>
      </c>
      <c r="L38" s="332">
        <v>0</v>
      </c>
      <c r="M38" s="289">
        <v>0</v>
      </c>
      <c r="N38" s="332">
        <v>0.5</v>
      </c>
      <c r="O38" s="332">
        <v>1</v>
      </c>
      <c r="P38" s="289">
        <f t="shared" ref="P38" si="3">O38</f>
        <v>1</v>
      </c>
      <c r="Q38" s="7"/>
    </row>
    <row r="39" spans="2:17" x14ac:dyDescent="0.25">
      <c r="B39" s="323"/>
      <c r="C39" s="328"/>
      <c r="D39" s="328"/>
      <c r="E39" s="370"/>
      <c r="F39" s="286"/>
      <c r="G39" s="226"/>
      <c r="H39" s="226"/>
      <c r="I39" s="286"/>
      <c r="J39" s="226"/>
      <c r="K39" s="226"/>
      <c r="L39" s="226"/>
      <c r="M39" s="286"/>
      <c r="N39" s="226"/>
      <c r="O39" s="226"/>
      <c r="P39" s="286"/>
      <c r="Q39" s="7"/>
    </row>
    <row r="40" spans="2:17" x14ac:dyDescent="0.25">
      <c r="B40" s="324" t="s">
        <v>307</v>
      </c>
      <c r="C40" s="830">
        <f>G8</f>
        <v>0.9</v>
      </c>
      <c r="D40" s="404">
        <f ca="1">SUM(F40:P40)*$C$40</f>
        <v>205591.5</v>
      </c>
      <c r="E40" s="303"/>
      <c r="F40" s="290">
        <f>SUM('Development Schedule'!E242:E243)</f>
        <v>0</v>
      </c>
      <c r="G40" s="333">
        <f ca="1">SUM('Development Schedule'!F242:F243)</f>
        <v>0</v>
      </c>
      <c r="H40" s="333">
        <f ca="1">SUM('Development Schedule'!G242:G243)</f>
        <v>0</v>
      </c>
      <c r="I40" s="290">
        <f ca="1">SUM('Development Schedule'!H242:H243)</f>
        <v>0</v>
      </c>
      <c r="J40" s="333">
        <f ca="1">SUM('Development Schedule'!I242:I243)</f>
        <v>114217.5</v>
      </c>
      <c r="K40" s="333">
        <f ca="1">SUM('Development Schedule'!J242:J243)</f>
        <v>114217.5</v>
      </c>
      <c r="L40" s="333">
        <f ca="1">SUM('Development Schedule'!K242:K243)</f>
        <v>0</v>
      </c>
      <c r="M40" s="290">
        <f ca="1">SUM('Development Schedule'!L242:L243)</f>
        <v>0</v>
      </c>
      <c r="N40" s="333">
        <f ca="1">SUM('Development Schedule'!M242:M243)</f>
        <v>0</v>
      </c>
      <c r="O40" s="333">
        <f ca="1">SUM('Development Schedule'!N242:N243)</f>
        <v>0</v>
      </c>
      <c r="P40" s="290">
        <f ca="1">SUM('Development Schedule'!O242:O243)</f>
        <v>0</v>
      </c>
      <c r="Q40" s="7"/>
    </row>
    <row r="41" spans="2:17" x14ac:dyDescent="0.25">
      <c r="B41" s="322" t="s">
        <v>308</v>
      </c>
      <c r="C41" s="237">
        <f>G11</f>
        <v>0.9</v>
      </c>
      <c r="D41" s="328"/>
      <c r="E41" s="301"/>
      <c r="F41" s="288">
        <f>E41+($C$41*F40*$C$40)</f>
        <v>0</v>
      </c>
      <c r="G41" s="329">
        <f t="shared" ref="G41:P41" ca="1" si="4">F41+($C$41*G40*$C$40)</f>
        <v>0</v>
      </c>
      <c r="H41" s="329">
        <f t="shared" ca="1" si="4"/>
        <v>0</v>
      </c>
      <c r="I41" s="288">
        <f t="shared" ca="1" si="4"/>
        <v>0</v>
      </c>
      <c r="J41" s="329">
        <f t="shared" ca="1" si="4"/>
        <v>92516.175000000003</v>
      </c>
      <c r="K41" s="329">
        <f t="shared" ca="1" si="4"/>
        <v>185032.35</v>
      </c>
      <c r="L41" s="329">
        <f t="shared" ca="1" si="4"/>
        <v>185032.35</v>
      </c>
      <c r="M41" s="288">
        <f t="shared" ca="1" si="4"/>
        <v>185032.35</v>
      </c>
      <c r="N41" s="329">
        <f t="shared" ca="1" si="4"/>
        <v>185032.35</v>
      </c>
      <c r="O41" s="329">
        <f t="shared" ca="1" si="4"/>
        <v>185032.35</v>
      </c>
      <c r="P41" s="288">
        <f t="shared" ca="1" si="4"/>
        <v>185032.35</v>
      </c>
      <c r="Q41" s="7"/>
    </row>
    <row r="42" spans="2:17" x14ac:dyDescent="0.25">
      <c r="B42" s="322" t="s">
        <v>192</v>
      </c>
      <c r="C42" s="237"/>
      <c r="D42" s="76"/>
      <c r="E42" s="301"/>
      <c r="F42" s="289">
        <v>0</v>
      </c>
      <c r="G42" s="332">
        <v>0</v>
      </c>
      <c r="H42" s="332">
        <v>0</v>
      </c>
      <c r="I42" s="289">
        <v>0</v>
      </c>
      <c r="J42" s="332">
        <v>0</v>
      </c>
      <c r="K42" s="332">
        <v>0.5</v>
      </c>
      <c r="L42" s="332">
        <v>0.75</v>
      </c>
      <c r="M42" s="289">
        <v>0.95</v>
      </c>
      <c r="N42" s="332">
        <v>0.95</v>
      </c>
      <c r="O42" s="332">
        <f>N42</f>
        <v>0.95</v>
      </c>
      <c r="P42" s="289">
        <f>O42</f>
        <v>0.95</v>
      </c>
      <c r="Q42" s="7"/>
    </row>
    <row r="43" spans="2:17" x14ac:dyDescent="0.25">
      <c r="B43" s="322" t="s">
        <v>310</v>
      </c>
      <c r="C43" s="327">
        <f>G12</f>
        <v>0.1</v>
      </c>
      <c r="D43" s="76"/>
      <c r="E43" s="301"/>
      <c r="F43" s="288">
        <f>($C$43*F40*$C$40)+E43</f>
        <v>0</v>
      </c>
      <c r="G43" s="329">
        <f t="shared" ref="G43:P43" ca="1" si="5">($C$43*G40*$C$40)+F43</f>
        <v>0</v>
      </c>
      <c r="H43" s="329">
        <f t="shared" ca="1" si="5"/>
        <v>0</v>
      </c>
      <c r="I43" s="288">
        <f t="shared" ca="1" si="5"/>
        <v>0</v>
      </c>
      <c r="J43" s="329">
        <f t="shared" ca="1" si="5"/>
        <v>10279.575000000001</v>
      </c>
      <c r="K43" s="329">
        <f t="shared" ca="1" si="5"/>
        <v>20559.150000000001</v>
      </c>
      <c r="L43" s="329">
        <f t="shared" ca="1" si="5"/>
        <v>20559.150000000001</v>
      </c>
      <c r="M43" s="288">
        <f t="shared" ca="1" si="5"/>
        <v>20559.150000000001</v>
      </c>
      <c r="N43" s="329">
        <f t="shared" ca="1" si="5"/>
        <v>20559.150000000001</v>
      </c>
      <c r="O43" s="329">
        <f t="shared" ca="1" si="5"/>
        <v>20559.150000000001</v>
      </c>
      <c r="P43" s="288">
        <f t="shared" ca="1" si="5"/>
        <v>20559.150000000001</v>
      </c>
      <c r="Q43" s="7"/>
    </row>
    <row r="44" spans="2:17" x14ac:dyDescent="0.25">
      <c r="B44" s="322" t="s">
        <v>192</v>
      </c>
      <c r="C44" s="34"/>
      <c r="D44" s="76"/>
      <c r="E44" s="301"/>
      <c r="F44" s="289">
        <v>0</v>
      </c>
      <c r="G44" s="332">
        <f>F44</f>
        <v>0</v>
      </c>
      <c r="H44" s="332">
        <f t="shared" ref="H44:J44" si="6">G44</f>
        <v>0</v>
      </c>
      <c r="I44" s="289">
        <f t="shared" si="6"/>
        <v>0</v>
      </c>
      <c r="J44" s="332">
        <f t="shared" si="6"/>
        <v>0</v>
      </c>
      <c r="K44" s="332">
        <v>0.5</v>
      </c>
      <c r="L44" s="332">
        <v>1</v>
      </c>
      <c r="M44" s="289">
        <v>1</v>
      </c>
      <c r="N44" s="332">
        <v>1</v>
      </c>
      <c r="O44" s="332">
        <f>N44</f>
        <v>1</v>
      </c>
      <c r="P44" s="289">
        <f>O44</f>
        <v>1</v>
      </c>
      <c r="Q44" s="7"/>
    </row>
    <row r="45" spans="2:17" x14ac:dyDescent="0.25">
      <c r="B45" s="323"/>
      <c r="C45" s="76"/>
      <c r="D45" s="76"/>
      <c r="E45" s="370"/>
      <c r="F45" s="286"/>
      <c r="G45" s="226"/>
      <c r="H45" s="226"/>
      <c r="I45" s="286"/>
      <c r="J45" s="226"/>
      <c r="K45" s="226"/>
      <c r="L45" s="226"/>
      <c r="M45" s="286"/>
      <c r="N45" s="226"/>
      <c r="O45" s="226"/>
      <c r="P45" s="286"/>
      <c r="Q45" s="7"/>
    </row>
    <row r="46" spans="2:17" x14ac:dyDescent="0.25">
      <c r="B46" s="323" t="s">
        <v>173</v>
      </c>
      <c r="C46" s="245"/>
      <c r="D46" s="123"/>
      <c r="E46" s="301"/>
      <c r="F46" s="291"/>
      <c r="G46" s="240"/>
      <c r="H46" s="240"/>
      <c r="I46" s="291"/>
      <c r="J46" s="240"/>
      <c r="K46" s="240"/>
      <c r="L46" s="240"/>
      <c r="M46" s="291"/>
      <c r="N46" s="240"/>
      <c r="O46" s="240"/>
      <c r="P46" s="291"/>
      <c r="Q46" s="7"/>
    </row>
    <row r="47" spans="2:17" x14ac:dyDescent="0.25">
      <c r="B47" s="322" t="s">
        <v>315</v>
      </c>
      <c r="C47" s="354">
        <f>K6</f>
        <v>18</v>
      </c>
      <c r="D47" s="335"/>
      <c r="E47" s="304"/>
      <c r="F47" s="294">
        <f>C47</f>
        <v>18</v>
      </c>
      <c r="G47" s="341">
        <f>F47*(1+G$51)</f>
        <v>18.36</v>
      </c>
      <c r="H47" s="341">
        <f t="shared" ref="H47:P47" si="7">G47*(1+H$51)</f>
        <v>18.7272</v>
      </c>
      <c r="I47" s="294">
        <f t="shared" si="7"/>
        <v>19.101744</v>
      </c>
      <c r="J47" s="341">
        <f t="shared" si="7"/>
        <v>19.483778879999999</v>
      </c>
      <c r="K47" s="341">
        <f t="shared" si="7"/>
        <v>19.873454457600001</v>
      </c>
      <c r="L47" s="341">
        <f t="shared" si="7"/>
        <v>20.270923546752002</v>
      </c>
      <c r="M47" s="294">
        <f t="shared" si="7"/>
        <v>20.676342017687041</v>
      </c>
      <c r="N47" s="341">
        <f t="shared" si="7"/>
        <v>21.089868858040781</v>
      </c>
      <c r="O47" s="341">
        <f t="shared" si="7"/>
        <v>21.511666235201595</v>
      </c>
      <c r="P47" s="294">
        <f t="shared" si="7"/>
        <v>21.941899559905629</v>
      </c>
      <c r="Q47" s="7"/>
    </row>
    <row r="48" spans="2:17" x14ac:dyDescent="0.25">
      <c r="B48" s="322" t="s">
        <v>316</v>
      </c>
      <c r="C48" s="354">
        <f>K8</f>
        <v>10</v>
      </c>
      <c r="D48" s="335"/>
      <c r="E48" s="304"/>
      <c r="F48" s="294">
        <f t="shared" ref="F48:F50" si="8">C48</f>
        <v>10</v>
      </c>
      <c r="G48" s="341">
        <f t="shared" ref="G48:P48" si="9">F48*(1+G$51)</f>
        <v>10.199999999999999</v>
      </c>
      <c r="H48" s="341">
        <f t="shared" si="9"/>
        <v>10.404</v>
      </c>
      <c r="I48" s="294">
        <f t="shared" si="9"/>
        <v>10.612080000000001</v>
      </c>
      <c r="J48" s="341">
        <f t="shared" si="9"/>
        <v>10.824321600000001</v>
      </c>
      <c r="K48" s="341">
        <f t="shared" si="9"/>
        <v>11.040808032000001</v>
      </c>
      <c r="L48" s="341">
        <f t="shared" si="9"/>
        <v>11.261624192640001</v>
      </c>
      <c r="M48" s="294">
        <f t="shared" si="9"/>
        <v>11.486856676492801</v>
      </c>
      <c r="N48" s="341">
        <f t="shared" si="9"/>
        <v>11.716593810022657</v>
      </c>
      <c r="O48" s="341">
        <f t="shared" si="9"/>
        <v>11.95092568622311</v>
      </c>
      <c r="P48" s="294">
        <f t="shared" si="9"/>
        <v>12.189944199947572</v>
      </c>
      <c r="Q48" s="7"/>
    </row>
    <row r="49" spans="2:17" x14ac:dyDescent="0.25">
      <c r="B49" s="322" t="s">
        <v>317</v>
      </c>
      <c r="C49" s="354">
        <f>K9</f>
        <v>30</v>
      </c>
      <c r="D49" s="335"/>
      <c r="E49" s="304"/>
      <c r="F49" s="294">
        <f t="shared" si="8"/>
        <v>30</v>
      </c>
      <c r="G49" s="341">
        <f t="shared" ref="G49:P49" si="10">F49*(1+G$51)</f>
        <v>30.6</v>
      </c>
      <c r="H49" s="341">
        <f t="shared" si="10"/>
        <v>31.212000000000003</v>
      </c>
      <c r="I49" s="294">
        <f t="shared" si="10"/>
        <v>31.836240000000004</v>
      </c>
      <c r="J49" s="341">
        <f t="shared" si="10"/>
        <v>32.472964800000007</v>
      </c>
      <c r="K49" s="341">
        <f t="shared" si="10"/>
        <v>33.12242409600001</v>
      </c>
      <c r="L49" s="341">
        <f t="shared" si="10"/>
        <v>33.784872577920012</v>
      </c>
      <c r="M49" s="294">
        <f t="shared" si="10"/>
        <v>34.460570029478411</v>
      </c>
      <c r="N49" s="341">
        <f t="shared" si="10"/>
        <v>35.149781430067982</v>
      </c>
      <c r="O49" s="341">
        <f t="shared" si="10"/>
        <v>35.852777058669339</v>
      </c>
      <c r="P49" s="294">
        <f t="shared" si="10"/>
        <v>36.569832599842726</v>
      </c>
      <c r="Q49" s="7"/>
    </row>
    <row r="50" spans="2:17" x14ac:dyDescent="0.25">
      <c r="B50" s="322" t="s">
        <v>318</v>
      </c>
      <c r="C50" s="354">
        <f>K11</f>
        <v>20</v>
      </c>
      <c r="D50" s="335"/>
      <c r="E50" s="304"/>
      <c r="F50" s="294">
        <f t="shared" si="8"/>
        <v>20</v>
      </c>
      <c r="G50" s="341">
        <f t="shared" ref="G50:P50" si="11">F50*(1+G$51)</f>
        <v>20.399999999999999</v>
      </c>
      <c r="H50" s="341">
        <f t="shared" si="11"/>
        <v>20.808</v>
      </c>
      <c r="I50" s="294">
        <f t="shared" si="11"/>
        <v>21.224160000000001</v>
      </c>
      <c r="J50" s="341">
        <f t="shared" si="11"/>
        <v>21.648643200000002</v>
      </c>
      <c r="K50" s="341">
        <f t="shared" si="11"/>
        <v>22.081616064000002</v>
      </c>
      <c r="L50" s="341">
        <f t="shared" si="11"/>
        <v>22.523248385280002</v>
      </c>
      <c r="M50" s="294">
        <f t="shared" si="11"/>
        <v>22.973713352985602</v>
      </c>
      <c r="N50" s="341">
        <f t="shared" si="11"/>
        <v>23.433187620045313</v>
      </c>
      <c r="O50" s="341">
        <f t="shared" si="11"/>
        <v>23.90185137244622</v>
      </c>
      <c r="P50" s="294">
        <f t="shared" si="11"/>
        <v>24.379888399895144</v>
      </c>
      <c r="Q50" s="7"/>
    </row>
    <row r="51" spans="2:17" x14ac:dyDescent="0.25">
      <c r="B51" s="322" t="s">
        <v>170</v>
      </c>
      <c r="C51" s="338">
        <f>G17</f>
        <v>0.02</v>
      </c>
      <c r="D51" s="335"/>
      <c r="E51" s="304"/>
      <c r="F51" s="357">
        <f t="shared" ref="F51:P51" si="12">$C$51</f>
        <v>0.02</v>
      </c>
      <c r="G51" s="363">
        <f t="shared" si="12"/>
        <v>0.02</v>
      </c>
      <c r="H51" s="363">
        <f t="shared" si="12"/>
        <v>0.02</v>
      </c>
      <c r="I51" s="357">
        <f t="shared" si="12"/>
        <v>0.02</v>
      </c>
      <c r="J51" s="363">
        <f t="shared" si="12"/>
        <v>0.02</v>
      </c>
      <c r="K51" s="363">
        <f t="shared" si="12"/>
        <v>0.02</v>
      </c>
      <c r="L51" s="363">
        <f t="shared" si="12"/>
        <v>0.02</v>
      </c>
      <c r="M51" s="357">
        <f t="shared" si="12"/>
        <v>0.02</v>
      </c>
      <c r="N51" s="363">
        <f t="shared" si="12"/>
        <v>0.02</v>
      </c>
      <c r="O51" s="363">
        <f t="shared" si="12"/>
        <v>0.02</v>
      </c>
      <c r="P51" s="357">
        <f t="shared" si="12"/>
        <v>0.02</v>
      </c>
      <c r="Q51" s="7"/>
    </row>
    <row r="52" spans="2:17" x14ac:dyDescent="0.25">
      <c r="B52" s="322"/>
      <c r="C52" s="354"/>
      <c r="D52" s="335"/>
      <c r="E52" s="304"/>
      <c r="F52" s="294"/>
      <c r="G52" s="341"/>
      <c r="H52" s="341"/>
      <c r="I52" s="294"/>
      <c r="J52" s="341"/>
      <c r="K52" s="341"/>
      <c r="L52" s="341"/>
      <c r="M52" s="294"/>
      <c r="N52" s="341"/>
      <c r="O52" s="341"/>
      <c r="P52" s="294"/>
      <c r="Q52" s="7"/>
    </row>
    <row r="53" spans="2:17" x14ac:dyDescent="0.25">
      <c r="B53" s="323" t="s">
        <v>127</v>
      </c>
      <c r="C53" s="382"/>
      <c r="D53" s="123"/>
      <c r="E53" s="369"/>
      <c r="F53" s="295"/>
      <c r="G53" s="144"/>
      <c r="H53" s="144"/>
      <c r="I53" s="295"/>
      <c r="J53" s="144"/>
      <c r="K53" s="144"/>
      <c r="L53" s="144"/>
      <c r="M53" s="295"/>
      <c r="N53" s="144"/>
      <c r="O53" s="144"/>
      <c r="P53" s="295"/>
      <c r="Q53" s="7"/>
    </row>
    <row r="54" spans="2:17" x14ac:dyDescent="0.25">
      <c r="B54" s="322" t="s">
        <v>88</v>
      </c>
      <c r="C54" s="382"/>
      <c r="D54" s="123"/>
      <c r="E54" s="369"/>
      <c r="F54" s="296">
        <f>SUM(F50*F44*F43,F49*F42*F41,F48*F38*F37,F47*F36*F35)+(E54*(F55))</f>
        <v>0</v>
      </c>
      <c r="G54" s="145">
        <f t="shared" ref="G54:P54" ca="1" si="13">SUM(G50*G44*G43,G49*G42*G41,G48*G38*G37,G47*G36*G35)+(F54*(G55))</f>
        <v>0</v>
      </c>
      <c r="H54" s="145">
        <f t="shared" ca="1" si="13"/>
        <v>0</v>
      </c>
      <c r="I54" s="296">
        <f t="shared" ca="1" si="13"/>
        <v>0</v>
      </c>
      <c r="J54" s="145">
        <f t="shared" ca="1" si="13"/>
        <v>0</v>
      </c>
      <c r="K54" s="145">
        <f t="shared" ca="1" si="13"/>
        <v>3291349.6125408467</v>
      </c>
      <c r="L54" s="145">
        <f t="shared" ca="1" si="13"/>
        <v>5250270.1060737781</v>
      </c>
      <c r="M54" s="296">
        <f t="shared" ca="1" si="13"/>
        <v>6687332.3642125092</v>
      </c>
      <c r="N54" s="145">
        <f t="shared" ca="1" si="13"/>
        <v>6895625.4658708572</v>
      </c>
      <c r="O54" s="145">
        <f t="shared" ca="1" si="13"/>
        <v>8856038.8620599769</v>
      </c>
      <c r="P54" s="296">
        <f t="shared" ca="1" si="13"/>
        <v>9437579.439003909</v>
      </c>
      <c r="Q54" s="7"/>
    </row>
    <row r="55" spans="2:17" x14ac:dyDescent="0.25">
      <c r="B55" s="342" t="s">
        <v>319</v>
      </c>
      <c r="C55" s="831">
        <f>G15</f>
        <v>0.03</v>
      </c>
      <c r="D55" s="78"/>
      <c r="E55" s="371"/>
      <c r="F55" s="358">
        <f>C55</f>
        <v>0.03</v>
      </c>
      <c r="G55" s="170">
        <f>F55</f>
        <v>0.03</v>
      </c>
      <c r="H55" s="170">
        <f t="shared" ref="H55:P55" si="14">G55</f>
        <v>0.03</v>
      </c>
      <c r="I55" s="358">
        <f t="shared" si="14"/>
        <v>0.03</v>
      </c>
      <c r="J55" s="170">
        <f t="shared" si="14"/>
        <v>0.03</v>
      </c>
      <c r="K55" s="170">
        <f t="shared" si="14"/>
        <v>0.03</v>
      </c>
      <c r="L55" s="170">
        <f t="shared" si="14"/>
        <v>0.03</v>
      </c>
      <c r="M55" s="358">
        <f t="shared" si="14"/>
        <v>0.03</v>
      </c>
      <c r="N55" s="170">
        <f t="shared" si="14"/>
        <v>0.03</v>
      </c>
      <c r="O55" s="170">
        <f t="shared" si="14"/>
        <v>0.03</v>
      </c>
      <c r="P55" s="358">
        <f t="shared" si="14"/>
        <v>0.03</v>
      </c>
      <c r="Q55" s="7"/>
    </row>
    <row r="56" spans="2:17" x14ac:dyDescent="0.25">
      <c r="B56" s="343" t="s">
        <v>106</v>
      </c>
      <c r="C56" s="832"/>
      <c r="D56" s="220"/>
      <c r="E56" s="372"/>
      <c r="F56" s="138">
        <f>F54</f>
        <v>0</v>
      </c>
      <c r="G56" s="239">
        <f t="shared" ref="G56:P56" ca="1" si="15">G54</f>
        <v>0</v>
      </c>
      <c r="H56" s="239">
        <f t="shared" ca="1" si="15"/>
        <v>0</v>
      </c>
      <c r="I56" s="138">
        <f t="shared" ca="1" si="15"/>
        <v>0</v>
      </c>
      <c r="J56" s="239">
        <f t="shared" ca="1" si="15"/>
        <v>0</v>
      </c>
      <c r="K56" s="239">
        <f t="shared" ca="1" si="15"/>
        <v>3291349.6125408467</v>
      </c>
      <c r="L56" s="239">
        <f t="shared" ca="1" si="15"/>
        <v>5250270.1060737781</v>
      </c>
      <c r="M56" s="138">
        <f t="shared" ca="1" si="15"/>
        <v>6687332.3642125092</v>
      </c>
      <c r="N56" s="239">
        <f t="shared" ca="1" si="15"/>
        <v>6895625.4658708572</v>
      </c>
      <c r="O56" s="239">
        <f t="shared" ca="1" si="15"/>
        <v>8856038.8620599769</v>
      </c>
      <c r="P56" s="138">
        <f t="shared" ca="1" si="15"/>
        <v>9437579.439003909</v>
      </c>
      <c r="Q56" s="7"/>
    </row>
    <row r="57" spans="2:17" x14ac:dyDescent="0.25">
      <c r="B57" s="104"/>
      <c r="C57" s="832"/>
      <c r="D57" s="220"/>
      <c r="E57" s="372"/>
      <c r="F57" s="291"/>
      <c r="G57" s="240"/>
      <c r="H57" s="240"/>
      <c r="I57" s="291"/>
      <c r="J57" s="240"/>
      <c r="K57" s="240"/>
      <c r="L57" s="240"/>
      <c r="M57" s="291"/>
      <c r="N57" s="240"/>
      <c r="O57" s="240"/>
      <c r="P57" s="291"/>
      <c r="Q57" s="7"/>
    </row>
    <row r="58" spans="2:17" x14ac:dyDescent="0.25">
      <c r="B58" s="343" t="s">
        <v>124</v>
      </c>
      <c r="C58" s="245"/>
      <c r="D58" s="220"/>
      <c r="E58" s="372"/>
      <c r="F58" s="291"/>
      <c r="G58" s="240"/>
      <c r="H58" s="240"/>
      <c r="I58" s="291"/>
      <c r="J58" s="240"/>
      <c r="K58" s="240"/>
      <c r="L58" s="240"/>
      <c r="M58" s="291"/>
      <c r="N58" s="240"/>
      <c r="O58" s="240"/>
      <c r="P58" s="291"/>
      <c r="Q58" s="7"/>
    </row>
    <row r="59" spans="2:17" x14ac:dyDescent="0.25">
      <c r="B59" s="104" t="s">
        <v>128</v>
      </c>
      <c r="C59" s="242">
        <f>K14</f>
        <v>0.15</v>
      </c>
      <c r="D59" s="220"/>
      <c r="E59" s="372"/>
      <c r="F59" s="138">
        <f>(E59*(F64))-(F56*$C$59)</f>
        <v>0</v>
      </c>
      <c r="G59" s="239">
        <f t="shared" ref="G59:J59" ca="1" si="16">(F59*(G64))-(G56*$C$59)</f>
        <v>0</v>
      </c>
      <c r="H59" s="239">
        <f t="shared" ca="1" si="16"/>
        <v>0</v>
      </c>
      <c r="I59" s="138">
        <f t="shared" ca="1" si="16"/>
        <v>0</v>
      </c>
      <c r="J59" s="239">
        <f t="shared" ca="1" si="16"/>
        <v>0</v>
      </c>
      <c r="K59" s="239">
        <f ca="1">(J59*(K64))-(K56*$C$59)</f>
        <v>-493702.44188112696</v>
      </c>
      <c r="L59" s="239">
        <f t="shared" ref="L59:P59" ca="1" si="17">(K59*(L64))-(L56*$C$59)</f>
        <v>-802351.5891675005</v>
      </c>
      <c r="M59" s="138">
        <f t="shared" ca="1" si="17"/>
        <v>-1027170.4023069014</v>
      </c>
      <c r="N59" s="239">
        <f t="shared" ca="1" si="17"/>
        <v>-1065158.9319498355</v>
      </c>
      <c r="O59" s="239">
        <f t="shared" ca="1" si="17"/>
        <v>-1360360.5972674915</v>
      </c>
      <c r="P59" s="138">
        <f t="shared" ca="1" si="17"/>
        <v>-1456447.733768611</v>
      </c>
      <c r="Q59" s="152"/>
    </row>
    <row r="60" spans="2:17" x14ac:dyDescent="0.25">
      <c r="B60" s="104" t="s">
        <v>252</v>
      </c>
      <c r="C60" s="242">
        <f>K18</f>
        <v>0</v>
      </c>
      <c r="D60" s="220"/>
      <c r="E60" s="372"/>
      <c r="F60" s="138">
        <f>(E60*(F$64))+(F$56*$C$60)</f>
        <v>0</v>
      </c>
      <c r="G60" s="239">
        <f t="shared" ref="G60:P60" ca="1" si="18">(F60*(G$64))+(G$56*$C$60)</f>
        <v>0</v>
      </c>
      <c r="H60" s="239">
        <f t="shared" ca="1" si="18"/>
        <v>0</v>
      </c>
      <c r="I60" s="138">
        <f t="shared" ca="1" si="18"/>
        <v>0</v>
      </c>
      <c r="J60" s="239">
        <f t="shared" ca="1" si="18"/>
        <v>0</v>
      </c>
      <c r="K60" s="239">
        <f t="shared" ca="1" si="18"/>
        <v>0</v>
      </c>
      <c r="L60" s="239">
        <f t="shared" ca="1" si="18"/>
        <v>0</v>
      </c>
      <c r="M60" s="138">
        <f t="shared" ca="1" si="18"/>
        <v>0</v>
      </c>
      <c r="N60" s="239">
        <f t="shared" ca="1" si="18"/>
        <v>0</v>
      </c>
      <c r="O60" s="239">
        <f t="shared" ca="1" si="18"/>
        <v>0</v>
      </c>
      <c r="P60" s="138">
        <f t="shared" ca="1" si="18"/>
        <v>0</v>
      </c>
      <c r="Q60" s="152"/>
    </row>
    <row r="61" spans="2:17" x14ac:dyDescent="0.25">
      <c r="B61" s="104" t="s">
        <v>89</v>
      </c>
      <c r="C61" s="242">
        <f>K15</f>
        <v>0.03</v>
      </c>
      <c r="D61" s="220"/>
      <c r="E61" s="372"/>
      <c r="F61" s="138">
        <f>(E61*(F$64))-(F$56*$C$61)</f>
        <v>0</v>
      </c>
      <c r="G61" s="239">
        <f t="shared" ref="G61:P61" ca="1" si="19">(F61*(G$64))-(G$56*$C$61)</f>
        <v>0</v>
      </c>
      <c r="H61" s="239">
        <f t="shared" ca="1" si="19"/>
        <v>0</v>
      </c>
      <c r="I61" s="138">
        <f t="shared" ca="1" si="19"/>
        <v>0</v>
      </c>
      <c r="J61" s="239">
        <f t="shared" ca="1" si="19"/>
        <v>0</v>
      </c>
      <c r="K61" s="239">
        <f t="shared" ca="1" si="19"/>
        <v>-98740.488376225403</v>
      </c>
      <c r="L61" s="239">
        <f t="shared" ca="1" si="19"/>
        <v>-160470.3178335001</v>
      </c>
      <c r="M61" s="138">
        <f t="shared" ca="1" si="19"/>
        <v>-205434.08046138028</v>
      </c>
      <c r="N61" s="239">
        <f t="shared" ca="1" si="19"/>
        <v>-213031.78638996714</v>
      </c>
      <c r="O61" s="239">
        <f t="shared" ca="1" si="19"/>
        <v>-272072.11945349834</v>
      </c>
      <c r="P61" s="138">
        <f t="shared" ca="1" si="19"/>
        <v>-291289.54675372224</v>
      </c>
      <c r="Q61" s="7"/>
    </row>
    <row r="62" spans="2:17" x14ac:dyDescent="0.25">
      <c r="B62" s="104" t="s">
        <v>134</v>
      </c>
      <c r="C62" s="242">
        <f>K16</f>
        <v>0.02</v>
      </c>
      <c r="D62" s="220"/>
      <c r="E62" s="372"/>
      <c r="F62" s="138">
        <f>(E62*(F$64))-(F$56*$C$62)</f>
        <v>0</v>
      </c>
      <c r="G62" s="239">
        <f t="shared" ref="G62:P62" ca="1" si="20">(F62*(G$64))-(G$56*$C$62)</f>
        <v>0</v>
      </c>
      <c r="H62" s="239">
        <f t="shared" ca="1" si="20"/>
        <v>0</v>
      </c>
      <c r="I62" s="138">
        <f t="shared" ca="1" si="20"/>
        <v>0</v>
      </c>
      <c r="J62" s="239">
        <f t="shared" ca="1" si="20"/>
        <v>0</v>
      </c>
      <c r="K62" s="239">
        <f t="shared" ca="1" si="20"/>
        <v>-65826.99225081694</v>
      </c>
      <c r="L62" s="239">
        <f t="shared" ca="1" si="20"/>
        <v>-106980.21188900007</v>
      </c>
      <c r="M62" s="138">
        <f t="shared" ca="1" si="20"/>
        <v>-136956.05364092017</v>
      </c>
      <c r="N62" s="239">
        <f t="shared" ca="1" si="20"/>
        <v>-142021.19092664475</v>
      </c>
      <c r="O62" s="239">
        <f t="shared" ca="1" si="20"/>
        <v>-181381.41296899889</v>
      </c>
      <c r="P62" s="138">
        <f t="shared" ca="1" si="20"/>
        <v>-194193.03116914816</v>
      </c>
      <c r="Q62" s="7"/>
    </row>
    <row r="63" spans="2:17" x14ac:dyDescent="0.25">
      <c r="B63" s="104" t="s">
        <v>91</v>
      </c>
      <c r="C63" s="242">
        <f>K17</f>
        <v>0.02</v>
      </c>
      <c r="D63" s="220"/>
      <c r="E63" s="372"/>
      <c r="F63" s="138">
        <f>(E63*(F$64))-(F$56*$C$63)</f>
        <v>0</v>
      </c>
      <c r="G63" s="239">
        <f t="shared" ref="G63:P63" ca="1" si="21">(F63*(G$64))-(G$56*$C$63)</f>
        <v>0</v>
      </c>
      <c r="H63" s="239">
        <f t="shared" ca="1" si="21"/>
        <v>0</v>
      </c>
      <c r="I63" s="138">
        <f t="shared" ca="1" si="21"/>
        <v>0</v>
      </c>
      <c r="J63" s="239">
        <f t="shared" ca="1" si="21"/>
        <v>0</v>
      </c>
      <c r="K63" s="239">
        <f t="shared" ca="1" si="21"/>
        <v>-65826.99225081694</v>
      </c>
      <c r="L63" s="239">
        <f t="shared" ca="1" si="21"/>
        <v>-106980.21188900007</v>
      </c>
      <c r="M63" s="138">
        <f t="shared" ca="1" si="21"/>
        <v>-136956.05364092017</v>
      </c>
      <c r="N63" s="239">
        <f t="shared" ca="1" si="21"/>
        <v>-142021.19092664475</v>
      </c>
      <c r="O63" s="239">
        <f t="shared" ca="1" si="21"/>
        <v>-181381.41296899889</v>
      </c>
      <c r="P63" s="138">
        <f t="shared" ca="1" si="21"/>
        <v>-194193.03116914816</v>
      </c>
      <c r="Q63" s="7"/>
    </row>
    <row r="64" spans="2:17" x14ac:dyDescent="0.25">
      <c r="B64" s="344" t="s">
        <v>133</v>
      </c>
      <c r="C64" s="243">
        <f>G16</f>
        <v>0.03</v>
      </c>
      <c r="D64" s="365"/>
      <c r="E64" s="373"/>
      <c r="F64" s="359">
        <f>$C$64</f>
        <v>0.03</v>
      </c>
      <c r="G64" s="366">
        <f t="shared" ref="G64:P64" si="22">$C$64</f>
        <v>0.03</v>
      </c>
      <c r="H64" s="366">
        <f t="shared" si="22"/>
        <v>0.03</v>
      </c>
      <c r="I64" s="359">
        <f t="shared" si="22"/>
        <v>0.03</v>
      </c>
      <c r="J64" s="366">
        <f t="shared" si="22"/>
        <v>0.03</v>
      </c>
      <c r="K64" s="366">
        <f t="shared" si="22"/>
        <v>0.03</v>
      </c>
      <c r="L64" s="366">
        <f t="shared" si="22"/>
        <v>0.03</v>
      </c>
      <c r="M64" s="359">
        <f t="shared" si="22"/>
        <v>0.03</v>
      </c>
      <c r="N64" s="366">
        <f t="shared" si="22"/>
        <v>0.03</v>
      </c>
      <c r="O64" s="366">
        <f t="shared" si="22"/>
        <v>0.03</v>
      </c>
      <c r="P64" s="359">
        <f t="shared" si="22"/>
        <v>0.03</v>
      </c>
      <c r="Q64" s="7"/>
    </row>
    <row r="65" spans="2:17" x14ac:dyDescent="0.25">
      <c r="B65" s="104"/>
      <c r="C65" s="220"/>
      <c r="D65" s="220"/>
      <c r="E65" s="372"/>
      <c r="F65" s="291"/>
      <c r="G65" s="240"/>
      <c r="H65" s="240"/>
      <c r="I65" s="291"/>
      <c r="J65" s="240"/>
      <c r="K65" s="240"/>
      <c r="L65" s="240"/>
      <c r="M65" s="291"/>
      <c r="N65" s="240"/>
      <c r="O65" s="240"/>
      <c r="P65" s="291"/>
      <c r="Q65" s="7"/>
    </row>
    <row r="66" spans="2:17" x14ac:dyDescent="0.25">
      <c r="B66" s="48" t="s">
        <v>99</v>
      </c>
      <c r="C66" s="79"/>
      <c r="D66" s="79"/>
      <c r="E66" s="30"/>
      <c r="F66" s="155">
        <f>SUM(F56:F63)</f>
        <v>0</v>
      </c>
      <c r="G66" s="146">
        <f t="shared" ref="G66:P66" ca="1" si="23">SUM(G56:G63)</f>
        <v>0</v>
      </c>
      <c r="H66" s="146">
        <f t="shared" ca="1" si="23"/>
        <v>0</v>
      </c>
      <c r="I66" s="155">
        <f t="shared" ca="1" si="23"/>
        <v>0</v>
      </c>
      <c r="J66" s="146">
        <f t="shared" ca="1" si="23"/>
        <v>0</v>
      </c>
      <c r="K66" s="146">
        <f t="shared" ca="1" si="23"/>
        <v>2567252.6977818608</v>
      </c>
      <c r="L66" s="146">
        <f t="shared" ca="1" si="23"/>
        <v>4073487.775294777</v>
      </c>
      <c r="M66" s="155">
        <f t="shared" ca="1" si="23"/>
        <v>5180815.7741623884</v>
      </c>
      <c r="N66" s="146">
        <f t="shared" ca="1" si="23"/>
        <v>5333392.3656777646</v>
      </c>
      <c r="O66" s="146">
        <f t="shared" ca="1" si="23"/>
        <v>6860843.3194009895</v>
      </c>
      <c r="P66" s="155">
        <f t="shared" ca="1" si="23"/>
        <v>7301456.0961432792</v>
      </c>
      <c r="Q66" s="7"/>
    </row>
    <row r="67" spans="2:17" x14ac:dyDescent="0.25">
      <c r="B67" s="322"/>
      <c r="C67" s="220"/>
      <c r="D67" s="220"/>
      <c r="E67" s="372"/>
      <c r="F67" s="291"/>
      <c r="G67" s="240"/>
      <c r="H67" s="240"/>
      <c r="I67" s="291"/>
      <c r="J67" s="240"/>
      <c r="K67" s="240"/>
      <c r="L67" s="240"/>
      <c r="M67" s="291"/>
      <c r="N67" s="240"/>
      <c r="O67" s="240"/>
      <c r="P67" s="291"/>
      <c r="Q67" s="7"/>
    </row>
    <row r="68" spans="2:17" x14ac:dyDescent="0.25">
      <c r="B68" s="322" t="s">
        <v>129</v>
      </c>
      <c r="C68" s="220"/>
      <c r="D68" s="220"/>
      <c r="E68" s="372"/>
      <c r="F68" s="291">
        <f t="shared" ref="F68:P68" si="24">IF(F29=$G$23,E66/$G$22,0)</f>
        <v>0</v>
      </c>
      <c r="G68" s="240">
        <f t="shared" si="24"/>
        <v>0</v>
      </c>
      <c r="H68" s="240">
        <f t="shared" si="24"/>
        <v>0</v>
      </c>
      <c r="I68" s="291">
        <f t="shared" si="24"/>
        <v>0</v>
      </c>
      <c r="J68" s="240">
        <f t="shared" si="24"/>
        <v>0</v>
      </c>
      <c r="K68" s="240">
        <f t="shared" si="24"/>
        <v>0</v>
      </c>
      <c r="L68" s="240">
        <f t="shared" si="24"/>
        <v>0</v>
      </c>
      <c r="M68" s="291">
        <f t="shared" si="24"/>
        <v>0</v>
      </c>
      <c r="N68" s="240">
        <f t="shared" si="24"/>
        <v>0</v>
      </c>
      <c r="O68" s="240">
        <f t="shared" si="24"/>
        <v>0</v>
      </c>
      <c r="P68" s="138">
        <f t="shared" ca="1" si="24"/>
        <v>98012047.420014128</v>
      </c>
      <c r="Q68" s="7"/>
    </row>
    <row r="69" spans="2:17" x14ac:dyDescent="0.25">
      <c r="B69" s="322" t="s">
        <v>41</v>
      </c>
      <c r="C69" s="246">
        <f>G24</f>
        <v>0.02</v>
      </c>
      <c r="D69" s="220"/>
      <c r="E69" s="372"/>
      <c r="F69" s="291">
        <f>-F68*$C$69</f>
        <v>0</v>
      </c>
      <c r="G69" s="240">
        <f t="shared" ref="G69:P69" si="25">-G68*$C$69</f>
        <v>0</v>
      </c>
      <c r="H69" s="240">
        <f t="shared" si="25"/>
        <v>0</v>
      </c>
      <c r="I69" s="291">
        <f t="shared" si="25"/>
        <v>0</v>
      </c>
      <c r="J69" s="240">
        <f t="shared" si="25"/>
        <v>0</v>
      </c>
      <c r="K69" s="240">
        <f t="shared" si="25"/>
        <v>0</v>
      </c>
      <c r="L69" s="240">
        <f t="shared" si="25"/>
        <v>0</v>
      </c>
      <c r="M69" s="291">
        <f t="shared" si="25"/>
        <v>0</v>
      </c>
      <c r="N69" s="240">
        <f t="shared" si="25"/>
        <v>0</v>
      </c>
      <c r="O69" s="240">
        <f t="shared" si="25"/>
        <v>0</v>
      </c>
      <c r="P69" s="138">
        <f t="shared" ca="1" si="25"/>
        <v>-1960240.9484002825</v>
      </c>
      <c r="Q69" s="7"/>
    </row>
    <row r="70" spans="2:17" x14ac:dyDescent="0.25">
      <c r="B70" s="104"/>
      <c r="C70" s="220"/>
      <c r="D70" s="220"/>
      <c r="E70" s="372"/>
      <c r="F70" s="291"/>
      <c r="G70" s="240"/>
      <c r="H70" s="240"/>
      <c r="I70" s="291"/>
      <c r="J70" s="240"/>
      <c r="K70" s="240"/>
      <c r="L70" s="240"/>
      <c r="M70" s="291"/>
      <c r="N70" s="240"/>
      <c r="O70" s="240"/>
      <c r="P70" s="291"/>
      <c r="Q70" s="7"/>
    </row>
    <row r="71" spans="2:17" x14ac:dyDescent="0.25">
      <c r="B71" s="323" t="s">
        <v>103</v>
      </c>
      <c r="C71" s="241" t="s">
        <v>37</v>
      </c>
      <c r="D71" s="220"/>
      <c r="E71" s="372"/>
      <c r="F71" s="291"/>
      <c r="G71" s="240"/>
      <c r="H71" s="240"/>
      <c r="I71" s="291"/>
      <c r="J71" s="240"/>
      <c r="K71" s="240"/>
      <c r="L71" s="240"/>
      <c r="M71" s="291"/>
      <c r="N71" s="240"/>
      <c r="O71" s="240"/>
      <c r="P71" s="291"/>
      <c r="Q71" s="7"/>
    </row>
    <row r="72" spans="2:17" x14ac:dyDescent="0.25">
      <c r="B72" s="322" t="s">
        <v>30</v>
      </c>
      <c r="C72" s="247">
        <f>Costs!F36</f>
        <v>253</v>
      </c>
      <c r="D72" s="220"/>
      <c r="E72" s="372"/>
      <c r="F72" s="138">
        <f t="shared" ref="F72:P72" si="26">$C$72*SUM(F40,F34)</f>
        <v>0</v>
      </c>
      <c r="G72" s="239">
        <f t="shared" ca="1" si="26"/>
        <v>0</v>
      </c>
      <c r="H72" s="239">
        <f t="shared" ca="1" si="26"/>
        <v>0</v>
      </c>
      <c r="I72" s="138">
        <f t="shared" ca="1" si="26"/>
        <v>0</v>
      </c>
      <c r="J72" s="239">
        <f t="shared" ca="1" si="26"/>
        <v>28897027.5</v>
      </c>
      <c r="K72" s="239">
        <f t="shared" ca="1" si="26"/>
        <v>28897027.5</v>
      </c>
      <c r="L72" s="239">
        <f t="shared" ca="1" si="26"/>
        <v>0</v>
      </c>
      <c r="M72" s="138">
        <f t="shared" ca="1" si="26"/>
        <v>0</v>
      </c>
      <c r="N72" s="239">
        <f t="shared" ca="1" si="26"/>
        <v>16595535</v>
      </c>
      <c r="O72" s="239">
        <f t="shared" ca="1" si="26"/>
        <v>16595535</v>
      </c>
      <c r="P72" s="138">
        <f t="shared" ca="1" si="26"/>
        <v>0</v>
      </c>
      <c r="Q72" s="7"/>
    </row>
    <row r="73" spans="2:17" x14ac:dyDescent="0.25">
      <c r="B73" s="347" t="s">
        <v>36</v>
      </c>
      <c r="C73" s="524">
        <f>Costs!F53</f>
        <v>50.600000000000009</v>
      </c>
      <c r="D73" s="56"/>
      <c r="E73" s="374"/>
      <c r="F73" s="299">
        <f t="shared" ref="F73:P73" si="27">$C$73*SUM(F40,F34)</f>
        <v>0</v>
      </c>
      <c r="G73" s="143">
        <f t="shared" ca="1" si="27"/>
        <v>0</v>
      </c>
      <c r="H73" s="143">
        <f t="shared" ca="1" si="27"/>
        <v>0</v>
      </c>
      <c r="I73" s="299">
        <f t="shared" ca="1" si="27"/>
        <v>0</v>
      </c>
      <c r="J73" s="143">
        <f t="shared" ca="1" si="27"/>
        <v>5779405.5000000009</v>
      </c>
      <c r="K73" s="143">
        <f t="shared" ca="1" si="27"/>
        <v>5779405.5000000009</v>
      </c>
      <c r="L73" s="143">
        <f t="shared" ca="1" si="27"/>
        <v>0</v>
      </c>
      <c r="M73" s="299">
        <f t="shared" ca="1" si="27"/>
        <v>0</v>
      </c>
      <c r="N73" s="143">
        <f t="shared" ca="1" si="27"/>
        <v>3319107.0000000005</v>
      </c>
      <c r="O73" s="143">
        <f t="shared" ca="1" si="27"/>
        <v>3319107.0000000005</v>
      </c>
      <c r="P73" s="299">
        <f t="shared" ca="1" si="27"/>
        <v>0</v>
      </c>
      <c r="Q73" s="7"/>
    </row>
    <row r="74" spans="2:17" x14ac:dyDescent="0.25">
      <c r="B74" s="323" t="s">
        <v>104</v>
      </c>
      <c r="C74" s="34"/>
      <c r="D74" s="34"/>
      <c r="E74" s="372"/>
      <c r="F74" s="138">
        <f t="shared" ref="F74:P74" si="28">SUM(F72:F73)</f>
        <v>0</v>
      </c>
      <c r="G74" s="239">
        <f t="shared" ca="1" si="28"/>
        <v>0</v>
      </c>
      <c r="H74" s="239">
        <f t="shared" ca="1" si="28"/>
        <v>0</v>
      </c>
      <c r="I74" s="138">
        <f t="shared" ca="1" si="28"/>
        <v>0</v>
      </c>
      <c r="J74" s="239">
        <f t="shared" ca="1" si="28"/>
        <v>34676433</v>
      </c>
      <c r="K74" s="239">
        <f t="shared" ca="1" si="28"/>
        <v>34676433</v>
      </c>
      <c r="L74" s="239">
        <f t="shared" ca="1" si="28"/>
        <v>0</v>
      </c>
      <c r="M74" s="138">
        <f t="shared" ca="1" si="28"/>
        <v>0</v>
      </c>
      <c r="N74" s="239">
        <f t="shared" ca="1" si="28"/>
        <v>19914642</v>
      </c>
      <c r="O74" s="239">
        <f t="shared" ca="1" si="28"/>
        <v>19914642</v>
      </c>
      <c r="P74" s="138">
        <f t="shared" ca="1" si="28"/>
        <v>0</v>
      </c>
      <c r="Q74" s="7"/>
    </row>
    <row r="75" spans="2:17" x14ac:dyDescent="0.25">
      <c r="B75" s="104"/>
      <c r="C75" s="220"/>
      <c r="D75" s="220"/>
      <c r="E75" s="306"/>
      <c r="F75" s="291"/>
      <c r="G75" s="240"/>
      <c r="H75" s="240"/>
      <c r="I75" s="291"/>
      <c r="J75" s="240"/>
      <c r="K75" s="240"/>
      <c r="L75" s="240"/>
      <c r="M75" s="291"/>
      <c r="N75" s="240"/>
      <c r="O75" s="240"/>
      <c r="P75" s="291"/>
      <c r="Q75" s="7"/>
    </row>
    <row r="76" spans="2:17" x14ac:dyDescent="0.25">
      <c r="B76" s="48" t="s">
        <v>202</v>
      </c>
      <c r="C76" s="79"/>
      <c r="D76" s="79"/>
      <c r="E76" s="307"/>
      <c r="F76" s="155">
        <f t="shared" ref="F76:P76" si="29">F66-F74+F68+F69</f>
        <v>0</v>
      </c>
      <c r="G76" s="146">
        <f t="shared" ca="1" si="29"/>
        <v>0</v>
      </c>
      <c r="H76" s="146">
        <f t="shared" ca="1" si="29"/>
        <v>0</v>
      </c>
      <c r="I76" s="155">
        <f t="shared" ca="1" si="29"/>
        <v>0</v>
      </c>
      <c r="J76" s="146">
        <f t="shared" ca="1" si="29"/>
        <v>-34676433</v>
      </c>
      <c r="K76" s="146">
        <f t="shared" ca="1" si="29"/>
        <v>-32109180.302218139</v>
      </c>
      <c r="L76" s="146">
        <f t="shared" ca="1" si="29"/>
        <v>4073487.775294777</v>
      </c>
      <c r="M76" s="155">
        <f t="shared" ca="1" si="29"/>
        <v>5180815.7741623884</v>
      </c>
      <c r="N76" s="146">
        <f t="shared" ca="1" si="29"/>
        <v>-14581249.634322235</v>
      </c>
      <c r="O76" s="146">
        <f t="shared" ca="1" si="29"/>
        <v>-13053798.680599011</v>
      </c>
      <c r="P76" s="155">
        <f t="shared" ca="1" si="29"/>
        <v>103353262.56775711</v>
      </c>
      <c r="Q76" s="7"/>
    </row>
    <row r="77" spans="2:17" x14ac:dyDescent="0.25">
      <c r="C77" s="5"/>
      <c r="D77" s="5"/>
      <c r="E77" s="5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</row>
    <row r="78" spans="2:17" x14ac:dyDescent="0.25">
      <c r="B78" s="50" t="s">
        <v>130</v>
      </c>
      <c r="C78" s="135">
        <f ca="1">SUM(F76:P76)</f>
        <v>18186904.500074908</v>
      </c>
      <c r="D78" s="5"/>
      <c r="E78" s="5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</row>
    <row r="79" spans="2:17" x14ac:dyDescent="0.25">
      <c r="B79" s="104" t="s">
        <v>228</v>
      </c>
      <c r="C79" s="138">
        <f ca="1">SUM(F74:P74)</f>
        <v>109182150</v>
      </c>
      <c r="D79" s="121"/>
      <c r="E79" s="121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</row>
    <row r="80" spans="2:17" x14ac:dyDescent="0.25">
      <c r="B80" s="104" t="s">
        <v>202</v>
      </c>
      <c r="C80" s="136">
        <f ca="1">IRR(F76:P76)</f>
        <v>4.3660331852376055E-2</v>
      </c>
      <c r="D80" s="5"/>
      <c r="E80" s="5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</row>
    <row r="81" spans="2:17" x14ac:dyDescent="0.25">
      <c r="B81" s="51" t="s">
        <v>201</v>
      </c>
      <c r="C81" s="137">
        <f ca="1">C78/C79</f>
        <v>0.16657397294406556</v>
      </c>
      <c r="D81" s="5"/>
      <c r="E81" s="5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</row>
    <row r="82" spans="2:17" x14ac:dyDescent="0.25">
      <c r="C82" s="5"/>
      <c r="D82" s="5"/>
      <c r="E82" s="5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</row>
  </sheetData>
  <mergeCells count="2">
    <mergeCell ref="F27:P27"/>
    <mergeCell ref="B5:E25"/>
  </mergeCells>
  <conditionalFormatting sqref="A27:P32 A39:P39 A33:B38 A40:A44 E33:P34 D35:P38 A45:P79 A81:P83 A80 C80:P80">
    <cfRule type="cellIs" dxfId="263" priority="20" operator="lessThan">
      <formula>0</formula>
    </cfRule>
  </conditionalFormatting>
  <conditionalFormatting sqref="D33">
    <cfRule type="cellIs" dxfId="262" priority="12" operator="lessThan">
      <formula>0</formula>
    </cfRule>
  </conditionalFormatting>
  <conditionalFormatting sqref="D40">
    <cfRule type="cellIs" dxfId="261" priority="10" operator="lessThan">
      <formula>0</formula>
    </cfRule>
  </conditionalFormatting>
  <conditionalFormatting sqref="C33:C34">
    <cfRule type="cellIs" dxfId="260" priority="16" operator="lessThan">
      <formula>0</formula>
    </cfRule>
  </conditionalFormatting>
  <conditionalFormatting sqref="B40:B44 E40:P40 D42:E42 D44:E44 G42:M42 D41:P41 D43:P43">
    <cfRule type="cellIs" dxfId="259" priority="14" operator="lessThan">
      <formula>0</formula>
    </cfRule>
  </conditionalFormatting>
  <conditionalFormatting sqref="D34">
    <cfRule type="cellIs" dxfId="258" priority="11" operator="lessThan">
      <formula>0</formula>
    </cfRule>
  </conditionalFormatting>
  <conditionalFormatting sqref="N42:P42">
    <cfRule type="cellIs" dxfId="257" priority="9" operator="lessThan">
      <formula>0</formula>
    </cfRule>
  </conditionalFormatting>
  <conditionalFormatting sqref="G44:M44">
    <cfRule type="cellIs" dxfId="256" priority="5" operator="lessThan">
      <formula>0</formula>
    </cfRule>
  </conditionalFormatting>
  <conditionalFormatting sqref="F42">
    <cfRule type="cellIs" dxfId="255" priority="7" operator="lessThan">
      <formula>0</formula>
    </cfRule>
  </conditionalFormatting>
  <conditionalFormatting sqref="F44">
    <cfRule type="cellIs" dxfId="254" priority="3" operator="lessThan">
      <formula>0</formula>
    </cfRule>
  </conditionalFormatting>
  <conditionalFormatting sqref="N44:P44">
    <cfRule type="cellIs" dxfId="253" priority="4" operator="lessThan">
      <formula>0</formula>
    </cfRule>
  </conditionalFormatting>
  <conditionalFormatting sqref="B80">
    <cfRule type="cellIs" dxfId="252" priority="2" operator="lessThan">
      <formula>0</formula>
    </cfRule>
  </conditionalFormatting>
  <conditionalFormatting sqref="B3">
    <cfRule type="cellIs" dxfId="251" priority="1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F0"/>
  </sheetPr>
  <dimension ref="B2:P117"/>
  <sheetViews>
    <sheetView showGridLines="0" zoomScale="85" zoomScaleNormal="85" workbookViewId="0">
      <pane xSplit="5" topLeftCell="F1" activePane="topRight" state="frozen"/>
      <selection pane="topRight" activeCell="H16" sqref="H16"/>
    </sheetView>
  </sheetViews>
  <sheetFormatPr defaultRowHeight="15" x14ac:dyDescent="0.25"/>
  <cols>
    <col min="2" max="2" width="43.28515625" customWidth="1"/>
    <col min="3" max="3" width="14.5703125" style="75" customWidth="1"/>
    <col min="4" max="4" width="12.7109375" style="5" bestFit="1" customWidth="1"/>
    <col min="5" max="5" width="8.85546875" style="5"/>
    <col min="6" max="8" width="18.85546875" customWidth="1"/>
    <col min="9" max="9" width="24.85546875" customWidth="1"/>
    <col min="10" max="16" width="18.85546875" customWidth="1"/>
  </cols>
  <sheetData>
    <row r="2" spans="2:16" ht="18.75" x14ac:dyDescent="0.3">
      <c r="B2" s="8" t="s">
        <v>101</v>
      </c>
    </row>
    <row r="3" spans="2:16" x14ac:dyDescent="0.25">
      <c r="B3" t="s">
        <v>611</v>
      </c>
    </row>
    <row r="5" spans="2:16" x14ac:dyDescent="0.25">
      <c r="B5" s="855" t="s">
        <v>112</v>
      </c>
      <c r="C5" s="855"/>
      <c r="D5" s="855"/>
      <c r="E5" s="855"/>
      <c r="F5" s="45" t="s">
        <v>107</v>
      </c>
      <c r="G5" s="44"/>
      <c r="H5" s="44"/>
      <c r="I5" s="45" t="s">
        <v>110</v>
      </c>
      <c r="J5" s="71" t="s">
        <v>37</v>
      </c>
      <c r="K5" s="44"/>
      <c r="L5" s="45"/>
      <c r="M5" s="44"/>
      <c r="N5" s="44"/>
      <c r="O5" s="44"/>
      <c r="P5" s="44"/>
    </row>
    <row r="6" spans="2:16" x14ac:dyDescent="0.25">
      <c r="B6" s="855"/>
      <c r="C6" s="855"/>
      <c r="D6" s="855"/>
      <c r="E6" s="855"/>
      <c r="F6" s="44" t="s">
        <v>108</v>
      </c>
      <c r="G6" s="57">
        <f ca="1">'Development Schedule'!F332</f>
        <v>352502</v>
      </c>
      <c r="H6" s="44"/>
      <c r="I6" s="44" t="s">
        <v>218</v>
      </c>
      <c r="J6" s="73">
        <v>50</v>
      </c>
      <c r="K6" s="44"/>
      <c r="L6" s="44"/>
      <c r="M6" s="47"/>
      <c r="N6" s="44"/>
      <c r="O6" s="44"/>
      <c r="P6" s="44"/>
    </row>
    <row r="7" spans="2:16" x14ac:dyDescent="0.25">
      <c r="B7" s="855"/>
      <c r="C7" s="855"/>
      <c r="D7" s="855"/>
      <c r="E7" s="855"/>
      <c r="F7" s="44" t="s">
        <v>126</v>
      </c>
      <c r="G7" s="57">
        <f ca="1">G6*G8</f>
        <v>317251.8</v>
      </c>
      <c r="H7" s="44"/>
      <c r="I7" s="44" t="s">
        <v>219</v>
      </c>
      <c r="J7" s="72">
        <f>J6*12</f>
        <v>600</v>
      </c>
      <c r="K7" s="44"/>
      <c r="L7" s="44"/>
      <c r="M7" s="85"/>
      <c r="N7" s="44"/>
      <c r="O7" s="44"/>
      <c r="P7" s="44"/>
    </row>
    <row r="8" spans="2:16" x14ac:dyDescent="0.25">
      <c r="B8" s="855"/>
      <c r="C8" s="855"/>
      <c r="D8" s="855"/>
      <c r="E8" s="855"/>
      <c r="F8" s="44" t="s">
        <v>109</v>
      </c>
      <c r="G8" s="47">
        <v>0.9</v>
      </c>
      <c r="H8" s="44"/>
      <c r="I8" s="44" t="s">
        <v>203</v>
      </c>
      <c r="J8" s="73">
        <v>35</v>
      </c>
      <c r="K8" s="44"/>
      <c r="L8" s="44"/>
      <c r="M8" s="47"/>
      <c r="N8" s="44"/>
      <c r="O8" s="44"/>
      <c r="P8" s="44"/>
    </row>
    <row r="9" spans="2:16" x14ac:dyDescent="0.25">
      <c r="B9" s="855"/>
      <c r="C9" s="855"/>
      <c r="D9" s="855"/>
      <c r="E9" s="855"/>
      <c r="F9" s="44" t="s">
        <v>226</v>
      </c>
      <c r="G9" s="47">
        <v>0.7</v>
      </c>
      <c r="H9" s="44"/>
      <c r="I9" s="44" t="s">
        <v>204</v>
      </c>
      <c r="J9" s="72">
        <f>J8*12</f>
        <v>420</v>
      </c>
      <c r="K9" s="44"/>
      <c r="L9" s="44"/>
      <c r="M9" s="52"/>
      <c r="N9" s="44"/>
      <c r="O9" s="44"/>
      <c r="P9" s="44"/>
    </row>
    <row r="10" spans="2:16" x14ac:dyDescent="0.25">
      <c r="B10" s="855"/>
      <c r="C10" s="855"/>
      <c r="D10" s="855"/>
      <c r="E10" s="855"/>
      <c r="F10" s="44" t="s">
        <v>227</v>
      </c>
      <c r="G10" s="47">
        <v>0.3</v>
      </c>
      <c r="H10" s="44"/>
      <c r="I10" s="44"/>
      <c r="J10" s="44"/>
      <c r="K10" s="44"/>
      <c r="L10" s="44"/>
      <c r="M10" s="120"/>
      <c r="N10" s="44"/>
      <c r="O10" s="44"/>
      <c r="P10" s="44"/>
    </row>
    <row r="11" spans="2:16" x14ac:dyDescent="0.25">
      <c r="B11" s="855"/>
      <c r="C11" s="855"/>
      <c r="D11" s="855"/>
      <c r="E11" s="855"/>
      <c r="F11" s="44"/>
      <c r="G11" s="44"/>
      <c r="H11" s="44"/>
      <c r="I11" s="45" t="s">
        <v>124</v>
      </c>
      <c r="J11" s="44"/>
      <c r="K11" s="44"/>
      <c r="L11" s="44"/>
      <c r="M11" s="120"/>
      <c r="N11" s="44"/>
      <c r="O11" s="44"/>
      <c r="P11" s="44"/>
    </row>
    <row r="12" spans="2:16" x14ac:dyDescent="0.25">
      <c r="B12" s="855"/>
      <c r="C12" s="855"/>
      <c r="D12" s="855"/>
      <c r="E12" s="855"/>
      <c r="F12" s="44"/>
      <c r="G12" s="44"/>
      <c r="H12" s="44"/>
      <c r="I12" s="44" t="s">
        <v>55</v>
      </c>
      <c r="J12" s="47">
        <v>0.2</v>
      </c>
      <c r="K12" s="44"/>
      <c r="L12" s="44"/>
      <c r="M12" s="44"/>
      <c r="N12" s="44"/>
      <c r="O12" s="44"/>
      <c r="P12" s="44"/>
    </row>
    <row r="13" spans="2:16" x14ac:dyDescent="0.25">
      <c r="B13" s="855"/>
      <c r="C13" s="855"/>
      <c r="D13" s="855"/>
      <c r="E13" s="855"/>
      <c r="F13" s="45" t="s">
        <v>111</v>
      </c>
      <c r="G13" s="44"/>
      <c r="H13" s="44"/>
      <c r="I13" s="44" t="s">
        <v>56</v>
      </c>
      <c r="J13" s="47">
        <v>0.03</v>
      </c>
      <c r="K13" s="44"/>
      <c r="L13" s="45"/>
      <c r="M13" s="44"/>
      <c r="N13" s="44"/>
      <c r="O13" s="44"/>
      <c r="P13" s="44"/>
    </row>
    <row r="14" spans="2:16" x14ac:dyDescent="0.25">
      <c r="B14" s="855"/>
      <c r="C14" s="855"/>
      <c r="D14" s="855"/>
      <c r="E14" s="855"/>
      <c r="F14" s="44" t="s">
        <v>113</v>
      </c>
      <c r="G14" s="47">
        <v>0.03</v>
      </c>
      <c r="H14" s="44"/>
      <c r="I14" s="44" t="s">
        <v>125</v>
      </c>
      <c r="J14" s="47">
        <v>0.02</v>
      </c>
      <c r="K14" s="44"/>
      <c r="L14" s="44"/>
      <c r="M14" s="44"/>
      <c r="N14" s="44"/>
      <c r="O14" s="44"/>
      <c r="P14" s="44"/>
    </row>
    <row r="15" spans="2:16" x14ac:dyDescent="0.25">
      <c r="B15" s="855"/>
      <c r="C15" s="855"/>
      <c r="D15" s="855"/>
      <c r="E15" s="855"/>
      <c r="F15" s="44" t="s">
        <v>46</v>
      </c>
      <c r="G15" s="47">
        <v>0.03</v>
      </c>
      <c r="H15" s="44"/>
      <c r="I15" s="44" t="s">
        <v>57</v>
      </c>
      <c r="J15" s="47">
        <v>0.05</v>
      </c>
      <c r="K15" s="44"/>
      <c r="L15" s="44"/>
      <c r="M15" s="44"/>
      <c r="N15" s="44"/>
      <c r="O15" s="44"/>
      <c r="P15" s="44"/>
    </row>
    <row r="16" spans="2:16" x14ac:dyDescent="0.25">
      <c r="B16" s="855"/>
      <c r="C16" s="855"/>
      <c r="D16" s="855"/>
      <c r="E16" s="855"/>
      <c r="F16" s="44" t="s">
        <v>93</v>
      </c>
      <c r="G16" s="70">
        <v>0.85</v>
      </c>
      <c r="H16" s="44"/>
      <c r="I16" s="44"/>
      <c r="J16" s="44"/>
      <c r="K16" s="44"/>
      <c r="L16" s="44"/>
      <c r="M16" s="44"/>
      <c r="N16" s="44"/>
      <c r="O16" s="44"/>
      <c r="P16" s="44"/>
    </row>
    <row r="17" spans="2:16" x14ac:dyDescent="0.25">
      <c r="B17" s="855"/>
      <c r="C17" s="855"/>
      <c r="D17" s="855"/>
      <c r="E17" s="855"/>
      <c r="F17" s="44" t="s">
        <v>170</v>
      </c>
      <c r="G17" s="47">
        <v>0.02</v>
      </c>
      <c r="H17" s="44"/>
      <c r="I17" s="44"/>
      <c r="J17" s="44"/>
      <c r="K17" s="44"/>
      <c r="L17" s="44"/>
      <c r="M17" s="44"/>
      <c r="N17" s="44"/>
      <c r="O17" s="44"/>
      <c r="P17" s="44"/>
    </row>
    <row r="18" spans="2:16" x14ac:dyDescent="0.25">
      <c r="B18" s="855"/>
      <c r="C18" s="855"/>
      <c r="D18" s="855"/>
      <c r="E18" s="855"/>
      <c r="F18" s="44" t="s">
        <v>117</v>
      </c>
      <c r="G18" s="833">
        <v>6.5000000000000002E-2</v>
      </c>
      <c r="H18" s="44"/>
      <c r="I18" s="44"/>
      <c r="J18" s="44"/>
      <c r="K18" s="44"/>
      <c r="L18" s="44"/>
      <c r="M18" s="44"/>
      <c r="N18" s="44"/>
      <c r="O18" s="44"/>
      <c r="P18" s="44"/>
    </row>
    <row r="19" spans="2:16" x14ac:dyDescent="0.25">
      <c r="B19" s="855"/>
      <c r="C19" s="855"/>
      <c r="D19" s="855"/>
      <c r="E19" s="855"/>
      <c r="F19" s="44" t="s">
        <v>118</v>
      </c>
      <c r="G19" s="834">
        <v>6.5000000000000002E-2</v>
      </c>
      <c r="H19" s="44"/>
      <c r="I19" s="44"/>
      <c r="J19" s="44"/>
      <c r="K19" s="44"/>
      <c r="L19" s="44"/>
      <c r="M19" s="44"/>
      <c r="N19" s="44"/>
      <c r="O19" s="44"/>
      <c r="P19" s="44"/>
    </row>
    <row r="20" spans="2:16" x14ac:dyDescent="0.25">
      <c r="B20" s="855"/>
      <c r="C20" s="855"/>
      <c r="D20" s="855"/>
      <c r="E20" s="855"/>
      <c r="F20" s="44" t="s">
        <v>43</v>
      </c>
      <c r="G20" s="52">
        <v>10</v>
      </c>
      <c r="H20" s="44" t="s">
        <v>44</v>
      </c>
      <c r="I20" s="44"/>
      <c r="J20" s="44"/>
      <c r="K20" s="44"/>
      <c r="L20" s="44"/>
      <c r="M20" s="44"/>
      <c r="N20" s="44"/>
      <c r="O20" s="44"/>
      <c r="P20" s="44"/>
    </row>
    <row r="21" spans="2:16" x14ac:dyDescent="0.25">
      <c r="B21" s="855"/>
      <c r="C21" s="855"/>
      <c r="D21" s="855"/>
      <c r="E21" s="855"/>
      <c r="F21" s="44" t="s">
        <v>119</v>
      </c>
      <c r="G21" s="69">
        <v>0.02</v>
      </c>
      <c r="H21" s="44"/>
      <c r="I21" s="44"/>
      <c r="J21" s="44"/>
      <c r="K21" s="44"/>
      <c r="L21" s="44"/>
      <c r="M21" s="44"/>
      <c r="N21" s="44"/>
      <c r="O21" s="44"/>
      <c r="P21" s="44"/>
    </row>
    <row r="22" spans="2:16" x14ac:dyDescent="0.25">
      <c r="B22" s="855"/>
      <c r="C22" s="855"/>
      <c r="D22" s="855"/>
      <c r="E22" s="855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</row>
    <row r="24" spans="2:16" x14ac:dyDescent="0.25">
      <c r="F24" s="853" t="s">
        <v>49</v>
      </c>
      <c r="G24" s="853"/>
      <c r="H24" s="853"/>
      <c r="I24" s="853"/>
      <c r="J24" s="853"/>
      <c r="K24" s="853"/>
      <c r="L24" s="853"/>
      <c r="M24" s="853"/>
      <c r="N24" s="853"/>
      <c r="O24" s="853"/>
      <c r="P24" s="853"/>
    </row>
    <row r="25" spans="2:16" x14ac:dyDescent="0.25">
      <c r="F25" s="377" t="s">
        <v>105</v>
      </c>
      <c r="G25" s="311" t="s">
        <v>28</v>
      </c>
      <c r="H25" s="311" t="s">
        <v>28</v>
      </c>
      <c r="I25" s="312" t="s">
        <v>28</v>
      </c>
      <c r="J25" s="313" t="s">
        <v>47</v>
      </c>
      <c r="K25" s="313" t="s">
        <v>47</v>
      </c>
      <c r="L25" s="313" t="s">
        <v>47</v>
      </c>
      <c r="M25" s="314" t="s">
        <v>47</v>
      </c>
      <c r="N25" s="315" t="s">
        <v>48</v>
      </c>
      <c r="O25" s="315" t="s">
        <v>48</v>
      </c>
      <c r="P25" s="316" t="s">
        <v>48</v>
      </c>
    </row>
    <row r="26" spans="2:16" x14ac:dyDescent="0.25">
      <c r="B26" s="317"/>
      <c r="C26" s="378"/>
      <c r="D26" s="318"/>
      <c r="E26" s="318"/>
      <c r="F26" s="274">
        <v>0</v>
      </c>
      <c r="G26" s="320">
        <f>F26+1</f>
        <v>1</v>
      </c>
      <c r="H26" s="320">
        <f t="shared" ref="H26:P27" si="0">G26+1</f>
        <v>2</v>
      </c>
      <c r="I26" s="274">
        <f t="shared" si="0"/>
        <v>3</v>
      </c>
      <c r="J26" s="320">
        <f t="shared" si="0"/>
        <v>4</v>
      </c>
      <c r="K26" s="320">
        <f t="shared" si="0"/>
        <v>5</v>
      </c>
      <c r="L26" s="320">
        <f t="shared" si="0"/>
        <v>6</v>
      </c>
      <c r="M26" s="274">
        <f t="shared" si="0"/>
        <v>7</v>
      </c>
      <c r="N26" s="320">
        <f t="shared" si="0"/>
        <v>8</v>
      </c>
      <c r="O26" s="320">
        <f t="shared" si="0"/>
        <v>9</v>
      </c>
      <c r="P26" s="274">
        <f t="shared" si="0"/>
        <v>10</v>
      </c>
    </row>
    <row r="27" spans="2:16" x14ac:dyDescent="0.25">
      <c r="B27" s="321"/>
      <c r="C27" s="379"/>
      <c r="D27" s="221"/>
      <c r="E27" s="221"/>
      <c r="F27" s="278" t="s">
        <v>177</v>
      </c>
      <c r="G27" s="225">
        <v>2022</v>
      </c>
      <c r="H27" s="225">
        <f t="shared" si="0"/>
        <v>2023</v>
      </c>
      <c r="I27" s="278">
        <f t="shared" si="0"/>
        <v>2024</v>
      </c>
      <c r="J27" s="225">
        <f t="shared" si="0"/>
        <v>2025</v>
      </c>
      <c r="K27" s="225">
        <f t="shared" si="0"/>
        <v>2026</v>
      </c>
      <c r="L27" s="225">
        <f t="shared" si="0"/>
        <v>2027</v>
      </c>
      <c r="M27" s="278">
        <f t="shared" si="0"/>
        <v>2028</v>
      </c>
      <c r="N27" s="225">
        <f t="shared" si="0"/>
        <v>2029</v>
      </c>
      <c r="O27" s="225">
        <f t="shared" si="0"/>
        <v>2030</v>
      </c>
      <c r="P27" s="278">
        <f t="shared" si="0"/>
        <v>2031</v>
      </c>
    </row>
    <row r="28" spans="2:16" x14ac:dyDescent="0.25">
      <c r="B28" s="323" t="s">
        <v>135</v>
      </c>
      <c r="C28" s="76"/>
      <c r="D28" s="76"/>
      <c r="E28" s="76"/>
      <c r="F28" s="286"/>
      <c r="G28" s="226"/>
      <c r="H28" s="226"/>
      <c r="I28" s="286"/>
      <c r="J28" s="226"/>
      <c r="K28" s="226"/>
      <c r="L28" s="226"/>
      <c r="M28" s="286"/>
      <c r="N28" s="226"/>
      <c r="O28" s="226"/>
      <c r="P28" s="286"/>
    </row>
    <row r="29" spans="2:16" x14ac:dyDescent="0.25">
      <c r="B29" s="323"/>
      <c r="C29" s="76"/>
      <c r="D29" s="76"/>
      <c r="E29" s="76"/>
      <c r="F29" s="286"/>
      <c r="G29" s="226"/>
      <c r="H29" s="226"/>
      <c r="I29" s="286"/>
      <c r="J29" s="226"/>
      <c r="K29" s="226"/>
      <c r="L29" s="226"/>
      <c r="M29" s="286"/>
      <c r="N29" s="226"/>
      <c r="O29" s="226"/>
      <c r="P29" s="286"/>
    </row>
    <row r="30" spans="2:16" x14ac:dyDescent="0.25">
      <c r="B30" s="323"/>
      <c r="C30" s="125" t="s">
        <v>109</v>
      </c>
      <c r="D30" s="125" t="s">
        <v>283</v>
      </c>
      <c r="E30" s="49"/>
      <c r="F30" s="286"/>
      <c r="G30" s="226"/>
      <c r="H30" s="226"/>
      <c r="I30" s="286"/>
      <c r="J30" s="226"/>
      <c r="K30" s="226"/>
      <c r="L30" s="226"/>
      <c r="M30" s="286"/>
      <c r="N30" s="226"/>
      <c r="O30" s="226"/>
      <c r="P30" s="286"/>
    </row>
    <row r="31" spans="2:16" x14ac:dyDescent="0.25">
      <c r="B31" s="324" t="s">
        <v>278</v>
      </c>
      <c r="C31" s="227">
        <f>$G$8</f>
        <v>0.9</v>
      </c>
      <c r="D31" s="349">
        <f ca="1">SUM(F31:P31)*C31</f>
        <v>4951.8</v>
      </c>
      <c r="E31" s="349"/>
      <c r="F31" s="290">
        <f>'Development Schedule'!E74</f>
        <v>0</v>
      </c>
      <c r="G31" s="333">
        <f ca="1">'Development Schedule'!F74</f>
        <v>0</v>
      </c>
      <c r="H31" s="333">
        <f ca="1">'Development Schedule'!G74</f>
        <v>0</v>
      </c>
      <c r="I31" s="290">
        <f ca="1">'Development Schedule'!H74</f>
        <v>0</v>
      </c>
      <c r="J31" s="333">
        <f>'Development Schedule'!I74</f>
        <v>5502</v>
      </c>
      <c r="K31" s="333">
        <f ca="1">'Development Schedule'!J74</f>
        <v>0</v>
      </c>
      <c r="L31" s="333">
        <f ca="1">'Development Schedule'!K74</f>
        <v>0</v>
      </c>
      <c r="M31" s="290">
        <f ca="1">'Development Schedule'!L74</f>
        <v>0</v>
      </c>
      <c r="N31" s="333">
        <f ca="1">'Development Schedule'!M74</f>
        <v>0</v>
      </c>
      <c r="O31" s="333">
        <f ca="1">'Development Schedule'!N74</f>
        <v>0</v>
      </c>
      <c r="P31" s="290">
        <f ca="1">'Development Schedule'!O74</f>
        <v>0</v>
      </c>
    </row>
    <row r="32" spans="2:16" x14ac:dyDescent="0.25">
      <c r="B32" s="322" t="s">
        <v>320</v>
      </c>
      <c r="C32" s="327"/>
      <c r="D32" s="380"/>
      <c r="E32" s="375"/>
      <c r="F32" s="288">
        <f>F31*$C$31+E32</f>
        <v>0</v>
      </c>
      <c r="G32" s="329">
        <f t="shared" ref="G32:P32" ca="1" si="1">G31*$C$31+F32</f>
        <v>0</v>
      </c>
      <c r="H32" s="329">
        <f t="shared" ca="1" si="1"/>
        <v>0</v>
      </c>
      <c r="I32" s="288">
        <f t="shared" ca="1" si="1"/>
        <v>0</v>
      </c>
      <c r="J32" s="329">
        <f t="shared" ca="1" si="1"/>
        <v>4951.8</v>
      </c>
      <c r="K32" s="329">
        <f t="shared" ca="1" si="1"/>
        <v>4951.8</v>
      </c>
      <c r="L32" s="329">
        <f t="shared" ca="1" si="1"/>
        <v>4951.8</v>
      </c>
      <c r="M32" s="288">
        <f t="shared" ca="1" si="1"/>
        <v>4951.8</v>
      </c>
      <c r="N32" s="329">
        <f t="shared" ca="1" si="1"/>
        <v>4951.8</v>
      </c>
      <c r="O32" s="329">
        <f t="shared" ca="1" si="1"/>
        <v>4951.8</v>
      </c>
      <c r="P32" s="288">
        <f t="shared" ca="1" si="1"/>
        <v>4951.8</v>
      </c>
    </row>
    <row r="33" spans="2:16" x14ac:dyDescent="0.25">
      <c r="B33" s="322" t="s">
        <v>192</v>
      </c>
      <c r="C33" s="327"/>
      <c r="D33" s="76"/>
      <c r="E33" s="123"/>
      <c r="F33" s="289">
        <f>IF(F32&gt;0,85%,0)</f>
        <v>0</v>
      </c>
      <c r="G33" s="332">
        <f t="shared" ref="G33:I33" ca="1" si="2">IF(G32&gt;0,85%,0)</f>
        <v>0</v>
      </c>
      <c r="H33" s="332">
        <f t="shared" ca="1" si="2"/>
        <v>0</v>
      </c>
      <c r="I33" s="289">
        <f t="shared" ca="1" si="2"/>
        <v>0</v>
      </c>
      <c r="J33" s="332">
        <v>0</v>
      </c>
      <c r="K33" s="332">
        <v>0.85</v>
      </c>
      <c r="L33" s="332">
        <f t="shared" ref="L33:P33" si="3">K33</f>
        <v>0.85</v>
      </c>
      <c r="M33" s="289">
        <f t="shared" si="3"/>
        <v>0.85</v>
      </c>
      <c r="N33" s="332">
        <f t="shared" si="3"/>
        <v>0.85</v>
      </c>
      <c r="O33" s="332">
        <f t="shared" si="3"/>
        <v>0.85</v>
      </c>
      <c r="P33" s="289">
        <f t="shared" si="3"/>
        <v>0.85</v>
      </c>
    </row>
    <row r="34" spans="2:16" x14ac:dyDescent="0.25">
      <c r="B34" s="323"/>
      <c r="C34" s="76"/>
      <c r="D34" s="76"/>
      <c r="E34" s="76"/>
      <c r="F34" s="286"/>
      <c r="G34" s="226"/>
      <c r="H34" s="226"/>
      <c r="I34" s="286"/>
      <c r="J34" s="226"/>
      <c r="K34" s="226"/>
      <c r="L34" s="226"/>
      <c r="M34" s="286"/>
      <c r="N34" s="226"/>
      <c r="O34" s="226"/>
      <c r="P34" s="286"/>
    </row>
    <row r="35" spans="2:16" x14ac:dyDescent="0.25">
      <c r="B35" s="324" t="s">
        <v>403</v>
      </c>
      <c r="C35" s="227">
        <f>$G$8</f>
        <v>0.9</v>
      </c>
      <c r="D35" s="349">
        <f ca="1">SUM(F35:P35)*C35</f>
        <v>15813</v>
      </c>
      <c r="E35" s="349"/>
      <c r="F35" s="290">
        <f>'Development Schedule'!E149</f>
        <v>0</v>
      </c>
      <c r="G35" s="333">
        <f ca="1">'Development Schedule'!F149</f>
        <v>0</v>
      </c>
      <c r="H35" s="333">
        <f>'Development Schedule'!G149</f>
        <v>17570</v>
      </c>
      <c r="I35" s="290">
        <f ca="1">'Development Schedule'!H149</f>
        <v>0</v>
      </c>
      <c r="J35" s="333">
        <f ca="1">'Development Schedule'!I149</f>
        <v>0</v>
      </c>
      <c r="K35" s="333">
        <f ca="1">'Development Schedule'!J149</f>
        <v>0</v>
      </c>
      <c r="L35" s="333">
        <f ca="1">'Development Schedule'!K149</f>
        <v>0</v>
      </c>
      <c r="M35" s="290">
        <f ca="1">'Development Schedule'!L149</f>
        <v>0</v>
      </c>
      <c r="N35" s="333">
        <f ca="1">'Development Schedule'!M149</f>
        <v>0</v>
      </c>
      <c r="O35" s="333">
        <f ca="1">'Development Schedule'!N149</f>
        <v>0</v>
      </c>
      <c r="P35" s="290">
        <f ca="1">'Development Schedule'!O149</f>
        <v>0</v>
      </c>
    </row>
    <row r="36" spans="2:16" x14ac:dyDescent="0.25">
      <c r="B36" s="322" t="s">
        <v>320</v>
      </c>
      <c r="C36" s="327"/>
      <c r="D36" s="380"/>
      <c r="E36" s="375"/>
      <c r="F36" s="288">
        <f>F35*$C$31+E36</f>
        <v>0</v>
      </c>
      <c r="G36" s="329">
        <f t="shared" ref="G36:P36" ca="1" si="4">G35*$C$31+F36</f>
        <v>0</v>
      </c>
      <c r="H36" s="329">
        <f t="shared" ca="1" si="4"/>
        <v>15813</v>
      </c>
      <c r="I36" s="288">
        <f t="shared" ca="1" si="4"/>
        <v>15813</v>
      </c>
      <c r="J36" s="329">
        <f t="shared" ca="1" si="4"/>
        <v>15813</v>
      </c>
      <c r="K36" s="329">
        <f t="shared" ca="1" si="4"/>
        <v>15813</v>
      </c>
      <c r="L36" s="329">
        <f t="shared" ca="1" si="4"/>
        <v>15813</v>
      </c>
      <c r="M36" s="288">
        <f t="shared" ca="1" si="4"/>
        <v>15813</v>
      </c>
      <c r="N36" s="329">
        <f t="shared" ca="1" si="4"/>
        <v>15813</v>
      </c>
      <c r="O36" s="329">
        <f t="shared" ca="1" si="4"/>
        <v>15813</v>
      </c>
      <c r="P36" s="288">
        <f t="shared" ca="1" si="4"/>
        <v>15813</v>
      </c>
    </row>
    <row r="37" spans="2:16" x14ac:dyDescent="0.25">
      <c r="B37" s="322" t="s">
        <v>192</v>
      </c>
      <c r="C37" s="327"/>
      <c r="D37" s="76"/>
      <c r="E37" s="123"/>
      <c r="F37" s="289">
        <f>IF(F36&gt;0,85%,0)</f>
        <v>0</v>
      </c>
      <c r="G37" s="332">
        <v>0</v>
      </c>
      <c r="H37" s="332">
        <f>G37</f>
        <v>0</v>
      </c>
      <c r="I37" s="289">
        <v>0.85</v>
      </c>
      <c r="J37" s="332">
        <f t="shared" ref="J37:P37" si="5">I37</f>
        <v>0.85</v>
      </c>
      <c r="K37" s="332">
        <f t="shared" si="5"/>
        <v>0.85</v>
      </c>
      <c r="L37" s="332">
        <f t="shared" si="5"/>
        <v>0.85</v>
      </c>
      <c r="M37" s="289">
        <f t="shared" si="5"/>
        <v>0.85</v>
      </c>
      <c r="N37" s="332">
        <f t="shared" si="5"/>
        <v>0.85</v>
      </c>
      <c r="O37" s="332">
        <f t="shared" si="5"/>
        <v>0.85</v>
      </c>
      <c r="P37" s="289">
        <f t="shared" si="5"/>
        <v>0.85</v>
      </c>
    </row>
    <row r="38" spans="2:16" x14ac:dyDescent="0.25">
      <c r="B38" s="323"/>
      <c r="C38" s="76"/>
      <c r="D38" s="76"/>
      <c r="E38" s="76"/>
      <c r="F38" s="286"/>
      <c r="G38" s="226"/>
      <c r="H38" s="226"/>
      <c r="I38" s="286"/>
      <c r="J38" s="226"/>
      <c r="K38" s="226"/>
      <c r="L38" s="226"/>
      <c r="M38" s="286"/>
      <c r="N38" s="226"/>
      <c r="O38" s="226"/>
      <c r="P38" s="286"/>
    </row>
    <row r="39" spans="2:16" x14ac:dyDescent="0.25">
      <c r="B39" s="324" t="s">
        <v>279</v>
      </c>
      <c r="C39" s="227">
        <f>$G$8</f>
        <v>0.9</v>
      </c>
      <c r="D39" s="349">
        <f ca="1">SUM(F39:P39)*C39</f>
        <v>7906.5</v>
      </c>
      <c r="E39" s="349"/>
      <c r="F39" s="290">
        <f>'Development Schedule'!E164</f>
        <v>0</v>
      </c>
      <c r="G39" s="333">
        <f>'Development Schedule'!F164</f>
        <v>8785</v>
      </c>
      <c r="H39" s="333">
        <f ca="1">'Development Schedule'!G164</f>
        <v>0</v>
      </c>
      <c r="I39" s="290">
        <f ca="1">'Development Schedule'!H164</f>
        <v>0</v>
      </c>
      <c r="J39" s="333">
        <f ca="1">'Development Schedule'!I164</f>
        <v>0</v>
      </c>
      <c r="K39" s="333">
        <f ca="1">'Development Schedule'!J164</f>
        <v>0</v>
      </c>
      <c r="L39" s="333">
        <f ca="1">'Development Schedule'!K164</f>
        <v>0</v>
      </c>
      <c r="M39" s="290">
        <f ca="1">'Development Schedule'!L164</f>
        <v>0</v>
      </c>
      <c r="N39" s="333">
        <f ca="1">'Development Schedule'!M164</f>
        <v>0</v>
      </c>
      <c r="O39" s="333">
        <f ca="1">'Development Schedule'!N164</f>
        <v>0</v>
      </c>
      <c r="P39" s="290">
        <f ca="1">'Development Schedule'!O164</f>
        <v>0</v>
      </c>
    </row>
    <row r="40" spans="2:16" x14ac:dyDescent="0.25">
      <c r="B40" s="322" t="s">
        <v>320</v>
      </c>
      <c r="C40" s="327"/>
      <c r="D40" s="380"/>
      <c r="E40" s="375"/>
      <c r="F40" s="288">
        <f>F39*$C$31+E40</f>
        <v>0</v>
      </c>
      <c r="G40" s="329">
        <f t="shared" ref="G40" si="6">G39*$C$31+F40</f>
        <v>7906.5</v>
      </c>
      <c r="H40" s="329">
        <f t="shared" ref="H40" ca="1" si="7">H39*$C$31+G40</f>
        <v>7906.5</v>
      </c>
      <c r="I40" s="288">
        <f t="shared" ref="I40" ca="1" si="8">I39*$C$31+H40</f>
        <v>7906.5</v>
      </c>
      <c r="J40" s="329">
        <f t="shared" ref="J40" ca="1" si="9">J39*$C$31+I40</f>
        <v>7906.5</v>
      </c>
      <c r="K40" s="329">
        <f t="shared" ref="K40" ca="1" si="10">K39*$C$31+J40</f>
        <v>7906.5</v>
      </c>
      <c r="L40" s="329">
        <f t="shared" ref="L40" ca="1" si="11">L39*$C$31+K40</f>
        <v>7906.5</v>
      </c>
      <c r="M40" s="288">
        <f t="shared" ref="M40" ca="1" si="12">M39*$C$31+L40</f>
        <v>7906.5</v>
      </c>
      <c r="N40" s="329">
        <f t="shared" ref="N40" ca="1" si="13">N39*$C$31+M40</f>
        <v>7906.5</v>
      </c>
      <c r="O40" s="329">
        <f t="shared" ref="O40" ca="1" si="14">O39*$C$31+N40</f>
        <v>7906.5</v>
      </c>
      <c r="P40" s="288">
        <f t="shared" ref="P40" ca="1" si="15">P39*$C$31+O40</f>
        <v>7906.5</v>
      </c>
    </row>
    <row r="41" spans="2:16" x14ac:dyDescent="0.25">
      <c r="B41" s="322" t="s">
        <v>192</v>
      </c>
      <c r="C41" s="327"/>
      <c r="D41" s="76"/>
      <c r="E41" s="123"/>
      <c r="F41" s="289">
        <f>IF(F40&gt;0,85%,0)</f>
        <v>0</v>
      </c>
      <c r="G41" s="332">
        <v>0</v>
      </c>
      <c r="H41" s="332">
        <f>G41</f>
        <v>0</v>
      </c>
      <c r="I41" s="289">
        <v>0.85</v>
      </c>
      <c r="J41" s="332">
        <f t="shared" ref="J41:P41" si="16">I41</f>
        <v>0.85</v>
      </c>
      <c r="K41" s="332">
        <f t="shared" si="16"/>
        <v>0.85</v>
      </c>
      <c r="L41" s="332">
        <f t="shared" si="16"/>
        <v>0.85</v>
      </c>
      <c r="M41" s="289">
        <f t="shared" si="16"/>
        <v>0.85</v>
      </c>
      <c r="N41" s="332">
        <f t="shared" si="16"/>
        <v>0.85</v>
      </c>
      <c r="O41" s="332">
        <f t="shared" si="16"/>
        <v>0.85</v>
      </c>
      <c r="P41" s="289">
        <f t="shared" si="16"/>
        <v>0.85</v>
      </c>
    </row>
    <row r="42" spans="2:16" x14ac:dyDescent="0.25">
      <c r="B42" s="323"/>
      <c r="C42" s="76"/>
      <c r="D42" s="76"/>
      <c r="E42" s="76"/>
      <c r="F42" s="286"/>
      <c r="G42" s="226"/>
      <c r="H42" s="226"/>
      <c r="I42" s="286"/>
      <c r="J42" s="226"/>
      <c r="K42" s="226"/>
      <c r="L42" s="226"/>
      <c r="M42" s="286"/>
      <c r="N42" s="226"/>
      <c r="O42" s="226"/>
      <c r="P42" s="286"/>
    </row>
    <row r="43" spans="2:16" x14ac:dyDescent="0.25">
      <c r="B43" s="324" t="s">
        <v>280</v>
      </c>
      <c r="C43" s="227">
        <f>$G$8</f>
        <v>0.9</v>
      </c>
      <c r="D43" s="349">
        <f ca="1">SUM(F43:P43)*C43</f>
        <v>12399.300000000001</v>
      </c>
      <c r="E43" s="349"/>
      <c r="F43" s="290">
        <f>'Development Schedule'!E179</f>
        <v>0</v>
      </c>
      <c r="G43" s="333">
        <f>'Development Schedule'!F179</f>
        <v>6888.5</v>
      </c>
      <c r="H43" s="333">
        <f>'Development Schedule'!G179</f>
        <v>6888.5</v>
      </c>
      <c r="I43" s="290">
        <f ca="1">'Development Schedule'!H179</f>
        <v>0</v>
      </c>
      <c r="J43" s="333">
        <f ca="1">'Development Schedule'!I179</f>
        <v>0</v>
      </c>
      <c r="K43" s="333">
        <f ca="1">'Development Schedule'!J179</f>
        <v>0</v>
      </c>
      <c r="L43" s="333">
        <f ca="1">'Development Schedule'!K179</f>
        <v>0</v>
      </c>
      <c r="M43" s="290">
        <f ca="1">'Development Schedule'!L179</f>
        <v>0</v>
      </c>
      <c r="N43" s="333">
        <f ca="1">'Development Schedule'!M179</f>
        <v>0</v>
      </c>
      <c r="O43" s="333">
        <f ca="1">'Development Schedule'!N179</f>
        <v>0</v>
      </c>
      <c r="P43" s="290">
        <f ca="1">'Development Schedule'!O179</f>
        <v>0</v>
      </c>
    </row>
    <row r="44" spans="2:16" x14ac:dyDescent="0.25">
      <c r="B44" s="322" t="s">
        <v>320</v>
      </c>
      <c r="C44" s="327"/>
      <c r="D44" s="380"/>
      <c r="E44" s="375"/>
      <c r="F44" s="288">
        <f>F43*$C$31+E44</f>
        <v>0</v>
      </c>
      <c r="G44" s="329">
        <f t="shared" ref="G44" si="17">G43*$C$31+F44</f>
        <v>6199.6500000000005</v>
      </c>
      <c r="H44" s="329">
        <f t="shared" ref="H44" si="18">H43*$C$31+G44</f>
        <v>12399.300000000001</v>
      </c>
      <c r="I44" s="288">
        <f t="shared" ref="I44" ca="1" si="19">I43*$C$31+H44</f>
        <v>12399.300000000001</v>
      </c>
      <c r="J44" s="329">
        <f t="shared" ref="J44" ca="1" si="20">J43*$C$31+I44</f>
        <v>12399.300000000001</v>
      </c>
      <c r="K44" s="329">
        <f t="shared" ref="K44" ca="1" si="21">K43*$C$31+J44</f>
        <v>12399.300000000001</v>
      </c>
      <c r="L44" s="329">
        <f t="shared" ref="L44" ca="1" si="22">L43*$C$31+K44</f>
        <v>12399.300000000001</v>
      </c>
      <c r="M44" s="288">
        <f t="shared" ref="M44" ca="1" si="23">M43*$C$31+L44</f>
        <v>12399.300000000001</v>
      </c>
      <c r="N44" s="329">
        <f t="shared" ref="N44" ca="1" si="24">N43*$C$31+M44</f>
        <v>12399.300000000001</v>
      </c>
      <c r="O44" s="329">
        <f t="shared" ref="O44" ca="1" si="25">O43*$C$31+N44</f>
        <v>12399.300000000001</v>
      </c>
      <c r="P44" s="288">
        <f t="shared" ref="P44" ca="1" si="26">P43*$C$31+O44</f>
        <v>12399.300000000001</v>
      </c>
    </row>
    <row r="45" spans="2:16" x14ac:dyDescent="0.25">
      <c r="B45" s="322" t="s">
        <v>192</v>
      </c>
      <c r="C45" s="327"/>
      <c r="D45" s="76"/>
      <c r="E45" s="123"/>
      <c r="F45" s="289">
        <f>IF(F44&gt;0,85%,0)</f>
        <v>0</v>
      </c>
      <c r="G45" s="332">
        <v>0</v>
      </c>
      <c r="H45" s="332">
        <f>G45</f>
        <v>0</v>
      </c>
      <c r="I45" s="289">
        <v>0.85</v>
      </c>
      <c r="J45" s="332">
        <f t="shared" ref="J45:P45" si="27">I45</f>
        <v>0.85</v>
      </c>
      <c r="K45" s="332">
        <f t="shared" si="27"/>
        <v>0.85</v>
      </c>
      <c r="L45" s="332">
        <f t="shared" si="27"/>
        <v>0.85</v>
      </c>
      <c r="M45" s="289">
        <f t="shared" si="27"/>
        <v>0.85</v>
      </c>
      <c r="N45" s="332">
        <f t="shared" si="27"/>
        <v>0.85</v>
      </c>
      <c r="O45" s="332">
        <f t="shared" si="27"/>
        <v>0.85</v>
      </c>
      <c r="P45" s="289">
        <f t="shared" si="27"/>
        <v>0.85</v>
      </c>
    </row>
    <row r="46" spans="2:16" x14ac:dyDescent="0.25">
      <c r="B46" s="323"/>
      <c r="C46" s="76"/>
      <c r="D46" s="76"/>
      <c r="E46" s="76"/>
      <c r="F46" s="286"/>
      <c r="G46" s="226"/>
      <c r="H46" s="226"/>
      <c r="I46" s="286"/>
      <c r="J46" s="226"/>
      <c r="K46" s="226"/>
      <c r="L46" s="226"/>
      <c r="M46" s="286"/>
      <c r="N46" s="226"/>
      <c r="O46" s="226"/>
      <c r="P46" s="286"/>
    </row>
    <row r="47" spans="2:16" x14ac:dyDescent="0.25">
      <c r="B47" s="324" t="s">
        <v>281</v>
      </c>
      <c r="C47" s="227">
        <f>$G$8</f>
        <v>0.9</v>
      </c>
      <c r="D47" s="349">
        <f ca="1">SUM(F47:P47)*C47</f>
        <v>7036.2</v>
      </c>
      <c r="E47" s="349"/>
      <c r="F47" s="290">
        <f>'Development Schedule'!E254</f>
        <v>0</v>
      </c>
      <c r="G47" s="333">
        <f ca="1">'Development Schedule'!F254</f>
        <v>0</v>
      </c>
      <c r="H47" s="333">
        <f ca="1">'Development Schedule'!G254</f>
        <v>0</v>
      </c>
      <c r="I47" s="290">
        <f ca="1">'Development Schedule'!H254</f>
        <v>0</v>
      </c>
      <c r="J47" s="333">
        <f>'Development Schedule'!I254</f>
        <v>0</v>
      </c>
      <c r="K47" s="333">
        <f>'Development Schedule'!J254</f>
        <v>7818</v>
      </c>
      <c r="L47" s="333">
        <f ca="1">'Development Schedule'!K254</f>
        <v>0</v>
      </c>
      <c r="M47" s="290">
        <f ca="1">'Development Schedule'!L254</f>
        <v>0</v>
      </c>
      <c r="N47" s="333">
        <f ca="1">'Development Schedule'!M254</f>
        <v>0</v>
      </c>
      <c r="O47" s="333">
        <f ca="1">'Development Schedule'!N254</f>
        <v>0</v>
      </c>
      <c r="P47" s="290">
        <f ca="1">'Development Schedule'!O254</f>
        <v>0</v>
      </c>
    </row>
    <row r="48" spans="2:16" x14ac:dyDescent="0.25">
      <c r="B48" s="322" t="s">
        <v>320</v>
      </c>
      <c r="C48" s="327"/>
      <c r="D48" s="380"/>
      <c r="E48" s="375"/>
      <c r="F48" s="288">
        <f>F47*$C$31+E48</f>
        <v>0</v>
      </c>
      <c r="G48" s="329">
        <f t="shared" ref="G48" ca="1" si="28">G47*$C$31+F48</f>
        <v>0</v>
      </c>
      <c r="H48" s="329">
        <f t="shared" ref="H48" ca="1" si="29">H47*$C$31+G48</f>
        <v>0</v>
      </c>
      <c r="I48" s="288">
        <f t="shared" ref="I48" ca="1" si="30">I47*$C$31+H48</f>
        <v>0</v>
      </c>
      <c r="J48" s="329">
        <f t="shared" ref="J48" ca="1" si="31">J47*$C$31+I48</f>
        <v>0</v>
      </c>
      <c r="K48" s="329">
        <f t="shared" ref="K48" ca="1" si="32">K47*$C$31+J48</f>
        <v>7036.2</v>
      </c>
      <c r="L48" s="329">
        <f t="shared" ref="L48" ca="1" si="33">L47*$C$31+K48</f>
        <v>7036.2</v>
      </c>
      <c r="M48" s="288">
        <f t="shared" ref="M48" ca="1" si="34">M47*$C$31+L48</f>
        <v>7036.2</v>
      </c>
      <c r="N48" s="329">
        <f t="shared" ref="N48" ca="1" si="35">N47*$C$31+M48</f>
        <v>7036.2</v>
      </c>
      <c r="O48" s="329">
        <f t="shared" ref="O48" ca="1" si="36">O47*$C$31+N48</f>
        <v>7036.2</v>
      </c>
      <c r="P48" s="288">
        <f t="shared" ref="P48" ca="1" si="37">P47*$C$31+O48</f>
        <v>7036.2</v>
      </c>
    </row>
    <row r="49" spans="2:16" x14ac:dyDescent="0.25">
      <c r="B49" s="322" t="s">
        <v>192</v>
      </c>
      <c r="C49" s="327"/>
      <c r="D49" s="76"/>
      <c r="E49" s="123"/>
      <c r="F49" s="289">
        <f>IF(F48&gt;0,85%,0)</f>
        <v>0</v>
      </c>
      <c r="G49" s="332">
        <f t="shared" ref="G49" ca="1" si="38">IF(G48&gt;0,85%,0)</f>
        <v>0</v>
      </c>
      <c r="H49" s="332">
        <f t="shared" ref="H49" ca="1" si="39">IF(H48&gt;0,85%,0)</f>
        <v>0</v>
      </c>
      <c r="I49" s="289">
        <f t="shared" ref="I49" ca="1" si="40">IF(I48&gt;0,85%,0)</f>
        <v>0</v>
      </c>
      <c r="J49" s="332">
        <v>0</v>
      </c>
      <c r="K49" s="332">
        <v>0.85</v>
      </c>
      <c r="L49" s="332">
        <f t="shared" ref="L49:P49" si="41">K49</f>
        <v>0.85</v>
      </c>
      <c r="M49" s="289">
        <f t="shared" si="41"/>
        <v>0.85</v>
      </c>
      <c r="N49" s="332">
        <f t="shared" si="41"/>
        <v>0.85</v>
      </c>
      <c r="O49" s="332">
        <f t="shared" si="41"/>
        <v>0.85</v>
      </c>
      <c r="P49" s="289">
        <f t="shared" si="41"/>
        <v>0.85</v>
      </c>
    </row>
    <row r="50" spans="2:16" x14ac:dyDescent="0.25">
      <c r="B50" s="323"/>
      <c r="C50" s="76"/>
      <c r="D50" s="76"/>
      <c r="E50" s="76"/>
      <c r="F50" s="286"/>
      <c r="G50" s="226"/>
      <c r="H50" s="226"/>
      <c r="I50" s="286"/>
      <c r="J50" s="226"/>
      <c r="K50" s="226"/>
      <c r="L50" s="226"/>
      <c r="M50" s="286"/>
      <c r="N50" s="226"/>
      <c r="O50" s="226"/>
      <c r="P50" s="286"/>
    </row>
    <row r="51" spans="2:16" x14ac:dyDescent="0.25">
      <c r="B51" s="324" t="s">
        <v>282</v>
      </c>
      <c r="C51" s="227">
        <f>$G$8</f>
        <v>0.9</v>
      </c>
      <c r="D51" s="349">
        <f ca="1">SUM(F51:P51)*C51</f>
        <v>10433.700000000001</v>
      </c>
      <c r="E51" s="349"/>
      <c r="F51" s="290">
        <f>'Development Schedule'!E284</f>
        <v>0</v>
      </c>
      <c r="G51" s="333">
        <f ca="1">'Development Schedule'!F284</f>
        <v>0</v>
      </c>
      <c r="H51" s="333">
        <f ca="1">'Development Schedule'!G284</f>
        <v>0</v>
      </c>
      <c r="I51" s="290">
        <f ca="1">'Development Schedule'!H284</f>
        <v>0</v>
      </c>
      <c r="J51" s="333">
        <f>'Development Schedule'!I284</f>
        <v>11593</v>
      </c>
      <c r="K51" s="333">
        <f ca="1">'Development Schedule'!J284</f>
        <v>0</v>
      </c>
      <c r="L51" s="333">
        <f ca="1">'Development Schedule'!K284</f>
        <v>0</v>
      </c>
      <c r="M51" s="290">
        <f ca="1">'Development Schedule'!L284</f>
        <v>0</v>
      </c>
      <c r="N51" s="333">
        <f ca="1">'Development Schedule'!M284</f>
        <v>0</v>
      </c>
      <c r="O51" s="333">
        <f ca="1">'Development Schedule'!N284</f>
        <v>0</v>
      </c>
      <c r="P51" s="290">
        <f ca="1">'Development Schedule'!O284</f>
        <v>0</v>
      </c>
    </row>
    <row r="52" spans="2:16" x14ac:dyDescent="0.25">
      <c r="B52" s="322" t="s">
        <v>320</v>
      </c>
      <c r="C52" s="327"/>
      <c r="D52" s="380"/>
      <c r="E52" s="375"/>
      <c r="F52" s="288">
        <f>F51*$C$31+E52</f>
        <v>0</v>
      </c>
      <c r="G52" s="329">
        <f t="shared" ref="G52" ca="1" si="42">G51*$C$31+F52</f>
        <v>0</v>
      </c>
      <c r="H52" s="329">
        <f t="shared" ref="H52" ca="1" si="43">H51*$C$31+G52</f>
        <v>0</v>
      </c>
      <c r="I52" s="288">
        <f t="shared" ref="I52" ca="1" si="44">I51*$C$31+H52</f>
        <v>0</v>
      </c>
      <c r="J52" s="329">
        <f t="shared" ref="J52" ca="1" si="45">J51*$C$31+I52</f>
        <v>10433.700000000001</v>
      </c>
      <c r="K52" s="329">
        <f t="shared" ref="K52" ca="1" si="46">K51*$C$31+J52</f>
        <v>10433.700000000001</v>
      </c>
      <c r="L52" s="329">
        <f t="shared" ref="L52" ca="1" si="47">L51*$C$31+K52</f>
        <v>10433.700000000001</v>
      </c>
      <c r="M52" s="288">
        <f t="shared" ref="M52" ca="1" si="48">M51*$C$31+L52</f>
        <v>10433.700000000001</v>
      </c>
      <c r="N52" s="329">
        <f t="shared" ref="N52" ca="1" si="49">N51*$C$31+M52</f>
        <v>10433.700000000001</v>
      </c>
      <c r="O52" s="329">
        <f t="shared" ref="O52" ca="1" si="50">O51*$C$31+N52</f>
        <v>10433.700000000001</v>
      </c>
      <c r="P52" s="288">
        <f t="shared" ref="P52" ca="1" si="51">P51*$C$31+O52</f>
        <v>10433.700000000001</v>
      </c>
    </row>
    <row r="53" spans="2:16" x14ac:dyDescent="0.25">
      <c r="B53" s="322" t="s">
        <v>192</v>
      </c>
      <c r="C53" s="327"/>
      <c r="D53" s="76"/>
      <c r="E53" s="123"/>
      <c r="F53" s="289">
        <f>IF(F52&gt;0,85%,0)</f>
        <v>0</v>
      </c>
      <c r="G53" s="332">
        <f t="shared" ref="G53" ca="1" si="52">IF(G52&gt;0,85%,0)</f>
        <v>0</v>
      </c>
      <c r="H53" s="332">
        <f t="shared" ref="H53" ca="1" si="53">IF(H52&gt;0,85%,0)</f>
        <v>0</v>
      </c>
      <c r="I53" s="289">
        <f t="shared" ref="I53" ca="1" si="54">IF(I52&gt;0,85%,0)</f>
        <v>0</v>
      </c>
      <c r="J53" s="332">
        <v>0</v>
      </c>
      <c r="K53" s="332">
        <v>0.85</v>
      </c>
      <c r="L53" s="332">
        <f t="shared" ref="L53:P53" si="55">K53</f>
        <v>0.85</v>
      </c>
      <c r="M53" s="289">
        <f t="shared" si="55"/>
        <v>0.85</v>
      </c>
      <c r="N53" s="332">
        <f t="shared" si="55"/>
        <v>0.85</v>
      </c>
      <c r="O53" s="332">
        <f t="shared" si="55"/>
        <v>0.85</v>
      </c>
      <c r="P53" s="289">
        <f t="shared" si="55"/>
        <v>0.85</v>
      </c>
    </row>
    <row r="54" spans="2:16" x14ac:dyDescent="0.25">
      <c r="B54" s="323"/>
      <c r="C54" s="76"/>
      <c r="D54" s="76"/>
      <c r="E54" s="76"/>
      <c r="F54" s="286"/>
      <c r="G54" s="226"/>
      <c r="H54" s="226"/>
      <c r="I54" s="286"/>
      <c r="J54" s="226"/>
      <c r="K54" s="226"/>
      <c r="L54" s="226"/>
      <c r="M54" s="286"/>
      <c r="N54" s="226"/>
      <c r="O54" s="226"/>
      <c r="P54" s="286"/>
    </row>
    <row r="55" spans="2:16" x14ac:dyDescent="0.25">
      <c r="B55" s="324" t="s">
        <v>300</v>
      </c>
      <c r="C55" s="227">
        <f>$G$8</f>
        <v>0.9</v>
      </c>
      <c r="D55" s="349">
        <f ca="1">SUM(F55:P55)*C55</f>
        <v>4951.8</v>
      </c>
      <c r="E55" s="349"/>
      <c r="F55" s="290">
        <f>'Development Schedule'!E119</f>
        <v>0</v>
      </c>
      <c r="G55" s="333">
        <f>'Development Schedule'!F119</f>
        <v>5502</v>
      </c>
      <c r="H55" s="333">
        <f ca="1">'Development Schedule'!G119</f>
        <v>0</v>
      </c>
      <c r="I55" s="290">
        <f ca="1">'Development Schedule'!H119</f>
        <v>0</v>
      </c>
      <c r="J55" s="333">
        <f ca="1">'Development Schedule'!I119</f>
        <v>0</v>
      </c>
      <c r="K55" s="333">
        <f ca="1">'Development Schedule'!J119</f>
        <v>0</v>
      </c>
      <c r="L55" s="333">
        <f ca="1">'Development Schedule'!K119</f>
        <v>0</v>
      </c>
      <c r="M55" s="290">
        <f ca="1">'Development Schedule'!L119</f>
        <v>0</v>
      </c>
      <c r="N55" s="333">
        <f ca="1">'Development Schedule'!M119</f>
        <v>0</v>
      </c>
      <c r="O55" s="333">
        <f ca="1">'Development Schedule'!N119</f>
        <v>0</v>
      </c>
      <c r="P55" s="290">
        <f ca="1">'Development Schedule'!O119</f>
        <v>0</v>
      </c>
    </row>
    <row r="56" spans="2:16" x14ac:dyDescent="0.25">
      <c r="B56" s="322" t="s">
        <v>320</v>
      </c>
      <c r="C56" s="327"/>
      <c r="D56" s="380"/>
      <c r="E56" s="375"/>
      <c r="F56" s="288">
        <f>F55*$C$31+E56</f>
        <v>0</v>
      </c>
      <c r="G56" s="329">
        <f t="shared" ref="G56" si="56">G55*$C$31+F56</f>
        <v>4951.8</v>
      </c>
      <c r="H56" s="329">
        <f t="shared" ref="H56" ca="1" si="57">H55*$C$31+G56</f>
        <v>4951.8</v>
      </c>
      <c r="I56" s="288">
        <f t="shared" ref="I56" ca="1" si="58">I55*$C$31+H56</f>
        <v>4951.8</v>
      </c>
      <c r="J56" s="329">
        <f t="shared" ref="J56" ca="1" si="59">J55*$C$31+I56</f>
        <v>4951.8</v>
      </c>
      <c r="K56" s="329">
        <f t="shared" ref="K56" ca="1" si="60">K55*$C$31+J56</f>
        <v>4951.8</v>
      </c>
      <c r="L56" s="329">
        <f t="shared" ref="L56" ca="1" si="61">L55*$C$31+K56</f>
        <v>4951.8</v>
      </c>
      <c r="M56" s="288">
        <f t="shared" ref="M56" ca="1" si="62">M55*$C$31+L56</f>
        <v>4951.8</v>
      </c>
      <c r="N56" s="329">
        <f t="shared" ref="N56" ca="1" si="63">N55*$C$31+M56</f>
        <v>4951.8</v>
      </c>
      <c r="O56" s="329">
        <f t="shared" ref="O56" ca="1" si="64">O55*$C$31+N56</f>
        <v>4951.8</v>
      </c>
      <c r="P56" s="288">
        <f t="shared" ref="P56" ca="1" si="65">P55*$C$31+O56</f>
        <v>4951.8</v>
      </c>
    </row>
    <row r="57" spans="2:16" x14ac:dyDescent="0.25">
      <c r="B57" s="322" t="s">
        <v>192</v>
      </c>
      <c r="C57" s="327"/>
      <c r="D57" s="76"/>
      <c r="E57" s="123"/>
      <c r="F57" s="289">
        <f>IF(F56&gt;0,85%,0)</f>
        <v>0</v>
      </c>
      <c r="G57" s="332">
        <v>0</v>
      </c>
      <c r="H57" s="332">
        <v>0</v>
      </c>
      <c r="I57" s="289">
        <v>0.85</v>
      </c>
      <c r="J57" s="332">
        <f t="shared" ref="J57:P57" si="66">I57</f>
        <v>0.85</v>
      </c>
      <c r="K57" s="332">
        <f t="shared" si="66"/>
        <v>0.85</v>
      </c>
      <c r="L57" s="332">
        <f t="shared" si="66"/>
        <v>0.85</v>
      </c>
      <c r="M57" s="289">
        <f t="shared" si="66"/>
        <v>0.85</v>
      </c>
      <c r="N57" s="332">
        <f t="shared" si="66"/>
        <v>0.85</v>
      </c>
      <c r="O57" s="332">
        <f t="shared" si="66"/>
        <v>0.85</v>
      </c>
      <c r="P57" s="289">
        <f t="shared" si="66"/>
        <v>0.85</v>
      </c>
    </row>
    <row r="58" spans="2:16" x14ac:dyDescent="0.25">
      <c r="B58" s="323"/>
      <c r="C58" s="76"/>
      <c r="D58" s="76"/>
      <c r="E58" s="76"/>
      <c r="F58" s="286"/>
      <c r="G58" s="226"/>
      <c r="H58" s="226"/>
      <c r="I58" s="286"/>
      <c r="J58" s="226"/>
      <c r="K58" s="226"/>
      <c r="L58" s="226"/>
      <c r="M58" s="286"/>
      <c r="N58" s="226"/>
      <c r="O58" s="226"/>
      <c r="P58" s="286"/>
    </row>
    <row r="59" spans="2:16" x14ac:dyDescent="0.25">
      <c r="B59" s="324" t="s">
        <v>301</v>
      </c>
      <c r="C59" s="227">
        <f>$G$8</f>
        <v>0.9</v>
      </c>
      <c r="D59" s="349">
        <f ca="1">SUM(F59:P59)*C59</f>
        <v>4951.8</v>
      </c>
      <c r="E59" s="349"/>
      <c r="F59" s="290">
        <f>'Development Schedule'!E134</f>
        <v>0</v>
      </c>
      <c r="G59" s="333">
        <f>'Development Schedule'!F134</f>
        <v>5502</v>
      </c>
      <c r="H59" s="333">
        <f ca="1">'Development Schedule'!G134</f>
        <v>0</v>
      </c>
      <c r="I59" s="290">
        <f ca="1">'Development Schedule'!H134</f>
        <v>0</v>
      </c>
      <c r="J59" s="333">
        <f ca="1">'Development Schedule'!I134</f>
        <v>0</v>
      </c>
      <c r="K59" s="333">
        <f ca="1">'Development Schedule'!J134</f>
        <v>0</v>
      </c>
      <c r="L59" s="333">
        <f ca="1">'Development Schedule'!K134</f>
        <v>0</v>
      </c>
      <c r="M59" s="290">
        <f ca="1">'Development Schedule'!L134</f>
        <v>0</v>
      </c>
      <c r="N59" s="333">
        <f ca="1">'Development Schedule'!M134</f>
        <v>0</v>
      </c>
      <c r="O59" s="333">
        <f ca="1">'Development Schedule'!N134</f>
        <v>0</v>
      </c>
      <c r="P59" s="290">
        <f ca="1">'Development Schedule'!O134</f>
        <v>0</v>
      </c>
    </row>
    <row r="60" spans="2:16" x14ac:dyDescent="0.25">
      <c r="B60" s="322" t="s">
        <v>320</v>
      </c>
      <c r="C60" s="327"/>
      <c r="D60" s="380"/>
      <c r="E60" s="375"/>
      <c r="F60" s="288">
        <f>F59*$C$31+E60</f>
        <v>0</v>
      </c>
      <c r="G60" s="329">
        <f t="shared" ref="G60" si="67">G59*$C$31+F60</f>
        <v>4951.8</v>
      </c>
      <c r="H60" s="329">
        <f t="shared" ref="H60" ca="1" si="68">H59*$C$31+G60</f>
        <v>4951.8</v>
      </c>
      <c r="I60" s="288">
        <f t="shared" ref="I60" ca="1" si="69">I59*$C$31+H60</f>
        <v>4951.8</v>
      </c>
      <c r="J60" s="329">
        <f t="shared" ref="J60" ca="1" si="70">J59*$C$31+I60</f>
        <v>4951.8</v>
      </c>
      <c r="K60" s="329">
        <f t="shared" ref="K60" ca="1" si="71">K59*$C$31+J60</f>
        <v>4951.8</v>
      </c>
      <c r="L60" s="329">
        <f t="shared" ref="L60" ca="1" si="72">L59*$C$31+K60</f>
        <v>4951.8</v>
      </c>
      <c r="M60" s="288">
        <f t="shared" ref="M60" ca="1" si="73">M59*$C$31+L60</f>
        <v>4951.8</v>
      </c>
      <c r="N60" s="329">
        <f t="shared" ref="N60" ca="1" si="74">N59*$C$31+M60</f>
        <v>4951.8</v>
      </c>
      <c r="O60" s="329">
        <f t="shared" ref="O60" ca="1" si="75">O59*$C$31+N60</f>
        <v>4951.8</v>
      </c>
      <c r="P60" s="288">
        <f t="shared" ref="P60" ca="1" si="76">P59*$C$31+O60</f>
        <v>4951.8</v>
      </c>
    </row>
    <row r="61" spans="2:16" x14ac:dyDescent="0.25">
      <c r="B61" s="322" t="s">
        <v>192</v>
      </c>
      <c r="C61" s="327"/>
      <c r="D61" s="76"/>
      <c r="E61" s="123"/>
      <c r="F61" s="289">
        <f>IF(F60&gt;0,85%,0)</f>
        <v>0</v>
      </c>
      <c r="G61" s="332">
        <v>0</v>
      </c>
      <c r="H61" s="332">
        <v>0</v>
      </c>
      <c r="I61" s="289">
        <v>0.85</v>
      </c>
      <c r="J61" s="332">
        <f t="shared" ref="J61:P61" si="77">I61</f>
        <v>0.85</v>
      </c>
      <c r="K61" s="332">
        <f t="shared" si="77"/>
        <v>0.85</v>
      </c>
      <c r="L61" s="332">
        <f t="shared" si="77"/>
        <v>0.85</v>
      </c>
      <c r="M61" s="289">
        <f t="shared" si="77"/>
        <v>0.85</v>
      </c>
      <c r="N61" s="332">
        <f t="shared" si="77"/>
        <v>0.85</v>
      </c>
      <c r="O61" s="332">
        <f t="shared" si="77"/>
        <v>0.85</v>
      </c>
      <c r="P61" s="289">
        <f t="shared" si="77"/>
        <v>0.85</v>
      </c>
    </row>
    <row r="62" spans="2:16" x14ac:dyDescent="0.25">
      <c r="B62" s="323"/>
      <c r="C62" s="76"/>
      <c r="D62" s="76"/>
      <c r="E62" s="76"/>
      <c r="F62" s="286"/>
      <c r="G62" s="226"/>
      <c r="H62" s="226"/>
      <c r="I62" s="286"/>
      <c r="J62" s="226"/>
      <c r="K62" s="226"/>
      <c r="L62" s="226"/>
      <c r="M62" s="286"/>
      <c r="N62" s="226"/>
      <c r="O62" s="226"/>
      <c r="P62" s="286"/>
    </row>
    <row r="63" spans="2:16" x14ac:dyDescent="0.25">
      <c r="B63" s="324" t="s">
        <v>302</v>
      </c>
      <c r="C63" s="227">
        <f>$G$8</f>
        <v>0.9</v>
      </c>
      <c r="D63" s="349">
        <f ca="1">SUM(F63:P63)*C63</f>
        <v>16776</v>
      </c>
      <c r="E63" s="349"/>
      <c r="F63" s="290">
        <f>'Development Schedule'!E209</f>
        <v>0</v>
      </c>
      <c r="G63" s="333">
        <f>'Development Schedule'!F209</f>
        <v>0</v>
      </c>
      <c r="H63" s="333">
        <f>'Development Schedule'!G209</f>
        <v>0</v>
      </c>
      <c r="I63" s="290">
        <f>'Development Schedule'!H209</f>
        <v>0</v>
      </c>
      <c r="J63" s="333">
        <f ca="1">'Development Schedule'!I209</f>
        <v>0</v>
      </c>
      <c r="K63" s="333">
        <f ca="1">'Development Schedule'!J209</f>
        <v>0</v>
      </c>
      <c r="L63" s="333">
        <f ca="1">'Development Schedule'!K209</f>
        <v>0</v>
      </c>
      <c r="M63" s="290">
        <f ca="1">'Development Schedule'!L209</f>
        <v>0</v>
      </c>
      <c r="N63" s="333">
        <f>'Development Schedule'!M209</f>
        <v>9320</v>
      </c>
      <c r="O63" s="333">
        <f>'Development Schedule'!N209</f>
        <v>9320</v>
      </c>
      <c r="P63" s="290">
        <f ca="1">'Development Schedule'!O209</f>
        <v>0</v>
      </c>
    </row>
    <row r="64" spans="2:16" x14ac:dyDescent="0.25">
      <c r="B64" s="322" t="s">
        <v>320</v>
      </c>
      <c r="C64" s="327"/>
      <c r="D64" s="380"/>
      <c r="E64" s="375"/>
      <c r="F64" s="288">
        <f>F63*$C$31+E64</f>
        <v>0</v>
      </c>
      <c r="G64" s="329">
        <f t="shared" ref="G64" si="78">G63*$C$31+F64</f>
        <v>0</v>
      </c>
      <c r="H64" s="329">
        <f t="shared" ref="H64" si="79">H63*$C$31+G64</f>
        <v>0</v>
      </c>
      <c r="I64" s="288">
        <f t="shared" ref="I64" si="80">I63*$C$31+H64</f>
        <v>0</v>
      </c>
      <c r="J64" s="329">
        <f t="shared" ref="J64" ca="1" si="81">J63*$C$31+I64</f>
        <v>0</v>
      </c>
      <c r="K64" s="329">
        <f t="shared" ref="K64" ca="1" si="82">K63*$C$31+J64</f>
        <v>0</v>
      </c>
      <c r="L64" s="329">
        <f t="shared" ref="L64" ca="1" si="83">L63*$C$31+K64</f>
        <v>0</v>
      </c>
      <c r="M64" s="288">
        <f t="shared" ref="M64" ca="1" si="84">M63*$C$31+L64</f>
        <v>0</v>
      </c>
      <c r="N64" s="329">
        <f t="shared" ref="N64" ca="1" si="85">N63*$C$31+M64</f>
        <v>8388</v>
      </c>
      <c r="O64" s="329">
        <f t="shared" ref="O64" ca="1" si="86">O63*$C$31+N64</f>
        <v>16776</v>
      </c>
      <c r="P64" s="288">
        <f t="shared" ref="P64" ca="1" si="87">P63*$C$31+O64</f>
        <v>16776</v>
      </c>
    </row>
    <row r="65" spans="2:16" x14ac:dyDescent="0.25">
      <c r="B65" s="322" t="s">
        <v>192</v>
      </c>
      <c r="C65" s="327"/>
      <c r="D65" s="76"/>
      <c r="E65" s="123"/>
      <c r="F65" s="289">
        <f>IF(F64&gt;0,85%,0)</f>
        <v>0</v>
      </c>
      <c r="G65" s="332">
        <f t="shared" ref="G65" si="88">IF(G64&gt;0,85%,0)</f>
        <v>0</v>
      </c>
      <c r="H65" s="332">
        <f t="shared" ref="H65" si="89">IF(H64&gt;0,85%,0)</f>
        <v>0</v>
      </c>
      <c r="I65" s="289">
        <f t="shared" ref="I65" si="90">IF(I64&gt;0,85%,0)</f>
        <v>0</v>
      </c>
      <c r="J65" s="332">
        <f t="shared" ref="J65" ca="1" si="91">IF(J64&gt;0,85%,0)</f>
        <v>0</v>
      </c>
      <c r="K65" s="332">
        <f t="shared" ref="K65" ca="1" si="92">IF(K64&gt;0,85%,0)</f>
        <v>0</v>
      </c>
      <c r="L65" s="332">
        <f t="shared" ref="L65" ca="1" si="93">IF(L64&gt;0,85%,0)</f>
        <v>0</v>
      </c>
      <c r="M65" s="289">
        <f t="shared" ref="M65" ca="1" si="94">IF(M64&gt;0,85%,0)</f>
        <v>0</v>
      </c>
      <c r="N65" s="332">
        <v>0</v>
      </c>
      <c r="O65" s="332">
        <v>0.85</v>
      </c>
      <c r="P65" s="289">
        <f t="shared" ref="P65" si="95">O65</f>
        <v>0.85</v>
      </c>
    </row>
    <row r="66" spans="2:16" x14ac:dyDescent="0.25">
      <c r="B66" s="323"/>
      <c r="C66" s="76"/>
      <c r="D66" s="76"/>
      <c r="E66" s="76"/>
      <c r="F66" s="286"/>
      <c r="G66" s="226"/>
      <c r="H66" s="226"/>
      <c r="I66" s="286"/>
      <c r="J66" s="226"/>
      <c r="K66" s="226"/>
      <c r="L66" s="226"/>
      <c r="M66" s="286"/>
      <c r="N66" s="226"/>
      <c r="O66" s="226"/>
      <c r="P66" s="286"/>
    </row>
    <row r="67" spans="2:16" x14ac:dyDescent="0.25">
      <c r="B67" s="324" t="s">
        <v>401</v>
      </c>
      <c r="C67" s="227">
        <f>$G$8</f>
        <v>0.9</v>
      </c>
      <c r="D67" s="349">
        <f ca="1">SUM(F67:P67)*C67</f>
        <v>7036.2</v>
      </c>
      <c r="E67" s="349"/>
      <c r="F67" s="290">
        <f>'Development Schedule'!E299</f>
        <v>0</v>
      </c>
      <c r="G67" s="333">
        <f ca="1">'Development Schedule'!F299</f>
        <v>0</v>
      </c>
      <c r="H67" s="333">
        <f ca="1">'Development Schedule'!G299</f>
        <v>0</v>
      </c>
      <c r="I67" s="290">
        <f ca="1">'Development Schedule'!H299</f>
        <v>0</v>
      </c>
      <c r="J67" s="333">
        <f>'Development Schedule'!I299</f>
        <v>7818</v>
      </c>
      <c r="K67" s="333">
        <f ca="1">'Development Schedule'!J299</f>
        <v>0</v>
      </c>
      <c r="L67" s="333">
        <f ca="1">'Development Schedule'!K299</f>
        <v>0</v>
      </c>
      <c r="M67" s="290">
        <f ca="1">'Development Schedule'!L299</f>
        <v>0</v>
      </c>
      <c r="N67" s="333">
        <f ca="1">'Development Schedule'!M299</f>
        <v>0</v>
      </c>
      <c r="O67" s="333">
        <f ca="1">'Development Schedule'!N299</f>
        <v>0</v>
      </c>
      <c r="P67" s="290">
        <f ca="1">'Development Schedule'!O299</f>
        <v>0</v>
      </c>
    </row>
    <row r="68" spans="2:16" x14ac:dyDescent="0.25">
      <c r="B68" s="322" t="s">
        <v>320</v>
      </c>
      <c r="C68" s="327"/>
      <c r="D68" s="380"/>
      <c r="E68" s="375"/>
      <c r="F68" s="288">
        <f>F67*$C$31+E68</f>
        <v>0</v>
      </c>
      <c r="G68" s="329">
        <f t="shared" ref="G68" ca="1" si="96">G67*$C$31+F68</f>
        <v>0</v>
      </c>
      <c r="H68" s="329">
        <f t="shared" ref="H68" ca="1" si="97">H67*$C$31+G68</f>
        <v>0</v>
      </c>
      <c r="I68" s="288">
        <f t="shared" ref="I68" ca="1" si="98">I67*$C$31+H68</f>
        <v>0</v>
      </c>
      <c r="J68" s="329">
        <f t="shared" ref="J68" ca="1" si="99">J67*$C$31+I68</f>
        <v>7036.2</v>
      </c>
      <c r="K68" s="329">
        <f t="shared" ref="K68" ca="1" si="100">K67*$C$31+J68</f>
        <v>7036.2</v>
      </c>
      <c r="L68" s="329">
        <f t="shared" ref="L68" ca="1" si="101">L67*$C$31+K68</f>
        <v>7036.2</v>
      </c>
      <c r="M68" s="288">
        <f t="shared" ref="M68" ca="1" si="102">M67*$C$31+L68</f>
        <v>7036.2</v>
      </c>
      <c r="N68" s="329">
        <f t="shared" ref="N68" ca="1" si="103">N67*$C$31+M68</f>
        <v>7036.2</v>
      </c>
      <c r="O68" s="329">
        <f t="shared" ref="O68" ca="1" si="104">O67*$C$31+N68</f>
        <v>7036.2</v>
      </c>
      <c r="P68" s="288">
        <f t="shared" ref="P68" ca="1" si="105">P67*$C$31+O68</f>
        <v>7036.2</v>
      </c>
    </row>
    <row r="69" spans="2:16" x14ac:dyDescent="0.25">
      <c r="B69" s="322" t="s">
        <v>192</v>
      </c>
      <c r="C69" s="327"/>
      <c r="D69" s="76"/>
      <c r="E69" s="123"/>
      <c r="F69" s="289">
        <f>IF(F68&gt;0,85%,0)</f>
        <v>0</v>
      </c>
      <c r="G69" s="332">
        <f t="shared" ref="G69" ca="1" si="106">IF(G68&gt;0,85%,0)</f>
        <v>0</v>
      </c>
      <c r="H69" s="332">
        <f t="shared" ref="H69" ca="1" si="107">IF(H68&gt;0,85%,0)</f>
        <v>0</v>
      </c>
      <c r="I69" s="289">
        <f t="shared" ref="I69" ca="1" si="108">IF(I68&gt;0,85%,0)</f>
        <v>0</v>
      </c>
      <c r="J69" s="332">
        <v>0</v>
      </c>
      <c r="K69" s="332">
        <v>0</v>
      </c>
      <c r="L69" s="332">
        <v>0.85</v>
      </c>
      <c r="M69" s="289">
        <f t="shared" ref="M69:P69" si="109">L69</f>
        <v>0.85</v>
      </c>
      <c r="N69" s="332">
        <f t="shared" si="109"/>
        <v>0.85</v>
      </c>
      <c r="O69" s="332">
        <f t="shared" si="109"/>
        <v>0.85</v>
      </c>
      <c r="P69" s="289">
        <f t="shared" si="109"/>
        <v>0.85</v>
      </c>
    </row>
    <row r="70" spans="2:16" x14ac:dyDescent="0.25">
      <c r="B70" s="322"/>
      <c r="C70" s="327"/>
      <c r="D70" s="76"/>
      <c r="E70" s="123"/>
      <c r="F70" s="286"/>
      <c r="G70" s="226"/>
      <c r="H70" s="226"/>
      <c r="I70" s="286"/>
      <c r="J70" s="226"/>
      <c r="K70" s="226"/>
      <c r="L70" s="226"/>
      <c r="M70" s="286"/>
      <c r="N70" s="226"/>
      <c r="O70" s="226"/>
      <c r="P70" s="286"/>
    </row>
    <row r="71" spans="2:16" x14ac:dyDescent="0.25">
      <c r="B71" s="324" t="s">
        <v>322</v>
      </c>
      <c r="C71" s="227">
        <f>$G$8</f>
        <v>0.9</v>
      </c>
      <c r="D71" s="349">
        <f ca="1">SUM(F71:P71)*C71</f>
        <v>88632</v>
      </c>
      <c r="E71" s="349"/>
      <c r="F71" s="290">
        <f>'Development Schedule'!E89</f>
        <v>0</v>
      </c>
      <c r="G71" s="333">
        <f>'Development Schedule'!F89</f>
        <v>49240</v>
      </c>
      <c r="H71" s="333">
        <f>'Development Schedule'!G89</f>
        <v>49240</v>
      </c>
      <c r="I71" s="290">
        <f ca="1">'Development Schedule'!H89</f>
        <v>0</v>
      </c>
      <c r="J71" s="333">
        <f ca="1">'Development Schedule'!I89</f>
        <v>0</v>
      </c>
      <c r="K71" s="333">
        <f ca="1">'Development Schedule'!J89</f>
        <v>0</v>
      </c>
      <c r="L71" s="333">
        <f ca="1">'Development Schedule'!K89</f>
        <v>0</v>
      </c>
      <c r="M71" s="290">
        <f ca="1">'Development Schedule'!L89</f>
        <v>0</v>
      </c>
      <c r="N71" s="333">
        <f ca="1">'Development Schedule'!M89</f>
        <v>0</v>
      </c>
      <c r="O71" s="333">
        <f ca="1">'Development Schedule'!N89</f>
        <v>0</v>
      </c>
      <c r="P71" s="290">
        <f ca="1">'Development Schedule'!O89</f>
        <v>0</v>
      </c>
    </row>
    <row r="72" spans="2:16" x14ac:dyDescent="0.25">
      <c r="B72" s="322" t="s">
        <v>320</v>
      </c>
      <c r="C72" s="327">
        <f>$G$9</f>
        <v>0.7</v>
      </c>
      <c r="D72" s="380"/>
      <c r="E72" s="375"/>
      <c r="F72" s="288">
        <f>F71*$C$31+E72</f>
        <v>0</v>
      </c>
      <c r="G72" s="329">
        <f t="shared" ref="G72" si="110">G71*$C$31+F72</f>
        <v>44316</v>
      </c>
      <c r="H72" s="329">
        <f t="shared" ref="H72" si="111">H71*$C$31+G72</f>
        <v>88632</v>
      </c>
      <c r="I72" s="288">
        <f t="shared" ref="I72" ca="1" si="112">I71*$C$31+H72</f>
        <v>88632</v>
      </c>
      <c r="J72" s="329">
        <f t="shared" ref="J72" ca="1" si="113">J71*$C$31+I72</f>
        <v>88632</v>
      </c>
      <c r="K72" s="329">
        <f t="shared" ref="K72" ca="1" si="114">K71*$C$31+J72</f>
        <v>88632</v>
      </c>
      <c r="L72" s="329">
        <f t="shared" ref="L72" ca="1" si="115">L71*$C$31+K72</f>
        <v>88632</v>
      </c>
      <c r="M72" s="288">
        <f t="shared" ref="M72" ca="1" si="116">M71*$C$31+L72</f>
        <v>88632</v>
      </c>
      <c r="N72" s="329">
        <f t="shared" ref="N72" ca="1" si="117">N71*$C$31+M72</f>
        <v>88632</v>
      </c>
      <c r="O72" s="329">
        <f t="shared" ref="O72" ca="1" si="118">O71*$C$31+N72</f>
        <v>88632</v>
      </c>
      <c r="P72" s="288">
        <f t="shared" ref="P72" ca="1" si="119">P71*$C$31+O72</f>
        <v>88632</v>
      </c>
    </row>
    <row r="73" spans="2:16" x14ac:dyDescent="0.25">
      <c r="B73" s="322" t="s">
        <v>323</v>
      </c>
      <c r="C73" s="327">
        <f>$G$10</f>
        <v>0.3</v>
      </c>
      <c r="D73" s="380"/>
      <c r="E73" s="375"/>
      <c r="F73" s="288">
        <f>F71*$C$73+E73</f>
        <v>0</v>
      </c>
      <c r="G73" s="329">
        <f t="shared" ref="G73:P73" si="120">G71*$C$73+F73</f>
        <v>14772</v>
      </c>
      <c r="H73" s="329">
        <f t="shared" si="120"/>
        <v>29544</v>
      </c>
      <c r="I73" s="288">
        <f t="shared" ca="1" si="120"/>
        <v>29544</v>
      </c>
      <c r="J73" s="329">
        <f t="shared" ca="1" si="120"/>
        <v>29544</v>
      </c>
      <c r="K73" s="329">
        <f t="shared" ca="1" si="120"/>
        <v>29544</v>
      </c>
      <c r="L73" s="329">
        <f t="shared" ca="1" si="120"/>
        <v>29544</v>
      </c>
      <c r="M73" s="288">
        <f t="shared" ca="1" si="120"/>
        <v>29544</v>
      </c>
      <c r="N73" s="329">
        <f t="shared" ca="1" si="120"/>
        <v>29544</v>
      </c>
      <c r="O73" s="329">
        <f t="shared" ca="1" si="120"/>
        <v>29544</v>
      </c>
      <c r="P73" s="288">
        <f t="shared" ca="1" si="120"/>
        <v>29544</v>
      </c>
    </row>
    <row r="74" spans="2:16" x14ac:dyDescent="0.25">
      <c r="B74" s="322" t="s">
        <v>192</v>
      </c>
      <c r="C74" s="327"/>
      <c r="D74" s="76"/>
      <c r="E74" s="123"/>
      <c r="F74" s="289">
        <f>IF(F73&gt;0,85%,0)</f>
        <v>0</v>
      </c>
      <c r="G74" s="332">
        <v>0</v>
      </c>
      <c r="H74" s="332">
        <v>0</v>
      </c>
      <c r="I74" s="289">
        <f t="shared" ref="I74" ca="1" si="121">IF(I73&gt;0,85%,0)</f>
        <v>0.85</v>
      </c>
      <c r="J74" s="332">
        <f t="shared" ref="J74:P74" ca="1" si="122">I74</f>
        <v>0.85</v>
      </c>
      <c r="K74" s="332">
        <f t="shared" ca="1" si="122"/>
        <v>0.85</v>
      </c>
      <c r="L74" s="332">
        <f t="shared" ca="1" si="122"/>
        <v>0.85</v>
      </c>
      <c r="M74" s="289">
        <f t="shared" ca="1" si="122"/>
        <v>0.85</v>
      </c>
      <c r="N74" s="332">
        <f t="shared" ca="1" si="122"/>
        <v>0.85</v>
      </c>
      <c r="O74" s="332">
        <f t="shared" ca="1" si="122"/>
        <v>0.85</v>
      </c>
      <c r="P74" s="289">
        <f t="shared" ca="1" si="122"/>
        <v>0.85</v>
      </c>
    </row>
    <row r="75" spans="2:16" x14ac:dyDescent="0.25">
      <c r="B75" s="322"/>
      <c r="C75" s="327"/>
      <c r="D75" s="76"/>
      <c r="E75" s="123"/>
      <c r="F75" s="286"/>
      <c r="G75" s="226"/>
      <c r="H75" s="226"/>
      <c r="I75" s="286"/>
      <c r="J75" s="226"/>
      <c r="K75" s="226"/>
      <c r="L75" s="226"/>
      <c r="M75" s="286"/>
      <c r="N75" s="226"/>
      <c r="O75" s="226"/>
      <c r="P75" s="286"/>
    </row>
    <row r="76" spans="2:16" x14ac:dyDescent="0.25">
      <c r="B76" s="324" t="s">
        <v>324</v>
      </c>
      <c r="C76" s="227">
        <f>$G$8</f>
        <v>0.9</v>
      </c>
      <c r="D76" s="228">
        <f ca="1">SUM(F76:P76)*C76</f>
        <v>136363.5</v>
      </c>
      <c r="E76" s="228"/>
      <c r="F76" s="287">
        <f>'Development Schedule'!E269</f>
        <v>0</v>
      </c>
      <c r="G76" s="229">
        <f>'Development Schedule'!F269</f>
        <v>0</v>
      </c>
      <c r="H76" s="229">
        <f>'Development Schedule'!G269</f>
        <v>75757.5</v>
      </c>
      <c r="I76" s="287">
        <f>'Development Schedule'!H269</f>
        <v>75757.5</v>
      </c>
      <c r="J76" s="229">
        <f ca="1">'Development Schedule'!I269</f>
        <v>0</v>
      </c>
      <c r="K76" s="229">
        <f ca="1">'Development Schedule'!J269</f>
        <v>0</v>
      </c>
      <c r="L76" s="229">
        <f ca="1">'Development Schedule'!K269</f>
        <v>0</v>
      </c>
      <c r="M76" s="287">
        <f ca="1">'Development Schedule'!L269</f>
        <v>0</v>
      </c>
      <c r="N76" s="229">
        <f ca="1">'Development Schedule'!M269</f>
        <v>0</v>
      </c>
      <c r="O76" s="229">
        <f ca="1">'Development Schedule'!N269</f>
        <v>0</v>
      </c>
      <c r="P76" s="287">
        <f ca="1">'Development Schedule'!O269</f>
        <v>0</v>
      </c>
    </row>
    <row r="77" spans="2:16" x14ac:dyDescent="0.25">
      <c r="B77" s="322" t="s">
        <v>320</v>
      </c>
      <c r="C77" s="327">
        <f>$G$9</f>
        <v>0.7</v>
      </c>
      <c r="D77" s="231"/>
      <c r="E77" s="232"/>
      <c r="F77" s="288">
        <f>F76*$C$31+E77</f>
        <v>0</v>
      </c>
      <c r="G77" s="329">
        <f t="shared" ref="G77" si="123">G76*$C$31+F77</f>
        <v>0</v>
      </c>
      <c r="H77" s="329">
        <f t="shared" ref="H77" si="124">H76*$C$31+G77</f>
        <v>68181.75</v>
      </c>
      <c r="I77" s="288">
        <f t="shared" ref="I77" si="125">I76*$C$31+H77</f>
        <v>136363.5</v>
      </c>
      <c r="J77" s="329">
        <f t="shared" ref="J77" ca="1" si="126">J76*$C$31+I77</f>
        <v>136363.5</v>
      </c>
      <c r="K77" s="329">
        <f t="shared" ref="K77" ca="1" si="127">K76*$C$31+J77</f>
        <v>136363.5</v>
      </c>
      <c r="L77" s="329">
        <f t="shared" ref="L77" ca="1" si="128">L76*$C$31+K77</f>
        <v>136363.5</v>
      </c>
      <c r="M77" s="288">
        <f t="shared" ref="M77" ca="1" si="129">M76*$C$31+L77</f>
        <v>136363.5</v>
      </c>
      <c r="N77" s="329">
        <f t="shared" ref="N77" ca="1" si="130">N76*$C$31+M77</f>
        <v>136363.5</v>
      </c>
      <c r="O77" s="329">
        <f t="shared" ref="O77" ca="1" si="131">O76*$C$31+N77</f>
        <v>136363.5</v>
      </c>
      <c r="P77" s="288">
        <f t="shared" ref="P77" ca="1" si="132">P76*$C$31+O77</f>
        <v>136363.5</v>
      </c>
    </row>
    <row r="78" spans="2:16" x14ac:dyDescent="0.25">
      <c r="B78" s="322" t="s">
        <v>323</v>
      </c>
      <c r="C78" s="327">
        <f>$G$10</f>
        <v>0.3</v>
      </c>
      <c r="D78" s="231"/>
      <c r="E78" s="232"/>
      <c r="F78" s="288">
        <f>F76*$C$73+E78</f>
        <v>0</v>
      </c>
      <c r="G78" s="329">
        <f t="shared" ref="G78:P78" si="133">G76*$C$73+F78</f>
        <v>0</v>
      </c>
      <c r="H78" s="329">
        <f t="shared" si="133"/>
        <v>22727.25</v>
      </c>
      <c r="I78" s="288">
        <f t="shared" si="133"/>
        <v>45454.5</v>
      </c>
      <c r="J78" s="329">
        <f t="shared" ca="1" si="133"/>
        <v>45454.5</v>
      </c>
      <c r="K78" s="329">
        <f t="shared" ca="1" si="133"/>
        <v>45454.5</v>
      </c>
      <c r="L78" s="329">
        <f t="shared" ca="1" si="133"/>
        <v>45454.5</v>
      </c>
      <c r="M78" s="288">
        <f t="shared" ca="1" si="133"/>
        <v>45454.5</v>
      </c>
      <c r="N78" s="329">
        <f t="shared" ca="1" si="133"/>
        <v>45454.5</v>
      </c>
      <c r="O78" s="329">
        <f t="shared" ca="1" si="133"/>
        <v>45454.5</v>
      </c>
      <c r="P78" s="288">
        <f t="shared" ca="1" si="133"/>
        <v>45454.5</v>
      </c>
    </row>
    <row r="79" spans="2:16" x14ac:dyDescent="0.25">
      <c r="B79" s="322" t="s">
        <v>192</v>
      </c>
      <c r="C79" s="327"/>
      <c r="D79" s="76"/>
      <c r="E79" s="123"/>
      <c r="F79" s="289">
        <f>IF(F78&gt;0,85%,0)</f>
        <v>0</v>
      </c>
      <c r="G79" s="332">
        <v>0</v>
      </c>
      <c r="H79" s="332">
        <v>0</v>
      </c>
      <c r="I79" s="289">
        <f t="shared" ref="I79" si="134">IF(I78&gt;0,85%,0)</f>
        <v>0.85</v>
      </c>
      <c r="J79" s="332">
        <f t="shared" ref="J79:P79" si="135">I79</f>
        <v>0.85</v>
      </c>
      <c r="K79" s="332">
        <f t="shared" si="135"/>
        <v>0.85</v>
      </c>
      <c r="L79" s="332">
        <f t="shared" si="135"/>
        <v>0.85</v>
      </c>
      <c r="M79" s="289">
        <f t="shared" si="135"/>
        <v>0.85</v>
      </c>
      <c r="N79" s="332">
        <f t="shared" si="135"/>
        <v>0.85</v>
      </c>
      <c r="O79" s="332">
        <f t="shared" si="135"/>
        <v>0.85</v>
      </c>
      <c r="P79" s="289">
        <f t="shared" si="135"/>
        <v>0.85</v>
      </c>
    </row>
    <row r="80" spans="2:16" x14ac:dyDescent="0.25">
      <c r="B80" s="322"/>
      <c r="C80" s="327"/>
      <c r="D80" s="76"/>
      <c r="E80" s="123"/>
      <c r="F80" s="286"/>
      <c r="G80" s="226"/>
      <c r="H80" s="226"/>
      <c r="I80" s="286"/>
      <c r="J80" s="226"/>
      <c r="K80" s="226"/>
      <c r="L80" s="226"/>
      <c r="M80" s="286"/>
      <c r="N80" s="226"/>
      <c r="O80" s="226"/>
      <c r="P80" s="286"/>
    </row>
    <row r="81" spans="2:16" x14ac:dyDescent="0.25">
      <c r="B81" s="323" t="s">
        <v>173</v>
      </c>
      <c r="C81" s="241" t="s">
        <v>169</v>
      </c>
      <c r="D81" s="123"/>
      <c r="E81" s="123"/>
      <c r="F81" s="291"/>
      <c r="G81" s="240"/>
      <c r="H81" s="240"/>
      <c r="I81" s="291"/>
      <c r="J81" s="240"/>
      <c r="K81" s="240"/>
      <c r="L81" s="240"/>
      <c r="M81" s="291"/>
      <c r="N81" s="240"/>
      <c r="O81" s="240"/>
      <c r="P81" s="291"/>
    </row>
    <row r="82" spans="2:16" x14ac:dyDescent="0.25">
      <c r="B82" s="322" t="s">
        <v>215</v>
      </c>
      <c r="C82" s="354">
        <f>J6</f>
        <v>50</v>
      </c>
      <c r="D82" s="335"/>
      <c r="E82" s="335"/>
      <c r="F82" s="294">
        <f>C82*(1+F84)</f>
        <v>51</v>
      </c>
      <c r="G82" s="341">
        <f t="shared" ref="G82:P82" si="136">F82*(1+G84)</f>
        <v>52.02</v>
      </c>
      <c r="H82" s="341">
        <f t="shared" si="136"/>
        <v>53.060400000000001</v>
      </c>
      <c r="I82" s="294">
        <f t="shared" si="136"/>
        <v>54.121608000000002</v>
      </c>
      <c r="J82" s="341">
        <f t="shared" si="136"/>
        <v>55.204040160000005</v>
      </c>
      <c r="K82" s="341">
        <f t="shared" si="136"/>
        <v>56.308120963200004</v>
      </c>
      <c r="L82" s="341">
        <f t="shared" si="136"/>
        <v>57.434283382464002</v>
      </c>
      <c r="M82" s="294">
        <f t="shared" si="136"/>
        <v>58.582969050113284</v>
      </c>
      <c r="N82" s="341">
        <f t="shared" si="136"/>
        <v>59.754628431115549</v>
      </c>
      <c r="O82" s="341">
        <f t="shared" si="136"/>
        <v>60.949720999737863</v>
      </c>
      <c r="P82" s="294">
        <f t="shared" si="136"/>
        <v>62.168715419732621</v>
      </c>
    </row>
    <row r="83" spans="2:16" x14ac:dyDescent="0.25">
      <c r="B83" s="322" t="s">
        <v>216</v>
      </c>
      <c r="C83" s="354">
        <f>J8</f>
        <v>35</v>
      </c>
      <c r="D83" s="335"/>
      <c r="E83" s="335"/>
      <c r="F83" s="294">
        <f>C83*(1+F84)</f>
        <v>35.700000000000003</v>
      </c>
      <c r="G83" s="341">
        <f t="shared" ref="G83:P83" si="137">F83*(1+G84)</f>
        <v>36.414000000000001</v>
      </c>
      <c r="H83" s="341">
        <f t="shared" si="137"/>
        <v>37.14228</v>
      </c>
      <c r="I83" s="294">
        <f t="shared" si="137"/>
        <v>37.885125600000002</v>
      </c>
      <c r="J83" s="341">
        <f t="shared" si="137"/>
        <v>38.642828112000004</v>
      </c>
      <c r="K83" s="341">
        <f t="shared" si="137"/>
        <v>39.415684674240005</v>
      </c>
      <c r="L83" s="341">
        <f t="shared" si="137"/>
        <v>40.203998367724807</v>
      </c>
      <c r="M83" s="294">
        <f t="shared" si="137"/>
        <v>41.008078335079304</v>
      </c>
      <c r="N83" s="341">
        <f t="shared" si="137"/>
        <v>41.82823990178089</v>
      </c>
      <c r="O83" s="341">
        <f t="shared" si="137"/>
        <v>42.664804699816507</v>
      </c>
      <c r="P83" s="294">
        <f t="shared" si="137"/>
        <v>43.518100793812835</v>
      </c>
    </row>
    <row r="84" spans="2:16" x14ac:dyDescent="0.25">
      <c r="B84" s="322" t="s">
        <v>170</v>
      </c>
      <c r="C84" s="338">
        <f>G17</f>
        <v>0.02</v>
      </c>
      <c r="D84" s="335"/>
      <c r="E84" s="335"/>
      <c r="F84" s="357">
        <f>$C$84</f>
        <v>0.02</v>
      </c>
      <c r="G84" s="363">
        <f t="shared" ref="G84:P84" si="138">$C$84</f>
        <v>0.02</v>
      </c>
      <c r="H84" s="363">
        <f t="shared" si="138"/>
        <v>0.02</v>
      </c>
      <c r="I84" s="357">
        <f t="shared" si="138"/>
        <v>0.02</v>
      </c>
      <c r="J84" s="363">
        <f t="shared" si="138"/>
        <v>0.02</v>
      </c>
      <c r="K84" s="363">
        <f t="shared" si="138"/>
        <v>0.02</v>
      </c>
      <c r="L84" s="363">
        <f t="shared" si="138"/>
        <v>0.02</v>
      </c>
      <c r="M84" s="357">
        <f t="shared" si="138"/>
        <v>0.02</v>
      </c>
      <c r="N84" s="363">
        <f t="shared" si="138"/>
        <v>0.02</v>
      </c>
      <c r="O84" s="363">
        <f t="shared" si="138"/>
        <v>0.02</v>
      </c>
      <c r="P84" s="357">
        <f t="shared" si="138"/>
        <v>0.02</v>
      </c>
    </row>
    <row r="85" spans="2:16" x14ac:dyDescent="0.25">
      <c r="B85" s="322"/>
      <c r="C85" s="381"/>
      <c r="D85" s="335"/>
      <c r="E85" s="335"/>
      <c r="F85" s="357"/>
      <c r="G85" s="363"/>
      <c r="H85" s="363"/>
      <c r="I85" s="357"/>
      <c r="J85" s="363"/>
      <c r="K85" s="363"/>
      <c r="L85" s="363"/>
      <c r="M85" s="357"/>
      <c r="N85" s="363"/>
      <c r="O85" s="363"/>
      <c r="P85" s="357"/>
    </row>
    <row r="86" spans="2:16" x14ac:dyDescent="0.25">
      <c r="B86" s="323" t="s">
        <v>127</v>
      </c>
      <c r="C86" s="382"/>
      <c r="D86" s="123"/>
      <c r="E86" s="123"/>
      <c r="F86" s="295"/>
      <c r="G86" s="144"/>
      <c r="H86" s="144"/>
      <c r="I86" s="295"/>
      <c r="J86" s="144"/>
      <c r="K86" s="144"/>
      <c r="L86" s="144"/>
      <c r="M86" s="295"/>
      <c r="N86" s="144"/>
      <c r="O86" s="144"/>
      <c r="P86" s="295"/>
    </row>
    <row r="87" spans="2:16" x14ac:dyDescent="0.25">
      <c r="B87" s="322" t="s">
        <v>217</v>
      </c>
      <c r="C87" s="383"/>
      <c r="D87" s="123"/>
      <c r="E87" s="123"/>
      <c r="F87" s="296">
        <f>(F83*SUM(F78*F79,F74*F73))+(F82*SUM(F79*F77,F74*F72,F69*F68,F65*F64,F61*F60,F57*F56,F53*F52,F49*F48,F45*F44,F41*F40,F37*F36,F33*F32))+(E87*(1+F88))</f>
        <v>0</v>
      </c>
      <c r="G87" s="145">
        <f t="shared" ref="G87:P87" ca="1" si="139">(G83*SUM(G78*G79,G74*G73))+(G82*SUM(G79*G77,G74*G72,G69*G68,G65*G64,G61*G60,G57*G56,G53*G52,G49*G48,G45*G44,G41*G40,G37*G36,G33*G32))+(F87*(1+G88))</f>
        <v>0</v>
      </c>
      <c r="H87" s="145">
        <f t="shared" ca="1" si="139"/>
        <v>0</v>
      </c>
      <c r="I87" s="296">
        <f t="shared" ca="1" si="139"/>
        <v>14882864.31653058</v>
      </c>
      <c r="J87" s="145">
        <f t="shared" ca="1" si="139"/>
        <v>30509871.848887689</v>
      </c>
      <c r="K87" s="145">
        <f t="shared" ca="1" si="139"/>
        <v>47982445.265703231</v>
      </c>
      <c r="L87" s="145">
        <f t="shared" ca="1" si="139"/>
        <v>66653842.669275552</v>
      </c>
      <c r="M87" s="296">
        <f t="shared" ca="1" si="139"/>
        <v>86230020.475867063</v>
      </c>
      <c r="N87" s="145">
        <f t="shared" ca="1" si="139"/>
        <v>106745014.86718658</v>
      </c>
      <c r="O87" s="145">
        <f t="shared" ca="1" si="139"/>
        <v>129103139.60735442</v>
      </c>
      <c r="P87" s="296">
        <f t="shared" ca="1" si="139"/>
        <v>152515123.57561034</v>
      </c>
    </row>
    <row r="88" spans="2:16" x14ac:dyDescent="0.25">
      <c r="B88" s="342" t="s">
        <v>132</v>
      </c>
      <c r="C88" s="149">
        <f>G14</f>
        <v>0.03</v>
      </c>
      <c r="D88" s="78"/>
      <c r="E88" s="78"/>
      <c r="F88" s="376">
        <f>$C$88</f>
        <v>0.03</v>
      </c>
      <c r="G88" s="171">
        <f t="shared" ref="G88:P88" si="140">$C$88</f>
        <v>0.03</v>
      </c>
      <c r="H88" s="171">
        <f t="shared" si="140"/>
        <v>0.03</v>
      </c>
      <c r="I88" s="376">
        <f t="shared" si="140"/>
        <v>0.03</v>
      </c>
      <c r="J88" s="171">
        <f t="shared" si="140"/>
        <v>0.03</v>
      </c>
      <c r="K88" s="171">
        <f t="shared" si="140"/>
        <v>0.03</v>
      </c>
      <c r="L88" s="171">
        <f t="shared" si="140"/>
        <v>0.03</v>
      </c>
      <c r="M88" s="376">
        <f t="shared" si="140"/>
        <v>0.03</v>
      </c>
      <c r="N88" s="171">
        <f t="shared" si="140"/>
        <v>0.03</v>
      </c>
      <c r="O88" s="171">
        <f t="shared" si="140"/>
        <v>0.03</v>
      </c>
      <c r="P88" s="376">
        <f t="shared" si="140"/>
        <v>0.03</v>
      </c>
    </row>
    <row r="89" spans="2:16" x14ac:dyDescent="0.25">
      <c r="B89" s="343" t="s">
        <v>106</v>
      </c>
      <c r="C89" s="346"/>
      <c r="D89" s="220"/>
      <c r="E89" s="220"/>
      <c r="F89" s="138">
        <f>F87</f>
        <v>0</v>
      </c>
      <c r="G89" s="239">
        <f t="shared" ref="G89:P89" ca="1" si="141">G87</f>
        <v>0</v>
      </c>
      <c r="H89" s="239">
        <f t="shared" ca="1" si="141"/>
        <v>0</v>
      </c>
      <c r="I89" s="138">
        <f t="shared" ca="1" si="141"/>
        <v>14882864.31653058</v>
      </c>
      <c r="J89" s="239">
        <f t="shared" ca="1" si="141"/>
        <v>30509871.848887689</v>
      </c>
      <c r="K89" s="239">
        <f t="shared" ca="1" si="141"/>
        <v>47982445.265703231</v>
      </c>
      <c r="L89" s="239">
        <f t="shared" ca="1" si="141"/>
        <v>66653842.669275552</v>
      </c>
      <c r="M89" s="138">
        <f t="shared" ca="1" si="141"/>
        <v>86230020.475867063</v>
      </c>
      <c r="N89" s="239">
        <f t="shared" ca="1" si="141"/>
        <v>106745014.86718658</v>
      </c>
      <c r="O89" s="239">
        <f t="shared" ca="1" si="141"/>
        <v>129103139.60735442</v>
      </c>
      <c r="P89" s="138">
        <f t="shared" ca="1" si="141"/>
        <v>152515123.57561034</v>
      </c>
    </row>
    <row r="90" spans="2:16" x14ac:dyDescent="0.25">
      <c r="B90" s="104"/>
      <c r="C90" s="346"/>
      <c r="D90" s="220"/>
      <c r="E90" s="220"/>
      <c r="F90" s="291"/>
      <c r="G90" s="240"/>
      <c r="H90" s="240"/>
      <c r="I90" s="291"/>
      <c r="J90" s="240"/>
      <c r="K90" s="240"/>
      <c r="L90" s="240"/>
      <c r="M90" s="291"/>
      <c r="N90" s="240"/>
      <c r="O90" s="240"/>
      <c r="P90" s="291"/>
    </row>
    <row r="91" spans="2:16" x14ac:dyDescent="0.25">
      <c r="B91" s="343" t="s">
        <v>124</v>
      </c>
      <c r="C91" s="346"/>
      <c r="D91" s="220"/>
      <c r="E91" s="220"/>
      <c r="F91" s="291"/>
      <c r="G91" s="240"/>
      <c r="H91" s="240"/>
      <c r="I91" s="291"/>
      <c r="J91" s="240"/>
      <c r="K91" s="240"/>
      <c r="L91" s="240"/>
      <c r="M91" s="291"/>
      <c r="N91" s="240"/>
      <c r="O91" s="240"/>
      <c r="P91" s="291"/>
    </row>
    <row r="92" spans="2:16" x14ac:dyDescent="0.25">
      <c r="B92" s="104" t="s">
        <v>128</v>
      </c>
      <c r="C92" s="243">
        <f>$J$12</f>
        <v>0.2</v>
      </c>
      <c r="D92" s="220"/>
      <c r="E92" s="220"/>
      <c r="F92" s="138">
        <f>(E92*(F96))-(F89*$C$92)</f>
        <v>0</v>
      </c>
      <c r="G92" s="239">
        <f t="shared" ref="G92:P92" ca="1" si="142">(F92*(G96))-(G89*$C$92)</f>
        <v>0</v>
      </c>
      <c r="H92" s="239">
        <f t="shared" ca="1" si="142"/>
        <v>0</v>
      </c>
      <c r="I92" s="138">
        <f t="shared" ca="1" si="142"/>
        <v>-2976572.8633061163</v>
      </c>
      <c r="J92" s="239">
        <f t="shared" ca="1" si="142"/>
        <v>-6191271.555676721</v>
      </c>
      <c r="K92" s="239">
        <f t="shared" ca="1" si="142"/>
        <v>-9782227.1998109482</v>
      </c>
      <c r="L92" s="239">
        <f t="shared" ca="1" si="142"/>
        <v>-13624235.349849438</v>
      </c>
      <c r="M92" s="138">
        <f t="shared" ca="1" si="142"/>
        <v>-17654731.155668899</v>
      </c>
      <c r="N92" s="239">
        <f t="shared" ca="1" si="142"/>
        <v>-21878644.908107385</v>
      </c>
      <c r="O92" s="239">
        <f t="shared" ca="1" si="142"/>
        <v>-26476987.268714108</v>
      </c>
      <c r="P92" s="138">
        <f t="shared" ca="1" si="142"/>
        <v>-31297334.333183493</v>
      </c>
    </row>
    <row r="93" spans="2:16" x14ac:dyDescent="0.25">
      <c r="B93" s="104" t="s">
        <v>89</v>
      </c>
      <c r="C93" s="243">
        <f>J13</f>
        <v>0.03</v>
      </c>
      <c r="D93" s="220"/>
      <c r="E93" s="220"/>
      <c r="F93" s="138">
        <f>(E93*(F$96))-(F$89*$C$93)</f>
        <v>0</v>
      </c>
      <c r="G93" s="239">
        <f t="shared" ref="G93:P93" ca="1" si="143">(F93*(G$96))-(G$89*$C$93)</f>
        <v>0</v>
      </c>
      <c r="H93" s="239">
        <f t="shared" ca="1" si="143"/>
        <v>0</v>
      </c>
      <c r="I93" s="138">
        <f t="shared" ca="1" si="143"/>
        <v>-446485.9294959174</v>
      </c>
      <c r="J93" s="239">
        <f t="shared" ca="1" si="143"/>
        <v>-928690.73335150827</v>
      </c>
      <c r="K93" s="239">
        <f t="shared" ca="1" si="143"/>
        <v>-1467334.0799716422</v>
      </c>
      <c r="L93" s="239">
        <f t="shared" ca="1" si="143"/>
        <v>-2043635.3024774159</v>
      </c>
      <c r="M93" s="138">
        <f t="shared" ca="1" si="143"/>
        <v>-2648209.6733503346</v>
      </c>
      <c r="N93" s="239">
        <f t="shared" ca="1" si="143"/>
        <v>-3281796.7362161074</v>
      </c>
      <c r="O93" s="239">
        <f t="shared" ca="1" si="143"/>
        <v>-3971548.0903071156</v>
      </c>
      <c r="P93" s="138">
        <f t="shared" ca="1" si="143"/>
        <v>-4694600.1499775229</v>
      </c>
    </row>
    <row r="94" spans="2:16" x14ac:dyDescent="0.25">
      <c r="B94" s="104" t="s">
        <v>134</v>
      </c>
      <c r="C94" s="243">
        <f>J14</f>
        <v>0.02</v>
      </c>
      <c r="D94" s="220"/>
      <c r="E94" s="220"/>
      <c r="F94" s="138">
        <f>(E94*(F$96))-(F$89*$C$94)</f>
        <v>0</v>
      </c>
      <c r="G94" s="239">
        <f t="shared" ref="G94:P94" ca="1" si="144">(F94*(G$96))-(G$89*$C$94)</f>
        <v>0</v>
      </c>
      <c r="H94" s="239">
        <f t="shared" ca="1" si="144"/>
        <v>0</v>
      </c>
      <c r="I94" s="138">
        <f t="shared" ca="1" si="144"/>
        <v>-297657.28633061162</v>
      </c>
      <c r="J94" s="239">
        <f t="shared" ca="1" si="144"/>
        <v>-619127.1555676721</v>
      </c>
      <c r="K94" s="239">
        <f t="shared" ca="1" si="144"/>
        <v>-978222.71998109471</v>
      </c>
      <c r="L94" s="239">
        <f t="shared" ca="1" si="144"/>
        <v>-1362423.5349849439</v>
      </c>
      <c r="M94" s="138">
        <f t="shared" ca="1" si="144"/>
        <v>-1765473.1155668895</v>
      </c>
      <c r="N94" s="239">
        <f t="shared" ca="1" si="144"/>
        <v>-2187864.4908107379</v>
      </c>
      <c r="O94" s="239">
        <f t="shared" ca="1" si="144"/>
        <v>-2647698.7268714104</v>
      </c>
      <c r="P94" s="138">
        <f t="shared" ca="1" si="144"/>
        <v>-3129733.4333183491</v>
      </c>
    </row>
    <row r="95" spans="2:16" x14ac:dyDescent="0.25">
      <c r="B95" s="104" t="s">
        <v>91</v>
      </c>
      <c r="C95" s="243">
        <f>J15</f>
        <v>0.05</v>
      </c>
      <c r="D95" s="220"/>
      <c r="E95" s="220"/>
      <c r="F95" s="138">
        <f>(E95*(F$96))-(F$89*$C$95)</f>
        <v>0</v>
      </c>
      <c r="G95" s="239">
        <f t="shared" ref="G95:P95" ca="1" si="145">(F95*(G$96))-(G$89*$C$95)</f>
        <v>0</v>
      </c>
      <c r="H95" s="239">
        <f t="shared" ca="1" si="145"/>
        <v>0</v>
      </c>
      <c r="I95" s="138">
        <f t="shared" ca="1" si="145"/>
        <v>-744143.21582652908</v>
      </c>
      <c r="J95" s="239">
        <f t="shared" ca="1" si="145"/>
        <v>-1547817.8889191803</v>
      </c>
      <c r="K95" s="239">
        <f t="shared" ca="1" si="145"/>
        <v>-2445556.7999527371</v>
      </c>
      <c r="L95" s="239">
        <f t="shared" ca="1" si="145"/>
        <v>-3406058.8374623596</v>
      </c>
      <c r="M95" s="138">
        <f t="shared" ca="1" si="145"/>
        <v>-4413682.7889172249</v>
      </c>
      <c r="N95" s="239">
        <f t="shared" ca="1" si="145"/>
        <v>-5469661.2270268463</v>
      </c>
      <c r="O95" s="239">
        <f t="shared" ca="1" si="145"/>
        <v>-6619246.8171785269</v>
      </c>
      <c r="P95" s="138">
        <f t="shared" ca="1" si="145"/>
        <v>-7824333.5832958734</v>
      </c>
    </row>
    <row r="96" spans="2:16" x14ac:dyDescent="0.25">
      <c r="B96" s="344" t="s">
        <v>133</v>
      </c>
      <c r="C96" s="243">
        <f>$G$15</f>
        <v>0.03</v>
      </c>
      <c r="D96" s="220"/>
      <c r="E96" s="220"/>
      <c r="F96" s="298">
        <f t="shared" ref="F96:P96" si="146">$G$15</f>
        <v>0.03</v>
      </c>
      <c r="G96" s="345">
        <f t="shared" si="146"/>
        <v>0.03</v>
      </c>
      <c r="H96" s="345">
        <f t="shared" si="146"/>
        <v>0.03</v>
      </c>
      <c r="I96" s="298">
        <f t="shared" si="146"/>
        <v>0.03</v>
      </c>
      <c r="J96" s="345">
        <f t="shared" si="146"/>
        <v>0.03</v>
      </c>
      <c r="K96" s="345">
        <f t="shared" si="146"/>
        <v>0.03</v>
      </c>
      <c r="L96" s="345">
        <f t="shared" si="146"/>
        <v>0.03</v>
      </c>
      <c r="M96" s="298">
        <f t="shared" si="146"/>
        <v>0.03</v>
      </c>
      <c r="N96" s="345">
        <f t="shared" si="146"/>
        <v>0.03</v>
      </c>
      <c r="O96" s="345">
        <f t="shared" si="146"/>
        <v>0.03</v>
      </c>
      <c r="P96" s="298">
        <f t="shared" si="146"/>
        <v>0.03</v>
      </c>
    </row>
    <row r="97" spans="2:16" x14ac:dyDescent="0.25">
      <c r="B97" s="104"/>
      <c r="C97" s="241"/>
      <c r="D97" s="220"/>
      <c r="E97" s="220"/>
      <c r="F97" s="291"/>
      <c r="G97" s="240"/>
      <c r="H97" s="240"/>
      <c r="I97" s="291"/>
      <c r="J97" s="240"/>
      <c r="K97" s="240"/>
      <c r="L97" s="240"/>
      <c r="M97" s="291"/>
      <c r="N97" s="240"/>
      <c r="O97" s="240"/>
      <c r="P97" s="291"/>
    </row>
    <row r="98" spans="2:16" x14ac:dyDescent="0.25">
      <c r="B98" s="48" t="s">
        <v>99</v>
      </c>
      <c r="C98" s="77"/>
      <c r="D98" s="79"/>
      <c r="E98" s="79"/>
      <c r="F98" s="156">
        <f>SUM(F89:F95)</f>
        <v>0</v>
      </c>
      <c r="G98" s="142">
        <f t="shared" ref="G98:P98" ca="1" si="147">SUM(G89:G95)</f>
        <v>0</v>
      </c>
      <c r="H98" s="142">
        <f t="shared" ca="1" si="147"/>
        <v>0</v>
      </c>
      <c r="I98" s="156">
        <f t="shared" ca="1" si="147"/>
        <v>10418005.021571405</v>
      </c>
      <c r="J98" s="142">
        <f t="shared" ca="1" si="147"/>
        <v>21222964.515372604</v>
      </c>
      <c r="K98" s="142">
        <f t="shared" ca="1" si="147"/>
        <v>33309104.465986803</v>
      </c>
      <c r="L98" s="142">
        <f t="shared" ca="1" si="147"/>
        <v>46217489.644501388</v>
      </c>
      <c r="M98" s="156">
        <f t="shared" ca="1" si="147"/>
        <v>59747923.742363721</v>
      </c>
      <c r="N98" s="142">
        <f t="shared" ca="1" si="147"/>
        <v>73927047.505025491</v>
      </c>
      <c r="O98" s="142">
        <f t="shared" ca="1" si="147"/>
        <v>89387658.704283237</v>
      </c>
      <c r="P98" s="156">
        <f t="shared" ca="1" si="147"/>
        <v>105569122.07583511</v>
      </c>
    </row>
    <row r="99" spans="2:16" x14ac:dyDescent="0.25">
      <c r="B99" s="322"/>
      <c r="C99" s="241"/>
      <c r="D99" s="220"/>
      <c r="E99" s="220"/>
      <c r="F99" s="291"/>
      <c r="G99" s="240"/>
      <c r="H99" s="240"/>
      <c r="I99" s="291"/>
      <c r="J99" s="240"/>
      <c r="K99" s="240"/>
      <c r="L99" s="240"/>
      <c r="M99" s="291"/>
      <c r="N99" s="240"/>
      <c r="O99" s="240"/>
      <c r="P99" s="291"/>
    </row>
    <row r="100" spans="2:16" x14ac:dyDescent="0.25">
      <c r="B100" s="322" t="s">
        <v>129</v>
      </c>
      <c r="C100" s="241"/>
      <c r="D100" s="220"/>
      <c r="E100" s="220"/>
      <c r="F100" s="138">
        <f t="shared" ref="F100:P100" si="148">IF(F26=$G$20,E98/$G$19,0)</f>
        <v>0</v>
      </c>
      <c r="G100" s="239">
        <f t="shared" si="148"/>
        <v>0</v>
      </c>
      <c r="H100" s="239">
        <f t="shared" si="148"/>
        <v>0</v>
      </c>
      <c r="I100" s="138">
        <f t="shared" si="148"/>
        <v>0</v>
      </c>
      <c r="J100" s="239">
        <f t="shared" si="148"/>
        <v>0</v>
      </c>
      <c r="K100" s="239">
        <f t="shared" si="148"/>
        <v>0</v>
      </c>
      <c r="L100" s="239">
        <f t="shared" si="148"/>
        <v>0</v>
      </c>
      <c r="M100" s="138">
        <f t="shared" si="148"/>
        <v>0</v>
      </c>
      <c r="N100" s="239">
        <f t="shared" si="148"/>
        <v>0</v>
      </c>
      <c r="O100" s="239">
        <f t="shared" si="148"/>
        <v>0</v>
      </c>
      <c r="P100" s="138">
        <f t="shared" ca="1" si="148"/>
        <v>1375194749.2966652</v>
      </c>
    </row>
    <row r="101" spans="2:16" x14ac:dyDescent="0.25">
      <c r="B101" s="322" t="s">
        <v>41</v>
      </c>
      <c r="C101" s="246">
        <f>G21</f>
        <v>0.02</v>
      </c>
      <c r="D101" s="220"/>
      <c r="E101" s="220"/>
      <c r="F101" s="138">
        <f>-F100*$C$101</f>
        <v>0</v>
      </c>
      <c r="G101" s="239">
        <f t="shared" ref="G101:P101" si="149">-G100*$C$101</f>
        <v>0</v>
      </c>
      <c r="H101" s="239">
        <f t="shared" si="149"/>
        <v>0</v>
      </c>
      <c r="I101" s="138">
        <f t="shared" si="149"/>
        <v>0</v>
      </c>
      <c r="J101" s="239">
        <f t="shared" si="149"/>
        <v>0</v>
      </c>
      <c r="K101" s="239">
        <f t="shared" si="149"/>
        <v>0</v>
      </c>
      <c r="L101" s="239">
        <f t="shared" si="149"/>
        <v>0</v>
      </c>
      <c r="M101" s="138">
        <f t="shared" si="149"/>
        <v>0</v>
      </c>
      <c r="N101" s="239">
        <f t="shared" si="149"/>
        <v>0</v>
      </c>
      <c r="O101" s="239">
        <f t="shared" si="149"/>
        <v>0</v>
      </c>
      <c r="P101" s="138">
        <f t="shared" ca="1" si="149"/>
        <v>-27503894.985933304</v>
      </c>
    </row>
    <row r="102" spans="2:16" x14ac:dyDescent="0.25">
      <c r="B102" s="104"/>
      <c r="C102" s="241"/>
      <c r="D102" s="220"/>
      <c r="E102" s="220"/>
      <c r="F102" s="291"/>
      <c r="G102" s="240"/>
      <c r="H102" s="240"/>
      <c r="I102" s="291"/>
      <c r="J102" s="240"/>
      <c r="K102" s="240"/>
      <c r="L102" s="240"/>
      <c r="M102" s="291"/>
      <c r="N102" s="240"/>
      <c r="O102" s="240"/>
      <c r="P102" s="291"/>
    </row>
    <row r="103" spans="2:16" x14ac:dyDescent="0.25">
      <c r="B103" s="323" t="s">
        <v>103</v>
      </c>
      <c r="C103" s="241" t="s">
        <v>37</v>
      </c>
      <c r="D103" s="241" t="s">
        <v>169</v>
      </c>
      <c r="E103" s="220"/>
      <c r="F103" s="291"/>
      <c r="G103" s="240"/>
      <c r="H103" s="240"/>
      <c r="I103" s="291"/>
      <c r="J103" s="240"/>
      <c r="K103" s="240"/>
      <c r="L103" s="240"/>
      <c r="M103" s="291"/>
      <c r="N103" s="240"/>
      <c r="O103" s="240"/>
      <c r="P103" s="291"/>
    </row>
    <row r="104" spans="2:16" x14ac:dyDescent="0.25">
      <c r="B104" s="322" t="s">
        <v>30</v>
      </c>
      <c r="C104" s="247">
        <f>Costs!F37</f>
        <v>209</v>
      </c>
      <c r="D104" s="220"/>
      <c r="E104" s="220"/>
      <c r="F104" s="138">
        <f>$C$104*SUM(F76,F71,F67,F63,F59,F55,F51,F47,F43,F39,F35,F31)</f>
        <v>0</v>
      </c>
      <c r="G104" s="239">
        <f t="shared" ref="G104:P104" ca="1" si="150">$C$104*SUM(G76,G71,G67,G63,G59,G55,G51,G47,G43,G39,G35,G31)</f>
        <v>15866757.5</v>
      </c>
      <c r="H104" s="239">
        <f t="shared" ca="1" si="150"/>
        <v>31236304</v>
      </c>
      <c r="I104" s="138">
        <f t="shared" ca="1" si="150"/>
        <v>15833317.5</v>
      </c>
      <c r="J104" s="239">
        <f t="shared" ca="1" si="150"/>
        <v>5206817</v>
      </c>
      <c r="K104" s="239">
        <f t="shared" ca="1" si="150"/>
        <v>1633962</v>
      </c>
      <c r="L104" s="239">
        <f t="shared" ca="1" si="150"/>
        <v>0</v>
      </c>
      <c r="M104" s="138">
        <f t="shared" ca="1" si="150"/>
        <v>0</v>
      </c>
      <c r="N104" s="239">
        <f t="shared" ca="1" si="150"/>
        <v>1947880</v>
      </c>
      <c r="O104" s="239">
        <f t="shared" ca="1" si="150"/>
        <v>1947880</v>
      </c>
      <c r="P104" s="138">
        <f t="shared" ca="1" si="150"/>
        <v>0</v>
      </c>
    </row>
    <row r="105" spans="2:16" x14ac:dyDescent="0.25">
      <c r="B105" s="347" t="s">
        <v>36</v>
      </c>
      <c r="C105" s="524">
        <f>Costs!F54</f>
        <v>41.800000000000011</v>
      </c>
      <c r="D105" s="56"/>
      <c r="E105" s="56"/>
      <c r="F105" s="299">
        <f>$C$105*SUM(F76,F71,F67,F63,F59,F55,F51,F47,F43,F39,F35,F31)</f>
        <v>0</v>
      </c>
      <c r="G105" s="143">
        <f t="shared" ref="G105:P105" ca="1" si="151">$C$105*SUM(G76,G71,G67,G63,G59,G55,G51,G47,G43,G39,G35,G31)</f>
        <v>3173351.5000000009</v>
      </c>
      <c r="H105" s="143">
        <f t="shared" ca="1" si="151"/>
        <v>6247260.8000000017</v>
      </c>
      <c r="I105" s="299">
        <f t="shared" ca="1" si="151"/>
        <v>3166663.5000000009</v>
      </c>
      <c r="J105" s="143">
        <f t="shared" ca="1" si="151"/>
        <v>1041363.4000000003</v>
      </c>
      <c r="K105" s="143">
        <f t="shared" ca="1" si="151"/>
        <v>326792.40000000008</v>
      </c>
      <c r="L105" s="143">
        <f t="shared" ca="1" si="151"/>
        <v>0</v>
      </c>
      <c r="M105" s="299">
        <f t="shared" ca="1" si="151"/>
        <v>0</v>
      </c>
      <c r="N105" s="143">
        <f t="shared" ca="1" si="151"/>
        <v>389576.00000000012</v>
      </c>
      <c r="O105" s="143">
        <f t="shared" ca="1" si="151"/>
        <v>389576.00000000012</v>
      </c>
      <c r="P105" s="299">
        <f t="shared" ca="1" si="151"/>
        <v>0</v>
      </c>
    </row>
    <row r="106" spans="2:16" x14ac:dyDescent="0.25">
      <c r="B106" s="323" t="s">
        <v>104</v>
      </c>
      <c r="C106" s="241"/>
      <c r="D106" s="220"/>
      <c r="E106" s="220"/>
      <c r="F106" s="138">
        <f t="shared" ref="F106:P106" si="152">SUM(F104:F105)</f>
        <v>0</v>
      </c>
      <c r="G106" s="239">
        <f t="shared" ca="1" si="152"/>
        <v>19040109</v>
      </c>
      <c r="H106" s="239">
        <f t="shared" ca="1" si="152"/>
        <v>37483564.800000004</v>
      </c>
      <c r="I106" s="138">
        <f t="shared" ca="1" si="152"/>
        <v>18999981</v>
      </c>
      <c r="J106" s="239">
        <f t="shared" ca="1" si="152"/>
        <v>6248180.4000000004</v>
      </c>
      <c r="K106" s="239">
        <f t="shared" ca="1" si="152"/>
        <v>1960754.4000000001</v>
      </c>
      <c r="L106" s="239">
        <f t="shared" ca="1" si="152"/>
        <v>0</v>
      </c>
      <c r="M106" s="138">
        <f t="shared" ca="1" si="152"/>
        <v>0</v>
      </c>
      <c r="N106" s="239">
        <f t="shared" ca="1" si="152"/>
        <v>2337456</v>
      </c>
      <c r="O106" s="239">
        <f t="shared" ca="1" si="152"/>
        <v>2337456</v>
      </c>
      <c r="P106" s="138">
        <f t="shared" ca="1" si="152"/>
        <v>0</v>
      </c>
    </row>
    <row r="107" spans="2:16" x14ac:dyDescent="0.25">
      <c r="B107" s="104"/>
      <c r="C107" s="220"/>
      <c r="D107" s="220"/>
      <c r="E107" s="220"/>
      <c r="F107" s="291"/>
      <c r="G107" s="240"/>
      <c r="H107" s="240"/>
      <c r="I107" s="291"/>
      <c r="J107" s="240"/>
      <c r="K107" s="240"/>
      <c r="L107" s="240"/>
      <c r="M107" s="291"/>
      <c r="N107" s="240"/>
      <c r="O107" s="240"/>
      <c r="P107" s="291"/>
    </row>
    <row r="108" spans="2:16" x14ac:dyDescent="0.25">
      <c r="B108" s="48" t="s">
        <v>202</v>
      </c>
      <c r="C108" s="79"/>
      <c r="D108" s="79"/>
      <c r="E108" s="79"/>
      <c r="F108" s="155">
        <f t="shared" ref="F108:P108" si="153">F98+F100+F101-F106</f>
        <v>0</v>
      </c>
      <c r="G108" s="146">
        <f t="shared" ca="1" si="153"/>
        <v>-19040109</v>
      </c>
      <c r="H108" s="146">
        <f t="shared" ca="1" si="153"/>
        <v>-37483564.800000004</v>
      </c>
      <c r="I108" s="155">
        <f t="shared" ca="1" si="153"/>
        <v>-8581975.9784285948</v>
      </c>
      <c r="J108" s="146">
        <f t="shared" ca="1" si="153"/>
        <v>14974784.115372604</v>
      </c>
      <c r="K108" s="146">
        <f t="shared" ca="1" si="153"/>
        <v>31348350.065986805</v>
      </c>
      <c r="L108" s="146">
        <f t="shared" ca="1" si="153"/>
        <v>46217489.644501388</v>
      </c>
      <c r="M108" s="155">
        <f t="shared" ca="1" si="153"/>
        <v>59747923.742363721</v>
      </c>
      <c r="N108" s="146">
        <f t="shared" ca="1" si="153"/>
        <v>71589591.505025491</v>
      </c>
      <c r="O108" s="146">
        <f t="shared" ca="1" si="153"/>
        <v>87050202.704283237</v>
      </c>
      <c r="P108" s="155">
        <f t="shared" ca="1" si="153"/>
        <v>1453259976.3865671</v>
      </c>
    </row>
    <row r="109" spans="2:16" x14ac:dyDescent="0.25">
      <c r="C109" s="5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</row>
    <row r="110" spans="2:16" x14ac:dyDescent="0.25">
      <c r="B110" s="50" t="s">
        <v>130</v>
      </c>
      <c r="C110" s="135">
        <f ca="1">SUM(F108:P108)</f>
        <v>1699082668.3856719</v>
      </c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</row>
    <row r="111" spans="2:16" x14ac:dyDescent="0.25">
      <c r="B111" s="104" t="s">
        <v>228</v>
      </c>
      <c r="C111" s="138">
        <f ca="1">SUM(F106:P106)</f>
        <v>88407501.600000024</v>
      </c>
      <c r="D111" s="121"/>
      <c r="E111" s="121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</row>
    <row r="112" spans="2:16" x14ac:dyDescent="0.25">
      <c r="B112" s="104" t="s">
        <v>202</v>
      </c>
      <c r="C112" s="136">
        <f ca="1">IRR(F108:P108)</f>
        <v>0.57997729370216122</v>
      </c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</row>
    <row r="113" spans="2:16" x14ac:dyDescent="0.25">
      <c r="B113" s="51" t="s">
        <v>201</v>
      </c>
      <c r="C113" s="137">
        <f ca="1">C110/C111</f>
        <v>19.218761277444258</v>
      </c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</row>
    <row r="114" spans="2:16" x14ac:dyDescent="0.25">
      <c r="C114" s="5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</row>
    <row r="115" spans="2:16" x14ac:dyDescent="0.25"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</row>
    <row r="116" spans="2:16" x14ac:dyDescent="0.25"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</row>
    <row r="117" spans="2:16" x14ac:dyDescent="0.25"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</row>
  </sheetData>
  <mergeCells count="2">
    <mergeCell ref="F24:P24"/>
    <mergeCell ref="B5:E22"/>
  </mergeCells>
  <conditionalFormatting sqref="A34:P34 A30:A33 A38:P38 A35:A37 A42:P42 A39:A41 A46:P46 A43:A45 A50:P50 A47:A49 A54:P54 A51:A53 A62:P62 A59:A61 A66:P66 A63:A65 A58:P58 A55:A57 A80:B80 D80:P80 A67:A79 B70 D70:P70 A1:P2 K11:P18 I11:J19 A23:P29 I19:P22 A81:P111 A113:P118 A112 C112:P112 A6:A22 A5:B5 F5:P10 F11:H21 A4:P4 A3 C3:P3">
    <cfRule type="cellIs" dxfId="250" priority="134" operator="lessThan">
      <formula>0</formula>
    </cfRule>
  </conditionalFormatting>
  <conditionalFormatting sqref="F87">
    <cfRule type="cellIs" dxfId="249" priority="143" operator="lessThan">
      <formula>0</formula>
    </cfRule>
  </conditionalFormatting>
  <conditionalFormatting sqref="G87:P87">
    <cfRule type="cellIs" dxfId="248" priority="142" operator="lessThan">
      <formula>0</formula>
    </cfRule>
  </conditionalFormatting>
  <conditionalFormatting sqref="F92">
    <cfRule type="cellIs" dxfId="247" priority="139" operator="lessThan">
      <formula>0</formula>
    </cfRule>
  </conditionalFormatting>
  <conditionalFormatting sqref="F93:F95">
    <cfRule type="cellIs" dxfId="246" priority="138" operator="lessThan">
      <formula>0</formula>
    </cfRule>
  </conditionalFormatting>
  <conditionalFormatting sqref="G92:P92">
    <cfRule type="cellIs" dxfId="245" priority="137" operator="lessThan">
      <formula>0</formula>
    </cfRule>
  </conditionalFormatting>
  <conditionalFormatting sqref="G93:P95">
    <cfRule type="cellIs" dxfId="244" priority="136" operator="lessThan">
      <formula>0</formula>
    </cfRule>
  </conditionalFormatting>
  <conditionalFormatting sqref="B30:B33 E30:P31 D32:P33">
    <cfRule type="cellIs" dxfId="243" priority="132" operator="lessThan">
      <formula>0</formula>
    </cfRule>
  </conditionalFormatting>
  <conditionalFormatting sqref="D30">
    <cfRule type="cellIs" dxfId="242" priority="130" operator="lessThan">
      <formula>0</formula>
    </cfRule>
  </conditionalFormatting>
  <conditionalFormatting sqref="C30:C31">
    <cfRule type="cellIs" dxfId="241" priority="131" operator="lessThan">
      <formula>0</formula>
    </cfRule>
  </conditionalFormatting>
  <conditionalFormatting sqref="D31">
    <cfRule type="cellIs" dxfId="240" priority="129" operator="lessThan">
      <formula>0</formula>
    </cfRule>
  </conditionalFormatting>
  <conditionalFormatting sqref="C39">
    <cfRule type="cellIs" dxfId="239" priority="113" operator="lessThan">
      <formula>0</formula>
    </cfRule>
  </conditionalFormatting>
  <conditionalFormatting sqref="C43">
    <cfRule type="cellIs" dxfId="238" priority="110" operator="lessThan">
      <formula>0</formula>
    </cfRule>
  </conditionalFormatting>
  <conditionalFormatting sqref="D39">
    <cfRule type="cellIs" dxfId="237" priority="112" operator="lessThan">
      <formula>0</formula>
    </cfRule>
  </conditionalFormatting>
  <conditionalFormatting sqref="D43">
    <cfRule type="cellIs" dxfId="236" priority="109" operator="lessThan">
      <formula>0</formula>
    </cfRule>
  </conditionalFormatting>
  <conditionalFormatting sqref="B35:B37 D36:E37 E35:P35">
    <cfRule type="cellIs" dxfId="235" priority="120" operator="lessThan">
      <formula>0</formula>
    </cfRule>
  </conditionalFormatting>
  <conditionalFormatting sqref="C35">
    <cfRule type="cellIs" dxfId="234" priority="119" operator="lessThan">
      <formula>0</formula>
    </cfRule>
  </conditionalFormatting>
  <conditionalFormatting sqref="D35">
    <cfRule type="cellIs" dxfId="233" priority="118" operator="lessThan">
      <formula>0</formula>
    </cfRule>
  </conditionalFormatting>
  <conditionalFormatting sqref="B39:B41 D40:E41 E39:P39">
    <cfRule type="cellIs" dxfId="232" priority="114" operator="lessThan">
      <formula>0</formula>
    </cfRule>
  </conditionalFormatting>
  <conditionalFormatting sqref="C47">
    <cfRule type="cellIs" dxfId="231" priority="107" operator="lessThan">
      <formula>0</formula>
    </cfRule>
  </conditionalFormatting>
  <conditionalFormatting sqref="D47">
    <cfRule type="cellIs" dxfId="230" priority="106" operator="lessThan">
      <formula>0</formula>
    </cfRule>
  </conditionalFormatting>
  <conditionalFormatting sqref="B43:B45 D44:E45 E43:P43">
    <cfRule type="cellIs" dxfId="229" priority="111" operator="lessThan">
      <formula>0</formula>
    </cfRule>
  </conditionalFormatting>
  <conditionalFormatting sqref="D55">
    <cfRule type="cellIs" dxfId="228" priority="68" operator="lessThan">
      <formula>0</formula>
    </cfRule>
  </conditionalFormatting>
  <conditionalFormatting sqref="B47:B49 D48:E49 E47:P47">
    <cfRule type="cellIs" dxfId="227" priority="108" operator="lessThan">
      <formula>0</formula>
    </cfRule>
  </conditionalFormatting>
  <conditionalFormatting sqref="C51">
    <cfRule type="cellIs" dxfId="226" priority="104" operator="lessThan">
      <formula>0</formula>
    </cfRule>
  </conditionalFormatting>
  <conditionalFormatting sqref="D51">
    <cfRule type="cellIs" dxfId="225" priority="103" operator="lessThan">
      <formula>0</formula>
    </cfRule>
  </conditionalFormatting>
  <conditionalFormatting sqref="D59">
    <cfRule type="cellIs" dxfId="224" priority="100" operator="lessThan">
      <formula>0</formula>
    </cfRule>
  </conditionalFormatting>
  <conditionalFormatting sqref="B51:B53 D52:E53 E51:P51">
    <cfRule type="cellIs" dxfId="223" priority="105" operator="lessThan">
      <formula>0</formula>
    </cfRule>
  </conditionalFormatting>
  <conditionalFormatting sqref="D75:P75 B75">
    <cfRule type="cellIs" dxfId="222" priority="75" operator="lessThan">
      <formula>0</formula>
    </cfRule>
  </conditionalFormatting>
  <conditionalFormatting sqref="G87:P87">
    <cfRule type="cellIs" dxfId="221" priority="54" operator="lessThan">
      <formula>0</formula>
    </cfRule>
  </conditionalFormatting>
  <conditionalFormatting sqref="F37:P37">
    <cfRule type="cellIs" dxfId="220" priority="53" operator="lessThan">
      <formula>0</formula>
    </cfRule>
  </conditionalFormatting>
  <conditionalFormatting sqref="B59:B61 D60:E61 E59:P59">
    <cfRule type="cellIs" dxfId="219" priority="102" operator="lessThan">
      <formula>0</formula>
    </cfRule>
  </conditionalFormatting>
  <conditionalFormatting sqref="C59">
    <cfRule type="cellIs" dxfId="218" priority="101" operator="lessThan">
      <formula>0</formula>
    </cfRule>
  </conditionalFormatting>
  <conditionalFormatting sqref="D63">
    <cfRule type="cellIs" dxfId="217" priority="97" operator="lessThan">
      <formula>0</formula>
    </cfRule>
  </conditionalFormatting>
  <conditionalFormatting sqref="B63:B65 D64:E65 E63:P63">
    <cfRule type="cellIs" dxfId="216" priority="99" operator="lessThan">
      <formula>0</formula>
    </cfRule>
  </conditionalFormatting>
  <conditionalFormatting sqref="C63">
    <cfRule type="cellIs" dxfId="215" priority="98" operator="lessThan">
      <formula>0</formula>
    </cfRule>
  </conditionalFormatting>
  <conditionalFormatting sqref="D67">
    <cfRule type="cellIs" dxfId="214" priority="94" operator="lessThan">
      <formula>0</formula>
    </cfRule>
  </conditionalFormatting>
  <conditionalFormatting sqref="B67:B69 D68:E69 E67:P67">
    <cfRule type="cellIs" dxfId="213" priority="96" operator="lessThan">
      <formula>0</formula>
    </cfRule>
  </conditionalFormatting>
  <conditionalFormatting sqref="C67">
    <cfRule type="cellIs" dxfId="212" priority="95" operator="lessThan">
      <formula>0</formula>
    </cfRule>
  </conditionalFormatting>
  <conditionalFormatting sqref="F36:P36">
    <cfRule type="cellIs" dxfId="211" priority="93" operator="lessThan">
      <formula>0</formula>
    </cfRule>
  </conditionalFormatting>
  <conditionalFormatting sqref="G36:P36">
    <cfRule type="cellIs" dxfId="210" priority="92" operator="lessThan">
      <formula>0</formula>
    </cfRule>
  </conditionalFormatting>
  <conditionalFormatting sqref="B71:B74 D72:E74 E71:P71">
    <cfRule type="cellIs" dxfId="209" priority="65" operator="lessThan">
      <formula>0</formula>
    </cfRule>
  </conditionalFormatting>
  <conditionalFormatting sqref="F41:G41">
    <cfRule type="cellIs" dxfId="208" priority="52" operator="lessThan">
      <formula>0</formula>
    </cfRule>
  </conditionalFormatting>
  <conditionalFormatting sqref="C71">
    <cfRule type="cellIs" dxfId="207" priority="64" operator="lessThan">
      <formula>0</formula>
    </cfRule>
  </conditionalFormatting>
  <conditionalFormatting sqref="C55">
    <cfRule type="cellIs" dxfId="206" priority="69" operator="lessThan">
      <formula>0</formula>
    </cfRule>
  </conditionalFormatting>
  <conditionalFormatting sqref="D71">
    <cfRule type="cellIs" dxfId="205" priority="63" operator="lessThan">
      <formula>0</formula>
    </cfRule>
  </conditionalFormatting>
  <conditionalFormatting sqref="B55:B57 D56:E57 E55:P55">
    <cfRule type="cellIs" dxfId="204" priority="70" operator="lessThan">
      <formula>0</formula>
    </cfRule>
  </conditionalFormatting>
  <conditionalFormatting sqref="F73:P73">
    <cfRule type="cellIs" dxfId="203" priority="62" operator="lessThan">
      <formula>0</formula>
    </cfRule>
  </conditionalFormatting>
  <conditionalFormatting sqref="F45:G45">
    <cfRule type="cellIs" dxfId="202" priority="51" operator="lessThan">
      <formula>0</formula>
    </cfRule>
  </conditionalFormatting>
  <conditionalFormatting sqref="C76">
    <cfRule type="cellIs" dxfId="201" priority="59" operator="lessThan">
      <formula>0</formula>
    </cfRule>
  </conditionalFormatting>
  <conditionalFormatting sqref="B76:B79 D77:E79 E76:P76">
    <cfRule type="cellIs" dxfId="200" priority="60" operator="lessThan">
      <formula>0</formula>
    </cfRule>
  </conditionalFormatting>
  <conditionalFormatting sqref="D76">
    <cfRule type="cellIs" dxfId="199" priority="58" operator="lessThan">
      <formula>0</formula>
    </cfRule>
  </conditionalFormatting>
  <conditionalFormatting sqref="F69:J69">
    <cfRule type="cellIs" dxfId="198" priority="45" operator="lessThan">
      <formula>0</formula>
    </cfRule>
  </conditionalFormatting>
  <conditionalFormatting sqref="G87:P87">
    <cfRule type="cellIs" dxfId="197" priority="55" operator="lessThan">
      <formula>0</formula>
    </cfRule>
  </conditionalFormatting>
  <conditionalFormatting sqref="G87:P87">
    <cfRule type="cellIs" dxfId="196" priority="39" operator="lessThan">
      <formula>0</formula>
    </cfRule>
  </conditionalFormatting>
  <conditionalFormatting sqref="H41:P41">
    <cfRule type="cellIs" dxfId="195" priority="38" operator="lessThan">
      <formula>0</formula>
    </cfRule>
  </conditionalFormatting>
  <conditionalFormatting sqref="F49:J49">
    <cfRule type="cellIs" dxfId="194" priority="50" operator="lessThan">
      <formula>0</formula>
    </cfRule>
  </conditionalFormatting>
  <conditionalFormatting sqref="F53:J53">
    <cfRule type="cellIs" dxfId="193" priority="49" operator="lessThan">
      <formula>0</formula>
    </cfRule>
  </conditionalFormatting>
  <conditionalFormatting sqref="F57:G57">
    <cfRule type="cellIs" dxfId="192" priority="48" operator="lessThan">
      <formula>0</formula>
    </cfRule>
  </conditionalFormatting>
  <conditionalFormatting sqref="F61:G61">
    <cfRule type="cellIs" dxfId="191" priority="47" operator="lessThan">
      <formula>0</formula>
    </cfRule>
  </conditionalFormatting>
  <conditionalFormatting sqref="F65:N65">
    <cfRule type="cellIs" dxfId="190" priority="46" operator="lessThan">
      <formula>0</formula>
    </cfRule>
  </conditionalFormatting>
  <conditionalFormatting sqref="J79:P79">
    <cfRule type="cellIs" dxfId="189" priority="27" operator="lessThan">
      <formula>0</formula>
    </cfRule>
  </conditionalFormatting>
  <conditionalFormatting sqref="F74:I74">
    <cfRule type="cellIs" dxfId="188" priority="44" operator="lessThan">
      <formula>0</formula>
    </cfRule>
  </conditionalFormatting>
  <conditionalFormatting sqref="F79:I79">
    <cfRule type="cellIs" dxfId="187" priority="43" operator="lessThan">
      <formula>0</formula>
    </cfRule>
  </conditionalFormatting>
  <conditionalFormatting sqref="G73:P73">
    <cfRule type="cellIs" dxfId="186" priority="42" operator="lessThan">
      <formula>0</formula>
    </cfRule>
  </conditionalFormatting>
  <conditionalFormatting sqref="G87:P87">
    <cfRule type="cellIs" dxfId="185" priority="40" operator="lessThan">
      <formula>0</formula>
    </cfRule>
  </conditionalFormatting>
  <conditionalFormatting sqref="H45:P45">
    <cfRule type="cellIs" dxfId="184" priority="37" operator="lessThan">
      <formula>0</formula>
    </cfRule>
  </conditionalFormatting>
  <conditionalFormatting sqref="K49:P49">
    <cfRule type="cellIs" dxfId="183" priority="36" operator="lessThan">
      <formula>0</formula>
    </cfRule>
  </conditionalFormatting>
  <conditionalFormatting sqref="K53:P53">
    <cfRule type="cellIs" dxfId="182" priority="33" operator="lessThan">
      <formula>0</formula>
    </cfRule>
  </conditionalFormatting>
  <conditionalFormatting sqref="H57:P57">
    <cfRule type="cellIs" dxfId="181" priority="32" operator="lessThan">
      <formula>0</formula>
    </cfRule>
  </conditionalFormatting>
  <conditionalFormatting sqref="H61:P61">
    <cfRule type="cellIs" dxfId="180" priority="31" operator="lessThan">
      <formula>0</formula>
    </cfRule>
  </conditionalFormatting>
  <conditionalFormatting sqref="O65:P65">
    <cfRule type="cellIs" dxfId="179" priority="30" operator="lessThan">
      <formula>0</formula>
    </cfRule>
  </conditionalFormatting>
  <conditionalFormatting sqref="K69:P69">
    <cfRule type="cellIs" dxfId="178" priority="29" operator="lessThan">
      <formula>0</formula>
    </cfRule>
  </conditionalFormatting>
  <conditionalFormatting sqref="J74:P74">
    <cfRule type="cellIs" dxfId="177" priority="28" operator="lessThan">
      <formula>0</formula>
    </cfRule>
  </conditionalFormatting>
  <conditionalFormatting sqref="F40:P40">
    <cfRule type="cellIs" dxfId="176" priority="26" operator="lessThan">
      <formula>0</formula>
    </cfRule>
  </conditionalFormatting>
  <conditionalFormatting sqref="G40:P40">
    <cfRule type="cellIs" dxfId="175" priority="25" operator="lessThan">
      <formula>0</formula>
    </cfRule>
  </conditionalFormatting>
  <conditionalFormatting sqref="F44:P44">
    <cfRule type="cellIs" dxfId="174" priority="24" operator="lessThan">
      <formula>0</formula>
    </cfRule>
  </conditionalFormatting>
  <conditionalFormatting sqref="G44:P44">
    <cfRule type="cellIs" dxfId="173" priority="23" operator="lessThan">
      <formula>0</formula>
    </cfRule>
  </conditionalFormatting>
  <conditionalFormatting sqref="F48:P48">
    <cfRule type="cellIs" dxfId="172" priority="22" operator="lessThan">
      <formula>0</formula>
    </cfRule>
  </conditionalFormatting>
  <conditionalFormatting sqref="G48:P48">
    <cfRule type="cellIs" dxfId="171" priority="21" operator="lessThan">
      <formula>0</formula>
    </cfRule>
  </conditionalFormatting>
  <conditionalFormatting sqref="F52:P52">
    <cfRule type="cellIs" dxfId="170" priority="20" operator="lessThan">
      <formula>0</formula>
    </cfRule>
  </conditionalFormatting>
  <conditionalFormatting sqref="G52:P52">
    <cfRule type="cellIs" dxfId="169" priority="19" operator="lessThan">
      <formula>0</formula>
    </cfRule>
  </conditionalFormatting>
  <conditionalFormatting sqref="F56:P56">
    <cfRule type="cellIs" dxfId="168" priority="18" operator="lessThan">
      <formula>0</formula>
    </cfRule>
  </conditionalFormatting>
  <conditionalFormatting sqref="G56:P56">
    <cfRule type="cellIs" dxfId="167" priority="17" operator="lessThan">
      <formula>0</formula>
    </cfRule>
  </conditionalFormatting>
  <conditionalFormatting sqref="F60:P60">
    <cfRule type="cellIs" dxfId="166" priority="16" operator="lessThan">
      <formula>0</formula>
    </cfRule>
  </conditionalFormatting>
  <conditionalFormatting sqref="G60:P60">
    <cfRule type="cellIs" dxfId="165" priority="15" operator="lessThan">
      <formula>0</formula>
    </cfRule>
  </conditionalFormatting>
  <conditionalFormatting sqref="F64:P64">
    <cfRule type="cellIs" dxfId="164" priority="14" operator="lessThan">
      <formula>0</formula>
    </cfRule>
  </conditionalFormatting>
  <conditionalFormatting sqref="G64:P64">
    <cfRule type="cellIs" dxfId="163" priority="13" operator="lessThan">
      <formula>0</formula>
    </cfRule>
  </conditionalFormatting>
  <conditionalFormatting sqref="F68:P68">
    <cfRule type="cellIs" dxfId="162" priority="12" operator="lessThan">
      <formula>0</formula>
    </cfRule>
  </conditionalFormatting>
  <conditionalFormatting sqref="G68:P68">
    <cfRule type="cellIs" dxfId="161" priority="11" operator="lessThan">
      <formula>0</formula>
    </cfRule>
  </conditionalFormatting>
  <conditionalFormatting sqref="F72:P72">
    <cfRule type="cellIs" dxfId="160" priority="10" operator="lessThan">
      <formula>0</formula>
    </cfRule>
  </conditionalFormatting>
  <conditionalFormatting sqref="G72:P72">
    <cfRule type="cellIs" dxfId="159" priority="9" operator="lessThan">
      <formula>0</formula>
    </cfRule>
  </conditionalFormatting>
  <conditionalFormatting sqref="F77:P77">
    <cfRule type="cellIs" dxfId="158" priority="8" operator="lessThan">
      <formula>0</formula>
    </cfRule>
  </conditionalFormatting>
  <conditionalFormatting sqref="G77:P77">
    <cfRule type="cellIs" dxfId="157" priority="7" operator="lessThan">
      <formula>0</formula>
    </cfRule>
  </conditionalFormatting>
  <conditionalFormatting sqref="F78:P78">
    <cfRule type="cellIs" dxfId="156" priority="6" operator="lessThan">
      <formula>0</formula>
    </cfRule>
  </conditionalFormatting>
  <conditionalFormatting sqref="G78:P78">
    <cfRule type="cellIs" dxfId="155" priority="5" operator="lessThan">
      <formula>0</formula>
    </cfRule>
  </conditionalFormatting>
  <conditionalFormatting sqref="G87:P87">
    <cfRule type="cellIs" dxfId="154" priority="4" operator="lessThan">
      <formula>0</formula>
    </cfRule>
  </conditionalFormatting>
  <conditionalFormatting sqref="B112">
    <cfRule type="cellIs" dxfId="153" priority="3" operator="lessThan">
      <formula>0</formula>
    </cfRule>
  </conditionalFormatting>
  <conditionalFormatting sqref="F22:H22">
    <cfRule type="cellIs" dxfId="152" priority="2" operator="lessThan">
      <formula>0</formula>
    </cfRule>
  </conditionalFormatting>
  <conditionalFormatting sqref="B3">
    <cfRule type="cellIs" dxfId="151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Summary</vt:lpstr>
      <vt:lpstr>S&amp;U</vt:lpstr>
      <vt:lpstr>Development Schedule</vt:lpstr>
      <vt:lpstr>Costs</vt:lpstr>
      <vt:lpstr>Combined DCF</vt:lpstr>
      <vt:lpstr>Multifamily DCF</vt:lpstr>
      <vt:lpstr>Condominium DCF</vt:lpstr>
      <vt:lpstr>Office DCF</vt:lpstr>
      <vt:lpstr>Retail DCF</vt:lpstr>
      <vt:lpstr>Hotel DCF</vt:lpstr>
      <vt:lpstr>University DCF</vt:lpstr>
      <vt:lpstr>Arts DCF</vt:lpstr>
      <vt:lpstr>Parking DCF</vt:lpstr>
      <vt:lpstr>Infrastructure DCF</vt:lpstr>
      <vt:lpstr>Parcels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Yeuk Hang Joshua Shum</dc:creator>
  <cp:lastModifiedBy>Yeuk Hang Joshua Shum</cp:lastModifiedBy>
  <dcterms:created xsi:type="dcterms:W3CDTF">2020-01-15T00:14:54Z</dcterms:created>
  <dcterms:modified xsi:type="dcterms:W3CDTF">2020-01-27T20:46:40Z</dcterms:modified>
</cp:coreProperties>
</file>