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k\Desktop\ULI Competition 2020 - Miami\2_Pro Forma and Financials\"/>
    </mc:Choice>
  </mc:AlternateContent>
  <xr:revisionPtr revIDLastSave="0" documentId="13_ncr:1_{DBDA5B5C-E58F-4002-BD1A-6681F9F6386E}" xr6:coauthVersionLast="45" xr6:coauthVersionMax="45" xr10:uidLastSave="{00000000-0000-0000-0000-000000000000}"/>
  <bookViews>
    <workbookView xWindow="-110" yWindow="-110" windowWidth="19420" windowHeight="10420" tabRatio="779" xr2:uid="{00000000-000D-0000-FFFF-FFFF00000000}"/>
  </bookViews>
  <sheets>
    <sheet name="ULI Summary Board" sheetId="49" r:id="rId1"/>
    <sheet name="Summary Board" sheetId="28" r:id="rId2"/>
    <sheet name="1.Infrastructure Costs" sheetId="15" r:id="rId3"/>
    <sheet name="2.Market-Rate Rental Housing" sheetId="14" r:id="rId4"/>
    <sheet name="3.Market-Rate For-Sale Housing" sheetId="19" r:id="rId5"/>
    <sheet name="4.Affordable Rental Housing" sheetId="26" r:id="rId6"/>
    <sheet name="5.Office" sheetId="20" r:id="rId7"/>
    <sheet name="6.Market-Rate Retail" sheetId="22" r:id="rId8"/>
    <sheet name="7.Hotel" sheetId="23" r:id="rId9"/>
    <sheet name="8.Vocational School" sheetId="47" r:id="rId10"/>
    <sheet name="9.Structured Parking" sheetId="18" r:id="rId11"/>
    <sheet name="Additional Data After Here" sheetId="43" r:id="rId12"/>
    <sheet name="Development Schedule" sheetId="29" r:id="rId13"/>
    <sheet name="Development Notes" sheetId="45" r:id="rId14"/>
    <sheet name="Land Acquisition" sheetId="36" r:id="rId15"/>
    <sheet name="Land Values" sheetId="34" r:id="rId16"/>
    <sheet name="Existing Building Market Values" sheetId="35" r:id="rId17"/>
    <sheet name="Development Costs" sheetId="31" r:id="rId18"/>
    <sheet name="Budget" sheetId="38" r:id="rId19"/>
    <sheet name="Financing" sheetId="37" r:id="rId20"/>
    <sheet name="Condo Comparable Data" sheetId="40" r:id="rId21"/>
    <sheet name="Market Assumptions" sheetId="48" r:id="rId22"/>
  </sheets>
  <definedNames>
    <definedName name="_xlnm.Print_Area" localSheetId="2">'1.Infrastructure Costs'!$A$1:$N$48</definedName>
    <definedName name="_xlnm.Print_Area" localSheetId="3">'2.Market-Rate Rental Housing'!$A$1:$M$98</definedName>
    <definedName name="_xlnm.Print_Area" localSheetId="4">'3.Market-Rate For-Sale Housing'!$A$1:$M$41</definedName>
    <definedName name="_xlnm.Print_Area" localSheetId="5">'4.Affordable Rental Housing'!$A$1:$M$64</definedName>
    <definedName name="_xlnm.Print_Area" localSheetId="6">'5.Office'!$A$1:$M$64</definedName>
    <definedName name="_xlnm.Print_Area" localSheetId="7">'6.Market-Rate Retail'!$A$1:$M$141</definedName>
    <definedName name="_xlnm.Print_Area" localSheetId="9">'8.Vocational School'!$A$1:$M$40</definedName>
    <definedName name="_xlnm.Print_Area" localSheetId="10">'9.Structured Parking'!$A$1:$M$115</definedName>
    <definedName name="_xlnm.Print_Area" localSheetId="17">'Development Costs'!$A$1:$E$48</definedName>
    <definedName name="_xlnm.Print_Area" localSheetId="12">'Development Schedule'!$A$1:$N$71</definedName>
    <definedName name="_xlnm.Print_Area" localSheetId="16">'Existing Building Market Values'!$A$1:$H$61</definedName>
    <definedName name="_xlnm.Print_Area" localSheetId="19">Financing!$A$1:$M$39</definedName>
    <definedName name="_xlnm.Print_Area" localSheetId="14">'Land Acquisition'!$A$1:$K$20</definedName>
    <definedName name="_xlnm.Print_Area" localSheetId="15">'Land Values'!$D$1:$L$109</definedName>
    <definedName name="_xlnm.Print_Area" localSheetId="1">'Summary Board'!$A$1:$N$125</definedName>
    <definedName name="_xlnm.Print_Area" localSheetId="0">'ULI Summary Board'!$A$1:$N$104</definedName>
    <definedName name="_xlnm.Print_Titles" localSheetId="3">'2.Market-Rate Rental Housing'!$1:$5</definedName>
    <definedName name="_xlnm.Print_Titles" localSheetId="5">'4.Affordable Rental Housing'!$1:$5</definedName>
    <definedName name="_xlnm.Print_Titles" localSheetId="7">'6.Market-Rate Retail'!$1:$5</definedName>
    <definedName name="_xlnm.Print_Titles" localSheetId="9">'8.Vocational School'!$1:$5</definedName>
    <definedName name="_xlnm.Print_Titles" localSheetId="10">'9.Structured Parking'!$1:$5</definedName>
    <definedName name="_xlnm.Print_Titles" localSheetId="12">'Development Schedule'!$1:$4</definedName>
    <definedName name="_xlnm.Print_Titles" localSheetId="15">'Land Values'!$1:$4</definedName>
    <definedName name="solver_adj" localSheetId="4" hidden="1">'3.Market-Rate For-Sale Housing'!$C$14</definedName>
    <definedName name="solver_cvg" localSheetId="4" hidden="1">0.0001</definedName>
    <definedName name="solver_drv" localSheetId="4" hidden="1">1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0</definedName>
    <definedName name="solver_nwt" localSheetId="4" hidden="1">1</definedName>
    <definedName name="solver_opt" localSheetId="4" hidden="1">'3.Market-Rate For-Sale Housing'!$C$31</definedName>
    <definedName name="solver_pre" localSheetId="4" hidden="1">0.000001</definedName>
    <definedName name="solver_rbv" localSheetId="4" hidden="1">1</definedName>
    <definedName name="solver_rlx" localSheetId="4" hidden="1">2</definedName>
    <definedName name="solver_rsd" localSheetId="4" hidden="1">0</definedName>
    <definedName name="solver_scl" localSheetId="4" hidden="1">1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1</definedName>
    <definedName name="solver_val" localSheetId="4" hidden="1">0</definedName>
    <definedName name="solver_ver" localSheetId="4" hidden="1">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9" i="49" l="1"/>
  <c r="M92" i="49"/>
  <c r="M86" i="49"/>
  <c r="K104" i="49"/>
  <c r="K99" i="49"/>
  <c r="H99" i="49"/>
  <c r="K92" i="49"/>
  <c r="H92" i="49"/>
  <c r="K86" i="49"/>
  <c r="H86" i="49"/>
  <c r="E104" i="49"/>
  <c r="E99" i="49"/>
  <c r="E103" i="49" s="1"/>
  <c r="C103" i="49"/>
  <c r="E100" i="49"/>
  <c r="E101" i="49"/>
  <c r="E98" i="49"/>
  <c r="C98" i="49"/>
  <c r="E97" i="49"/>
  <c r="E91" i="49"/>
  <c r="C91" i="49" s="1"/>
  <c r="C95" i="49"/>
  <c r="N48" i="28"/>
  <c r="M48" i="28"/>
  <c r="M66" i="49" s="1"/>
  <c r="L48" i="28"/>
  <c r="L66" i="49" s="1"/>
  <c r="K48" i="28"/>
  <c r="J48" i="28"/>
  <c r="I48" i="28"/>
  <c r="H48" i="28"/>
  <c r="G48" i="28"/>
  <c r="G66" i="49" s="1"/>
  <c r="F48" i="28"/>
  <c r="F66" i="49" s="1"/>
  <c r="E48" i="28"/>
  <c r="E66" i="49" s="1"/>
  <c r="E92" i="49"/>
  <c r="C92" i="49"/>
  <c r="C90" i="49"/>
  <c r="C88" i="49"/>
  <c r="C86" i="49"/>
  <c r="C85" i="49"/>
  <c r="E95" i="49"/>
  <c r="E93" i="49"/>
  <c r="E90" i="49"/>
  <c r="E88" i="49"/>
  <c r="E86" i="49"/>
  <c r="E85" i="49"/>
  <c r="C60" i="28"/>
  <c r="M80" i="49"/>
  <c r="M81" i="49" s="1"/>
  <c r="L80" i="49"/>
  <c r="L81" i="49" s="1"/>
  <c r="K80" i="49"/>
  <c r="J80" i="49"/>
  <c r="I80" i="49"/>
  <c r="I81" i="49" s="1"/>
  <c r="H80" i="49"/>
  <c r="H81" i="49" s="1"/>
  <c r="G80" i="49"/>
  <c r="F80" i="49"/>
  <c r="E80" i="49"/>
  <c r="E81" i="49" s="1"/>
  <c r="D80" i="49"/>
  <c r="D81" i="49" s="1"/>
  <c r="K81" i="49"/>
  <c r="J81" i="49"/>
  <c r="G81" i="49"/>
  <c r="F81" i="49"/>
  <c r="M78" i="49"/>
  <c r="L78" i="49"/>
  <c r="K78" i="49"/>
  <c r="J78" i="49"/>
  <c r="I78" i="49"/>
  <c r="H78" i="49"/>
  <c r="G78" i="49"/>
  <c r="F78" i="49"/>
  <c r="M77" i="49"/>
  <c r="L77" i="49"/>
  <c r="K77" i="49"/>
  <c r="J77" i="49"/>
  <c r="I77" i="49"/>
  <c r="H77" i="49"/>
  <c r="G77" i="49"/>
  <c r="F77" i="49"/>
  <c r="M75" i="49"/>
  <c r="L75" i="49"/>
  <c r="K75" i="49"/>
  <c r="J75" i="49"/>
  <c r="I75" i="49"/>
  <c r="H75" i="49"/>
  <c r="G75" i="49"/>
  <c r="F75" i="49"/>
  <c r="M74" i="49"/>
  <c r="L74" i="49"/>
  <c r="K74" i="49"/>
  <c r="J74" i="49"/>
  <c r="I74" i="49"/>
  <c r="H74" i="49"/>
  <c r="G74" i="49"/>
  <c r="F74" i="49"/>
  <c r="E78" i="49"/>
  <c r="E77" i="49"/>
  <c r="E75" i="49"/>
  <c r="E74" i="49"/>
  <c r="D78" i="49"/>
  <c r="D77" i="49"/>
  <c r="D75" i="49"/>
  <c r="D74" i="49"/>
  <c r="M72" i="49"/>
  <c r="L72" i="49"/>
  <c r="K72" i="49"/>
  <c r="J72" i="49"/>
  <c r="I72" i="49"/>
  <c r="H72" i="49"/>
  <c r="G72" i="49"/>
  <c r="F72" i="49"/>
  <c r="E72" i="49"/>
  <c r="D72" i="49"/>
  <c r="M71" i="49"/>
  <c r="L71" i="49"/>
  <c r="K71" i="49"/>
  <c r="J71" i="49"/>
  <c r="I71" i="49"/>
  <c r="H71" i="49"/>
  <c r="G71" i="49"/>
  <c r="F71" i="49"/>
  <c r="E71" i="49"/>
  <c r="D71" i="49"/>
  <c r="M70" i="49"/>
  <c r="L70" i="49"/>
  <c r="K70" i="49"/>
  <c r="J70" i="49"/>
  <c r="I70" i="49"/>
  <c r="H70" i="49"/>
  <c r="G70" i="49"/>
  <c r="F70" i="49"/>
  <c r="E70" i="49"/>
  <c r="D70" i="49"/>
  <c r="K66" i="49"/>
  <c r="J66" i="49"/>
  <c r="I66" i="49"/>
  <c r="H66" i="49"/>
  <c r="D66" i="49"/>
  <c r="M65" i="49"/>
  <c r="L65" i="49"/>
  <c r="K65" i="49"/>
  <c r="J65" i="49"/>
  <c r="I65" i="49"/>
  <c r="H65" i="49"/>
  <c r="G65" i="49"/>
  <c r="F65" i="49"/>
  <c r="E65" i="49"/>
  <c r="D65" i="49"/>
  <c r="M62" i="49"/>
  <c r="L62" i="49"/>
  <c r="K62" i="49"/>
  <c r="J62" i="49"/>
  <c r="I62" i="49"/>
  <c r="H62" i="49"/>
  <c r="G62" i="49"/>
  <c r="F62" i="49"/>
  <c r="E62" i="49"/>
  <c r="D62" i="49"/>
  <c r="M61" i="49"/>
  <c r="L61" i="49"/>
  <c r="K61" i="49"/>
  <c r="J61" i="49"/>
  <c r="I61" i="49"/>
  <c r="H61" i="49"/>
  <c r="G61" i="49"/>
  <c r="F61" i="49"/>
  <c r="E61" i="49"/>
  <c r="D61" i="49"/>
  <c r="M60" i="49"/>
  <c r="L60" i="49"/>
  <c r="K60" i="49"/>
  <c r="J60" i="49"/>
  <c r="I60" i="49"/>
  <c r="H60" i="49"/>
  <c r="G60" i="49"/>
  <c r="F60" i="49"/>
  <c r="E60" i="49"/>
  <c r="I54" i="49"/>
  <c r="I53" i="49"/>
  <c r="D60" i="49"/>
  <c r="C54" i="49"/>
  <c r="C53" i="49"/>
  <c r="C51" i="49"/>
  <c r="M50" i="49"/>
  <c r="L50" i="49"/>
  <c r="K50" i="49"/>
  <c r="J50" i="49"/>
  <c r="I50" i="49"/>
  <c r="H50" i="49"/>
  <c r="G50" i="49"/>
  <c r="F50" i="49"/>
  <c r="E50" i="49"/>
  <c r="D50" i="49"/>
  <c r="C50" i="49"/>
  <c r="M49" i="49"/>
  <c r="L49" i="49"/>
  <c r="K49" i="49"/>
  <c r="J49" i="49"/>
  <c r="I49" i="49"/>
  <c r="H49" i="49"/>
  <c r="G49" i="49"/>
  <c r="F49" i="49"/>
  <c r="E49" i="49"/>
  <c r="D49" i="49"/>
  <c r="C49" i="49"/>
  <c r="M48" i="49"/>
  <c r="L48" i="49"/>
  <c r="K48" i="49"/>
  <c r="J48" i="49"/>
  <c r="I48" i="49"/>
  <c r="H48" i="49"/>
  <c r="G48" i="49"/>
  <c r="F48" i="49"/>
  <c r="E48" i="49"/>
  <c r="D48" i="49"/>
  <c r="C48" i="49"/>
  <c r="M47" i="49"/>
  <c r="L47" i="49"/>
  <c r="K47" i="49"/>
  <c r="J47" i="49"/>
  <c r="I47" i="49"/>
  <c r="H47" i="49"/>
  <c r="G47" i="49"/>
  <c r="F47" i="49"/>
  <c r="E47" i="49"/>
  <c r="D47" i="49"/>
  <c r="C47" i="49"/>
  <c r="M46" i="49"/>
  <c r="M45" i="49"/>
  <c r="M44" i="49"/>
  <c r="L44" i="49"/>
  <c r="K44" i="49"/>
  <c r="J44" i="49"/>
  <c r="I44" i="49"/>
  <c r="H44" i="49"/>
  <c r="G44" i="49"/>
  <c r="F44" i="49"/>
  <c r="E44" i="49"/>
  <c r="D44" i="49"/>
  <c r="C44" i="49"/>
  <c r="D26" i="49"/>
  <c r="E26" i="49"/>
  <c r="F26" i="49"/>
  <c r="G26" i="49"/>
  <c r="H26" i="49"/>
  <c r="I26" i="49"/>
  <c r="I41" i="49" s="1"/>
  <c r="J26" i="49"/>
  <c r="J41" i="49" s="1"/>
  <c r="K26" i="49"/>
  <c r="K41" i="49" s="1"/>
  <c r="L26" i="49"/>
  <c r="M26" i="49"/>
  <c r="D27" i="49"/>
  <c r="E27" i="49"/>
  <c r="F27" i="49"/>
  <c r="G27" i="49"/>
  <c r="G41" i="49" s="1"/>
  <c r="H27" i="49"/>
  <c r="H41" i="49" s="1"/>
  <c r="I27" i="49"/>
  <c r="J27" i="49"/>
  <c r="K27" i="49"/>
  <c r="L27" i="49"/>
  <c r="M27" i="49"/>
  <c r="D29" i="49"/>
  <c r="E29" i="49"/>
  <c r="F29" i="49"/>
  <c r="F41" i="49" s="1"/>
  <c r="G29" i="49"/>
  <c r="H29" i="49"/>
  <c r="I29" i="49"/>
  <c r="J29" i="49"/>
  <c r="K29" i="49"/>
  <c r="L29" i="49"/>
  <c r="M29" i="49"/>
  <c r="D31" i="49"/>
  <c r="E31" i="49"/>
  <c r="F31" i="49"/>
  <c r="G31" i="49"/>
  <c r="H31" i="49"/>
  <c r="I31" i="49"/>
  <c r="J31" i="49"/>
  <c r="K31" i="49"/>
  <c r="L31" i="49"/>
  <c r="M31" i="49"/>
  <c r="M41" i="49" s="1"/>
  <c r="D32" i="49"/>
  <c r="E32" i="49"/>
  <c r="F32" i="49"/>
  <c r="G32" i="49"/>
  <c r="H32" i="49"/>
  <c r="I32" i="49"/>
  <c r="J32" i="49"/>
  <c r="K32" i="49"/>
  <c r="L32" i="49"/>
  <c r="M32" i="49"/>
  <c r="D33" i="49"/>
  <c r="E33" i="49"/>
  <c r="F33" i="49"/>
  <c r="G33" i="49"/>
  <c r="H33" i="49"/>
  <c r="I33" i="49"/>
  <c r="J33" i="49"/>
  <c r="K33" i="49"/>
  <c r="L33" i="49"/>
  <c r="M33" i="49"/>
  <c r="D34" i="49"/>
  <c r="E34" i="49"/>
  <c r="F34" i="49"/>
  <c r="G34" i="49"/>
  <c r="H34" i="49"/>
  <c r="I34" i="49"/>
  <c r="J34" i="49"/>
  <c r="K34" i="49"/>
  <c r="L34" i="49"/>
  <c r="M34" i="49"/>
  <c r="D37" i="49"/>
  <c r="D41" i="49" s="1"/>
  <c r="E37" i="49"/>
  <c r="F37" i="49"/>
  <c r="G37" i="49"/>
  <c r="H37" i="49"/>
  <c r="I37" i="49"/>
  <c r="J37" i="49"/>
  <c r="K37" i="49"/>
  <c r="L37" i="49"/>
  <c r="M37" i="49"/>
  <c r="D38" i="49"/>
  <c r="E38" i="49"/>
  <c r="F38" i="49"/>
  <c r="G38" i="49"/>
  <c r="H38" i="49"/>
  <c r="I38" i="49"/>
  <c r="J38" i="49"/>
  <c r="K38" i="49"/>
  <c r="L38" i="49"/>
  <c r="M38" i="49"/>
  <c r="D39" i="49"/>
  <c r="E39" i="49"/>
  <c r="F39" i="49"/>
  <c r="G39" i="49"/>
  <c r="H39" i="49"/>
  <c r="I39" i="49"/>
  <c r="J39" i="49"/>
  <c r="K39" i="49"/>
  <c r="L39" i="49"/>
  <c r="M39" i="49"/>
  <c r="D40" i="49"/>
  <c r="E40" i="49"/>
  <c r="F40" i="49"/>
  <c r="G40" i="49"/>
  <c r="H40" i="49"/>
  <c r="I40" i="49"/>
  <c r="J40" i="49"/>
  <c r="K40" i="49"/>
  <c r="L40" i="49"/>
  <c r="M40" i="49"/>
  <c r="E41" i="49"/>
  <c r="L41" i="49"/>
  <c r="C41" i="49"/>
  <c r="C40" i="49"/>
  <c r="C39" i="49"/>
  <c r="C38" i="49"/>
  <c r="C37" i="49"/>
  <c r="C34" i="49"/>
  <c r="C33" i="49"/>
  <c r="C32" i="49"/>
  <c r="C31" i="49"/>
  <c r="C27" i="49"/>
  <c r="C29" i="49"/>
  <c r="C26" i="49"/>
  <c r="M23" i="49"/>
  <c r="L23" i="49"/>
  <c r="K23" i="49"/>
  <c r="J23" i="49"/>
  <c r="I23" i="49"/>
  <c r="H23" i="49"/>
  <c r="G23" i="49"/>
  <c r="F23" i="49"/>
  <c r="E23" i="49"/>
  <c r="D23" i="49"/>
  <c r="C23" i="49"/>
  <c r="M21" i="49"/>
  <c r="L21" i="49"/>
  <c r="K21" i="49"/>
  <c r="J21" i="49"/>
  <c r="I21" i="49"/>
  <c r="H21" i="49"/>
  <c r="G21" i="49"/>
  <c r="F21" i="49"/>
  <c r="E21" i="49"/>
  <c r="D21" i="49"/>
  <c r="C21" i="49"/>
  <c r="M20" i="49"/>
  <c r="L20" i="49"/>
  <c r="K20" i="49"/>
  <c r="J20" i="49"/>
  <c r="I20" i="49"/>
  <c r="H20" i="49"/>
  <c r="G20" i="49"/>
  <c r="F20" i="49"/>
  <c r="E20" i="49"/>
  <c r="D20" i="49"/>
  <c r="M14" i="49"/>
  <c r="L14" i="49"/>
  <c r="K14" i="49"/>
  <c r="J14" i="49"/>
  <c r="I14" i="49"/>
  <c r="H14" i="49"/>
  <c r="G14" i="49"/>
  <c r="F14" i="49"/>
  <c r="E14" i="49"/>
  <c r="D14" i="49"/>
  <c r="M13" i="49"/>
  <c r="L13" i="49"/>
  <c r="K13" i="49"/>
  <c r="J13" i="49"/>
  <c r="I13" i="49"/>
  <c r="H13" i="49"/>
  <c r="G13" i="49"/>
  <c r="F13" i="49"/>
  <c r="E13" i="49"/>
  <c r="D13" i="49"/>
  <c r="M11" i="49"/>
  <c r="L11" i="49"/>
  <c r="K11" i="49"/>
  <c r="J11" i="49"/>
  <c r="I11" i="49"/>
  <c r="H11" i="49"/>
  <c r="G11" i="49"/>
  <c r="F11" i="49"/>
  <c r="E11" i="49"/>
  <c r="D11" i="49"/>
  <c r="M10" i="49"/>
  <c r="L10" i="49"/>
  <c r="K10" i="49"/>
  <c r="J10" i="49"/>
  <c r="I10" i="49"/>
  <c r="H10" i="49"/>
  <c r="G10" i="49"/>
  <c r="F10" i="49"/>
  <c r="E10" i="49"/>
  <c r="D10" i="49"/>
  <c r="M8" i="49"/>
  <c r="L8" i="49"/>
  <c r="K8" i="49"/>
  <c r="J8" i="49"/>
  <c r="I8" i="49"/>
  <c r="H8" i="49"/>
  <c r="G8" i="49"/>
  <c r="F8" i="49"/>
  <c r="E8" i="49"/>
  <c r="D8" i="49"/>
  <c r="M6" i="49"/>
  <c r="L6" i="49"/>
  <c r="K6" i="49"/>
  <c r="J6" i="49"/>
  <c r="I6" i="49"/>
  <c r="H6" i="49"/>
  <c r="G6" i="49"/>
  <c r="F6" i="49"/>
  <c r="E6" i="49"/>
  <c r="D6" i="49"/>
  <c r="M5" i="49"/>
  <c r="L5" i="49"/>
  <c r="K5" i="49"/>
  <c r="J5" i="49"/>
  <c r="I5" i="49"/>
  <c r="H5" i="49"/>
  <c r="G5" i="49"/>
  <c r="F5" i="49"/>
  <c r="E5" i="49"/>
  <c r="D5" i="49"/>
  <c r="C20" i="49"/>
  <c r="C14" i="49"/>
  <c r="C13" i="49"/>
  <c r="C11" i="49"/>
  <c r="C10" i="49"/>
  <c r="C8" i="49"/>
  <c r="C6" i="49"/>
  <c r="C5" i="49"/>
  <c r="E58" i="49"/>
  <c r="F58" i="49" s="1"/>
  <c r="G58" i="49" s="1"/>
  <c r="H58" i="49" s="1"/>
  <c r="I58" i="49" s="1"/>
  <c r="J58" i="49" s="1"/>
  <c r="K58" i="49" s="1"/>
  <c r="L58" i="49" s="1"/>
  <c r="M58" i="49" s="1"/>
  <c r="E3" i="49"/>
  <c r="F3" i="49" s="1"/>
  <c r="G3" i="49" s="1"/>
  <c r="H3" i="49" s="1"/>
  <c r="I3" i="49" s="1"/>
  <c r="J3" i="49" s="1"/>
  <c r="K3" i="49" s="1"/>
  <c r="L3" i="49" s="1"/>
  <c r="M3" i="49" s="1"/>
  <c r="C93" i="49" l="1"/>
  <c r="D35" i="28"/>
  <c r="N52" i="28" l="1"/>
  <c r="M52" i="28"/>
  <c r="L52" i="28"/>
  <c r="K52" i="28"/>
  <c r="J52" i="28"/>
  <c r="I52" i="28"/>
  <c r="H52" i="28"/>
  <c r="G52" i="28"/>
  <c r="F52" i="28"/>
  <c r="E52" i="28"/>
  <c r="D52" i="28"/>
  <c r="C92" i="14"/>
  <c r="C91" i="14"/>
  <c r="C90" i="14"/>
  <c r="C89" i="14"/>
  <c r="C88" i="14"/>
  <c r="E113" i="28"/>
  <c r="E112" i="28"/>
  <c r="E111" i="28"/>
  <c r="E110" i="28"/>
  <c r="E109" i="28"/>
  <c r="B113" i="28"/>
  <c r="B112" i="28"/>
  <c r="B111" i="28"/>
  <c r="B110" i="28"/>
  <c r="B109" i="28"/>
  <c r="E29" i="22"/>
  <c r="F29" i="22" s="1"/>
  <c r="F56" i="22"/>
  <c r="G56" i="22" s="1"/>
  <c r="H56" i="22" s="1"/>
  <c r="I56" i="22" s="1"/>
  <c r="J56" i="22" s="1"/>
  <c r="F65" i="22"/>
  <c r="G65" i="22" s="1"/>
  <c r="H65" i="22" s="1"/>
  <c r="H83" i="22"/>
  <c r="I83" i="22" s="1"/>
  <c r="H92" i="22"/>
  <c r="I92" i="22" s="1"/>
  <c r="J92" i="22" s="1"/>
  <c r="K86" i="28"/>
  <c r="K85" i="28"/>
  <c r="K83" i="28"/>
  <c r="E97" i="28"/>
  <c r="D97" i="28"/>
  <c r="C97" i="28"/>
  <c r="E96" i="28"/>
  <c r="D96" i="28"/>
  <c r="C96" i="28"/>
  <c r="E95" i="28"/>
  <c r="D95" i="28"/>
  <c r="C95" i="28"/>
  <c r="E94" i="28"/>
  <c r="D94" i="28"/>
  <c r="C94" i="28"/>
  <c r="E93" i="28"/>
  <c r="D93" i="28"/>
  <c r="C93" i="28"/>
  <c r="E92" i="28"/>
  <c r="D92" i="28"/>
  <c r="C92" i="28"/>
  <c r="E91" i="28"/>
  <c r="D91" i="28"/>
  <c r="C91" i="28"/>
  <c r="E90" i="28"/>
  <c r="E89" i="28"/>
  <c r="D90" i="28"/>
  <c r="D89" i="28"/>
  <c r="C90" i="28"/>
  <c r="C89" i="28"/>
  <c r="F94" i="28" l="1"/>
  <c r="F96" i="28"/>
  <c r="F120" i="28"/>
  <c r="F119" i="28"/>
  <c r="C39" i="18"/>
  <c r="C58" i="18" s="1"/>
  <c r="C77" i="18" s="1"/>
  <c r="C9" i="48" l="1"/>
  <c r="C8" i="48"/>
  <c r="C6" i="48"/>
  <c r="J62" i="14" l="1"/>
  <c r="I62" i="14"/>
  <c r="H62" i="14"/>
  <c r="G62" i="14"/>
  <c r="F62" i="14"/>
  <c r="E62" i="14"/>
  <c r="D62" i="14"/>
  <c r="I50" i="14"/>
  <c r="H50" i="14"/>
  <c r="G50" i="14"/>
  <c r="F50" i="14"/>
  <c r="E50" i="14"/>
  <c r="D50" i="14"/>
  <c r="G38" i="14"/>
  <c r="F38" i="14"/>
  <c r="E38" i="14"/>
  <c r="D38" i="14"/>
  <c r="F26" i="14"/>
  <c r="E26" i="14"/>
  <c r="D26" i="14"/>
  <c r="N58" i="29"/>
  <c r="K58" i="29"/>
  <c r="J58" i="29"/>
  <c r="I58" i="29"/>
  <c r="H58" i="29"/>
  <c r="G58" i="29"/>
  <c r="F58" i="29"/>
  <c r="N57" i="29"/>
  <c r="M57" i="29"/>
  <c r="L57" i="29"/>
  <c r="K57" i="29"/>
  <c r="J57" i="29"/>
  <c r="H57" i="29"/>
  <c r="G57" i="29"/>
  <c r="F57" i="29"/>
  <c r="N56" i="29"/>
  <c r="M56" i="29"/>
  <c r="K56" i="29"/>
  <c r="J56" i="29"/>
  <c r="I56" i="29"/>
  <c r="H56" i="29"/>
  <c r="G56" i="29"/>
  <c r="F56" i="29"/>
  <c r="N55" i="29"/>
  <c r="M55" i="29"/>
  <c r="L55" i="29"/>
  <c r="K55" i="29"/>
  <c r="J55" i="29"/>
  <c r="I55" i="29"/>
  <c r="G55" i="29"/>
  <c r="N54" i="29"/>
  <c r="M54" i="29"/>
  <c r="L54" i="29"/>
  <c r="K54" i="29"/>
  <c r="J54" i="29"/>
  <c r="I54" i="29"/>
  <c r="G54" i="29"/>
  <c r="F54" i="29"/>
  <c r="N53" i="29"/>
  <c r="M53" i="29"/>
  <c r="J53" i="29"/>
  <c r="I53" i="29"/>
  <c r="G53" i="29"/>
  <c r="N52" i="29"/>
  <c r="M52" i="29"/>
  <c r="L52" i="29"/>
  <c r="J52" i="29"/>
  <c r="H52" i="29"/>
  <c r="G52" i="29"/>
  <c r="F52" i="29"/>
  <c r="N51" i="29"/>
  <c r="M51" i="29"/>
  <c r="J51" i="29"/>
  <c r="G51" i="29"/>
  <c r="F51" i="29"/>
  <c r="E57" i="29"/>
  <c r="D51" i="28"/>
  <c r="N57" i="28"/>
  <c r="M57" i="28"/>
  <c r="L57" i="28"/>
  <c r="K57" i="28"/>
  <c r="J57" i="28"/>
  <c r="H57" i="28"/>
  <c r="G57" i="28"/>
  <c r="F57" i="28"/>
  <c r="E57" i="28"/>
  <c r="D57" i="28"/>
  <c r="D51" i="29"/>
  <c r="C14" i="26"/>
  <c r="D45" i="28"/>
  <c r="C17" i="19"/>
  <c r="F79" i="28"/>
  <c r="D30" i="31"/>
  <c r="C30" i="31"/>
  <c r="E30" i="31" s="1"/>
  <c r="L45" i="14"/>
  <c r="M45" i="14" s="1"/>
  <c r="K45" i="14"/>
  <c r="K33" i="14"/>
  <c r="L33" i="14" s="1"/>
  <c r="M33" i="14" s="1"/>
  <c r="J33" i="14"/>
  <c r="I33" i="14"/>
  <c r="I21" i="14"/>
  <c r="J21" i="14" s="1"/>
  <c r="K21" i="14" s="1"/>
  <c r="L21" i="14" s="1"/>
  <c r="M21" i="14" s="1"/>
  <c r="H21" i="14"/>
  <c r="F9" i="14"/>
  <c r="G9" i="14" s="1"/>
  <c r="H9" i="14" s="1"/>
  <c r="I9" i="14" s="1"/>
  <c r="J9" i="14" s="1"/>
  <c r="K9" i="14" s="1"/>
  <c r="L9" i="14" s="1"/>
  <c r="M9" i="14" s="1"/>
  <c r="E9" i="14"/>
  <c r="M57" i="14"/>
  <c r="L57" i="14"/>
  <c r="E57" i="14"/>
  <c r="D8" i="31"/>
  <c r="C8" i="31"/>
  <c r="E8" i="31" s="1"/>
  <c r="E13" i="15" l="1"/>
  <c r="D13" i="15"/>
  <c r="A25" i="20"/>
  <c r="A16" i="20"/>
  <c r="A7" i="20"/>
  <c r="M8" i="23"/>
  <c r="J8" i="23"/>
  <c r="I8" i="23"/>
  <c r="H8" i="23"/>
  <c r="G8" i="23"/>
  <c r="F8" i="23"/>
  <c r="E8" i="23"/>
  <c r="D8" i="23"/>
  <c r="C8" i="23"/>
  <c r="I33" i="29" l="1"/>
  <c r="D46" i="28"/>
  <c r="D44" i="28"/>
  <c r="D68" i="29" l="1"/>
  <c r="D67" i="29"/>
  <c r="D66" i="29"/>
  <c r="D65" i="29"/>
  <c r="D64" i="29"/>
  <c r="D61" i="29"/>
  <c r="A64" i="18"/>
  <c r="A45" i="18"/>
  <c r="A26" i="18"/>
  <c r="A7" i="18"/>
  <c r="G9" i="47"/>
  <c r="F9" i="47"/>
  <c r="E9" i="47"/>
  <c r="D9" i="47"/>
  <c r="C9" i="47"/>
  <c r="G10" i="47"/>
  <c r="F10" i="47"/>
  <c r="E10" i="47"/>
  <c r="D10" i="47"/>
  <c r="C10" i="47"/>
  <c r="C109" i="22"/>
  <c r="E26" i="47"/>
  <c r="F26" i="47" s="1"/>
  <c r="G26" i="47" s="1"/>
  <c r="H26" i="47" s="1"/>
  <c r="I26" i="47" s="1"/>
  <c r="J26" i="47" s="1"/>
  <c r="K26" i="47" s="1"/>
  <c r="L26" i="47" s="1"/>
  <c r="D26" i="47"/>
  <c r="B26" i="47"/>
  <c r="D25" i="47"/>
  <c r="E25" i="47" s="1"/>
  <c r="F25" i="47" s="1"/>
  <c r="G25" i="47" s="1"/>
  <c r="H25" i="47" s="1"/>
  <c r="I25" i="47" s="1"/>
  <c r="J25" i="47" s="1"/>
  <c r="K25" i="47" s="1"/>
  <c r="L25" i="47" s="1"/>
  <c r="B25" i="47"/>
  <c r="C16" i="47"/>
  <c r="C17" i="47" s="1"/>
  <c r="C24" i="47" s="1"/>
  <c r="H12" i="47"/>
  <c r="E5" i="47"/>
  <c r="F5" i="47" s="1"/>
  <c r="G5" i="47" s="1"/>
  <c r="H5" i="47" s="1"/>
  <c r="I5" i="47" s="1"/>
  <c r="J5" i="47" s="1"/>
  <c r="K5" i="47" s="1"/>
  <c r="L5" i="47" s="1"/>
  <c r="M5" i="47" s="1"/>
  <c r="D4" i="47"/>
  <c r="M1" i="47"/>
  <c r="C32" i="31"/>
  <c r="E32" i="31" s="1"/>
  <c r="C19" i="47" s="1"/>
  <c r="C21" i="47" s="1"/>
  <c r="C22" i="47" s="1"/>
  <c r="D32" i="31"/>
  <c r="D16" i="15"/>
  <c r="A21" i="15"/>
  <c r="A20" i="15"/>
  <c r="A19" i="15"/>
  <c r="A18" i="15"/>
  <c r="A17" i="15"/>
  <c r="A16" i="15"/>
  <c r="A12" i="15"/>
  <c r="A11" i="15"/>
  <c r="A10" i="15"/>
  <c r="A9" i="15"/>
  <c r="N68" i="29"/>
  <c r="M68" i="29"/>
  <c r="L68" i="29"/>
  <c r="K68" i="29"/>
  <c r="J68" i="29"/>
  <c r="I68" i="29"/>
  <c r="H68" i="29"/>
  <c r="G68" i="29"/>
  <c r="F68" i="29"/>
  <c r="N67" i="29"/>
  <c r="M67" i="29"/>
  <c r="L67" i="29"/>
  <c r="K67" i="29"/>
  <c r="J67" i="29"/>
  <c r="I67" i="29"/>
  <c r="G67" i="29"/>
  <c r="F67" i="29"/>
  <c r="N66" i="29"/>
  <c r="M66" i="29"/>
  <c r="L66" i="29"/>
  <c r="K66" i="29"/>
  <c r="J66" i="29"/>
  <c r="I66" i="29"/>
  <c r="H66" i="29"/>
  <c r="G66" i="29"/>
  <c r="F66" i="29"/>
  <c r="N65" i="29"/>
  <c r="N58" i="28" s="1"/>
  <c r="M65" i="29"/>
  <c r="M58" i="28" s="1"/>
  <c r="L65" i="29"/>
  <c r="K65" i="29"/>
  <c r="K58" i="28" s="1"/>
  <c r="J65" i="29"/>
  <c r="J58" i="28" s="1"/>
  <c r="I65" i="29"/>
  <c r="G65" i="29"/>
  <c r="G58" i="28" s="1"/>
  <c r="F65" i="29"/>
  <c r="F58" i="28" s="1"/>
  <c r="N64" i="29"/>
  <c r="M64" i="29"/>
  <c r="K64" i="29"/>
  <c r="J64" i="29"/>
  <c r="I64" i="29"/>
  <c r="H64" i="29"/>
  <c r="G64" i="29"/>
  <c r="F64" i="29"/>
  <c r="N63" i="29"/>
  <c r="M63" i="29"/>
  <c r="L63" i="29"/>
  <c r="J63" i="29"/>
  <c r="I63" i="29"/>
  <c r="H63" i="29"/>
  <c r="G63" i="29"/>
  <c r="F63" i="29"/>
  <c r="N62" i="29"/>
  <c r="M62" i="29"/>
  <c r="L62" i="29"/>
  <c r="K62" i="29"/>
  <c r="J62" i="29"/>
  <c r="I62" i="29"/>
  <c r="G62" i="29"/>
  <c r="F62" i="29"/>
  <c r="N61" i="29"/>
  <c r="M61" i="29"/>
  <c r="L61" i="29"/>
  <c r="K61" i="29"/>
  <c r="J61" i="29"/>
  <c r="I61" i="29"/>
  <c r="H61" i="29"/>
  <c r="G61" i="29"/>
  <c r="F61" i="29"/>
  <c r="N60" i="29"/>
  <c r="M60" i="29"/>
  <c r="L60" i="29"/>
  <c r="K60" i="29"/>
  <c r="J60" i="29"/>
  <c r="I60" i="29"/>
  <c r="H60" i="29"/>
  <c r="G60" i="29"/>
  <c r="F60" i="29"/>
  <c r="N59" i="29"/>
  <c r="M59" i="29"/>
  <c r="L59" i="29"/>
  <c r="K59" i="29"/>
  <c r="J59" i="29"/>
  <c r="I59" i="29"/>
  <c r="G59" i="29"/>
  <c r="F59" i="29"/>
  <c r="E67" i="29"/>
  <c r="E64" i="29"/>
  <c r="E65" i="29"/>
  <c r="E63" i="29"/>
  <c r="E62" i="29"/>
  <c r="E59" i="29"/>
  <c r="E17" i="29"/>
  <c r="E60" i="29" s="1"/>
  <c r="L10" i="45"/>
  <c r="M10" i="45" s="1"/>
  <c r="N10" i="45" s="1"/>
  <c r="P10" i="45"/>
  <c r="Q10" i="45" s="1"/>
  <c r="F9" i="45"/>
  <c r="J9" i="45"/>
  <c r="K9" i="45"/>
  <c r="M9" i="45"/>
  <c r="N9" i="45" s="1"/>
  <c r="C16" i="31"/>
  <c r="E16" i="31" s="1"/>
  <c r="D16" i="31"/>
  <c r="N55" i="28"/>
  <c r="M55" i="28"/>
  <c r="J55" i="28"/>
  <c r="I55" i="28"/>
  <c r="N54" i="28"/>
  <c r="M54" i="28"/>
  <c r="L54" i="28"/>
  <c r="K54" i="28"/>
  <c r="J54" i="28"/>
  <c r="I54" i="28"/>
  <c r="G54" i="28"/>
  <c r="N56" i="28"/>
  <c r="K56" i="28"/>
  <c r="J56" i="28"/>
  <c r="I56" i="28"/>
  <c r="H56" i="28"/>
  <c r="G56" i="28"/>
  <c r="F56" i="28"/>
  <c r="E56" i="28"/>
  <c r="D56" i="28"/>
  <c r="M29" i="26"/>
  <c r="L29" i="26"/>
  <c r="K29" i="26"/>
  <c r="I29" i="26"/>
  <c r="H29" i="26"/>
  <c r="G29" i="26"/>
  <c r="F29" i="26"/>
  <c r="E29" i="26"/>
  <c r="D29" i="26"/>
  <c r="M19" i="26"/>
  <c r="L19" i="26"/>
  <c r="K19" i="26"/>
  <c r="I19" i="26"/>
  <c r="H19" i="26"/>
  <c r="G19" i="26"/>
  <c r="F19" i="26"/>
  <c r="E19" i="26"/>
  <c r="D19" i="26"/>
  <c r="D23" i="26" s="1"/>
  <c r="M9" i="26"/>
  <c r="L9" i="26"/>
  <c r="M46" i="28" s="1"/>
  <c r="K9" i="26"/>
  <c r="L46" i="28" s="1"/>
  <c r="I9" i="26"/>
  <c r="H9" i="26"/>
  <c r="G9" i="26"/>
  <c r="H46" i="28" s="1"/>
  <c r="F9" i="26"/>
  <c r="E9" i="26"/>
  <c r="D9" i="26"/>
  <c r="D22" i="14"/>
  <c r="D27" i="14" s="1"/>
  <c r="M22" i="14"/>
  <c r="L22" i="14"/>
  <c r="K22" i="14"/>
  <c r="J22" i="14"/>
  <c r="I22" i="14"/>
  <c r="H22" i="14"/>
  <c r="F22" i="14"/>
  <c r="E22" i="14"/>
  <c r="M10" i="14"/>
  <c r="L10" i="14"/>
  <c r="K10" i="14"/>
  <c r="J10" i="14"/>
  <c r="I10" i="14"/>
  <c r="H10" i="14"/>
  <c r="G10" i="14"/>
  <c r="E10" i="14"/>
  <c r="M9" i="19"/>
  <c r="N45" i="28" s="1"/>
  <c r="L9" i="19"/>
  <c r="M45" i="28" s="1"/>
  <c r="K9" i="19"/>
  <c r="L45" i="28" s="1"/>
  <c r="J9" i="19"/>
  <c r="K45" i="28" s="1"/>
  <c r="I9" i="19"/>
  <c r="J45" i="28" s="1"/>
  <c r="H9" i="19"/>
  <c r="I45" i="28" s="1"/>
  <c r="F9" i="19"/>
  <c r="G45" i="28" s="1"/>
  <c r="E9" i="19"/>
  <c r="F45" i="28" s="1"/>
  <c r="D9" i="19"/>
  <c r="E45" i="28" s="1"/>
  <c r="M58" i="14"/>
  <c r="L58" i="14"/>
  <c r="J58" i="14"/>
  <c r="I58" i="14"/>
  <c r="H58" i="14"/>
  <c r="G58" i="14"/>
  <c r="F58" i="14"/>
  <c r="E58" i="14"/>
  <c r="D58" i="14"/>
  <c r="M46" i="14"/>
  <c r="L46" i="14"/>
  <c r="K46" i="14"/>
  <c r="I46" i="14"/>
  <c r="H46" i="14"/>
  <c r="G46" i="14"/>
  <c r="F46" i="14"/>
  <c r="E46" i="14"/>
  <c r="D46" i="14"/>
  <c r="M34" i="14"/>
  <c r="L34" i="14"/>
  <c r="K34" i="14"/>
  <c r="J34" i="14"/>
  <c r="I34" i="14"/>
  <c r="G34" i="14"/>
  <c r="F34" i="14"/>
  <c r="E34" i="14"/>
  <c r="D34" i="14"/>
  <c r="H17" i="14"/>
  <c r="N47" i="28"/>
  <c r="K47" i="28"/>
  <c r="J47" i="28"/>
  <c r="I47" i="28"/>
  <c r="H47" i="28"/>
  <c r="G47" i="28"/>
  <c r="F47" i="28"/>
  <c r="E47" i="28"/>
  <c r="D47" i="28"/>
  <c r="A88" i="22"/>
  <c r="A79" i="22"/>
  <c r="A70" i="22"/>
  <c r="A61" i="22"/>
  <c r="A52" i="22"/>
  <c r="A43" i="22"/>
  <c r="A34" i="22"/>
  <c r="A25" i="22"/>
  <c r="A16" i="22"/>
  <c r="A7" i="22"/>
  <c r="A55" i="14"/>
  <c r="A43" i="14"/>
  <c r="A31" i="14"/>
  <c r="A19" i="14"/>
  <c r="E58" i="29"/>
  <c r="E52" i="29"/>
  <c r="C46" i="29"/>
  <c r="D106" i="18" s="1"/>
  <c r="H29" i="18" s="1"/>
  <c r="C44" i="29"/>
  <c r="L44" i="29" s="1"/>
  <c r="C43" i="29"/>
  <c r="K43" i="29" s="1"/>
  <c r="C40" i="29"/>
  <c r="C39" i="29"/>
  <c r="K39" i="29" s="1"/>
  <c r="E54" i="29"/>
  <c r="C26" i="29"/>
  <c r="C125" i="22" s="1"/>
  <c r="C29" i="29"/>
  <c r="H29" i="29" s="1"/>
  <c r="C25" i="29"/>
  <c r="I25" i="29" s="1"/>
  <c r="C30" i="29"/>
  <c r="H30" i="29" s="1"/>
  <c r="H55" i="29" s="1"/>
  <c r="C12" i="29"/>
  <c r="E12" i="29" s="1"/>
  <c r="C15" i="29"/>
  <c r="C14" i="29"/>
  <c r="F14" i="29" s="1"/>
  <c r="F53" i="29" s="1"/>
  <c r="C9" i="29"/>
  <c r="T18" i="45"/>
  <c r="T17" i="45"/>
  <c r="T6" i="45"/>
  <c r="F15" i="45"/>
  <c r="G15" i="45" s="1"/>
  <c r="J15" i="45"/>
  <c r="K15" i="45" s="1"/>
  <c r="L15" i="45" s="1"/>
  <c r="J14" i="45"/>
  <c r="K14" i="45" s="1"/>
  <c r="L14" i="45" s="1"/>
  <c r="E16" i="45"/>
  <c r="E13" i="45"/>
  <c r="F13" i="45" s="1"/>
  <c r="G13" i="45" s="1"/>
  <c r="T13" i="45" s="1"/>
  <c r="E28" i="45"/>
  <c r="F28" i="45" s="1"/>
  <c r="G28" i="45" s="1"/>
  <c r="H28" i="45" s="1"/>
  <c r="I28" i="45" s="1"/>
  <c r="C8" i="29" l="1"/>
  <c r="H15" i="45"/>
  <c r="T15" i="45"/>
  <c r="C41" i="29"/>
  <c r="D92" i="14" s="1"/>
  <c r="F16" i="45"/>
  <c r="T16" i="45" s="1"/>
  <c r="C13" i="29"/>
  <c r="C123" i="22" s="1"/>
  <c r="G27" i="22" s="1"/>
  <c r="C22" i="29"/>
  <c r="D35" i="19" s="1"/>
  <c r="C35" i="19" s="1"/>
  <c r="I57" i="29"/>
  <c r="I57" i="28"/>
  <c r="L55" i="28"/>
  <c r="L53" i="29"/>
  <c r="E15" i="29"/>
  <c r="P59" i="29"/>
  <c r="G46" i="28"/>
  <c r="D58" i="28"/>
  <c r="I46" i="28"/>
  <c r="J46" i="28"/>
  <c r="D11" i="28"/>
  <c r="D19" i="47"/>
  <c r="D21" i="47" s="1"/>
  <c r="D22" i="47" s="1"/>
  <c r="M44" i="28"/>
  <c r="J44" i="28"/>
  <c r="N44" i="28"/>
  <c r="F44" i="28"/>
  <c r="F46" i="28"/>
  <c r="E46" i="28"/>
  <c r="N46" i="28"/>
  <c r="F55" i="28"/>
  <c r="C130" i="22"/>
  <c r="K90" i="22" s="1"/>
  <c r="D34" i="47"/>
  <c r="H9" i="47"/>
  <c r="I9" i="47" s="1"/>
  <c r="J9" i="47" s="1"/>
  <c r="K9" i="47" s="1"/>
  <c r="L9" i="47" s="1"/>
  <c r="M9" i="47" s="1"/>
  <c r="H10" i="47"/>
  <c r="I10" i="47" s="1"/>
  <c r="J10" i="47" s="1"/>
  <c r="K10" i="47" s="1"/>
  <c r="L10" i="47" s="1"/>
  <c r="M10" i="47" s="1"/>
  <c r="C121" i="22"/>
  <c r="D9" i="22" s="1"/>
  <c r="H13" i="26"/>
  <c r="E4" i="47"/>
  <c r="E19" i="47" s="1"/>
  <c r="E21" i="47" s="1"/>
  <c r="E22" i="47" s="1"/>
  <c r="J12" i="47"/>
  <c r="D11" i="47"/>
  <c r="D15" i="47" s="1"/>
  <c r="C124" i="22"/>
  <c r="H36" i="22" s="1"/>
  <c r="C57" i="20"/>
  <c r="C126" i="22"/>
  <c r="K54" i="22" s="1"/>
  <c r="C127" i="22"/>
  <c r="J63" i="22" s="1"/>
  <c r="H54" i="28"/>
  <c r="C128" i="22"/>
  <c r="L72" i="22" s="1"/>
  <c r="G55" i="28"/>
  <c r="K40" i="29"/>
  <c r="K55" i="28" s="1"/>
  <c r="L46" i="29"/>
  <c r="L56" i="29" s="1"/>
  <c r="C122" i="22"/>
  <c r="D18" i="22" s="1"/>
  <c r="C129" i="22"/>
  <c r="J81" i="22" s="1"/>
  <c r="D33" i="26"/>
  <c r="F33" i="26"/>
  <c r="G33" i="26"/>
  <c r="H33" i="26"/>
  <c r="I33" i="26"/>
  <c r="E33" i="26"/>
  <c r="G13" i="26"/>
  <c r="I13" i="26"/>
  <c r="D13" i="26"/>
  <c r="E13" i="26"/>
  <c r="F13" i="26"/>
  <c r="H23" i="26"/>
  <c r="E23" i="26"/>
  <c r="F23" i="26"/>
  <c r="G23" i="26"/>
  <c r="I23" i="26"/>
  <c r="E27" i="14"/>
  <c r="F27" i="14"/>
  <c r="C9" i="36"/>
  <c r="D113" i="28" s="1"/>
  <c r="C8" i="36"/>
  <c r="D112" i="28" s="1"/>
  <c r="C7" i="36"/>
  <c r="D111" i="28" s="1"/>
  <c r="C6" i="36"/>
  <c r="D110" i="28" s="1"/>
  <c r="C5" i="36"/>
  <c r="D109" i="28" s="1"/>
  <c r="G73" i="22"/>
  <c r="I45" i="22"/>
  <c r="C92" i="18"/>
  <c r="C93" i="18" s="1"/>
  <c r="C19" i="20"/>
  <c r="C56" i="20"/>
  <c r="D18" i="20" s="1"/>
  <c r="D19" i="20" s="1"/>
  <c r="E19" i="20" s="1"/>
  <c r="F19" i="20" s="1"/>
  <c r="D57" i="29"/>
  <c r="D56" i="29"/>
  <c r="D55" i="29"/>
  <c r="D54" i="29"/>
  <c r="D53" i="29"/>
  <c r="D52" i="29"/>
  <c r="L48" i="29"/>
  <c r="L64" i="29" s="1"/>
  <c r="P64" i="29" s="1"/>
  <c r="K47" i="29"/>
  <c r="K63" i="29" s="1"/>
  <c r="L41" i="29"/>
  <c r="H34" i="29"/>
  <c r="H65" i="29" s="1"/>
  <c r="H58" i="28" s="1"/>
  <c r="H67" i="29"/>
  <c r="P67" i="29" s="1"/>
  <c r="H32" i="29"/>
  <c r="H59" i="29" s="1"/>
  <c r="H16" i="15" s="1"/>
  <c r="H31" i="29"/>
  <c r="H62" i="29" s="1"/>
  <c r="H26" i="29"/>
  <c r="F29" i="45"/>
  <c r="G29" i="45" s="1"/>
  <c r="H29" i="45" s="1"/>
  <c r="I29" i="45" s="1"/>
  <c r="J29" i="45" s="1"/>
  <c r="K29" i="45" s="1"/>
  <c r="L29" i="45" s="1"/>
  <c r="M29" i="45" s="1"/>
  <c r="N29" i="45" s="1"/>
  <c r="F34" i="45"/>
  <c r="G34" i="45" s="1"/>
  <c r="H34" i="45" s="1"/>
  <c r="I34" i="45" s="1"/>
  <c r="J34" i="45" s="1"/>
  <c r="K34" i="45" s="1"/>
  <c r="L34" i="45" s="1"/>
  <c r="M34" i="45" s="1"/>
  <c r="N34" i="45" s="1"/>
  <c r="O34" i="45" s="1"/>
  <c r="P34" i="45" s="1"/>
  <c r="E32" i="45"/>
  <c r="F32" i="45" s="1"/>
  <c r="G32" i="45" s="1"/>
  <c r="H32" i="45" s="1"/>
  <c r="I32" i="45" s="1"/>
  <c r="J32" i="45" s="1"/>
  <c r="K32" i="45" s="1"/>
  <c r="L32" i="45" s="1"/>
  <c r="F31" i="45"/>
  <c r="G31" i="45" s="1"/>
  <c r="H31" i="45" s="1"/>
  <c r="I31" i="45" s="1"/>
  <c r="F30" i="45"/>
  <c r="G30" i="45" s="1"/>
  <c r="H30" i="45" s="1"/>
  <c r="I30" i="45" s="1"/>
  <c r="J30" i="45" s="1"/>
  <c r="K30" i="45" s="1"/>
  <c r="L30" i="45" s="1"/>
  <c r="M30" i="45" s="1"/>
  <c r="N30" i="45" s="1"/>
  <c r="O30" i="45" s="1"/>
  <c r="P30" i="45" s="1"/>
  <c r="Q30" i="45" s="1"/>
  <c r="J28" i="45"/>
  <c r="E27" i="45"/>
  <c r="F27" i="45" s="1"/>
  <c r="G27" i="45" s="1"/>
  <c r="H27" i="45" s="1"/>
  <c r="F25" i="45"/>
  <c r="G25" i="45" s="1"/>
  <c r="H25" i="45" s="1"/>
  <c r="F24" i="45"/>
  <c r="G24" i="45" s="1"/>
  <c r="H24" i="45" s="1"/>
  <c r="I24" i="45" s="1"/>
  <c r="F23" i="45"/>
  <c r="N14" i="45"/>
  <c r="O14" i="45" s="1"/>
  <c r="P14" i="45" s="1"/>
  <c r="F14" i="45"/>
  <c r="F12" i="45"/>
  <c r="F11" i="45"/>
  <c r="F10" i="45"/>
  <c r="C28" i="29" s="1"/>
  <c r="D108" i="18" s="1"/>
  <c r="C108" i="18" s="1"/>
  <c r="K66" i="18" s="1"/>
  <c r="G9" i="45"/>
  <c r="F8" i="45"/>
  <c r="E7" i="45"/>
  <c r="F7" i="45" s="1"/>
  <c r="F5" i="45"/>
  <c r="G5" i="45" s="1"/>
  <c r="G4" i="45"/>
  <c r="F3" i="45"/>
  <c r="P57" i="29" l="1"/>
  <c r="I28" i="29"/>
  <c r="I58" i="28" s="1"/>
  <c r="K67" i="18"/>
  <c r="H22" i="29"/>
  <c r="C38" i="29"/>
  <c r="T3" i="45"/>
  <c r="H9" i="45"/>
  <c r="F8" i="29" s="1"/>
  <c r="F55" i="29" s="1"/>
  <c r="G11" i="45"/>
  <c r="K62" i="14"/>
  <c r="L62" i="14" s="1"/>
  <c r="M62" i="14" s="1"/>
  <c r="L51" i="29"/>
  <c r="H55" i="28"/>
  <c r="H53" i="29"/>
  <c r="K53" i="29"/>
  <c r="K58" i="14"/>
  <c r="L44" i="28" s="1"/>
  <c r="L58" i="28"/>
  <c r="P65" i="29"/>
  <c r="C34" i="47"/>
  <c r="C57" i="28"/>
  <c r="D27" i="47"/>
  <c r="E21" i="28"/>
  <c r="C27" i="47"/>
  <c r="C28" i="47" s="1"/>
  <c r="D21" i="28"/>
  <c r="E11" i="47"/>
  <c r="E15" i="47" s="1"/>
  <c r="F4" i="47"/>
  <c r="F11" i="47" s="1"/>
  <c r="F15" i="47" s="1"/>
  <c r="F19" i="47"/>
  <c r="F21" i="47" s="1"/>
  <c r="F22" i="47" s="1"/>
  <c r="K12" i="47"/>
  <c r="H5" i="45"/>
  <c r="T5" i="45" s="1"/>
  <c r="G8" i="45"/>
  <c r="I8" i="45" s="1"/>
  <c r="C23" i="29"/>
  <c r="I4" i="45"/>
  <c r="C37" i="29" s="1"/>
  <c r="H7" i="45"/>
  <c r="T7" i="45" s="1"/>
  <c r="G10" i="45"/>
  <c r="C55" i="20"/>
  <c r="E9" i="20" s="1"/>
  <c r="E10" i="20" s="1"/>
  <c r="G12" i="45"/>
  <c r="H12" i="45" s="1"/>
  <c r="I12" i="45" s="1"/>
  <c r="J12" i="45" s="1"/>
  <c r="K12" i="45" s="1"/>
  <c r="L12" i="45" s="1"/>
  <c r="T12" i="45"/>
  <c r="G14" i="45"/>
  <c r="H14" i="45" s="1"/>
  <c r="E13" i="29"/>
  <c r="E53" i="29" s="1"/>
  <c r="B9" i="36"/>
  <c r="C113" i="28" s="1"/>
  <c r="B8" i="36"/>
  <c r="C112" i="28" s="1"/>
  <c r="B7" i="36"/>
  <c r="C111" i="28" s="1"/>
  <c r="B6" i="36"/>
  <c r="C110" i="28" s="1"/>
  <c r="B5" i="36"/>
  <c r="C109" i="28" s="1"/>
  <c r="C42" i="29" l="1"/>
  <c r="K42" i="29" s="1"/>
  <c r="K52" i="29" s="1"/>
  <c r="T4" i="45"/>
  <c r="C45" i="29"/>
  <c r="L45" i="29" s="1"/>
  <c r="T14" i="45"/>
  <c r="T9" i="45"/>
  <c r="M45" i="29"/>
  <c r="D32" i="23"/>
  <c r="F54" i="28"/>
  <c r="H11" i="45"/>
  <c r="I11" i="45" s="1"/>
  <c r="K38" i="29"/>
  <c r="J9" i="26" s="1"/>
  <c r="E57" i="26"/>
  <c r="D57" i="26" s="1"/>
  <c r="C57" i="26" s="1"/>
  <c r="Z9" i="45"/>
  <c r="AA9" i="45" s="1"/>
  <c r="AB9" i="45" s="1"/>
  <c r="AC9" i="45" s="1"/>
  <c r="H10" i="45"/>
  <c r="H54" i="29"/>
  <c r="P54" i="29" s="1"/>
  <c r="G9" i="19"/>
  <c r="H45" i="28" s="1"/>
  <c r="C27" i="29"/>
  <c r="C10" i="29"/>
  <c r="C11" i="29"/>
  <c r="G4" i="47"/>
  <c r="G11" i="47" s="1"/>
  <c r="G15" i="47" s="1"/>
  <c r="L12" i="47"/>
  <c r="D16" i="47"/>
  <c r="D17" i="47" s="1"/>
  <c r="E16" i="47"/>
  <c r="E17" i="47" s="1"/>
  <c r="I10" i="45"/>
  <c r="K37" i="29"/>
  <c r="D91" i="14"/>
  <c r="E58" i="26"/>
  <c r="D58" i="26" s="1"/>
  <c r="C58" i="26" s="1"/>
  <c r="P53" i="29"/>
  <c r="E55" i="28"/>
  <c r="I27" i="29"/>
  <c r="I52" i="29" s="1"/>
  <c r="E56" i="26"/>
  <c r="D56" i="26" s="1"/>
  <c r="C56" i="26" s="1"/>
  <c r="D89" i="14"/>
  <c r="H23" i="29"/>
  <c r="T8" i="45"/>
  <c r="F23" i="40"/>
  <c r="F16" i="40"/>
  <c r="F15" i="40"/>
  <c r="F14" i="40"/>
  <c r="F13" i="40"/>
  <c r="F12" i="40"/>
  <c r="F5" i="40"/>
  <c r="C7" i="29" l="1"/>
  <c r="E7" i="29" s="1"/>
  <c r="T11" i="45"/>
  <c r="D88" i="14"/>
  <c r="C32" i="23"/>
  <c r="C56" i="28"/>
  <c r="K8" i="23"/>
  <c r="L56" i="28"/>
  <c r="L58" i="29"/>
  <c r="M58" i="29"/>
  <c r="L8" i="23"/>
  <c r="M47" i="28" s="1"/>
  <c r="M56" i="28"/>
  <c r="E10" i="29"/>
  <c r="E58" i="28" s="1"/>
  <c r="D107" i="18"/>
  <c r="D48" i="18" s="1"/>
  <c r="M13" i="26"/>
  <c r="L13" i="26"/>
  <c r="K13" i="26"/>
  <c r="J13" i="26"/>
  <c r="K51" i="29"/>
  <c r="J50" i="14"/>
  <c r="K50" i="14" s="1"/>
  <c r="L50" i="14" s="1"/>
  <c r="M50" i="14" s="1"/>
  <c r="G26" i="14"/>
  <c r="H26" i="14" s="1"/>
  <c r="I26" i="14" s="1"/>
  <c r="J26" i="14" s="1"/>
  <c r="K26" i="14" s="1"/>
  <c r="L26" i="14" s="1"/>
  <c r="M26" i="14" s="1"/>
  <c r="H51" i="29"/>
  <c r="F10" i="14"/>
  <c r="P52" i="29"/>
  <c r="H4" i="47"/>
  <c r="H19" i="47" s="1"/>
  <c r="H21" i="47" s="1"/>
  <c r="H22" i="47" s="1"/>
  <c r="G19" i="47"/>
  <c r="G21" i="47" s="1"/>
  <c r="G22" i="47" s="1"/>
  <c r="D24" i="47"/>
  <c r="D28" i="47" s="1"/>
  <c r="E11" i="28"/>
  <c r="E24" i="47"/>
  <c r="F11" i="28"/>
  <c r="I4" i="47"/>
  <c r="F16" i="47"/>
  <c r="F17" i="47" s="1"/>
  <c r="M12" i="47"/>
  <c r="J10" i="45"/>
  <c r="C24" i="29" s="1"/>
  <c r="W6" i="45"/>
  <c r="G22" i="14"/>
  <c r="H44" i="28" s="1"/>
  <c r="J29" i="26"/>
  <c r="J19" i="26"/>
  <c r="J46" i="14"/>
  <c r="K44" i="28" s="1"/>
  <c r="C31" i="31"/>
  <c r="D31" i="31"/>
  <c r="E31" i="31"/>
  <c r="C105" i="22" s="1"/>
  <c r="K46" i="28" l="1"/>
  <c r="L47" i="28"/>
  <c r="C47" i="28"/>
  <c r="D10" i="14"/>
  <c r="H15" i="14" s="1"/>
  <c r="D14" i="14"/>
  <c r="E51" i="29"/>
  <c r="G44" i="28"/>
  <c r="H11" i="47"/>
  <c r="H15" i="47" s="1"/>
  <c r="F24" i="47"/>
  <c r="G11" i="28"/>
  <c r="G16" i="47"/>
  <c r="G17" i="47" s="1"/>
  <c r="I11" i="47"/>
  <c r="I15" i="47" s="1"/>
  <c r="J4" i="47"/>
  <c r="I19" i="47"/>
  <c r="I21" i="47" s="1"/>
  <c r="I22" i="47" s="1"/>
  <c r="D90" i="14"/>
  <c r="I24" i="29"/>
  <c r="T10" i="45"/>
  <c r="T19" i="45" s="1"/>
  <c r="W4" i="45"/>
  <c r="Z10" i="45"/>
  <c r="AB10" i="45" s="1"/>
  <c r="AC10" i="45" s="1"/>
  <c r="W5" i="45"/>
  <c r="M23" i="26"/>
  <c r="L23" i="26"/>
  <c r="J23" i="26"/>
  <c r="K23" i="26"/>
  <c r="J33" i="26"/>
  <c r="K33" i="26"/>
  <c r="M33" i="26"/>
  <c r="L33" i="26"/>
  <c r="M27" i="14"/>
  <c r="L27" i="14"/>
  <c r="K27" i="14"/>
  <c r="J27" i="14"/>
  <c r="I27" i="14"/>
  <c r="H27" i="14"/>
  <c r="G27" i="14"/>
  <c r="M1" i="18"/>
  <c r="M1" i="23"/>
  <c r="M1" i="22"/>
  <c r="M1" i="20"/>
  <c r="M1" i="26"/>
  <c r="M1" i="19"/>
  <c r="M1" i="14"/>
  <c r="F16" i="36"/>
  <c r="C104" i="34"/>
  <c r="J104" i="34" s="1"/>
  <c r="C103" i="34"/>
  <c r="J103" i="34" s="1"/>
  <c r="C102" i="34"/>
  <c r="J102" i="34" s="1"/>
  <c r="C101" i="34"/>
  <c r="J101" i="34" s="1"/>
  <c r="C100" i="34"/>
  <c r="J100" i="34" s="1"/>
  <c r="C99" i="34"/>
  <c r="J99" i="34" s="1"/>
  <c r="C98" i="34"/>
  <c r="J98" i="34" s="1"/>
  <c r="C97" i="34"/>
  <c r="J97" i="34" s="1"/>
  <c r="C96" i="34"/>
  <c r="J96" i="34" s="1"/>
  <c r="C95" i="34"/>
  <c r="J95" i="34" s="1"/>
  <c r="C91" i="34"/>
  <c r="J91" i="34" s="1"/>
  <c r="K91" i="34" s="1"/>
  <c r="C90" i="34"/>
  <c r="J90" i="34" s="1"/>
  <c r="K90" i="34" s="1"/>
  <c r="C89" i="34"/>
  <c r="J89" i="34" s="1"/>
  <c r="K89" i="34" s="1"/>
  <c r="C88" i="34"/>
  <c r="J88" i="34" s="1"/>
  <c r="K88" i="34" s="1"/>
  <c r="C87" i="34"/>
  <c r="J87" i="34" s="1"/>
  <c r="K87" i="34" s="1"/>
  <c r="C86" i="34"/>
  <c r="J86" i="34" s="1"/>
  <c r="K86" i="34" s="1"/>
  <c r="C85" i="34"/>
  <c r="J85" i="34" s="1"/>
  <c r="K85" i="34" s="1"/>
  <c r="C84" i="34"/>
  <c r="J84" i="34" s="1"/>
  <c r="K84" i="34" s="1"/>
  <c r="C83" i="34"/>
  <c r="J83" i="34" s="1"/>
  <c r="K83" i="34" s="1"/>
  <c r="C82" i="34"/>
  <c r="J82" i="34" s="1"/>
  <c r="K82" i="34" s="1"/>
  <c r="C81" i="34"/>
  <c r="J81" i="34" s="1"/>
  <c r="K81" i="34" s="1"/>
  <c r="C80" i="34"/>
  <c r="J80" i="34" s="1"/>
  <c r="K80" i="34" s="1"/>
  <c r="C79" i="34"/>
  <c r="J79" i="34" s="1"/>
  <c r="K79" i="34" s="1"/>
  <c r="C78" i="34"/>
  <c r="J78" i="34" s="1"/>
  <c r="K78" i="34" s="1"/>
  <c r="C77" i="34"/>
  <c r="J77" i="34" s="1"/>
  <c r="K77" i="34" s="1"/>
  <c r="C76" i="34"/>
  <c r="J76" i="34" s="1"/>
  <c r="C72" i="34"/>
  <c r="J72" i="34" s="1"/>
  <c r="C71" i="34"/>
  <c r="J71" i="34" s="1"/>
  <c r="C70" i="34"/>
  <c r="J70" i="34" s="1"/>
  <c r="C69" i="34"/>
  <c r="J69" i="34" s="1"/>
  <c r="C68" i="34"/>
  <c r="J68" i="34" s="1"/>
  <c r="C67" i="34"/>
  <c r="J67" i="34" s="1"/>
  <c r="C66" i="34"/>
  <c r="J66" i="34" s="1"/>
  <c r="C65" i="34"/>
  <c r="J65" i="34" s="1"/>
  <c r="C64" i="34"/>
  <c r="J64" i="34" s="1"/>
  <c r="C63" i="34"/>
  <c r="J63" i="34" s="1"/>
  <c r="C62" i="34"/>
  <c r="J62" i="34" s="1"/>
  <c r="C61" i="34"/>
  <c r="J61" i="34" s="1"/>
  <c r="C60" i="34"/>
  <c r="J60" i="34" s="1"/>
  <c r="C59" i="34"/>
  <c r="J59" i="34" s="1"/>
  <c r="C58" i="34"/>
  <c r="J58" i="34" s="1"/>
  <c r="C57" i="34"/>
  <c r="J57" i="34" s="1"/>
  <c r="C56" i="34"/>
  <c r="J56" i="34" s="1"/>
  <c r="C55" i="34"/>
  <c r="J55" i="34" s="1"/>
  <c r="C54" i="34"/>
  <c r="J54" i="34" s="1"/>
  <c r="C53" i="34"/>
  <c r="J53" i="34" s="1"/>
  <c r="C52" i="34"/>
  <c r="J52" i="34" s="1"/>
  <c r="C51" i="34"/>
  <c r="J51" i="34" s="1"/>
  <c r="C50" i="34"/>
  <c r="J50" i="34" s="1"/>
  <c r="C49" i="34"/>
  <c r="J49" i="34" s="1"/>
  <c r="C48" i="34"/>
  <c r="J48" i="34" s="1"/>
  <c r="C44" i="34"/>
  <c r="J44" i="34" s="1"/>
  <c r="K44" i="34" s="1"/>
  <c r="C43" i="34"/>
  <c r="J43" i="34" s="1"/>
  <c r="K43" i="34" s="1"/>
  <c r="C42" i="34"/>
  <c r="J42" i="34" s="1"/>
  <c r="K42" i="34" s="1"/>
  <c r="C41" i="34"/>
  <c r="J41" i="34" s="1"/>
  <c r="K41" i="34" s="1"/>
  <c r="C40" i="34"/>
  <c r="J40" i="34" s="1"/>
  <c r="K40" i="34" s="1"/>
  <c r="L40" i="34" s="1"/>
  <c r="C39" i="34"/>
  <c r="J39" i="34" s="1"/>
  <c r="C38" i="34"/>
  <c r="J38" i="34" s="1"/>
  <c r="K38" i="34" s="1"/>
  <c r="L38" i="34" s="1"/>
  <c r="C37" i="34"/>
  <c r="J37" i="34" s="1"/>
  <c r="C36" i="34"/>
  <c r="J36" i="34" s="1"/>
  <c r="K36" i="34" s="1"/>
  <c r="L36" i="34" s="1"/>
  <c r="C35" i="34"/>
  <c r="J35" i="34" s="1"/>
  <c r="K35" i="34" s="1"/>
  <c r="L35" i="34" s="1"/>
  <c r="C34" i="34"/>
  <c r="J34" i="34" s="1"/>
  <c r="K34" i="34" s="1"/>
  <c r="L34" i="34" s="1"/>
  <c r="C33" i="34"/>
  <c r="J33" i="34" s="1"/>
  <c r="C32" i="34"/>
  <c r="J32" i="34" s="1"/>
  <c r="K32" i="34" s="1"/>
  <c r="L32" i="34" s="1"/>
  <c r="C31" i="34"/>
  <c r="J31" i="34" s="1"/>
  <c r="K31" i="34" s="1"/>
  <c r="C30" i="34"/>
  <c r="J30" i="34" s="1"/>
  <c r="K30" i="34" s="1"/>
  <c r="L30" i="34" s="1"/>
  <c r="C29" i="34"/>
  <c r="J29" i="34" s="1"/>
  <c r="C28" i="34"/>
  <c r="J28" i="34" s="1"/>
  <c r="C14" i="34"/>
  <c r="J14" i="34" s="1"/>
  <c r="C15" i="34"/>
  <c r="J15" i="34" s="1"/>
  <c r="C16" i="34"/>
  <c r="J16" i="34" s="1"/>
  <c r="C17" i="34"/>
  <c r="J17" i="34" s="1"/>
  <c r="C18" i="34"/>
  <c r="J18" i="34" s="1"/>
  <c r="C19" i="34"/>
  <c r="J19" i="34" s="1"/>
  <c r="C20" i="34"/>
  <c r="J20" i="34" s="1"/>
  <c r="C21" i="34"/>
  <c r="J21" i="34" s="1"/>
  <c r="C22" i="34"/>
  <c r="J22" i="34" s="1"/>
  <c r="C23" i="34"/>
  <c r="J23" i="34" s="1"/>
  <c r="C24" i="34"/>
  <c r="J24" i="34" s="1"/>
  <c r="C13" i="34"/>
  <c r="J13" i="34" s="1"/>
  <c r="C9" i="34"/>
  <c r="J9" i="34" s="1"/>
  <c r="C8" i="34"/>
  <c r="J8" i="34" s="1"/>
  <c r="C7" i="34"/>
  <c r="J7" i="34" s="1"/>
  <c r="B104" i="34"/>
  <c r="B103" i="34"/>
  <c r="B102" i="34"/>
  <c r="B101" i="34"/>
  <c r="B100" i="34"/>
  <c r="B99" i="34"/>
  <c r="B98" i="34"/>
  <c r="B97" i="34"/>
  <c r="B96" i="34"/>
  <c r="B95" i="34"/>
  <c r="B91" i="34"/>
  <c r="B90" i="34"/>
  <c r="B89" i="34"/>
  <c r="B88" i="34"/>
  <c r="B87" i="34"/>
  <c r="B86" i="34"/>
  <c r="B85" i="34"/>
  <c r="B84" i="34"/>
  <c r="B83" i="34"/>
  <c r="B82" i="34"/>
  <c r="B81" i="34"/>
  <c r="B80" i="34"/>
  <c r="B79" i="34"/>
  <c r="B78" i="34"/>
  <c r="B77" i="34"/>
  <c r="B76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4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28" i="34"/>
  <c r="B14" i="34"/>
  <c r="B15" i="34"/>
  <c r="B16" i="34"/>
  <c r="B17" i="34"/>
  <c r="B18" i="34"/>
  <c r="B19" i="34"/>
  <c r="B20" i="34"/>
  <c r="B21" i="34"/>
  <c r="B22" i="34"/>
  <c r="B23" i="34"/>
  <c r="B24" i="34"/>
  <c r="B13" i="34"/>
  <c r="B9" i="34"/>
  <c r="B8" i="34"/>
  <c r="B7" i="34"/>
  <c r="D9" i="36"/>
  <c r="D8" i="36"/>
  <c r="D7" i="36"/>
  <c r="D6" i="36"/>
  <c r="D5" i="36"/>
  <c r="G15" i="14" l="1"/>
  <c r="E44" i="28"/>
  <c r="D15" i="14"/>
  <c r="E15" i="14"/>
  <c r="J15" i="14"/>
  <c r="E14" i="14"/>
  <c r="E51" i="28"/>
  <c r="K15" i="14"/>
  <c r="M15" i="14"/>
  <c r="I15" i="14"/>
  <c r="L15" i="14"/>
  <c r="F15" i="14"/>
  <c r="E8" i="36"/>
  <c r="F112" i="28" s="1"/>
  <c r="G112" i="28" s="1"/>
  <c r="D8" i="35"/>
  <c r="D16" i="35"/>
  <c r="D24" i="35"/>
  <c r="D32" i="35"/>
  <c r="D40" i="35"/>
  <c r="E10" i="35"/>
  <c r="E18" i="35"/>
  <c r="E26" i="35"/>
  <c r="E34" i="35"/>
  <c r="D9" i="35"/>
  <c r="D17" i="35"/>
  <c r="D25" i="35"/>
  <c r="D33" i="35"/>
  <c r="D41" i="35"/>
  <c r="E11" i="35"/>
  <c r="E19" i="35"/>
  <c r="E27" i="35"/>
  <c r="E35" i="35"/>
  <c r="E7" i="36"/>
  <c r="F111" i="28" s="1"/>
  <c r="G111" i="28" s="1"/>
  <c r="D10" i="35"/>
  <c r="D18" i="35"/>
  <c r="D26" i="35"/>
  <c r="D34" i="35"/>
  <c r="D5" i="35"/>
  <c r="E12" i="35"/>
  <c r="E20" i="35"/>
  <c r="E28" i="35"/>
  <c r="E36" i="35"/>
  <c r="D11" i="35"/>
  <c r="D19" i="35"/>
  <c r="D27" i="35"/>
  <c r="D35" i="35"/>
  <c r="E5" i="35"/>
  <c r="E13" i="35"/>
  <c r="E21" i="35"/>
  <c r="E29" i="35"/>
  <c r="E37" i="35"/>
  <c r="E9" i="36"/>
  <c r="F113" i="28" s="1"/>
  <c r="G113" i="28" s="1"/>
  <c r="D12" i="35"/>
  <c r="D20" i="35"/>
  <c r="D28" i="35"/>
  <c r="D36" i="35"/>
  <c r="E6" i="35"/>
  <c r="E14" i="35"/>
  <c r="E22" i="35"/>
  <c r="E30" i="35"/>
  <c r="E38" i="35"/>
  <c r="E5" i="36"/>
  <c r="F109" i="28" s="1"/>
  <c r="G109" i="28" s="1"/>
  <c r="D13" i="35"/>
  <c r="D21" i="35"/>
  <c r="D29" i="35"/>
  <c r="D37" i="35"/>
  <c r="E7" i="35"/>
  <c r="E15" i="35"/>
  <c r="E23" i="35"/>
  <c r="E31" i="35"/>
  <c r="E39" i="35"/>
  <c r="E6" i="36"/>
  <c r="F110" i="28" s="1"/>
  <c r="G110" i="28" s="1"/>
  <c r="D6" i="35"/>
  <c r="D14" i="35"/>
  <c r="D22" i="35"/>
  <c r="D30" i="35"/>
  <c r="D38" i="35"/>
  <c r="E8" i="35"/>
  <c r="E16" i="35"/>
  <c r="E24" i="35"/>
  <c r="E32" i="35"/>
  <c r="E40" i="35"/>
  <c r="D7" i="35"/>
  <c r="D15" i="35"/>
  <c r="D23" i="35"/>
  <c r="D31" i="35"/>
  <c r="D39" i="35"/>
  <c r="E9" i="35"/>
  <c r="E17" i="35"/>
  <c r="E25" i="35"/>
  <c r="E33" i="35"/>
  <c r="E41" i="35"/>
  <c r="I51" i="29"/>
  <c r="P51" i="29" s="1"/>
  <c r="H38" i="14"/>
  <c r="G24" i="47"/>
  <c r="H11" i="28"/>
  <c r="H16" i="47"/>
  <c r="H17" i="47" s="1"/>
  <c r="J11" i="47"/>
  <c r="J15" i="47" s="1"/>
  <c r="K4" i="47"/>
  <c r="J19" i="47"/>
  <c r="J21" i="47" s="1"/>
  <c r="J22" i="47" s="1"/>
  <c r="W7" i="45"/>
  <c r="X5" i="45" s="1"/>
  <c r="H34" i="14"/>
  <c r="I44" i="28" s="1"/>
  <c r="K103" i="34"/>
  <c r="K29" i="34"/>
  <c r="L29" i="34" s="1"/>
  <c r="K37" i="34"/>
  <c r="L37" i="34" s="1"/>
  <c r="K39" i="34"/>
  <c r="L39" i="34" s="1"/>
  <c r="K33" i="34"/>
  <c r="L33" i="34" s="1"/>
  <c r="L31" i="34"/>
  <c r="L90" i="34"/>
  <c r="L89" i="34"/>
  <c r="L88" i="34"/>
  <c r="L87" i="34"/>
  <c r="L86" i="34"/>
  <c r="L85" i="34"/>
  <c r="L84" i="34"/>
  <c r="L83" i="34"/>
  <c r="L82" i="34"/>
  <c r="L81" i="34"/>
  <c r="L80" i="34"/>
  <c r="L79" i="34"/>
  <c r="L78" i="34"/>
  <c r="K59" i="34"/>
  <c r="K50" i="34"/>
  <c r="K16" i="34"/>
  <c r="F14" i="14" l="1"/>
  <c r="F51" i="28"/>
  <c r="I38" i="14"/>
  <c r="Q51" i="29"/>
  <c r="H24" i="47"/>
  <c r="I11" i="28"/>
  <c r="L4" i="47"/>
  <c r="K19" i="47"/>
  <c r="K21" i="47" s="1"/>
  <c r="K22" i="47" s="1"/>
  <c r="K11" i="47"/>
  <c r="K15" i="47" s="1"/>
  <c r="I16" i="47"/>
  <c r="I17" i="47" s="1"/>
  <c r="X4" i="45"/>
  <c r="X6" i="45"/>
  <c r="K100" i="34"/>
  <c r="L100" i="34" s="1"/>
  <c r="K51" i="34"/>
  <c r="L51" i="34" s="1"/>
  <c r="K60" i="34"/>
  <c r="L60" i="34" s="1"/>
  <c r="K102" i="34"/>
  <c r="L102" i="34" s="1"/>
  <c r="K21" i="34"/>
  <c r="L21" i="34" s="1"/>
  <c r="K54" i="34"/>
  <c r="L54" i="34" s="1"/>
  <c r="L103" i="34"/>
  <c r="K22" i="34"/>
  <c r="L22" i="34" s="1"/>
  <c r="K55" i="34"/>
  <c r="L55" i="34" s="1"/>
  <c r="K18" i="34"/>
  <c r="L18" i="34" s="1"/>
  <c r="K52" i="34"/>
  <c r="L52" i="34" s="1"/>
  <c r="K20" i="34"/>
  <c r="L20" i="34" s="1"/>
  <c r="K56" i="34"/>
  <c r="L56" i="34" s="1"/>
  <c r="L16" i="34"/>
  <c r="K57" i="34"/>
  <c r="L57" i="34" s="1"/>
  <c r="L59" i="34"/>
  <c r="K19" i="34"/>
  <c r="L19" i="34" s="1"/>
  <c r="K101" i="34"/>
  <c r="L101" i="34" s="1"/>
  <c r="K53" i="34"/>
  <c r="L53" i="34" s="1"/>
  <c r="K23" i="34"/>
  <c r="L23" i="34" s="1"/>
  <c r="L50" i="34"/>
  <c r="K58" i="34"/>
  <c r="L58" i="34" s="1"/>
  <c r="K17" i="34"/>
  <c r="L17" i="34" s="1"/>
  <c r="G14" i="14" l="1"/>
  <c r="G51" i="28"/>
  <c r="J38" i="14"/>
  <c r="R54" i="29"/>
  <c r="R52" i="29"/>
  <c r="R51" i="29"/>
  <c r="I24" i="47"/>
  <c r="J11" i="28"/>
  <c r="L19" i="47"/>
  <c r="L21" i="47" s="1"/>
  <c r="L22" i="47" s="1"/>
  <c r="M4" i="47"/>
  <c r="L11" i="47"/>
  <c r="L15" i="47" s="1"/>
  <c r="J16" i="47"/>
  <c r="J17" i="47" s="1"/>
  <c r="X7" i="45"/>
  <c r="D20" i="15"/>
  <c r="H109" i="28"/>
  <c r="F121" i="28"/>
  <c r="F123" i="28" s="1"/>
  <c r="F114" i="28"/>
  <c r="E114" i="28"/>
  <c r="D114" i="28"/>
  <c r="F93" i="28"/>
  <c r="F92" i="28"/>
  <c r="F91" i="28"/>
  <c r="F90" i="28"/>
  <c r="F89" i="28"/>
  <c r="F30" i="40"/>
  <c r="F24" i="40"/>
  <c r="F17" i="40"/>
  <c r="F6" i="40"/>
  <c r="H112" i="28" l="1"/>
  <c r="H14" i="14"/>
  <c r="H51" i="28"/>
  <c r="H110" i="28"/>
  <c r="H111" i="28"/>
  <c r="H113" i="28"/>
  <c r="K38" i="14"/>
  <c r="J24" i="47"/>
  <c r="K11" i="28"/>
  <c r="M19" i="47"/>
  <c r="M21" i="47" s="1"/>
  <c r="M11" i="47"/>
  <c r="M15" i="47" s="1"/>
  <c r="K16" i="47"/>
  <c r="K17" i="47" s="1"/>
  <c r="F97" i="28"/>
  <c r="K31" i="37"/>
  <c r="J31" i="37"/>
  <c r="I31" i="37"/>
  <c r="H31" i="37"/>
  <c r="G31" i="37"/>
  <c r="F31" i="37"/>
  <c r="E31" i="37"/>
  <c r="D31" i="37"/>
  <c r="C31" i="37"/>
  <c r="K30" i="37"/>
  <c r="J30" i="37"/>
  <c r="I30" i="37"/>
  <c r="H30" i="37"/>
  <c r="G30" i="37"/>
  <c r="F30" i="37"/>
  <c r="E30" i="37"/>
  <c r="D30" i="37"/>
  <c r="C30" i="37"/>
  <c r="C7" i="37"/>
  <c r="C6" i="37"/>
  <c r="B32" i="37"/>
  <c r="B31" i="37"/>
  <c r="B30" i="37"/>
  <c r="C19" i="37"/>
  <c r="C32" i="37" s="1"/>
  <c r="D9" i="37"/>
  <c r="E9" i="37" s="1"/>
  <c r="F9" i="37" s="1"/>
  <c r="G9" i="37" s="1"/>
  <c r="H9" i="37" s="1"/>
  <c r="I9" i="37" s="1"/>
  <c r="J9" i="37" s="1"/>
  <c r="K9" i="37" s="1"/>
  <c r="L9" i="37" s="1"/>
  <c r="D5" i="37"/>
  <c r="E5" i="37" s="1"/>
  <c r="F5" i="37" s="1"/>
  <c r="G5" i="37" s="1"/>
  <c r="H5" i="37" s="1"/>
  <c r="I5" i="37" s="1"/>
  <c r="J5" i="37" s="1"/>
  <c r="K5" i="37" s="1"/>
  <c r="L5" i="37" s="1"/>
  <c r="C4" i="37"/>
  <c r="D4" i="37" s="1"/>
  <c r="E4" i="37" s="1"/>
  <c r="F4" i="37" s="1"/>
  <c r="G4" i="37" s="1"/>
  <c r="H4" i="37" s="1"/>
  <c r="I4" i="37" s="1"/>
  <c r="J4" i="37" s="1"/>
  <c r="K4" i="37" s="1"/>
  <c r="L4" i="37" s="1"/>
  <c r="F25" i="28"/>
  <c r="G25" i="28" s="1"/>
  <c r="H25" i="28" s="1"/>
  <c r="I25" i="28" s="1"/>
  <c r="J25" i="28" s="1"/>
  <c r="K25" i="28" s="1"/>
  <c r="L25" i="28" s="1"/>
  <c r="M25" i="28" s="1"/>
  <c r="N25" i="28" s="1"/>
  <c r="L7" i="37" s="1"/>
  <c r="F23" i="28"/>
  <c r="G23" i="28" s="1"/>
  <c r="H23" i="28" s="1"/>
  <c r="I23" i="28" s="1"/>
  <c r="J23" i="28" s="1"/>
  <c r="K23" i="28" s="1"/>
  <c r="L23" i="28" s="1"/>
  <c r="M23" i="28" s="1"/>
  <c r="N23" i="28" s="1"/>
  <c r="L6" i="37" s="1"/>
  <c r="J105" i="34"/>
  <c r="I105" i="34"/>
  <c r="H105" i="34"/>
  <c r="J92" i="34"/>
  <c r="I92" i="34"/>
  <c r="H92" i="34"/>
  <c r="L91" i="34"/>
  <c r="L77" i="34"/>
  <c r="I73" i="34"/>
  <c r="H73" i="34"/>
  <c r="K72" i="34"/>
  <c r="K63" i="34"/>
  <c r="K62" i="34"/>
  <c r="I45" i="34"/>
  <c r="H45" i="34"/>
  <c r="L44" i="34"/>
  <c r="J25" i="34"/>
  <c r="I25" i="34"/>
  <c r="H25" i="34"/>
  <c r="I10" i="34"/>
  <c r="H10" i="34"/>
  <c r="I14" i="14" l="1"/>
  <c r="I51" i="28"/>
  <c r="G114" i="28"/>
  <c r="H114" i="28" s="1"/>
  <c r="L38" i="14"/>
  <c r="L20" i="47"/>
  <c r="M22" i="47"/>
  <c r="K24" i="47"/>
  <c r="L11" i="28"/>
  <c r="H20" i="47"/>
  <c r="K20" i="47"/>
  <c r="I20" i="47"/>
  <c r="M20" i="47"/>
  <c r="D20" i="47"/>
  <c r="C20" i="47"/>
  <c r="E20" i="47"/>
  <c r="G20" i="47"/>
  <c r="F20" i="47"/>
  <c r="J20" i="47"/>
  <c r="L16" i="47"/>
  <c r="L17" i="47" s="1"/>
  <c r="K67" i="34"/>
  <c r="L67" i="34" s="1"/>
  <c r="K98" i="34"/>
  <c r="L98" i="34" s="1"/>
  <c r="K99" i="34"/>
  <c r="L99" i="34" s="1"/>
  <c r="K24" i="34"/>
  <c r="L24" i="34" s="1"/>
  <c r="K71" i="34"/>
  <c r="L71" i="34" s="1"/>
  <c r="K8" i="34"/>
  <c r="L8" i="34" s="1"/>
  <c r="K49" i="34"/>
  <c r="L49" i="34" s="1"/>
  <c r="K61" i="34"/>
  <c r="L61" i="34" s="1"/>
  <c r="K70" i="34"/>
  <c r="L70" i="34" s="1"/>
  <c r="K64" i="34"/>
  <c r="L64" i="34" s="1"/>
  <c r="K65" i="34"/>
  <c r="L65" i="34" s="1"/>
  <c r="K97" i="34"/>
  <c r="L97" i="34" s="1"/>
  <c r="K68" i="34"/>
  <c r="L68" i="34" s="1"/>
  <c r="K69" i="34"/>
  <c r="L69" i="34" s="1"/>
  <c r="K15" i="34"/>
  <c r="L15" i="34" s="1"/>
  <c r="K104" i="34"/>
  <c r="L104" i="34" s="1"/>
  <c r="K66" i="34"/>
  <c r="L66" i="34" s="1"/>
  <c r="K96" i="34"/>
  <c r="L96" i="34" s="1"/>
  <c r="H108" i="34"/>
  <c r="I108" i="34"/>
  <c r="D6" i="37"/>
  <c r="E6" i="37"/>
  <c r="F6" i="37"/>
  <c r="G6" i="37"/>
  <c r="H6" i="37"/>
  <c r="I6" i="37"/>
  <c r="J6" i="37"/>
  <c r="K6" i="37"/>
  <c r="D7" i="37"/>
  <c r="E7" i="37"/>
  <c r="F7" i="37"/>
  <c r="G7" i="37"/>
  <c r="H7" i="37"/>
  <c r="I7" i="37"/>
  <c r="J7" i="37"/>
  <c r="K7" i="37"/>
  <c r="D19" i="37"/>
  <c r="L43" i="34"/>
  <c r="D10" i="36"/>
  <c r="F15" i="36" s="1"/>
  <c r="L62" i="34"/>
  <c r="L63" i="34"/>
  <c r="J10" i="34"/>
  <c r="J73" i="34"/>
  <c r="L72" i="34"/>
  <c r="K7" i="34"/>
  <c r="K13" i="34"/>
  <c r="K28" i="34"/>
  <c r="F42" i="28"/>
  <c r="G42" i="28" s="1"/>
  <c r="H42" i="28" s="1"/>
  <c r="I42" i="28" s="1"/>
  <c r="J42" i="28" s="1"/>
  <c r="K42" i="28" s="1"/>
  <c r="L42" i="28" s="1"/>
  <c r="M42" i="28" s="1"/>
  <c r="N42" i="28" s="1"/>
  <c r="F3" i="28"/>
  <c r="G3" i="28" s="1"/>
  <c r="H3" i="28" s="1"/>
  <c r="I3" i="28" s="1"/>
  <c r="J3" i="28" s="1"/>
  <c r="K3" i="28" s="1"/>
  <c r="L3" i="28" s="1"/>
  <c r="M3" i="28" s="1"/>
  <c r="N3" i="28" s="1"/>
  <c r="D19" i="28"/>
  <c r="D53" i="28"/>
  <c r="D48" i="28"/>
  <c r="C5" i="31"/>
  <c r="D5" i="31"/>
  <c r="C6" i="31"/>
  <c r="D6" i="31"/>
  <c r="C7" i="31"/>
  <c r="D7" i="31"/>
  <c r="E7" i="31" s="1"/>
  <c r="C9" i="31"/>
  <c r="D9" i="31"/>
  <c r="C10" i="31"/>
  <c r="D10" i="31"/>
  <c r="C11" i="31"/>
  <c r="D11" i="31"/>
  <c r="C12" i="31"/>
  <c r="D12" i="31"/>
  <c r="C13" i="31"/>
  <c r="D13" i="31"/>
  <c r="C14" i="31"/>
  <c r="D14" i="31"/>
  <c r="C15" i="31"/>
  <c r="D15" i="31"/>
  <c r="C17" i="31"/>
  <c r="D17" i="31"/>
  <c r="E17" i="31" s="1"/>
  <c r="C18" i="31"/>
  <c r="E18" i="31" s="1"/>
  <c r="D18" i="31"/>
  <c r="C19" i="31"/>
  <c r="E19" i="31" s="1"/>
  <c r="D19" i="31"/>
  <c r="C20" i="31"/>
  <c r="D20" i="31"/>
  <c r="C21" i="31"/>
  <c r="D21" i="31"/>
  <c r="C22" i="31"/>
  <c r="D22" i="31"/>
  <c r="C23" i="31"/>
  <c r="D23" i="31"/>
  <c r="C24" i="31"/>
  <c r="D24" i="31"/>
  <c r="C25" i="31"/>
  <c r="D25" i="31"/>
  <c r="C26" i="31"/>
  <c r="E26" i="31" s="1"/>
  <c r="D26" i="31"/>
  <c r="C27" i="31"/>
  <c r="D27" i="31"/>
  <c r="C28" i="31"/>
  <c r="D28" i="31"/>
  <c r="C29" i="31"/>
  <c r="D29" i="31"/>
  <c r="C33" i="31"/>
  <c r="D33" i="31"/>
  <c r="F4" i="29"/>
  <c r="G4" i="29" s="1"/>
  <c r="H4" i="29" s="1"/>
  <c r="I4" i="29" s="1"/>
  <c r="J4" i="29" s="1"/>
  <c r="K4" i="29" s="1"/>
  <c r="L4" i="29" s="1"/>
  <c r="M4" i="29" s="1"/>
  <c r="N4" i="29" s="1"/>
  <c r="E9" i="29"/>
  <c r="E11" i="29"/>
  <c r="E16" i="29"/>
  <c r="E66" i="29" s="1"/>
  <c r="P66" i="29" s="1"/>
  <c r="E18" i="29"/>
  <c r="E68" i="29" s="1"/>
  <c r="P68" i="29" s="1"/>
  <c r="E19" i="29"/>
  <c r="E61" i="29" s="1"/>
  <c r="P61" i="29" s="1"/>
  <c r="D55" i="28"/>
  <c r="D58" i="29"/>
  <c r="P58" i="29" s="1"/>
  <c r="D60" i="29"/>
  <c r="P60" i="29" s="1"/>
  <c r="D10" i="15"/>
  <c r="D62" i="29"/>
  <c r="P62" i="29" s="1"/>
  <c r="D63" i="29"/>
  <c r="D19" i="15"/>
  <c r="D21" i="15"/>
  <c r="D4" i="18"/>
  <c r="E4" i="18" s="1"/>
  <c r="E5" i="18"/>
  <c r="F5" i="18" s="1"/>
  <c r="G5" i="18" s="1"/>
  <c r="H5" i="18" s="1"/>
  <c r="I5" i="18" s="1"/>
  <c r="J5" i="18" s="1"/>
  <c r="K5" i="18" s="1"/>
  <c r="L5" i="18" s="1"/>
  <c r="M5" i="18" s="1"/>
  <c r="C14" i="18"/>
  <c r="C17" i="18" s="1"/>
  <c r="C22" i="18"/>
  <c r="D24" i="18"/>
  <c r="E24" i="18"/>
  <c r="C25" i="18"/>
  <c r="D28" i="18"/>
  <c r="E28" i="18" s="1"/>
  <c r="F28" i="18" s="1"/>
  <c r="D29" i="18"/>
  <c r="E29" i="18" s="1"/>
  <c r="F29" i="18" s="1"/>
  <c r="C30" i="18"/>
  <c r="C41" i="18" s="1"/>
  <c r="C33" i="18"/>
  <c r="C36" i="18" s="1"/>
  <c r="C42" i="18"/>
  <c r="D43" i="18"/>
  <c r="E43" i="18" s="1"/>
  <c r="F43" i="18" s="1"/>
  <c r="G43" i="18" s="1"/>
  <c r="C44" i="18"/>
  <c r="E48" i="18"/>
  <c r="C52" i="18"/>
  <c r="C55" i="18" s="1"/>
  <c r="D59" i="18"/>
  <c r="D62" i="18"/>
  <c r="E62" i="18" s="1"/>
  <c r="F62" i="18" s="1"/>
  <c r="G62" i="18" s="1"/>
  <c r="H62" i="18" s="1"/>
  <c r="I62" i="18" s="1"/>
  <c r="J62" i="18" s="1"/>
  <c r="K62" i="18" s="1"/>
  <c r="L62" i="18" s="1"/>
  <c r="M62" i="18" s="1"/>
  <c r="C63" i="18"/>
  <c r="D66" i="18"/>
  <c r="E66" i="18" s="1"/>
  <c r="F66" i="18"/>
  <c r="G66" i="18" s="1"/>
  <c r="D67" i="18"/>
  <c r="E67" i="18" s="1"/>
  <c r="F67" i="18"/>
  <c r="G67" i="18" s="1"/>
  <c r="C71" i="18"/>
  <c r="C74" i="18" s="1"/>
  <c r="C80" i="18" s="1"/>
  <c r="D81" i="18"/>
  <c r="E81" i="18" s="1"/>
  <c r="F81" i="18" s="1"/>
  <c r="G81" i="18" s="1"/>
  <c r="H81" i="18" s="1"/>
  <c r="I81" i="18" s="1"/>
  <c r="J81" i="18" s="1"/>
  <c r="K81" i="18" s="1"/>
  <c r="L81" i="18" s="1"/>
  <c r="M81" i="18" s="1"/>
  <c r="C82" i="18"/>
  <c r="C87" i="18" s="1"/>
  <c r="C86" i="18"/>
  <c r="D22" i="28"/>
  <c r="B96" i="18"/>
  <c r="D96" i="18"/>
  <c r="E96" i="18" s="1"/>
  <c r="F96" i="18" s="1"/>
  <c r="G96" i="18" s="1"/>
  <c r="H96" i="18" s="1"/>
  <c r="I96" i="18" s="1"/>
  <c r="J96" i="18" s="1"/>
  <c r="K96" i="18" s="1"/>
  <c r="L96" i="18" s="1"/>
  <c r="B97" i="18"/>
  <c r="D97" i="18"/>
  <c r="E97" i="18" s="1"/>
  <c r="F97" i="18" s="1"/>
  <c r="G97" i="18" s="1"/>
  <c r="H97" i="18" s="1"/>
  <c r="I97" i="18" s="1"/>
  <c r="J97" i="18" s="1"/>
  <c r="K97" i="18" s="1"/>
  <c r="L97" i="18" s="1"/>
  <c r="D105" i="18"/>
  <c r="E10" i="18" s="1"/>
  <c r="F10" i="18" s="1"/>
  <c r="G10" i="18" s="1"/>
  <c r="H10" i="18" s="1"/>
  <c r="I67" i="18"/>
  <c r="J67" i="18" s="1"/>
  <c r="L67" i="18" s="1"/>
  <c r="M67" i="18" s="1"/>
  <c r="D4" i="23"/>
  <c r="E5" i="23"/>
  <c r="F5" i="23" s="1"/>
  <c r="G5" i="23" s="1"/>
  <c r="H5" i="23" s="1"/>
  <c r="I5" i="23" s="1"/>
  <c r="J5" i="23" s="1"/>
  <c r="K5" i="23" s="1"/>
  <c r="L5" i="23" s="1"/>
  <c r="M5" i="23" s="1"/>
  <c r="D9" i="23"/>
  <c r="D10" i="23" s="1"/>
  <c r="G9" i="23"/>
  <c r="H9" i="23" s="1"/>
  <c r="C10" i="23"/>
  <c r="E10" i="23"/>
  <c r="F10" i="23"/>
  <c r="D11" i="23"/>
  <c r="B23" i="23"/>
  <c r="D23" i="23"/>
  <c r="E23" i="23" s="1"/>
  <c r="F23" i="23" s="1"/>
  <c r="G23" i="23" s="1"/>
  <c r="H23" i="23"/>
  <c r="I23" i="23" s="1"/>
  <c r="J23" i="23" s="1"/>
  <c r="K23" i="23" s="1"/>
  <c r="L23" i="23" s="1"/>
  <c r="B24" i="23"/>
  <c r="D24" i="23"/>
  <c r="E24" i="23" s="1"/>
  <c r="F24" i="23" s="1"/>
  <c r="G24" i="23" s="1"/>
  <c r="H24" i="23" s="1"/>
  <c r="I24" i="23" s="1"/>
  <c r="J24" i="23" s="1"/>
  <c r="K24" i="23" s="1"/>
  <c r="L24" i="23" s="1"/>
  <c r="D4" i="22"/>
  <c r="E5" i="22"/>
  <c r="F5" i="22" s="1"/>
  <c r="G5" i="22" s="1"/>
  <c r="H5" i="22" s="1"/>
  <c r="I5" i="22" s="1"/>
  <c r="J5" i="22" s="1"/>
  <c r="K5" i="22" s="1"/>
  <c r="L5" i="22" s="1"/>
  <c r="M5" i="22" s="1"/>
  <c r="C10" i="22"/>
  <c r="D11" i="22"/>
  <c r="G11" i="22"/>
  <c r="H11" i="22" s="1"/>
  <c r="I11" i="22" s="1"/>
  <c r="J11" i="22" s="1"/>
  <c r="K11" i="22" s="1"/>
  <c r="L11" i="22" s="1"/>
  <c r="M11" i="22" s="1"/>
  <c r="C19" i="22"/>
  <c r="D20" i="22"/>
  <c r="G20" i="22"/>
  <c r="H20" i="22" s="1"/>
  <c r="I20" i="22" s="1"/>
  <c r="J20" i="22" s="1"/>
  <c r="K20" i="22" s="1"/>
  <c r="L20" i="22" s="1"/>
  <c r="M20" i="22" s="1"/>
  <c r="D21" i="22"/>
  <c r="C28" i="22"/>
  <c r="D29" i="22"/>
  <c r="I29" i="22"/>
  <c r="J29" i="22" s="1"/>
  <c r="K29" i="22" s="1"/>
  <c r="L29" i="22" s="1"/>
  <c r="M29" i="22" s="1"/>
  <c r="D30" i="22"/>
  <c r="D36" i="22"/>
  <c r="D37" i="22" s="1"/>
  <c r="C37" i="22"/>
  <c r="C41" i="22" s="1"/>
  <c r="D38" i="22"/>
  <c r="G38" i="22"/>
  <c r="J38" i="22" s="1"/>
  <c r="K38" i="22" s="1"/>
  <c r="L38" i="22" s="1"/>
  <c r="M38" i="22" s="1"/>
  <c r="D39" i="22"/>
  <c r="D45" i="22"/>
  <c r="E45" i="22" s="1"/>
  <c r="E46" i="22" s="1"/>
  <c r="C46" i="22"/>
  <c r="C50" i="22" s="1"/>
  <c r="D46" i="22"/>
  <c r="D51" i="22" s="1"/>
  <c r="D47" i="22"/>
  <c r="H47" i="22"/>
  <c r="I47" i="22" s="1"/>
  <c r="L47" i="22" s="1"/>
  <c r="M47" i="22" s="1"/>
  <c r="D48" i="22"/>
  <c r="D54" i="22"/>
  <c r="C55" i="22"/>
  <c r="C58" i="22" s="1"/>
  <c r="D56" i="22"/>
  <c r="E56" i="22" s="1"/>
  <c r="M56" i="22"/>
  <c r="D57" i="22"/>
  <c r="D63" i="22"/>
  <c r="D64" i="22" s="1"/>
  <c r="C64" i="22"/>
  <c r="D65" i="22"/>
  <c r="E65" i="22" s="1"/>
  <c r="L65" i="22"/>
  <c r="M65" i="22" s="1"/>
  <c r="D66" i="22"/>
  <c r="D72" i="22"/>
  <c r="E72" i="22" s="1"/>
  <c r="E73" i="22" s="1"/>
  <c r="C73" i="22"/>
  <c r="C76" i="22" s="1"/>
  <c r="D74" i="22"/>
  <c r="E74" i="22" s="1"/>
  <c r="I74" i="22"/>
  <c r="J74" i="22" s="1"/>
  <c r="K74" i="22" s="1"/>
  <c r="D75" i="22"/>
  <c r="D81" i="22"/>
  <c r="D82" i="22" s="1"/>
  <c r="G81" i="22"/>
  <c r="G82" i="22" s="1"/>
  <c r="H82" i="22"/>
  <c r="C82" i="22"/>
  <c r="C87" i="22" s="1"/>
  <c r="D83" i="22"/>
  <c r="E83" i="22" s="1"/>
  <c r="F83" i="22" s="1"/>
  <c r="G83" i="22" s="1"/>
  <c r="M83" i="22"/>
  <c r="D84" i="22"/>
  <c r="C86" i="22"/>
  <c r="D90" i="22"/>
  <c r="D91" i="22" s="1"/>
  <c r="G90" i="22"/>
  <c r="G91" i="22" s="1"/>
  <c r="H91" i="22"/>
  <c r="C91" i="22"/>
  <c r="C94" i="22" s="1"/>
  <c r="D92" i="22"/>
  <c r="E92" i="22" s="1"/>
  <c r="F92" i="22" s="1"/>
  <c r="G92" i="22" s="1"/>
  <c r="D93" i="22"/>
  <c r="D105" i="22"/>
  <c r="B112" i="22"/>
  <c r="D112" i="22"/>
  <c r="E112" i="22" s="1"/>
  <c r="F112" i="22" s="1"/>
  <c r="G112" i="22" s="1"/>
  <c r="H112" i="22" s="1"/>
  <c r="I112" i="22" s="1"/>
  <c r="J112" i="22" s="1"/>
  <c r="K112" i="22" s="1"/>
  <c r="L112" i="22" s="1"/>
  <c r="B113" i="22"/>
  <c r="D113" i="22"/>
  <c r="E113" i="22" s="1"/>
  <c r="F113" i="22" s="1"/>
  <c r="G113" i="22" s="1"/>
  <c r="H113" i="22" s="1"/>
  <c r="I113" i="22" s="1"/>
  <c r="J113" i="22" s="1"/>
  <c r="K113" i="22" s="1"/>
  <c r="L113" i="22" s="1"/>
  <c r="D122" i="22"/>
  <c r="D123" i="22"/>
  <c r="G46" i="22"/>
  <c r="D126" i="22"/>
  <c r="F63" i="22"/>
  <c r="G63" i="22" s="1"/>
  <c r="D128" i="22"/>
  <c r="D129" i="22"/>
  <c r="D130" i="22"/>
  <c r="D4" i="20"/>
  <c r="D30" i="20" s="1"/>
  <c r="E5" i="20"/>
  <c r="F5" i="20" s="1"/>
  <c r="G5" i="20" s="1"/>
  <c r="H5" i="20" s="1"/>
  <c r="I5" i="20" s="1"/>
  <c r="J5" i="20" s="1"/>
  <c r="K5" i="20" s="1"/>
  <c r="L5" i="20" s="1"/>
  <c r="M5" i="20" s="1"/>
  <c r="F11" i="20"/>
  <c r="G11" i="20" s="1"/>
  <c r="H11" i="20" s="1"/>
  <c r="I11" i="20" s="1"/>
  <c r="J11" i="20" s="1"/>
  <c r="K11" i="20" s="1"/>
  <c r="L11" i="20" s="1"/>
  <c r="M11" i="20" s="1"/>
  <c r="E18" i="20"/>
  <c r="F18" i="20" s="1"/>
  <c r="G18" i="20" s="1"/>
  <c r="H18" i="20" s="1"/>
  <c r="I18" i="20" s="1"/>
  <c r="J18" i="20" s="1"/>
  <c r="K18" i="20" s="1"/>
  <c r="L18" i="20" s="1"/>
  <c r="M18" i="20" s="1"/>
  <c r="D24" i="20"/>
  <c r="D20" i="20"/>
  <c r="D23" i="20" s="1"/>
  <c r="H20" i="20"/>
  <c r="I20" i="20" s="1"/>
  <c r="J20" i="20" s="1"/>
  <c r="K20" i="20" s="1"/>
  <c r="L20" i="20" s="1"/>
  <c r="M20" i="20" s="1"/>
  <c r="C22" i="20"/>
  <c r="C23" i="20"/>
  <c r="C24" i="20"/>
  <c r="D27" i="20"/>
  <c r="E27" i="20" s="1"/>
  <c r="D28" i="20"/>
  <c r="E28" i="20" s="1"/>
  <c r="D29" i="20"/>
  <c r="I29" i="20"/>
  <c r="J29" i="20" s="1"/>
  <c r="K29" i="20" s="1"/>
  <c r="L29" i="20" s="1"/>
  <c r="M29" i="20" s="1"/>
  <c r="C31" i="20"/>
  <c r="C32" i="20"/>
  <c r="C33" i="20"/>
  <c r="B46" i="20"/>
  <c r="D46" i="20"/>
  <c r="E46" i="20" s="1"/>
  <c r="F46" i="20" s="1"/>
  <c r="G46" i="20" s="1"/>
  <c r="H46" i="20" s="1"/>
  <c r="I46" i="20" s="1"/>
  <c r="J46" i="20" s="1"/>
  <c r="K46" i="20" s="1"/>
  <c r="L46" i="20" s="1"/>
  <c r="B47" i="20"/>
  <c r="D47" i="20"/>
  <c r="E47" i="20" s="1"/>
  <c r="F47" i="20" s="1"/>
  <c r="G47" i="20" s="1"/>
  <c r="H47" i="20" s="1"/>
  <c r="I47" i="20" s="1"/>
  <c r="J47" i="20" s="1"/>
  <c r="K47" i="20" s="1"/>
  <c r="L47" i="20" s="1"/>
  <c r="D55" i="20"/>
  <c r="F27" i="20"/>
  <c r="F28" i="20" s="1"/>
  <c r="D4" i="26"/>
  <c r="E5" i="26"/>
  <c r="F5" i="26" s="1"/>
  <c r="G5" i="26" s="1"/>
  <c r="H5" i="26" s="1"/>
  <c r="I5" i="26" s="1"/>
  <c r="J5" i="26" s="1"/>
  <c r="K5" i="26" s="1"/>
  <c r="L5" i="26" s="1"/>
  <c r="M5" i="26" s="1"/>
  <c r="H15" i="26"/>
  <c r="I15" i="26" s="1"/>
  <c r="C24" i="26"/>
  <c r="C34" i="26" s="1"/>
  <c r="E25" i="26"/>
  <c r="F25" i="26" s="1"/>
  <c r="J25" i="26"/>
  <c r="E35" i="26"/>
  <c r="F35" i="26" s="1"/>
  <c r="G35" i="26" s="1"/>
  <c r="C38" i="26"/>
  <c r="C39" i="26" s="1"/>
  <c r="B47" i="26"/>
  <c r="D47" i="26"/>
  <c r="E47" i="26" s="1"/>
  <c r="F47" i="26" s="1"/>
  <c r="G47" i="26" s="1"/>
  <c r="H47" i="26" s="1"/>
  <c r="I47" i="26" s="1"/>
  <c r="J47" i="26" s="1"/>
  <c r="K47" i="26" s="1"/>
  <c r="L47" i="26" s="1"/>
  <c r="B48" i="26"/>
  <c r="D48" i="26"/>
  <c r="E48" i="26" s="1"/>
  <c r="F48" i="26" s="1"/>
  <c r="G48" i="26" s="1"/>
  <c r="H48" i="26" s="1"/>
  <c r="I48" i="26" s="1"/>
  <c r="J48" i="26" s="1"/>
  <c r="K48" i="26" s="1"/>
  <c r="L48" i="26" s="1"/>
  <c r="D11" i="26"/>
  <c r="D31" i="26"/>
  <c r="D4" i="19"/>
  <c r="D14" i="19" s="1"/>
  <c r="D17" i="19" s="1"/>
  <c r="E5" i="19"/>
  <c r="F5" i="19" s="1"/>
  <c r="G5" i="19" s="1"/>
  <c r="H5" i="19" s="1"/>
  <c r="I5" i="19" s="1"/>
  <c r="J5" i="19" s="1"/>
  <c r="K5" i="19" s="1"/>
  <c r="L5" i="19" s="1"/>
  <c r="M5" i="19" s="1"/>
  <c r="E10" i="19"/>
  <c r="L10" i="19"/>
  <c r="D11" i="19"/>
  <c r="B18" i="19"/>
  <c r="B19" i="19"/>
  <c r="D4" i="14"/>
  <c r="E4" i="14" s="1"/>
  <c r="E5" i="14"/>
  <c r="F5" i="14" s="1"/>
  <c r="G5" i="14" s="1"/>
  <c r="H5" i="14" s="1"/>
  <c r="I5" i="14" s="1"/>
  <c r="J5" i="14" s="1"/>
  <c r="K5" i="14" s="1"/>
  <c r="L5" i="14" s="1"/>
  <c r="M5" i="14" s="1"/>
  <c r="I17" i="14"/>
  <c r="J17" i="14" s="1"/>
  <c r="K17" i="14" s="1"/>
  <c r="L17" i="14" s="1"/>
  <c r="M17" i="14" s="1"/>
  <c r="C28" i="14"/>
  <c r="C40" i="14" s="1"/>
  <c r="C52" i="14" s="1"/>
  <c r="C64" i="14" s="1"/>
  <c r="E29" i="14"/>
  <c r="F29" i="14" s="1"/>
  <c r="K29" i="14"/>
  <c r="L29" i="14" s="1"/>
  <c r="M29" i="14" s="1"/>
  <c r="D39" i="14"/>
  <c r="E41" i="14"/>
  <c r="F41" i="14" s="1"/>
  <c r="G41" i="14" s="1"/>
  <c r="L41" i="14"/>
  <c r="M41" i="14" s="1"/>
  <c r="D51" i="14"/>
  <c r="E53" i="14"/>
  <c r="F53" i="14" s="1"/>
  <c r="G53" i="14" s="1"/>
  <c r="E65" i="14"/>
  <c r="F65" i="14" s="1"/>
  <c r="G65" i="14" s="1"/>
  <c r="H65" i="14" s="1"/>
  <c r="C69" i="14"/>
  <c r="C70" i="14" s="1"/>
  <c r="B79" i="14"/>
  <c r="D79" i="14"/>
  <c r="E79" i="14" s="1"/>
  <c r="F79" i="14" s="1"/>
  <c r="G79" i="14" s="1"/>
  <c r="H79" i="14" s="1"/>
  <c r="I79" i="14" s="1"/>
  <c r="J79" i="14" s="1"/>
  <c r="K79" i="14" s="1"/>
  <c r="L79" i="14" s="1"/>
  <c r="B80" i="14"/>
  <c r="D80" i="14"/>
  <c r="E80" i="14" s="1"/>
  <c r="F80" i="14" s="1"/>
  <c r="G80" i="14" s="1"/>
  <c r="H80" i="14" s="1"/>
  <c r="I80" i="14" s="1"/>
  <c r="J80" i="14" s="1"/>
  <c r="K80" i="14" s="1"/>
  <c r="L80" i="14" s="1"/>
  <c r="D60" i="14"/>
  <c r="E4" i="15"/>
  <c r="F5" i="15"/>
  <c r="G5" i="15" s="1"/>
  <c r="H5" i="15" s="1"/>
  <c r="I5" i="15" s="1"/>
  <c r="J5" i="15" s="1"/>
  <c r="K5" i="15" s="1"/>
  <c r="L5" i="15" s="1"/>
  <c r="M5" i="15" s="1"/>
  <c r="N5" i="15" s="1"/>
  <c r="G13" i="15"/>
  <c r="H13" i="15" s="1"/>
  <c r="I13" i="15" s="1"/>
  <c r="J13" i="15" s="1"/>
  <c r="K13" i="15" s="1"/>
  <c r="L13" i="15" s="1"/>
  <c r="M13" i="15" s="1"/>
  <c r="N13" i="15" s="1"/>
  <c r="F64" i="22"/>
  <c r="E64" i="22"/>
  <c r="I66" i="18"/>
  <c r="J14" i="14" l="1"/>
  <c r="J51" i="28"/>
  <c r="E56" i="29"/>
  <c r="P56" i="29" s="1"/>
  <c r="M38" i="14"/>
  <c r="F17" i="36"/>
  <c r="F19" i="36" s="1"/>
  <c r="D25" i="28" s="1"/>
  <c r="D18" i="15"/>
  <c r="P63" i="29"/>
  <c r="M10" i="19"/>
  <c r="C22" i="19"/>
  <c r="C24" i="19" s="1"/>
  <c r="D16" i="28" s="1"/>
  <c r="C73" i="14"/>
  <c r="D73" i="14" s="1"/>
  <c r="C40" i="20"/>
  <c r="C104" i="22"/>
  <c r="D104" i="22" s="1"/>
  <c r="E11" i="31"/>
  <c r="E10" i="31"/>
  <c r="C17" i="23"/>
  <c r="C19" i="23" s="1"/>
  <c r="C20" i="23" s="1"/>
  <c r="F4" i="14"/>
  <c r="E73" i="14"/>
  <c r="D12" i="15"/>
  <c r="D17" i="15"/>
  <c r="D22" i="15" s="1"/>
  <c r="C114" i="22"/>
  <c r="D9" i="15"/>
  <c r="L24" i="47"/>
  <c r="M11" i="28"/>
  <c r="G10" i="23"/>
  <c r="C77" i="22"/>
  <c r="C40" i="22"/>
  <c r="C49" i="22"/>
  <c r="E4" i="22"/>
  <c r="E12" i="22" s="1"/>
  <c r="E68" i="22"/>
  <c r="C42" i="22"/>
  <c r="C25" i="19"/>
  <c r="C28" i="19" s="1"/>
  <c r="E19" i="15"/>
  <c r="E10" i="15"/>
  <c r="E16" i="15"/>
  <c r="E17" i="15"/>
  <c r="E12" i="15"/>
  <c r="E20" i="15"/>
  <c r="E9" i="15"/>
  <c r="E11" i="15"/>
  <c r="E21" i="15"/>
  <c r="E18" i="15"/>
  <c r="M16" i="47"/>
  <c r="M17" i="47" s="1"/>
  <c r="C61" i="18"/>
  <c r="D21" i="18"/>
  <c r="C23" i="18"/>
  <c r="C85" i="18" s="1"/>
  <c r="E55" i="29"/>
  <c r="P55" i="29" s="1"/>
  <c r="E54" i="28"/>
  <c r="F48" i="14"/>
  <c r="C18" i="19"/>
  <c r="E36" i="14"/>
  <c r="D16" i="14"/>
  <c r="D28" i="14" s="1"/>
  <c r="D40" i="14" s="1"/>
  <c r="D52" i="14" s="1"/>
  <c r="D64" i="14" s="1"/>
  <c r="C96" i="22"/>
  <c r="F72" i="22"/>
  <c r="F73" i="22" s="1"/>
  <c r="C59" i="22"/>
  <c r="C95" i="22"/>
  <c r="C51" i="22"/>
  <c r="C85" i="22"/>
  <c r="C78" i="22"/>
  <c r="D12" i="22"/>
  <c r="M24" i="14"/>
  <c r="I29" i="18"/>
  <c r="J29" i="18" s="1"/>
  <c r="K29" i="18" s="1"/>
  <c r="L29" i="18" s="1"/>
  <c r="M29" i="18" s="1"/>
  <c r="D10" i="18"/>
  <c r="D25" i="18" s="1"/>
  <c r="D125" i="22"/>
  <c r="F46" i="22"/>
  <c r="N53" i="28"/>
  <c r="C106" i="18"/>
  <c r="H28" i="18" s="1"/>
  <c r="K36" i="14"/>
  <c r="G21" i="26"/>
  <c r="D20" i="26"/>
  <c r="J36" i="14"/>
  <c r="L36" i="14"/>
  <c r="D36" i="14"/>
  <c r="G27" i="20"/>
  <c r="H27" i="20" s="1"/>
  <c r="I27" i="20" s="1"/>
  <c r="J27" i="20" s="1"/>
  <c r="K27" i="20" s="1"/>
  <c r="L27" i="20" s="1"/>
  <c r="M27" i="20" s="1"/>
  <c r="D35" i="14"/>
  <c r="D48" i="14"/>
  <c r="J45" i="22"/>
  <c r="K45" i="22" s="1"/>
  <c r="C105" i="18"/>
  <c r="J31" i="26"/>
  <c r="I24" i="14"/>
  <c r="I36" i="14"/>
  <c r="J53" i="28"/>
  <c r="E37" i="22"/>
  <c r="H24" i="14"/>
  <c r="C55" i="28"/>
  <c r="F31" i="26"/>
  <c r="H36" i="14"/>
  <c r="E31" i="26"/>
  <c r="G24" i="14"/>
  <c r="G36" i="14"/>
  <c r="H53" i="28"/>
  <c r="H11" i="26"/>
  <c r="E24" i="14"/>
  <c r="F36" i="14"/>
  <c r="F11" i="26"/>
  <c r="G19" i="20"/>
  <c r="H19" i="20" s="1"/>
  <c r="I19" i="20" s="1"/>
  <c r="J19" i="20" s="1"/>
  <c r="K19" i="20" s="1"/>
  <c r="M36" i="14"/>
  <c r="D10" i="26"/>
  <c r="D124" i="22"/>
  <c r="D59" i="14"/>
  <c r="M60" i="14"/>
  <c r="L60" i="14"/>
  <c r="J60" i="14"/>
  <c r="F60" i="14"/>
  <c r="E60" i="14"/>
  <c r="K60" i="14"/>
  <c r="M48" i="14"/>
  <c r="E48" i="14"/>
  <c r="G51" i="14"/>
  <c r="D47" i="14"/>
  <c r="L48" i="14"/>
  <c r="K51" i="14"/>
  <c r="K48" i="14"/>
  <c r="J48" i="14"/>
  <c r="C52" i="28"/>
  <c r="C45" i="28"/>
  <c r="E13" i="31"/>
  <c r="E29" i="31"/>
  <c r="E21" i="31"/>
  <c r="E27" i="31"/>
  <c r="E25" i="31"/>
  <c r="E24" i="31"/>
  <c r="E9" i="31"/>
  <c r="L53" i="28"/>
  <c r="M53" i="28"/>
  <c r="C53" i="28"/>
  <c r="K53" i="28"/>
  <c r="D57" i="20"/>
  <c r="D56" i="20"/>
  <c r="C54" i="28"/>
  <c r="J11" i="26"/>
  <c r="I21" i="26"/>
  <c r="J24" i="14"/>
  <c r="D23" i="14"/>
  <c r="K24" i="14"/>
  <c r="D24" i="14"/>
  <c r="L24" i="14"/>
  <c r="F24" i="14"/>
  <c r="E13" i="19"/>
  <c r="C51" i="28"/>
  <c r="J12" i="14"/>
  <c r="G31" i="26"/>
  <c r="H31" i="26"/>
  <c r="I31" i="26"/>
  <c r="D30" i="26"/>
  <c r="E4" i="20"/>
  <c r="E30" i="20" s="1"/>
  <c r="D21" i="20"/>
  <c r="D22" i="20" s="1"/>
  <c r="H63" i="22"/>
  <c r="G64" i="22"/>
  <c r="D121" i="22"/>
  <c r="G28" i="20"/>
  <c r="H28" i="20" s="1"/>
  <c r="I28" i="20" s="1"/>
  <c r="J28" i="20" s="1"/>
  <c r="K28" i="20" s="1"/>
  <c r="G60" i="14"/>
  <c r="D13" i="19"/>
  <c r="E24" i="20"/>
  <c r="D68" i="22"/>
  <c r="D63" i="18"/>
  <c r="F24" i="18"/>
  <c r="E86" i="18"/>
  <c r="D21" i="26"/>
  <c r="L21" i="26"/>
  <c r="E21" i="26"/>
  <c r="M21" i="26"/>
  <c r="F21" i="26"/>
  <c r="H21" i="26"/>
  <c r="C22" i="22"/>
  <c r="C23" i="22"/>
  <c r="C24" i="22"/>
  <c r="E53" i="28"/>
  <c r="E39" i="14"/>
  <c r="I65" i="14"/>
  <c r="I60" i="14" s="1"/>
  <c r="H60" i="14"/>
  <c r="E4" i="26"/>
  <c r="D14" i="26"/>
  <c r="C67" i="22"/>
  <c r="C68" i="22"/>
  <c r="C31" i="22"/>
  <c r="C32" i="22"/>
  <c r="C33" i="22"/>
  <c r="D86" i="18"/>
  <c r="F48" i="18"/>
  <c r="G48" i="18" s="1"/>
  <c r="H48" i="18" s="1"/>
  <c r="I48" i="18" s="1"/>
  <c r="J48" i="18" s="1"/>
  <c r="K48" i="18" s="1"/>
  <c r="L48" i="18" s="1"/>
  <c r="M48" i="18" s="1"/>
  <c r="C107" i="18"/>
  <c r="F37" i="22"/>
  <c r="E54" i="22"/>
  <c r="E55" i="22" s="1"/>
  <c r="E59" i="22" s="1"/>
  <c r="D55" i="22"/>
  <c r="K21" i="26"/>
  <c r="J21" i="26"/>
  <c r="G13" i="19"/>
  <c r="K31" i="26"/>
  <c r="I53" i="28"/>
  <c r="C69" i="22"/>
  <c r="C13" i="22"/>
  <c r="C14" i="22"/>
  <c r="C15" i="22"/>
  <c r="C58" i="28"/>
  <c r="C49" i="18"/>
  <c r="G53" i="28"/>
  <c r="E22" i="31"/>
  <c r="E15" i="31"/>
  <c r="D22" i="19"/>
  <c r="E4" i="19"/>
  <c r="E22" i="19" s="1"/>
  <c r="E24" i="19" s="1"/>
  <c r="E25" i="19" s="1"/>
  <c r="D33" i="20"/>
  <c r="E104" i="22"/>
  <c r="E4" i="23"/>
  <c r="E11" i="23" s="1"/>
  <c r="D90" i="18"/>
  <c r="D92" i="18" s="1"/>
  <c r="D93" i="18" s="1"/>
  <c r="E28" i="31"/>
  <c r="E14" i="31"/>
  <c r="E6" i="31"/>
  <c r="C19" i="19"/>
  <c r="D32" i="20"/>
  <c r="C60" i="22"/>
  <c r="D58" i="18"/>
  <c r="D40" i="18"/>
  <c r="D44" i="18" s="1"/>
  <c r="D20" i="18"/>
  <c r="D69" i="29"/>
  <c r="E20" i="31"/>
  <c r="E5" i="31"/>
  <c r="C13" i="23"/>
  <c r="C14" i="23" s="1"/>
  <c r="D78" i="18"/>
  <c r="D82" i="18" s="1"/>
  <c r="D39" i="18"/>
  <c r="D42" i="18" s="1"/>
  <c r="C98" i="18"/>
  <c r="F13" i="19"/>
  <c r="D77" i="18"/>
  <c r="D11" i="18"/>
  <c r="D30" i="18" s="1"/>
  <c r="D49" i="18" s="1"/>
  <c r="E33" i="31"/>
  <c r="E23" i="31"/>
  <c r="E12" i="31"/>
  <c r="J66" i="18"/>
  <c r="I10" i="18"/>
  <c r="E69" i="22"/>
  <c r="H53" i="14"/>
  <c r="G48" i="14"/>
  <c r="D5" i="28"/>
  <c r="C78" i="14"/>
  <c r="E63" i="14"/>
  <c r="I63" i="14"/>
  <c r="M63" i="14"/>
  <c r="G63" i="14"/>
  <c r="K63" i="14"/>
  <c r="D63" i="14"/>
  <c r="H63" i="14"/>
  <c r="L63" i="14"/>
  <c r="G39" i="14"/>
  <c r="K39" i="14"/>
  <c r="I39" i="14"/>
  <c r="M39" i="14"/>
  <c r="F39" i="14"/>
  <c r="J39" i="14"/>
  <c r="E16" i="14"/>
  <c r="I11" i="26"/>
  <c r="E11" i="26"/>
  <c r="C46" i="28"/>
  <c r="J63" i="14"/>
  <c r="L39" i="14"/>
  <c r="F63" i="14"/>
  <c r="F51" i="14"/>
  <c r="J51" i="14"/>
  <c r="H51" i="14"/>
  <c r="L51" i="14"/>
  <c r="E51" i="14"/>
  <c r="I51" i="14"/>
  <c r="M51" i="14"/>
  <c r="H39" i="14"/>
  <c r="D18" i="19"/>
  <c r="D19" i="19"/>
  <c r="D7" i="28"/>
  <c r="C46" i="26"/>
  <c r="G11" i="26"/>
  <c r="E11" i="19"/>
  <c r="D127" i="22"/>
  <c r="F10" i="19"/>
  <c r="E29" i="20"/>
  <c r="E32" i="20" s="1"/>
  <c r="D86" i="22"/>
  <c r="D85" i="22"/>
  <c r="D87" i="22"/>
  <c r="F4" i="15"/>
  <c r="E33" i="20"/>
  <c r="D95" i="22"/>
  <c r="D94" i="22"/>
  <c r="D96" i="22"/>
  <c r="F74" i="22"/>
  <c r="G74" i="22" s="1"/>
  <c r="E77" i="22"/>
  <c r="E93" i="22"/>
  <c r="E84" i="22"/>
  <c r="D73" i="22"/>
  <c r="D69" i="22"/>
  <c r="D59" i="22"/>
  <c r="E18" i="22"/>
  <c r="D19" i="22"/>
  <c r="I90" i="22"/>
  <c r="E90" i="22"/>
  <c r="I81" i="22"/>
  <c r="E81" i="22"/>
  <c r="E47" i="22"/>
  <c r="D50" i="22"/>
  <c r="D40" i="22"/>
  <c r="D42" i="22"/>
  <c r="D28" i="22"/>
  <c r="D49" i="22"/>
  <c r="F4" i="22"/>
  <c r="E66" i="22"/>
  <c r="E67" i="22" s="1"/>
  <c r="E75" i="22"/>
  <c r="E76" i="22" s="1"/>
  <c r="E48" i="22"/>
  <c r="E21" i="22"/>
  <c r="E30" i="22"/>
  <c r="D31" i="20"/>
  <c r="D12" i="20"/>
  <c r="D67" i="22"/>
  <c r="D41" i="22"/>
  <c r="E39" i="22"/>
  <c r="H43" i="18"/>
  <c r="I9" i="23"/>
  <c r="H10" i="23"/>
  <c r="F4" i="23"/>
  <c r="F4" i="18"/>
  <c r="E11" i="18"/>
  <c r="E20" i="18"/>
  <c r="E21" i="18"/>
  <c r="E25" i="18" s="1"/>
  <c r="E40" i="18"/>
  <c r="E59" i="18"/>
  <c r="E63" i="18" s="1"/>
  <c r="E39" i="18"/>
  <c r="E42" i="18" s="1"/>
  <c r="E78" i="18"/>
  <c r="E82" i="18" s="1"/>
  <c r="E77" i="18"/>
  <c r="E80" i="18" s="1"/>
  <c r="E90" i="18"/>
  <c r="E92" i="18" s="1"/>
  <c r="E93" i="18" s="1"/>
  <c r="E58" i="18"/>
  <c r="D80" i="18"/>
  <c r="E44" i="18"/>
  <c r="E19" i="37"/>
  <c r="D32" i="37"/>
  <c r="L42" i="34"/>
  <c r="J45" i="34"/>
  <c r="K95" i="34"/>
  <c r="K76" i="34"/>
  <c r="K48" i="34"/>
  <c r="K14" i="14" l="1"/>
  <c r="K51" i="28"/>
  <c r="K60" i="28" s="1"/>
  <c r="C100" i="22"/>
  <c r="B7" i="37"/>
  <c r="M7" i="37" s="1"/>
  <c r="F73" i="28"/>
  <c r="C5" i="38" s="1"/>
  <c r="E22" i="15"/>
  <c r="F11" i="19"/>
  <c r="C42" i="20"/>
  <c r="D40" i="20"/>
  <c r="D42" i="20" s="1"/>
  <c r="D43" i="20" s="1"/>
  <c r="D48" i="20" s="1"/>
  <c r="C41" i="26"/>
  <c r="C43" i="26" s="1"/>
  <c r="C44" i="26" s="1"/>
  <c r="C49" i="26" s="1"/>
  <c r="C50" i="26" s="1"/>
  <c r="C72" i="14"/>
  <c r="D106" i="22"/>
  <c r="C103" i="22"/>
  <c r="F73" i="14"/>
  <c r="D17" i="23"/>
  <c r="D19" i="23" s="1"/>
  <c r="D20" i="23" s="1"/>
  <c r="E17" i="23"/>
  <c r="E19" i="23" s="1"/>
  <c r="E20" i="23" s="1"/>
  <c r="F16" i="14"/>
  <c r="G4" i="14"/>
  <c r="G73" i="14" s="1"/>
  <c r="D37" i="26"/>
  <c r="D38" i="26" s="1"/>
  <c r="D39" i="26" s="1"/>
  <c r="E7" i="28" s="1"/>
  <c r="D14" i="15"/>
  <c r="D23" i="15" s="1"/>
  <c r="M24" i="47"/>
  <c r="M25" i="47" s="1"/>
  <c r="M26" i="47" s="1"/>
  <c r="N11" i="28"/>
  <c r="F47" i="18"/>
  <c r="G47" i="18" s="1"/>
  <c r="H47" i="18" s="1"/>
  <c r="D47" i="18"/>
  <c r="E47" i="18" s="1"/>
  <c r="E61" i="18" s="1"/>
  <c r="E106" i="22"/>
  <c r="E51" i="22"/>
  <c r="C98" i="22"/>
  <c r="C99" i="22"/>
  <c r="E105" i="22"/>
  <c r="E57" i="22"/>
  <c r="E58" i="22" s="1"/>
  <c r="E60" i="22"/>
  <c r="E78" i="22"/>
  <c r="C20" i="19"/>
  <c r="D6" i="28" s="1"/>
  <c r="E14" i="15"/>
  <c r="F19" i="15"/>
  <c r="F10" i="15"/>
  <c r="E28" i="19" s="1"/>
  <c r="F16" i="15"/>
  <c r="F17" i="15"/>
  <c r="F12" i="15"/>
  <c r="F20" i="15"/>
  <c r="F9" i="15"/>
  <c r="F11" i="15"/>
  <c r="F18" i="15"/>
  <c r="F21" i="15"/>
  <c r="C25" i="23"/>
  <c r="D20" i="28"/>
  <c r="E35" i="14"/>
  <c r="F35" i="14" s="1"/>
  <c r="F78" i="22"/>
  <c r="F106" i="22"/>
  <c r="E30" i="26"/>
  <c r="F30" i="26" s="1"/>
  <c r="G30" i="26" s="1"/>
  <c r="E9" i="18"/>
  <c r="F9" i="18" s="1"/>
  <c r="G9" i="18" s="1"/>
  <c r="H9" i="18" s="1"/>
  <c r="I9" i="18" s="1"/>
  <c r="D9" i="18"/>
  <c r="I28" i="18"/>
  <c r="J28" i="18" s="1"/>
  <c r="K28" i="18" s="1"/>
  <c r="D87" i="18"/>
  <c r="D24" i="19"/>
  <c r="E20" i="26"/>
  <c r="F20" i="26" s="1"/>
  <c r="G20" i="26" s="1"/>
  <c r="J46" i="22"/>
  <c r="E59" i="14"/>
  <c r="F59" i="14" s="1"/>
  <c r="G59" i="14" s="1"/>
  <c r="H59" i="14" s="1"/>
  <c r="E47" i="14"/>
  <c r="F47" i="14" s="1"/>
  <c r="I46" i="22"/>
  <c r="E23" i="14"/>
  <c r="F23" i="14" s="1"/>
  <c r="H46" i="22"/>
  <c r="C48" i="28"/>
  <c r="E40" i="22"/>
  <c r="E41" i="22"/>
  <c r="E42" i="22"/>
  <c r="E69" i="29"/>
  <c r="I10" i="19"/>
  <c r="D11" i="14"/>
  <c r="L12" i="14"/>
  <c r="I60" i="28"/>
  <c r="F12" i="14"/>
  <c r="F68" i="14" s="1"/>
  <c r="H10" i="19"/>
  <c r="H13" i="19"/>
  <c r="I13" i="19"/>
  <c r="L13" i="19"/>
  <c r="M13" i="19"/>
  <c r="K13" i="19"/>
  <c r="E60" i="28"/>
  <c r="J13" i="19"/>
  <c r="D20" i="19"/>
  <c r="E6" i="28" s="1"/>
  <c r="L45" i="22"/>
  <c r="K46" i="22"/>
  <c r="F69" i="29"/>
  <c r="G60" i="28"/>
  <c r="D54" i="28"/>
  <c r="D60" i="28" s="1"/>
  <c r="C10" i="20"/>
  <c r="D9" i="20"/>
  <c r="F9" i="20" s="1"/>
  <c r="G9" i="20" s="1"/>
  <c r="H9" i="20" s="1"/>
  <c r="I9" i="20" s="1"/>
  <c r="J9" i="20" s="1"/>
  <c r="K9" i="20" s="1"/>
  <c r="L9" i="20" s="1"/>
  <c r="M9" i="20" s="1"/>
  <c r="E13" i="23"/>
  <c r="E14" i="23" s="1"/>
  <c r="E15" i="23" s="1"/>
  <c r="D13" i="23"/>
  <c r="K9" i="34"/>
  <c r="L9" i="34" s="1"/>
  <c r="K14" i="34"/>
  <c r="L14" i="34" s="1"/>
  <c r="L41" i="34"/>
  <c r="J108" i="34"/>
  <c r="C60" i="18"/>
  <c r="C68" i="18"/>
  <c r="C79" i="18" s="1"/>
  <c r="E98" i="18"/>
  <c r="D68" i="18"/>
  <c r="D79" i="18" s="1"/>
  <c r="F53" i="28"/>
  <c r="F60" i="28" s="1"/>
  <c r="D24" i="26"/>
  <c r="D34" i="26" s="1"/>
  <c r="H60" i="28"/>
  <c r="J60" i="28"/>
  <c r="C15" i="23"/>
  <c r="G37" i="22"/>
  <c r="F4" i="26"/>
  <c r="E14" i="26"/>
  <c r="M15" i="26"/>
  <c r="M11" i="26" s="1"/>
  <c r="L11" i="26"/>
  <c r="G24" i="18"/>
  <c r="F86" i="18"/>
  <c r="D41" i="18"/>
  <c r="F4" i="19"/>
  <c r="E14" i="19"/>
  <c r="E17" i="19" s="1"/>
  <c r="D58" i="22"/>
  <c r="D60" i="22"/>
  <c r="I63" i="22"/>
  <c r="H64" i="22"/>
  <c r="H12" i="14"/>
  <c r="M12" i="14"/>
  <c r="C44" i="28"/>
  <c r="E12" i="14"/>
  <c r="E68" i="14" s="1"/>
  <c r="I12" i="14"/>
  <c r="K12" i="14"/>
  <c r="D12" i="14"/>
  <c r="G12" i="14"/>
  <c r="K11" i="26"/>
  <c r="E22" i="28"/>
  <c r="D98" i="18"/>
  <c r="M31" i="26"/>
  <c r="L31" i="26"/>
  <c r="E9" i="22"/>
  <c r="D10" i="22"/>
  <c r="E21" i="20"/>
  <c r="E22" i="20" s="1"/>
  <c r="F4" i="20"/>
  <c r="F30" i="20" s="1"/>
  <c r="E31" i="20"/>
  <c r="E12" i="20"/>
  <c r="E40" i="20"/>
  <c r="E87" i="18"/>
  <c r="F11" i="23"/>
  <c r="F13" i="23" s="1"/>
  <c r="G4" i="23"/>
  <c r="F17" i="23"/>
  <c r="F19" i="23" s="1"/>
  <c r="F20" i="23" s="1"/>
  <c r="D32" i="22"/>
  <c r="D33" i="22"/>
  <c r="D31" i="22"/>
  <c r="E49" i="22"/>
  <c r="E91" i="22"/>
  <c r="F90" i="22"/>
  <c r="F91" i="22" s="1"/>
  <c r="H72" i="22"/>
  <c r="H73" i="22" s="1"/>
  <c r="I91" i="22"/>
  <c r="J90" i="22"/>
  <c r="D23" i="22"/>
  <c r="D24" i="22"/>
  <c r="D22" i="22"/>
  <c r="E23" i="20"/>
  <c r="G4" i="15"/>
  <c r="F77" i="22"/>
  <c r="E28" i="14"/>
  <c r="E40" i="14" s="1"/>
  <c r="E52" i="14" s="1"/>
  <c r="E64" i="14" s="1"/>
  <c r="I53" i="14"/>
  <c r="I48" i="14" s="1"/>
  <c r="H48" i="14"/>
  <c r="L19" i="20"/>
  <c r="L28" i="20"/>
  <c r="F22" i="28"/>
  <c r="E30" i="18"/>
  <c r="F12" i="22"/>
  <c r="G4" i="22"/>
  <c r="G106" i="22" s="1"/>
  <c r="F21" i="22"/>
  <c r="F30" i="22"/>
  <c r="F39" i="22"/>
  <c r="F40" i="22" s="1"/>
  <c r="F48" i="22"/>
  <c r="F49" i="22" s="1"/>
  <c r="F84" i="22"/>
  <c r="F93" i="22"/>
  <c r="F66" i="22"/>
  <c r="F67" i="22" s="1"/>
  <c r="F75" i="22"/>
  <c r="F76" i="22" s="1"/>
  <c r="F57" i="22"/>
  <c r="F103" i="22"/>
  <c r="F105" i="22"/>
  <c r="F104" i="22"/>
  <c r="F68" i="22"/>
  <c r="F51" i="22"/>
  <c r="F41" i="22"/>
  <c r="F50" i="22"/>
  <c r="F69" i="22"/>
  <c r="E82" i="22"/>
  <c r="F81" i="22"/>
  <c r="F82" i="22" s="1"/>
  <c r="F18" i="22"/>
  <c r="E19" i="22"/>
  <c r="F16" i="28"/>
  <c r="G16" i="14"/>
  <c r="F42" i="22"/>
  <c r="G69" i="29"/>
  <c r="F40" i="18"/>
  <c r="F44" i="18" s="1"/>
  <c r="F59" i="18"/>
  <c r="F63" i="18" s="1"/>
  <c r="F39" i="18"/>
  <c r="F42" i="18" s="1"/>
  <c r="F58" i="18"/>
  <c r="F21" i="18"/>
  <c r="F25" i="18" s="1"/>
  <c r="G4" i="18"/>
  <c r="F11" i="18"/>
  <c r="F20" i="18"/>
  <c r="F77" i="18"/>
  <c r="F80" i="18" s="1"/>
  <c r="F90" i="18"/>
  <c r="F92" i="18" s="1"/>
  <c r="F93" i="18" s="1"/>
  <c r="F78" i="18"/>
  <c r="F82" i="18" s="1"/>
  <c r="I10" i="23"/>
  <c r="J9" i="23"/>
  <c r="I43" i="18"/>
  <c r="E28" i="22"/>
  <c r="I82" i="22"/>
  <c r="E50" i="22"/>
  <c r="D76" i="22"/>
  <c r="D78" i="22"/>
  <c r="D77" i="22"/>
  <c r="G54" i="22"/>
  <c r="F55" i="22"/>
  <c r="G10" i="19"/>
  <c r="F28" i="14"/>
  <c r="F40" i="14" s="1"/>
  <c r="F52" i="14" s="1"/>
  <c r="F64" i="14" s="1"/>
  <c r="E10" i="26"/>
  <c r="J10" i="18"/>
  <c r="F19" i="37"/>
  <c r="E32" i="37"/>
  <c r="L7" i="34"/>
  <c r="L13" i="34"/>
  <c r="L28" i="34"/>
  <c r="L14" i="14" l="1"/>
  <c r="L51" i="28"/>
  <c r="L60" i="28" s="1"/>
  <c r="F22" i="15"/>
  <c r="G11" i="19"/>
  <c r="C43" i="20"/>
  <c r="C48" i="20" s="1"/>
  <c r="D18" i="28"/>
  <c r="E41" i="26"/>
  <c r="D41" i="26"/>
  <c r="D43" i="26" s="1"/>
  <c r="D44" i="26" s="1"/>
  <c r="D49" i="26" s="1"/>
  <c r="D103" i="22"/>
  <c r="E103" i="22"/>
  <c r="D108" i="22"/>
  <c r="D109" i="22" s="1"/>
  <c r="D114" i="22" s="1"/>
  <c r="D17" i="28"/>
  <c r="E18" i="28"/>
  <c r="C75" i="14"/>
  <c r="F72" i="14"/>
  <c r="F75" i="14" s="1"/>
  <c r="D72" i="14"/>
  <c r="D75" i="14" s="1"/>
  <c r="E72" i="14"/>
  <c r="E75" i="14" s="1"/>
  <c r="H4" i="14"/>
  <c r="H73" i="14" s="1"/>
  <c r="G72" i="14"/>
  <c r="C27" i="19"/>
  <c r="C29" i="19" s="1"/>
  <c r="E23" i="15"/>
  <c r="E24" i="28" s="1"/>
  <c r="E24" i="26"/>
  <c r="E34" i="26" s="1"/>
  <c r="E37" i="26"/>
  <c r="E38" i="26" s="1"/>
  <c r="E39" i="26" s="1"/>
  <c r="F61" i="18"/>
  <c r="G68" i="14"/>
  <c r="D60" i="18"/>
  <c r="D68" i="14"/>
  <c r="D69" i="14" s="1"/>
  <c r="D70" i="14" s="1"/>
  <c r="E27" i="47"/>
  <c r="E28" i="47" s="1"/>
  <c r="F21" i="28"/>
  <c r="D61" i="18"/>
  <c r="C22" i="23"/>
  <c r="C26" i="23" s="1"/>
  <c r="D10" i="28"/>
  <c r="E108" i="22"/>
  <c r="E109" i="22" s="1"/>
  <c r="E114" i="22" s="1"/>
  <c r="E42" i="20"/>
  <c r="E43" i="20" s="1"/>
  <c r="E48" i="20" s="1"/>
  <c r="E43" i="26"/>
  <c r="E44" i="26" s="1"/>
  <c r="E49" i="26" s="1"/>
  <c r="E16" i="28"/>
  <c r="D25" i="19"/>
  <c r="D28" i="19" s="1"/>
  <c r="G16" i="15"/>
  <c r="G10" i="15"/>
  <c r="G17" i="15"/>
  <c r="G12" i="15"/>
  <c r="G19" i="15"/>
  <c r="G20" i="15"/>
  <c r="G9" i="15"/>
  <c r="G11" i="15"/>
  <c r="G18" i="15"/>
  <c r="G21" i="15"/>
  <c r="D24" i="28"/>
  <c r="D25" i="23"/>
  <c r="E20" i="28"/>
  <c r="E25" i="23"/>
  <c r="F20" i="28"/>
  <c r="C84" i="18"/>
  <c r="C88" i="18" s="1"/>
  <c r="D12" i="28" s="1"/>
  <c r="E22" i="18"/>
  <c r="E22" i="23"/>
  <c r="F10" i="28"/>
  <c r="F23" i="18"/>
  <c r="E23" i="18"/>
  <c r="E85" i="18" s="1"/>
  <c r="D22" i="18"/>
  <c r="D23" i="18"/>
  <c r="E11" i="14"/>
  <c r="F11" i="14" s="1"/>
  <c r="G11" i="14" s="1"/>
  <c r="G47" i="14"/>
  <c r="H47" i="14" s="1"/>
  <c r="I47" i="14" s="1"/>
  <c r="J47" i="14" s="1"/>
  <c r="G23" i="14"/>
  <c r="H23" i="14" s="1"/>
  <c r="I23" i="14" s="1"/>
  <c r="H20" i="26"/>
  <c r="I20" i="26" s="1"/>
  <c r="J20" i="26" s="1"/>
  <c r="K20" i="26" s="1"/>
  <c r="I11" i="19"/>
  <c r="J10" i="19"/>
  <c r="D27" i="19"/>
  <c r="D46" i="26"/>
  <c r="L46" i="22"/>
  <c r="M45" i="22"/>
  <c r="M46" i="22" s="1"/>
  <c r="C13" i="20"/>
  <c r="C35" i="20" s="1"/>
  <c r="D10" i="20"/>
  <c r="C15" i="20"/>
  <c r="C37" i="20" s="1"/>
  <c r="C14" i="20"/>
  <c r="C36" i="20" s="1"/>
  <c r="D14" i="23"/>
  <c r="D15" i="23" s="1"/>
  <c r="E10" i="28" s="1"/>
  <c r="E10" i="36"/>
  <c r="E69" i="14"/>
  <c r="E70" i="14" s="1"/>
  <c r="C101" i="22"/>
  <c r="K10" i="34"/>
  <c r="E10" i="22"/>
  <c r="F9" i="22"/>
  <c r="F108" i="22" s="1"/>
  <c r="F109" i="22" s="1"/>
  <c r="G35" i="14"/>
  <c r="H35" i="14" s="1"/>
  <c r="F41" i="26"/>
  <c r="F14" i="26"/>
  <c r="F37" i="26" s="1"/>
  <c r="G4" i="26"/>
  <c r="I64" i="22"/>
  <c r="K45" i="34"/>
  <c r="H24" i="18"/>
  <c r="G86" i="18"/>
  <c r="F14" i="15"/>
  <c r="F33" i="20"/>
  <c r="F40" i="20"/>
  <c r="F23" i="20"/>
  <c r="F31" i="20"/>
  <c r="F21" i="20"/>
  <c r="F22" i="20" s="1"/>
  <c r="F32" i="20"/>
  <c r="G4" i="20"/>
  <c r="G30" i="20" s="1"/>
  <c r="F12" i="20"/>
  <c r="F24" i="20"/>
  <c r="F22" i="19"/>
  <c r="F14" i="19"/>
  <c r="F17" i="19" s="1"/>
  <c r="G4" i="19"/>
  <c r="K25" i="34"/>
  <c r="H37" i="22"/>
  <c r="I36" i="22"/>
  <c r="D13" i="22"/>
  <c r="D98" i="22" s="1"/>
  <c r="D15" i="22"/>
  <c r="D100" i="22" s="1"/>
  <c r="D14" i="22"/>
  <c r="D99" i="22" s="1"/>
  <c r="F59" i="22"/>
  <c r="F58" i="22"/>
  <c r="F60" i="22"/>
  <c r="K81" i="22"/>
  <c r="J82" i="22"/>
  <c r="F28" i="22"/>
  <c r="L28" i="18"/>
  <c r="I4" i="14"/>
  <c r="I73" i="14" s="1"/>
  <c r="H16" i="14"/>
  <c r="H68" i="14" s="1"/>
  <c r="H72" i="14"/>
  <c r="F19" i="22"/>
  <c r="G18" i="22"/>
  <c r="J9" i="18"/>
  <c r="G78" i="22"/>
  <c r="G77" i="22"/>
  <c r="H54" i="22"/>
  <c r="G55" i="22"/>
  <c r="F30" i="18"/>
  <c r="F22" i="18"/>
  <c r="F87" i="22"/>
  <c r="F86" i="22"/>
  <c r="F85" i="22"/>
  <c r="H4" i="23"/>
  <c r="G17" i="23"/>
  <c r="G19" i="23" s="1"/>
  <c r="G20" i="23" s="1"/>
  <c r="G11" i="23"/>
  <c r="G13" i="23" s="1"/>
  <c r="H69" i="29"/>
  <c r="L66" i="18"/>
  <c r="K10" i="18"/>
  <c r="F69" i="14"/>
  <c r="F70" i="14" s="1"/>
  <c r="J43" i="18"/>
  <c r="G22" i="28"/>
  <c r="G21" i="18"/>
  <c r="G25" i="18" s="1"/>
  <c r="H4" i="18"/>
  <c r="G11" i="18"/>
  <c r="G20" i="18"/>
  <c r="G23" i="18" s="1"/>
  <c r="G39" i="18"/>
  <c r="G42" i="18" s="1"/>
  <c r="G58" i="18"/>
  <c r="G61" i="18" s="1"/>
  <c r="G40" i="18"/>
  <c r="G44" i="18" s="1"/>
  <c r="G77" i="18"/>
  <c r="G80" i="18" s="1"/>
  <c r="G90" i="18"/>
  <c r="G92" i="18" s="1"/>
  <c r="G93" i="18" s="1"/>
  <c r="G78" i="18"/>
  <c r="G82" i="18" s="1"/>
  <c r="G59" i="18"/>
  <c r="G63" i="18" s="1"/>
  <c r="E87" i="22"/>
  <c r="E86" i="22"/>
  <c r="E85" i="22"/>
  <c r="G12" i="22"/>
  <c r="G48" i="22"/>
  <c r="G49" i="22" s="1"/>
  <c r="G57" i="22"/>
  <c r="H4" i="22"/>
  <c r="H106" i="22" s="1"/>
  <c r="G39" i="22"/>
  <c r="G40" i="22" s="1"/>
  <c r="G103" i="22"/>
  <c r="G105" i="22"/>
  <c r="G21" i="22"/>
  <c r="G84" i="22"/>
  <c r="G85" i="22" s="1"/>
  <c r="G93" i="22"/>
  <c r="G94" i="22" s="1"/>
  <c r="G30" i="22"/>
  <c r="G66" i="22"/>
  <c r="G67" i="22" s="1"/>
  <c r="G75" i="22"/>
  <c r="G76" i="22" s="1"/>
  <c r="G104" i="22"/>
  <c r="G68" i="22"/>
  <c r="G50" i="22"/>
  <c r="G51" i="22"/>
  <c r="G41" i="22"/>
  <c r="G42" i="22"/>
  <c r="G95" i="22"/>
  <c r="G87" i="22"/>
  <c r="G69" i="22"/>
  <c r="G86" i="22"/>
  <c r="G96" i="22"/>
  <c r="E49" i="18"/>
  <c r="E41" i="18"/>
  <c r="M28" i="20"/>
  <c r="M19" i="20"/>
  <c r="H30" i="26"/>
  <c r="F96" i="22"/>
  <c r="F95" i="22"/>
  <c r="F94" i="22"/>
  <c r="F14" i="23"/>
  <c r="F15" i="23" s="1"/>
  <c r="G10" i="28" s="1"/>
  <c r="F10" i="26"/>
  <c r="G10" i="26" s="1"/>
  <c r="H11" i="19"/>
  <c r="E33" i="22"/>
  <c r="E31" i="22"/>
  <c r="E32" i="22"/>
  <c r="J10" i="23"/>
  <c r="K9" i="23"/>
  <c r="F87" i="18"/>
  <c r="I47" i="18"/>
  <c r="G28" i="14"/>
  <c r="G40" i="14" s="1"/>
  <c r="G52" i="14" s="1"/>
  <c r="G64" i="14" s="1"/>
  <c r="E24" i="22"/>
  <c r="E22" i="22"/>
  <c r="E23" i="22"/>
  <c r="I59" i="14"/>
  <c r="H4" i="15"/>
  <c r="F98" i="18"/>
  <c r="J91" i="22"/>
  <c r="I72" i="22"/>
  <c r="E96" i="22"/>
  <c r="E95" i="22"/>
  <c r="E94" i="22"/>
  <c r="G19" i="37"/>
  <c r="F32" i="37"/>
  <c r="K105" i="34"/>
  <c r="L95" i="34"/>
  <c r="K92" i="34"/>
  <c r="L76" i="34"/>
  <c r="K73" i="34"/>
  <c r="L48" i="34"/>
  <c r="M14" i="14" l="1"/>
  <c r="N51" i="28" s="1"/>
  <c r="N60" i="28" s="1"/>
  <c r="M51" i="28"/>
  <c r="M60" i="28" s="1"/>
  <c r="F85" i="18"/>
  <c r="E17" i="28"/>
  <c r="G22" i="15"/>
  <c r="L11" i="19"/>
  <c r="E76" i="14"/>
  <c r="E81" i="14" s="1"/>
  <c r="F15" i="28"/>
  <c r="E15" i="28"/>
  <c r="D76" i="14"/>
  <c r="D81" i="14" s="1"/>
  <c r="F76" i="14"/>
  <c r="F81" i="14" s="1"/>
  <c r="G15" i="28"/>
  <c r="E19" i="28"/>
  <c r="D50" i="26"/>
  <c r="C76" i="14"/>
  <c r="C81" i="14" s="1"/>
  <c r="C82" i="14" s="1"/>
  <c r="D15" i="28"/>
  <c r="B8" i="37" s="1"/>
  <c r="H75" i="14"/>
  <c r="H76" i="14" s="1"/>
  <c r="G75" i="14"/>
  <c r="G76" i="14" s="1"/>
  <c r="D85" i="18"/>
  <c r="D84" i="18"/>
  <c r="F18" i="28"/>
  <c r="D78" i="14"/>
  <c r="E5" i="28"/>
  <c r="F27" i="47"/>
  <c r="F28" i="47" s="1"/>
  <c r="G21" i="28"/>
  <c r="F19" i="28"/>
  <c r="F42" i="20"/>
  <c r="F43" i="20" s="1"/>
  <c r="F48" i="20" s="1"/>
  <c r="F43" i="26"/>
  <c r="F44" i="26" s="1"/>
  <c r="F49" i="26" s="1"/>
  <c r="F17" i="28"/>
  <c r="H17" i="15"/>
  <c r="H12" i="15"/>
  <c r="H20" i="15"/>
  <c r="H9" i="15"/>
  <c r="H11" i="15"/>
  <c r="H18" i="15"/>
  <c r="H21" i="15"/>
  <c r="H19" i="15"/>
  <c r="H10" i="15"/>
  <c r="E26" i="23"/>
  <c r="F25" i="23"/>
  <c r="G20" i="28"/>
  <c r="C95" i="18"/>
  <c r="C99" i="18" s="1"/>
  <c r="J23" i="14"/>
  <c r="K23" i="14" s="1"/>
  <c r="D29" i="19"/>
  <c r="F24" i="19"/>
  <c r="M11" i="19"/>
  <c r="K47" i="14"/>
  <c r="L47" i="14" s="1"/>
  <c r="M47" i="14" s="1"/>
  <c r="J11" i="19"/>
  <c r="K11" i="19"/>
  <c r="L45" i="34"/>
  <c r="F6" i="36"/>
  <c r="G6" i="36" s="1"/>
  <c r="L73" i="34"/>
  <c r="F7" i="36"/>
  <c r="G7" i="36" s="1"/>
  <c r="L92" i="34"/>
  <c r="F8" i="36"/>
  <c r="G8" i="36" s="1"/>
  <c r="L105" i="34"/>
  <c r="F9" i="36"/>
  <c r="G9" i="36" s="1"/>
  <c r="L25" i="34"/>
  <c r="F23" i="15"/>
  <c r="C38" i="20"/>
  <c r="D8" i="28" s="1"/>
  <c r="D14" i="20"/>
  <c r="D36" i="20" s="1"/>
  <c r="D15" i="20"/>
  <c r="D37" i="20" s="1"/>
  <c r="D13" i="20"/>
  <c r="D35" i="20" s="1"/>
  <c r="D22" i="23"/>
  <c r="D26" i="23" s="1"/>
  <c r="L10" i="34"/>
  <c r="K108" i="34"/>
  <c r="L108" i="34" s="1"/>
  <c r="D9" i="28"/>
  <c r="C111" i="22"/>
  <c r="C115" i="22" s="1"/>
  <c r="H4" i="26"/>
  <c r="G14" i="26"/>
  <c r="G37" i="26" s="1"/>
  <c r="G41" i="26"/>
  <c r="G87" i="18"/>
  <c r="E19" i="19"/>
  <c r="E18" i="19"/>
  <c r="G33" i="20"/>
  <c r="G31" i="20"/>
  <c r="H4" i="20"/>
  <c r="H30" i="20" s="1"/>
  <c r="G12" i="20"/>
  <c r="G40" i="20"/>
  <c r="G21" i="20"/>
  <c r="G22" i="20" s="1"/>
  <c r="G32" i="20"/>
  <c r="G24" i="20"/>
  <c r="G23" i="20"/>
  <c r="F24" i="26"/>
  <c r="F34" i="26" s="1"/>
  <c r="F38" i="26"/>
  <c r="F39" i="26" s="1"/>
  <c r="J59" i="14"/>
  <c r="K59" i="14" s="1"/>
  <c r="L59" i="14" s="1"/>
  <c r="M59" i="14" s="1"/>
  <c r="I30" i="26"/>
  <c r="J30" i="26" s="1"/>
  <c r="K30" i="26" s="1"/>
  <c r="G9" i="22"/>
  <c r="G108" i="22" s="1"/>
  <c r="G109" i="22" s="1"/>
  <c r="F10" i="22"/>
  <c r="K63" i="22"/>
  <c r="J64" i="22"/>
  <c r="I24" i="18"/>
  <c r="H86" i="18"/>
  <c r="E15" i="22"/>
  <c r="E100" i="22" s="1"/>
  <c r="E13" i="22"/>
  <c r="E98" i="22" s="1"/>
  <c r="E14" i="22"/>
  <c r="E99" i="22" s="1"/>
  <c r="I37" i="22"/>
  <c r="J36" i="22"/>
  <c r="G14" i="19"/>
  <c r="G17" i="19" s="1"/>
  <c r="G22" i="19"/>
  <c r="H4" i="19"/>
  <c r="L20" i="26"/>
  <c r="M20" i="26" s="1"/>
  <c r="H11" i="14"/>
  <c r="I11" i="14" s="1"/>
  <c r="L90" i="22"/>
  <c r="K91" i="22"/>
  <c r="H77" i="22"/>
  <c r="H78" i="22"/>
  <c r="G14" i="15"/>
  <c r="H10" i="26"/>
  <c r="I10" i="26" s="1"/>
  <c r="E68" i="18"/>
  <c r="E79" i="18" s="1"/>
  <c r="E60" i="18"/>
  <c r="G30" i="18"/>
  <c r="G22" i="18"/>
  <c r="L10" i="18"/>
  <c r="G19" i="22"/>
  <c r="H18" i="22"/>
  <c r="I72" i="14"/>
  <c r="I16" i="14"/>
  <c r="I68" i="14" s="1"/>
  <c r="J4" i="14"/>
  <c r="J73" i="14" s="1"/>
  <c r="F32" i="22"/>
  <c r="F31" i="22"/>
  <c r="F33" i="22"/>
  <c r="G69" i="14"/>
  <c r="G70" i="14" s="1"/>
  <c r="L9" i="23"/>
  <c r="K10" i="23"/>
  <c r="H39" i="18"/>
  <c r="H42" i="18" s="1"/>
  <c r="H58" i="18"/>
  <c r="H61" i="18" s="1"/>
  <c r="H40" i="18"/>
  <c r="H44" i="18" s="1"/>
  <c r="H59" i="18"/>
  <c r="H63" i="18" s="1"/>
  <c r="I4" i="18"/>
  <c r="H11" i="18"/>
  <c r="H20" i="18"/>
  <c r="H23" i="18" s="1"/>
  <c r="H78" i="18"/>
  <c r="H82" i="18" s="1"/>
  <c r="H90" i="18"/>
  <c r="H92" i="18" s="1"/>
  <c r="H93" i="18" s="1"/>
  <c r="H21" i="18"/>
  <c r="H25" i="18" s="1"/>
  <c r="H77" i="18"/>
  <c r="H80" i="18" s="1"/>
  <c r="F7" i="28"/>
  <c r="E46" i="26"/>
  <c r="E50" i="26" s="1"/>
  <c r="G14" i="23"/>
  <c r="G15" i="23" s="1"/>
  <c r="H10" i="28" s="1"/>
  <c r="F49" i="18"/>
  <c r="F41" i="18"/>
  <c r="G58" i="22"/>
  <c r="G59" i="22"/>
  <c r="G60" i="22"/>
  <c r="F23" i="22"/>
  <c r="F22" i="22"/>
  <c r="F24" i="22"/>
  <c r="G28" i="22"/>
  <c r="H27" i="22"/>
  <c r="H22" i="28"/>
  <c r="G5" i="28"/>
  <c r="F78" i="14"/>
  <c r="H55" i="22"/>
  <c r="I54" i="22"/>
  <c r="D101" i="22"/>
  <c r="K9" i="18"/>
  <c r="M28" i="18"/>
  <c r="J72" i="22"/>
  <c r="I73" i="22"/>
  <c r="I4" i="15"/>
  <c r="G98" i="18"/>
  <c r="J47" i="18"/>
  <c r="F22" i="23"/>
  <c r="F5" i="28"/>
  <c r="E78" i="14"/>
  <c r="H39" i="22"/>
  <c r="H40" i="22" s="1"/>
  <c r="H12" i="22"/>
  <c r="H21" i="22"/>
  <c r="H30" i="22"/>
  <c r="I4" i="22"/>
  <c r="I106" i="22" s="1"/>
  <c r="H48" i="22"/>
  <c r="H49" i="22" s="1"/>
  <c r="H84" i="22"/>
  <c r="H85" i="22" s="1"/>
  <c r="H93" i="22"/>
  <c r="H94" i="22" s="1"/>
  <c r="H57" i="22"/>
  <c r="H66" i="22"/>
  <c r="H67" i="22" s="1"/>
  <c r="H75" i="22"/>
  <c r="H76" i="22" s="1"/>
  <c r="H104" i="22"/>
  <c r="H103" i="22"/>
  <c r="H105" i="22"/>
  <c r="H68" i="22"/>
  <c r="H51" i="22"/>
  <c r="H42" i="22"/>
  <c r="H69" i="22"/>
  <c r="H50" i="22"/>
  <c r="H86" i="22"/>
  <c r="H41" i="22"/>
  <c r="H96" i="22"/>
  <c r="H87" i="22"/>
  <c r="H95" i="22"/>
  <c r="G85" i="18"/>
  <c r="K43" i="18"/>
  <c r="M66" i="18"/>
  <c r="I69" i="29"/>
  <c r="H11" i="23"/>
  <c r="H13" i="23" s="1"/>
  <c r="H17" i="23"/>
  <c r="H19" i="23" s="1"/>
  <c r="H20" i="23" s="1"/>
  <c r="I4" i="23"/>
  <c r="G19" i="28"/>
  <c r="F114" i="22"/>
  <c r="H28" i="14"/>
  <c r="H40" i="14" s="1"/>
  <c r="H52" i="14" s="1"/>
  <c r="H64" i="14" s="1"/>
  <c r="L81" i="22"/>
  <c r="K82" i="22"/>
  <c r="H19" i="37"/>
  <c r="G32" i="37"/>
  <c r="E82" i="14" l="1"/>
  <c r="D82" i="14"/>
  <c r="I15" i="28"/>
  <c r="H22" i="15"/>
  <c r="C8" i="37"/>
  <c r="C10" i="37" s="1"/>
  <c r="E26" i="28"/>
  <c r="E31" i="28" s="1"/>
  <c r="H15" i="28"/>
  <c r="I75" i="14"/>
  <c r="J15" i="28" s="1"/>
  <c r="D88" i="18"/>
  <c r="E12" i="28" s="1"/>
  <c r="G27" i="47"/>
  <c r="G28" i="47" s="1"/>
  <c r="H21" i="28"/>
  <c r="G42" i="20"/>
  <c r="G43" i="20" s="1"/>
  <c r="G48" i="20" s="1"/>
  <c r="G18" i="28"/>
  <c r="G43" i="26"/>
  <c r="G44" i="26" s="1"/>
  <c r="G49" i="26" s="1"/>
  <c r="G17" i="28"/>
  <c r="G16" i="28"/>
  <c r="F25" i="19"/>
  <c r="F28" i="19" s="1"/>
  <c r="I20" i="15"/>
  <c r="I9" i="15"/>
  <c r="I11" i="15"/>
  <c r="I18" i="15"/>
  <c r="I12" i="15"/>
  <c r="I21" i="15"/>
  <c r="I17" i="15"/>
  <c r="I19" i="15"/>
  <c r="I10" i="15"/>
  <c r="I16" i="15"/>
  <c r="F24" i="28"/>
  <c r="D8" i="37" s="1"/>
  <c r="D10" i="37" s="1"/>
  <c r="F26" i="23"/>
  <c r="G25" i="23"/>
  <c r="H20" i="28"/>
  <c r="E84" i="18"/>
  <c r="E88" i="18" s="1"/>
  <c r="F12" i="28" s="1"/>
  <c r="L23" i="14"/>
  <c r="M23" i="14" s="1"/>
  <c r="G24" i="19"/>
  <c r="F82" i="14"/>
  <c r="C10" i="36"/>
  <c r="F5" i="36"/>
  <c r="C45" i="20"/>
  <c r="C49" i="20" s="1"/>
  <c r="E20" i="19"/>
  <c r="E27" i="19" s="1"/>
  <c r="E29" i="19" s="1"/>
  <c r="D13" i="28"/>
  <c r="B23" i="37" s="1"/>
  <c r="D38" i="20"/>
  <c r="E15" i="20"/>
  <c r="E37" i="20" s="1"/>
  <c r="E14" i="20"/>
  <c r="E36" i="20" s="1"/>
  <c r="F10" i="20"/>
  <c r="E13" i="20"/>
  <c r="E35" i="20" s="1"/>
  <c r="F18" i="19"/>
  <c r="F19" i="19"/>
  <c r="L30" i="26"/>
  <c r="M30" i="26" s="1"/>
  <c r="L63" i="22"/>
  <c r="K64" i="22"/>
  <c r="J11" i="14"/>
  <c r="K11" i="14" s="1"/>
  <c r="L11" i="14" s="1"/>
  <c r="F15" i="22"/>
  <c r="F100" i="22" s="1"/>
  <c r="F14" i="22"/>
  <c r="F99" i="22" s="1"/>
  <c r="F13" i="22"/>
  <c r="F98" i="22" s="1"/>
  <c r="G7" i="28"/>
  <c r="F46" i="26"/>
  <c r="F50" i="26" s="1"/>
  <c r="H41" i="26"/>
  <c r="H14" i="26"/>
  <c r="H37" i="26" s="1"/>
  <c r="I4" i="26"/>
  <c r="H22" i="19"/>
  <c r="H14" i="19"/>
  <c r="H17" i="19" s="1"/>
  <c r="I4" i="19"/>
  <c r="G24" i="26"/>
  <c r="G34" i="26" s="1"/>
  <c r="H9" i="22"/>
  <c r="H108" i="22" s="1"/>
  <c r="H109" i="22" s="1"/>
  <c r="G10" i="22"/>
  <c r="K36" i="22"/>
  <c r="J37" i="22"/>
  <c r="J24" i="18"/>
  <c r="I86" i="18"/>
  <c r="H23" i="20"/>
  <c r="I4" i="20"/>
  <c r="I30" i="20" s="1"/>
  <c r="H24" i="20"/>
  <c r="H12" i="20"/>
  <c r="H40" i="20"/>
  <c r="H21" i="20"/>
  <c r="H22" i="20" s="1"/>
  <c r="H31" i="20"/>
  <c r="H33" i="20"/>
  <c r="H32" i="20"/>
  <c r="H87" i="18"/>
  <c r="I35" i="14"/>
  <c r="G22" i="23"/>
  <c r="J10" i="26"/>
  <c r="K10" i="26" s="1"/>
  <c r="J4" i="15"/>
  <c r="H98" i="18"/>
  <c r="H59" i="22"/>
  <c r="H60" i="22"/>
  <c r="H58" i="22"/>
  <c r="H28" i="22"/>
  <c r="I27" i="22"/>
  <c r="H85" i="18"/>
  <c r="E101" i="22"/>
  <c r="I28" i="14"/>
  <c r="I40" i="14" s="1"/>
  <c r="I52" i="14" s="1"/>
  <c r="I64" i="14" s="1"/>
  <c r="G23" i="15"/>
  <c r="H69" i="14"/>
  <c r="H70" i="14" s="1"/>
  <c r="I17" i="23"/>
  <c r="I19" i="23" s="1"/>
  <c r="I20" i="23" s="1"/>
  <c r="J4" i="23"/>
  <c r="I11" i="23"/>
  <c r="I13" i="23" s="1"/>
  <c r="J69" i="29"/>
  <c r="I77" i="22"/>
  <c r="I78" i="22"/>
  <c r="G31" i="22"/>
  <c r="G33" i="22"/>
  <c r="G32" i="22"/>
  <c r="H30" i="18"/>
  <c r="H22" i="18"/>
  <c r="M10" i="23"/>
  <c r="L10" i="23"/>
  <c r="M10" i="18"/>
  <c r="J4" i="22"/>
  <c r="J106" i="22" s="1"/>
  <c r="I66" i="22"/>
  <c r="I67" i="22" s="1"/>
  <c r="I75" i="22"/>
  <c r="I76" i="22" s="1"/>
  <c r="I48" i="22"/>
  <c r="I49" i="22" s="1"/>
  <c r="I12" i="22"/>
  <c r="I21" i="22"/>
  <c r="I30" i="22"/>
  <c r="I57" i="22"/>
  <c r="I104" i="22"/>
  <c r="I39" i="22"/>
  <c r="I40" i="22" s="1"/>
  <c r="I103" i="22"/>
  <c r="I105" i="22"/>
  <c r="I84" i="22"/>
  <c r="I85" i="22" s="1"/>
  <c r="I93" i="22"/>
  <c r="I94" i="22" s="1"/>
  <c r="I42" i="22"/>
  <c r="I50" i="22"/>
  <c r="I41" i="22"/>
  <c r="I51" i="22"/>
  <c r="I69" i="22"/>
  <c r="I68" i="22"/>
  <c r="I86" i="22"/>
  <c r="I96" i="22"/>
  <c r="I95" i="22"/>
  <c r="I87" i="22"/>
  <c r="J73" i="22"/>
  <c r="K72" i="22"/>
  <c r="E9" i="28"/>
  <c r="D111" i="22"/>
  <c r="D115" i="22" s="1"/>
  <c r="F68" i="18"/>
  <c r="F79" i="18" s="1"/>
  <c r="F60" i="18"/>
  <c r="I22" i="28"/>
  <c r="J4" i="18"/>
  <c r="I11" i="18"/>
  <c r="I20" i="18"/>
  <c r="I23" i="18" s="1"/>
  <c r="I21" i="18"/>
  <c r="I25" i="18" s="1"/>
  <c r="I40" i="18"/>
  <c r="I44" i="18" s="1"/>
  <c r="I59" i="18"/>
  <c r="I63" i="18" s="1"/>
  <c r="I58" i="18"/>
  <c r="I61" i="18" s="1"/>
  <c r="I78" i="18"/>
  <c r="I82" i="18" s="1"/>
  <c r="I77" i="18"/>
  <c r="I80" i="18" s="1"/>
  <c r="I90" i="18"/>
  <c r="I92" i="18" s="1"/>
  <c r="I93" i="18" s="1"/>
  <c r="I39" i="18"/>
  <c r="I42" i="18" s="1"/>
  <c r="H5" i="28"/>
  <c r="G78" i="14"/>
  <c r="I18" i="22"/>
  <c r="H19" i="22"/>
  <c r="L91" i="22"/>
  <c r="M90" i="22"/>
  <c r="M91" i="22" s="1"/>
  <c r="L82" i="22"/>
  <c r="M81" i="22"/>
  <c r="M82" i="22" s="1"/>
  <c r="H14" i="23"/>
  <c r="H15" i="23" s="1"/>
  <c r="I10" i="28" s="1"/>
  <c r="L43" i="18"/>
  <c r="K47" i="18"/>
  <c r="H14" i="15"/>
  <c r="G81" i="14"/>
  <c r="L9" i="18"/>
  <c r="J54" i="22"/>
  <c r="I55" i="22"/>
  <c r="H19" i="28"/>
  <c r="G114" i="22"/>
  <c r="J16" i="14"/>
  <c r="J68" i="14" s="1"/>
  <c r="K4" i="14"/>
  <c r="K73" i="14" s="1"/>
  <c r="J72" i="14"/>
  <c r="G22" i="22"/>
  <c r="G24" i="22"/>
  <c r="G23" i="22"/>
  <c r="G49" i="18"/>
  <c r="G41" i="18"/>
  <c r="I19" i="37"/>
  <c r="H32" i="37"/>
  <c r="I22" i="15" l="1"/>
  <c r="I76" i="14"/>
  <c r="J75" i="14"/>
  <c r="J76" i="14" s="1"/>
  <c r="D95" i="18"/>
  <c r="D99" i="18" s="1"/>
  <c r="H17" i="28"/>
  <c r="E95" i="18"/>
  <c r="E99" i="18" s="1"/>
  <c r="H27" i="47"/>
  <c r="H28" i="47" s="1"/>
  <c r="I21" i="28"/>
  <c r="H42" i="20"/>
  <c r="H43" i="20" s="1"/>
  <c r="H48" i="20" s="1"/>
  <c r="H18" i="28"/>
  <c r="H43" i="26"/>
  <c r="H44" i="26" s="1"/>
  <c r="H49" i="26" s="1"/>
  <c r="H16" i="28"/>
  <c r="G25" i="19"/>
  <c r="G28" i="19" s="1"/>
  <c r="J11" i="15"/>
  <c r="J18" i="15"/>
  <c r="J9" i="15"/>
  <c r="J21" i="15"/>
  <c r="J19" i="15"/>
  <c r="J10" i="15"/>
  <c r="J16" i="15"/>
  <c r="J17" i="15"/>
  <c r="J12" i="15"/>
  <c r="J20" i="15"/>
  <c r="F26" i="28"/>
  <c r="F31" i="28" s="1"/>
  <c r="G26" i="23"/>
  <c r="H25" i="23"/>
  <c r="I20" i="28"/>
  <c r="H24" i="19"/>
  <c r="L10" i="26"/>
  <c r="M10" i="26" s="1"/>
  <c r="G5" i="36"/>
  <c r="F10" i="36"/>
  <c r="J35" i="14"/>
  <c r="K35" i="14" s="1"/>
  <c r="L35" i="14" s="1"/>
  <c r="M35" i="14" s="1"/>
  <c r="H23" i="15"/>
  <c r="H24" i="28" s="1"/>
  <c r="F6" i="28"/>
  <c r="F20" i="19"/>
  <c r="G6" i="28" s="1"/>
  <c r="D28" i="28"/>
  <c r="F15" i="20"/>
  <c r="F37" i="20" s="1"/>
  <c r="G10" i="20"/>
  <c r="F14" i="20"/>
  <c r="F36" i="20" s="1"/>
  <c r="F13" i="20"/>
  <c r="F35" i="20" s="1"/>
  <c r="D45" i="20"/>
  <c r="D49" i="20" s="1"/>
  <c r="E8" i="28"/>
  <c r="E13" i="28" s="1"/>
  <c r="E38" i="20"/>
  <c r="F101" i="22"/>
  <c r="G9" i="28" s="1"/>
  <c r="K24" i="18"/>
  <c r="J86" i="18"/>
  <c r="G14" i="22"/>
  <c r="G99" i="22" s="1"/>
  <c r="G15" i="22"/>
  <c r="G100" i="22" s="1"/>
  <c r="G13" i="22"/>
  <c r="G98" i="22" s="1"/>
  <c r="M63" i="22"/>
  <c r="M64" i="22" s="1"/>
  <c r="L64" i="22"/>
  <c r="F84" i="18"/>
  <c r="F88" i="18" s="1"/>
  <c r="G12" i="28" s="1"/>
  <c r="I9" i="22"/>
  <c r="I108" i="22" s="1"/>
  <c r="I109" i="22" s="1"/>
  <c r="H10" i="22"/>
  <c r="G18" i="19"/>
  <c r="G19" i="19"/>
  <c r="I41" i="26"/>
  <c r="I14" i="26"/>
  <c r="I37" i="26" s="1"/>
  <c r="J4" i="26"/>
  <c r="H24" i="26"/>
  <c r="H34" i="26" s="1"/>
  <c r="H38" i="26"/>
  <c r="H39" i="26" s="1"/>
  <c r="J4" i="19"/>
  <c r="I22" i="19"/>
  <c r="I14" i="19"/>
  <c r="I17" i="19" s="1"/>
  <c r="I12" i="20"/>
  <c r="I31" i="20"/>
  <c r="I32" i="20"/>
  <c r="I24" i="20"/>
  <c r="I33" i="20"/>
  <c r="I21" i="20"/>
  <c r="I22" i="20" s="1"/>
  <c r="I23" i="20"/>
  <c r="I40" i="20"/>
  <c r="J4" i="20"/>
  <c r="J30" i="20" s="1"/>
  <c r="K37" i="22"/>
  <c r="L36" i="22"/>
  <c r="G38" i="26"/>
  <c r="G39" i="26" s="1"/>
  <c r="M43" i="18"/>
  <c r="H23" i="22"/>
  <c r="H24" i="22"/>
  <c r="H22" i="22"/>
  <c r="G82" i="14"/>
  <c r="J22" i="28"/>
  <c r="I30" i="18"/>
  <c r="I22" i="18"/>
  <c r="J12" i="22"/>
  <c r="K4" i="22"/>
  <c r="K106" i="22" s="1"/>
  <c r="J21" i="22"/>
  <c r="J30" i="22"/>
  <c r="J39" i="22"/>
  <c r="J40" i="22" s="1"/>
  <c r="J48" i="22"/>
  <c r="J49" i="22" s="1"/>
  <c r="J66" i="22"/>
  <c r="J67" i="22" s="1"/>
  <c r="J75" i="22"/>
  <c r="J76" i="22" s="1"/>
  <c r="J84" i="22"/>
  <c r="J85" i="22" s="1"/>
  <c r="J93" i="22"/>
  <c r="J94" i="22" s="1"/>
  <c r="J57" i="22"/>
  <c r="J103" i="22"/>
  <c r="J105" i="22"/>
  <c r="J104" i="22"/>
  <c r="J68" i="22"/>
  <c r="J69" i="22"/>
  <c r="J42" i="22"/>
  <c r="J41" i="22"/>
  <c r="J50" i="22"/>
  <c r="J51" i="22"/>
  <c r="J96" i="22"/>
  <c r="J87" i="22"/>
  <c r="J95" i="22"/>
  <c r="J86" i="22"/>
  <c r="J11" i="23"/>
  <c r="J13" i="23" s="1"/>
  <c r="K4" i="23"/>
  <c r="J17" i="23"/>
  <c r="J19" i="23" s="1"/>
  <c r="J20" i="23" s="1"/>
  <c r="I5" i="28"/>
  <c r="H78" i="14"/>
  <c r="M9" i="18"/>
  <c r="L47" i="18"/>
  <c r="H22" i="23"/>
  <c r="J18" i="22"/>
  <c r="I19" i="22"/>
  <c r="J40" i="18"/>
  <c r="J44" i="18" s="1"/>
  <c r="J59" i="18"/>
  <c r="J63" i="18" s="1"/>
  <c r="J39" i="18"/>
  <c r="J42" i="18" s="1"/>
  <c r="J58" i="18"/>
  <c r="J61" i="18" s="1"/>
  <c r="J21" i="18"/>
  <c r="J25" i="18" s="1"/>
  <c r="K4" i="18"/>
  <c r="J11" i="18"/>
  <c r="J20" i="18"/>
  <c r="J23" i="18" s="1"/>
  <c r="J77" i="18"/>
  <c r="J80" i="18" s="1"/>
  <c r="J90" i="18"/>
  <c r="J92" i="18" s="1"/>
  <c r="J93" i="18" s="1"/>
  <c r="J78" i="18"/>
  <c r="J82" i="18" s="1"/>
  <c r="K73" i="22"/>
  <c r="I19" i="28"/>
  <c r="H114" i="22"/>
  <c r="K69" i="29"/>
  <c r="F9" i="28"/>
  <c r="E111" i="22"/>
  <c r="E115" i="22" s="1"/>
  <c r="J27" i="22"/>
  <c r="I28" i="22"/>
  <c r="K4" i="15"/>
  <c r="I98" i="18"/>
  <c r="M11" i="14"/>
  <c r="G68" i="18"/>
  <c r="G79" i="18" s="1"/>
  <c r="G60" i="18"/>
  <c r="K72" i="14"/>
  <c r="L4" i="14"/>
  <c r="L73" i="14" s="1"/>
  <c r="K16" i="14"/>
  <c r="K68" i="14" s="1"/>
  <c r="I58" i="22"/>
  <c r="I59" i="22"/>
  <c r="I60" i="22"/>
  <c r="I87" i="18"/>
  <c r="J77" i="22"/>
  <c r="J78" i="22"/>
  <c r="H32" i="22"/>
  <c r="H33" i="22"/>
  <c r="H31" i="22"/>
  <c r="I14" i="15"/>
  <c r="H81" i="14"/>
  <c r="J28" i="14"/>
  <c r="J40" i="14" s="1"/>
  <c r="J52" i="14" s="1"/>
  <c r="J64" i="14" s="1"/>
  <c r="J55" i="22"/>
  <c r="I85" i="18"/>
  <c r="H49" i="18"/>
  <c r="H41" i="18"/>
  <c r="I14" i="23"/>
  <c r="I15" i="23" s="1"/>
  <c r="J10" i="28" s="1"/>
  <c r="G24" i="28"/>
  <c r="I69" i="14"/>
  <c r="I70" i="14" s="1"/>
  <c r="J19" i="37"/>
  <c r="I32" i="37"/>
  <c r="J22" i="15" l="1"/>
  <c r="K15" i="28"/>
  <c r="K75" i="14"/>
  <c r="K76" i="14" s="1"/>
  <c r="I17" i="28"/>
  <c r="I27" i="47"/>
  <c r="I28" i="47" s="1"/>
  <c r="J21" i="28"/>
  <c r="F8" i="37"/>
  <c r="F10" i="37" s="1"/>
  <c r="I42" i="20"/>
  <c r="I43" i="20" s="1"/>
  <c r="I48" i="20" s="1"/>
  <c r="I18" i="28"/>
  <c r="I43" i="26"/>
  <c r="I44" i="26" s="1"/>
  <c r="I49" i="26" s="1"/>
  <c r="I16" i="28"/>
  <c r="H25" i="19"/>
  <c r="H28" i="19" s="1"/>
  <c r="K18" i="15"/>
  <c r="K21" i="15"/>
  <c r="K19" i="15"/>
  <c r="K10" i="15"/>
  <c r="K16" i="15"/>
  <c r="K17" i="15"/>
  <c r="K12" i="15"/>
  <c r="K20" i="15"/>
  <c r="K9" i="15"/>
  <c r="K11" i="15"/>
  <c r="I25" i="23"/>
  <c r="J20" i="28"/>
  <c r="H26" i="23"/>
  <c r="G84" i="18"/>
  <c r="G88" i="18" s="1"/>
  <c r="G95" i="18" s="1"/>
  <c r="G99" i="18" s="1"/>
  <c r="I24" i="19"/>
  <c r="H26" i="28"/>
  <c r="H31" i="28" s="1"/>
  <c r="F27" i="19"/>
  <c r="F29" i="19" s="1"/>
  <c r="D23" i="28"/>
  <c r="G10" i="36"/>
  <c r="G20" i="19"/>
  <c r="G27" i="19" s="1"/>
  <c r="G29" i="19" s="1"/>
  <c r="E28" i="28"/>
  <c r="E32" i="28" s="1"/>
  <c r="C23" i="37"/>
  <c r="G15" i="20"/>
  <c r="G37" i="20" s="1"/>
  <c r="H10" i="20"/>
  <c r="G14" i="20"/>
  <c r="G36" i="20" s="1"/>
  <c r="G13" i="20"/>
  <c r="G35" i="20" s="1"/>
  <c r="E45" i="20"/>
  <c r="E49" i="20" s="1"/>
  <c r="F8" i="28"/>
  <c r="F13" i="28" s="1"/>
  <c r="D23" i="37" s="1"/>
  <c r="F38" i="20"/>
  <c r="F111" i="22"/>
  <c r="F115" i="22" s="1"/>
  <c r="I10" i="22"/>
  <c r="J9" i="22"/>
  <c r="J108" i="22" s="1"/>
  <c r="J109" i="22" s="1"/>
  <c r="J14" i="19"/>
  <c r="J17" i="19" s="1"/>
  <c r="K4" i="19"/>
  <c r="J22" i="19"/>
  <c r="J14" i="26"/>
  <c r="J37" i="26" s="1"/>
  <c r="J41" i="26"/>
  <c r="K4" i="26"/>
  <c r="L24" i="18"/>
  <c r="K86" i="18"/>
  <c r="G101" i="22"/>
  <c r="L37" i="22"/>
  <c r="M36" i="22"/>
  <c r="M37" i="22" s="1"/>
  <c r="H7" i="28"/>
  <c r="G46" i="26"/>
  <c r="G50" i="26" s="1"/>
  <c r="J32" i="20"/>
  <c r="J21" i="20"/>
  <c r="J22" i="20" s="1"/>
  <c r="J23" i="20"/>
  <c r="K4" i="20"/>
  <c r="K30" i="20" s="1"/>
  <c r="J31" i="20"/>
  <c r="J12" i="20"/>
  <c r="J40" i="20"/>
  <c r="J33" i="20"/>
  <c r="J24" i="20"/>
  <c r="I24" i="26"/>
  <c r="I34" i="26" s="1"/>
  <c r="I38" i="26"/>
  <c r="I39" i="26" s="1"/>
  <c r="F95" i="18"/>
  <c r="F99" i="18" s="1"/>
  <c r="H18" i="19"/>
  <c r="H19" i="19"/>
  <c r="H46" i="26"/>
  <c r="H50" i="26" s="1"/>
  <c r="I7" i="28"/>
  <c r="H15" i="22"/>
  <c r="H100" i="22" s="1"/>
  <c r="H14" i="22"/>
  <c r="H99" i="22" s="1"/>
  <c r="H13" i="22"/>
  <c r="H98" i="22" s="1"/>
  <c r="I22" i="23"/>
  <c r="E8" i="37"/>
  <c r="G26" i="28"/>
  <c r="G31" i="28" s="1"/>
  <c r="H68" i="18"/>
  <c r="H79" i="18" s="1"/>
  <c r="H60" i="18"/>
  <c r="K55" i="22"/>
  <c r="L54" i="22"/>
  <c r="K28" i="14"/>
  <c r="K40" i="14" s="1"/>
  <c r="K52" i="14" s="1"/>
  <c r="K64" i="14" s="1"/>
  <c r="K77" i="22"/>
  <c r="K78" i="22"/>
  <c r="J85" i="18"/>
  <c r="I24" i="22"/>
  <c r="I22" i="22"/>
  <c r="I23" i="22"/>
  <c r="J5" i="28"/>
  <c r="I78" i="14"/>
  <c r="M4" i="14"/>
  <c r="M73" i="14" s="1"/>
  <c r="L16" i="14"/>
  <c r="L68" i="14" s="1"/>
  <c r="L72" i="14"/>
  <c r="J14" i="15"/>
  <c r="I81" i="14"/>
  <c r="J30" i="18"/>
  <c r="J22" i="18"/>
  <c r="K18" i="22"/>
  <c r="J19" i="22"/>
  <c r="L4" i="23"/>
  <c r="K17" i="23"/>
  <c r="K19" i="23" s="1"/>
  <c r="K20" i="23" s="1"/>
  <c r="K11" i="23"/>
  <c r="K13" i="23" s="1"/>
  <c r="J19" i="28"/>
  <c r="I114" i="22"/>
  <c r="I33" i="22"/>
  <c r="I31" i="22"/>
  <c r="I32" i="22"/>
  <c r="L69" i="29"/>
  <c r="K22" i="28"/>
  <c r="K21" i="18"/>
  <c r="K25" i="18" s="1"/>
  <c r="L4" i="18"/>
  <c r="K11" i="18"/>
  <c r="K20" i="18"/>
  <c r="K23" i="18" s="1"/>
  <c r="K39" i="18"/>
  <c r="K42" i="18" s="1"/>
  <c r="K58" i="18"/>
  <c r="K61" i="18" s="1"/>
  <c r="K59" i="18"/>
  <c r="K63" i="18" s="1"/>
  <c r="K77" i="18"/>
  <c r="K80" i="18" s="1"/>
  <c r="K90" i="18"/>
  <c r="K92" i="18" s="1"/>
  <c r="K93" i="18" s="1"/>
  <c r="K78" i="18"/>
  <c r="K82" i="18" s="1"/>
  <c r="K40" i="18"/>
  <c r="K44" i="18" s="1"/>
  <c r="H82" i="14"/>
  <c r="J14" i="23"/>
  <c r="J15" i="23" s="1"/>
  <c r="K10" i="28" s="1"/>
  <c r="K12" i="22"/>
  <c r="L4" i="22"/>
  <c r="L106" i="22" s="1"/>
  <c r="K48" i="22"/>
  <c r="K49" i="22" s="1"/>
  <c r="K57" i="22"/>
  <c r="K39" i="22"/>
  <c r="K40" i="22" s="1"/>
  <c r="K103" i="22"/>
  <c r="K105" i="22"/>
  <c r="K66" i="22"/>
  <c r="K67" i="22" s="1"/>
  <c r="K75" i="22"/>
  <c r="K76" i="22" s="1"/>
  <c r="K84" i="22"/>
  <c r="K85" i="22" s="1"/>
  <c r="K93" i="22"/>
  <c r="K94" i="22" s="1"/>
  <c r="K21" i="22"/>
  <c r="K104" i="22"/>
  <c r="K30" i="22"/>
  <c r="K69" i="22"/>
  <c r="K68" i="22"/>
  <c r="K50" i="22"/>
  <c r="K42" i="22"/>
  <c r="K51" i="22"/>
  <c r="K41" i="22"/>
  <c r="K87" i="22"/>
  <c r="K86" i="22"/>
  <c r="K96" i="22"/>
  <c r="K95" i="22"/>
  <c r="I49" i="18"/>
  <c r="I41" i="18"/>
  <c r="J60" i="22"/>
  <c r="J58" i="22"/>
  <c r="J59" i="22"/>
  <c r="J69" i="14"/>
  <c r="J70" i="14" s="1"/>
  <c r="I23" i="15"/>
  <c r="L4" i="15"/>
  <c r="J98" i="18"/>
  <c r="K27" i="22"/>
  <c r="J28" i="22"/>
  <c r="M72" i="22"/>
  <c r="M73" i="22" s="1"/>
  <c r="L73" i="22"/>
  <c r="J87" i="18"/>
  <c r="M47" i="18"/>
  <c r="K19" i="37"/>
  <c r="K32" i="37" s="1"/>
  <c r="J32" i="37"/>
  <c r="K22" i="15" l="1"/>
  <c r="L15" i="28"/>
  <c r="L75" i="14"/>
  <c r="M15" i="28" s="1"/>
  <c r="J17" i="28"/>
  <c r="J18" i="28"/>
  <c r="J27" i="47"/>
  <c r="J28" i="47" s="1"/>
  <c r="K21" i="28"/>
  <c r="H12" i="28"/>
  <c r="J42" i="20"/>
  <c r="J43" i="20" s="1"/>
  <c r="J48" i="20" s="1"/>
  <c r="J43" i="26"/>
  <c r="J44" i="26" s="1"/>
  <c r="J49" i="26" s="1"/>
  <c r="J16" i="28"/>
  <c r="I25" i="19"/>
  <c r="I28" i="19" s="1"/>
  <c r="L21" i="15"/>
  <c r="L19" i="15"/>
  <c r="L10" i="15"/>
  <c r="L18" i="15"/>
  <c r="L16" i="15"/>
  <c r="L17" i="15"/>
  <c r="L12" i="15"/>
  <c r="L20" i="15"/>
  <c r="L9" i="15"/>
  <c r="L11" i="15"/>
  <c r="I26" i="23"/>
  <c r="J25" i="23"/>
  <c r="K20" i="28"/>
  <c r="H6" i="28"/>
  <c r="J24" i="19"/>
  <c r="B6" i="37"/>
  <c r="J37" i="28"/>
  <c r="F72" i="28"/>
  <c r="D26" i="28"/>
  <c r="D31" i="28" s="1"/>
  <c r="D32" i="28" s="1"/>
  <c r="H84" i="18"/>
  <c r="H88" i="18" s="1"/>
  <c r="I12" i="28" s="1"/>
  <c r="G38" i="20"/>
  <c r="G45" i="20" s="1"/>
  <c r="G49" i="20" s="1"/>
  <c r="H20" i="19"/>
  <c r="I6" i="28" s="1"/>
  <c r="F28" i="28"/>
  <c r="F32" i="28" s="1"/>
  <c r="H15" i="20"/>
  <c r="H37" i="20" s="1"/>
  <c r="I10" i="20"/>
  <c r="H14" i="20"/>
  <c r="H36" i="20" s="1"/>
  <c r="H13" i="20"/>
  <c r="H35" i="20" s="1"/>
  <c r="G8" i="28"/>
  <c r="G13" i="28" s="1"/>
  <c r="E23" i="37" s="1"/>
  <c r="F45" i="20"/>
  <c r="F49" i="20" s="1"/>
  <c r="M24" i="18"/>
  <c r="M86" i="18" s="1"/>
  <c r="L86" i="18"/>
  <c r="K41" i="26"/>
  <c r="K43" i="26" s="1"/>
  <c r="K44" i="26" s="1"/>
  <c r="L4" i="26"/>
  <c r="K14" i="26"/>
  <c r="K37" i="26" s="1"/>
  <c r="H9" i="28"/>
  <c r="G111" i="22"/>
  <c r="G115" i="22" s="1"/>
  <c r="I18" i="19"/>
  <c r="I19" i="19"/>
  <c r="K9" i="22"/>
  <c r="K108" i="22" s="1"/>
  <c r="K109" i="22" s="1"/>
  <c r="J10" i="22"/>
  <c r="L4" i="19"/>
  <c r="K14" i="19"/>
  <c r="K17" i="19" s="1"/>
  <c r="K22" i="19"/>
  <c r="J24" i="26"/>
  <c r="J34" i="26" s="1"/>
  <c r="I15" i="22"/>
  <c r="I100" i="22" s="1"/>
  <c r="I14" i="22"/>
  <c r="I99" i="22" s="1"/>
  <c r="I13" i="22"/>
  <c r="I98" i="22" s="1"/>
  <c r="J7" i="28"/>
  <c r="I46" i="26"/>
  <c r="I50" i="26" s="1"/>
  <c r="K31" i="20"/>
  <c r="K33" i="20"/>
  <c r="L4" i="20"/>
  <c r="L30" i="20" s="1"/>
  <c r="K21" i="20"/>
  <c r="K22" i="20" s="1"/>
  <c r="K12" i="20"/>
  <c r="K23" i="20"/>
  <c r="K24" i="20"/>
  <c r="K40" i="20"/>
  <c r="K32" i="20"/>
  <c r="K5" i="28"/>
  <c r="J78" i="14"/>
  <c r="I24" i="28"/>
  <c r="I68" i="18"/>
  <c r="I79" i="18" s="1"/>
  <c r="I60" i="18"/>
  <c r="L39" i="18"/>
  <c r="L42" i="18" s="1"/>
  <c r="L58" i="18"/>
  <c r="L61" i="18" s="1"/>
  <c r="L40" i="18"/>
  <c r="L44" i="18" s="1"/>
  <c r="L59" i="18"/>
  <c r="L63" i="18" s="1"/>
  <c r="M4" i="18"/>
  <c r="L11" i="18"/>
  <c r="L20" i="18"/>
  <c r="L23" i="18" s="1"/>
  <c r="L21" i="18"/>
  <c r="L25" i="18" s="1"/>
  <c r="L78" i="18"/>
  <c r="L82" i="18" s="1"/>
  <c r="L77" i="18"/>
  <c r="L80" i="18" s="1"/>
  <c r="L90" i="18"/>
  <c r="L92" i="18" s="1"/>
  <c r="L93" i="18" s="1"/>
  <c r="H101" i="22"/>
  <c r="L11" i="23"/>
  <c r="L13" i="23" s="1"/>
  <c r="L17" i="23"/>
  <c r="L19" i="23" s="1"/>
  <c r="L20" i="23" s="1"/>
  <c r="M4" i="23"/>
  <c r="J23" i="22"/>
  <c r="J22" i="22"/>
  <c r="J24" i="22"/>
  <c r="M72" i="14"/>
  <c r="M75" i="14" s="1"/>
  <c r="M16" i="14"/>
  <c r="M68" i="14" s="1"/>
  <c r="I82" i="14"/>
  <c r="K58" i="22"/>
  <c r="K60" i="22"/>
  <c r="K59" i="22"/>
  <c r="E10" i="37"/>
  <c r="J32" i="22"/>
  <c r="J31" i="22"/>
  <c r="J33" i="22"/>
  <c r="K14" i="15"/>
  <c r="J81" i="14"/>
  <c r="L12" i="22"/>
  <c r="L39" i="22"/>
  <c r="L40" i="22" s="1"/>
  <c r="L21" i="22"/>
  <c r="L30" i="22"/>
  <c r="M4" i="22"/>
  <c r="M106" i="22" s="1"/>
  <c r="L57" i="22"/>
  <c r="L66" i="22"/>
  <c r="L67" i="22" s="1"/>
  <c r="L75" i="22"/>
  <c r="L76" i="22" s="1"/>
  <c r="L84" i="22"/>
  <c r="L85" i="22" s="1"/>
  <c r="L93" i="22"/>
  <c r="L94" i="22" s="1"/>
  <c r="L48" i="22"/>
  <c r="L49" i="22" s="1"/>
  <c r="L104" i="22"/>
  <c r="L103" i="22"/>
  <c r="L105" i="22"/>
  <c r="L68" i="22"/>
  <c r="L41" i="22"/>
  <c r="L69" i="22"/>
  <c r="L42" i="22"/>
  <c r="L50" i="22"/>
  <c r="L51" i="22"/>
  <c r="L95" i="22"/>
  <c r="L87" i="22"/>
  <c r="L96" i="22"/>
  <c r="L86" i="22"/>
  <c r="L22" i="28"/>
  <c r="K87" i="18"/>
  <c r="K19" i="22"/>
  <c r="L18" i="22"/>
  <c r="K69" i="14"/>
  <c r="K70" i="14" s="1"/>
  <c r="L78" i="22"/>
  <c r="L77" i="22"/>
  <c r="K28" i="22"/>
  <c r="L27" i="22"/>
  <c r="K85" i="18"/>
  <c r="M69" i="29"/>
  <c r="K14" i="23"/>
  <c r="K15" i="23" s="1"/>
  <c r="L10" i="28" s="1"/>
  <c r="M4" i="15"/>
  <c r="K98" i="18"/>
  <c r="J22" i="23"/>
  <c r="K30" i="18"/>
  <c r="K22" i="18"/>
  <c r="J49" i="18"/>
  <c r="J41" i="18"/>
  <c r="J23" i="15"/>
  <c r="J24" i="28" s="1"/>
  <c r="L28" i="14"/>
  <c r="L40" i="14" s="1"/>
  <c r="L52" i="14" s="1"/>
  <c r="L64" i="14" s="1"/>
  <c r="K19" i="28"/>
  <c r="J114" i="22"/>
  <c r="M54" i="22"/>
  <c r="M55" i="22" s="1"/>
  <c r="L55" i="22"/>
  <c r="L22" i="15" l="1"/>
  <c r="L76" i="14"/>
  <c r="K27" i="47"/>
  <c r="K28" i="47" s="1"/>
  <c r="L21" i="28"/>
  <c r="M78" i="22"/>
  <c r="M77" i="22"/>
  <c r="K42" i="20"/>
  <c r="K43" i="20" s="1"/>
  <c r="K48" i="20" s="1"/>
  <c r="K18" i="28"/>
  <c r="K17" i="28"/>
  <c r="J26" i="28"/>
  <c r="J31" i="28" s="1"/>
  <c r="K16" i="28"/>
  <c r="J25" i="19"/>
  <c r="J28" i="19" s="1"/>
  <c r="J26" i="23"/>
  <c r="M19" i="15"/>
  <c r="M10" i="15"/>
  <c r="M16" i="15"/>
  <c r="M22" i="15" s="1"/>
  <c r="M17" i="15"/>
  <c r="M12" i="15"/>
  <c r="M21" i="15"/>
  <c r="M20" i="15"/>
  <c r="M9" i="15"/>
  <c r="M11" i="15"/>
  <c r="M18" i="15"/>
  <c r="K25" i="23"/>
  <c r="L20" i="28"/>
  <c r="K24" i="19"/>
  <c r="I84" i="18"/>
  <c r="I88" i="18" s="1"/>
  <c r="J12" i="28" s="1"/>
  <c r="H8" i="28"/>
  <c r="H13" i="28" s="1"/>
  <c r="F23" i="37" s="1"/>
  <c r="H95" i="18"/>
  <c r="H99" i="18" s="1"/>
  <c r="E72" i="28"/>
  <c r="C4" i="38"/>
  <c r="K49" i="26"/>
  <c r="K23" i="15"/>
  <c r="K24" i="28" s="1"/>
  <c r="H27" i="19"/>
  <c r="H29" i="19" s="1"/>
  <c r="I20" i="19"/>
  <c r="I27" i="19" s="1"/>
  <c r="I29" i="19" s="1"/>
  <c r="G28" i="28"/>
  <c r="G32" i="28" s="1"/>
  <c r="H38" i="20"/>
  <c r="I14" i="20"/>
  <c r="I36" i="20" s="1"/>
  <c r="J10" i="20"/>
  <c r="I15" i="20"/>
  <c r="I37" i="20" s="1"/>
  <c r="I13" i="20"/>
  <c r="I35" i="20" s="1"/>
  <c r="K24" i="26"/>
  <c r="K34" i="26" s="1"/>
  <c r="J19" i="19"/>
  <c r="J18" i="19"/>
  <c r="I101" i="22"/>
  <c r="I111" i="22" s="1"/>
  <c r="I115" i="22" s="1"/>
  <c r="L21" i="20"/>
  <c r="L22" i="20" s="1"/>
  <c r="L31" i="20"/>
  <c r="L33" i="20"/>
  <c r="L23" i="20"/>
  <c r="L12" i="20"/>
  <c r="L40" i="20"/>
  <c r="L42" i="20" s="1"/>
  <c r="L43" i="20" s="1"/>
  <c r="L24" i="20"/>
  <c r="L32" i="20"/>
  <c r="M4" i="20"/>
  <c r="M30" i="20" s="1"/>
  <c r="L41" i="26"/>
  <c r="L43" i="26" s="1"/>
  <c r="L44" i="26" s="1"/>
  <c r="M4" i="26"/>
  <c r="L14" i="26"/>
  <c r="L37" i="26" s="1"/>
  <c r="L87" i="18"/>
  <c r="L9" i="22"/>
  <c r="L108" i="22" s="1"/>
  <c r="L109" i="22" s="1"/>
  <c r="K10" i="22"/>
  <c r="M4" i="19"/>
  <c r="L14" i="19"/>
  <c r="L17" i="19" s="1"/>
  <c r="L22" i="19"/>
  <c r="J38" i="26"/>
  <c r="J39" i="26" s="1"/>
  <c r="L17" i="28"/>
  <c r="J15" i="22"/>
  <c r="J100" i="22" s="1"/>
  <c r="J14" i="22"/>
  <c r="J99" i="22" s="1"/>
  <c r="J13" i="22"/>
  <c r="J98" i="22" s="1"/>
  <c r="J68" i="18"/>
  <c r="J79" i="18" s="1"/>
  <c r="J60" i="18"/>
  <c r="K49" i="18"/>
  <c r="K41" i="18"/>
  <c r="K31" i="22"/>
  <c r="K33" i="22"/>
  <c r="K32" i="22"/>
  <c r="L14" i="23"/>
  <c r="L15" i="23" s="1"/>
  <c r="M10" i="28" s="1"/>
  <c r="I9" i="28"/>
  <c r="H111" i="22"/>
  <c r="H115" i="22" s="1"/>
  <c r="L59" i="22"/>
  <c r="L58" i="22"/>
  <c r="L60" i="22"/>
  <c r="K22" i="23"/>
  <c r="M18" i="22"/>
  <c r="L19" i="22"/>
  <c r="M66" i="22"/>
  <c r="M67" i="22" s="1"/>
  <c r="M75" i="22"/>
  <c r="M76" i="22" s="1"/>
  <c r="M48" i="22"/>
  <c r="M49" i="22" s="1"/>
  <c r="M21" i="22"/>
  <c r="M30" i="22"/>
  <c r="M104" i="22"/>
  <c r="M39" i="22"/>
  <c r="M40" i="22" s="1"/>
  <c r="M103" i="22"/>
  <c r="M105" i="22"/>
  <c r="M12" i="22"/>
  <c r="M57" i="22"/>
  <c r="M58" i="22" s="1"/>
  <c r="M84" i="22"/>
  <c r="M85" i="22" s="1"/>
  <c r="M93" i="22"/>
  <c r="M94" i="22" s="1"/>
  <c r="M50" i="22"/>
  <c r="M41" i="22"/>
  <c r="M42" i="22"/>
  <c r="M69" i="22"/>
  <c r="M51" i="22"/>
  <c r="M68" i="22"/>
  <c r="M86" i="22"/>
  <c r="M96" i="22"/>
  <c r="M87" i="22"/>
  <c r="M95" i="22"/>
  <c r="M22" i="28"/>
  <c r="L85" i="18"/>
  <c r="J82" i="14"/>
  <c r="M60" i="22"/>
  <c r="M59" i="22"/>
  <c r="L14" i="15"/>
  <c r="K81" i="14"/>
  <c r="N4" i="15"/>
  <c r="L98" i="18"/>
  <c r="N69" i="29"/>
  <c r="I70" i="29" s="1"/>
  <c r="L5" i="28"/>
  <c r="K78" i="14"/>
  <c r="K22" i="22"/>
  <c r="K24" i="22"/>
  <c r="K23" i="22"/>
  <c r="L19" i="28"/>
  <c r="K114" i="22"/>
  <c r="M17" i="23"/>
  <c r="M11" i="23"/>
  <c r="M13" i="23" s="1"/>
  <c r="H8" i="37"/>
  <c r="H10" i="37" s="1"/>
  <c r="L30" i="18"/>
  <c r="L22" i="18"/>
  <c r="L69" i="14"/>
  <c r="L70" i="14" s="1"/>
  <c r="L28" i="22"/>
  <c r="M27" i="22"/>
  <c r="M28" i="22" s="1"/>
  <c r="M28" i="14"/>
  <c r="M40" i="14" s="1"/>
  <c r="M52" i="14" s="1"/>
  <c r="M64" i="14" s="1"/>
  <c r="M11" i="18"/>
  <c r="M20" i="18"/>
  <c r="M23" i="18" s="1"/>
  <c r="M21" i="18"/>
  <c r="M25" i="18" s="1"/>
  <c r="M40" i="18"/>
  <c r="M44" i="18" s="1"/>
  <c r="M59" i="18"/>
  <c r="M63" i="18" s="1"/>
  <c r="M78" i="18"/>
  <c r="M82" i="18" s="1"/>
  <c r="M39" i="18"/>
  <c r="M42" i="18" s="1"/>
  <c r="M77" i="18"/>
  <c r="M80" i="18" s="1"/>
  <c r="M90" i="18"/>
  <c r="M92" i="18" s="1"/>
  <c r="M93" i="18" s="1"/>
  <c r="M58" i="18"/>
  <c r="M61" i="18" s="1"/>
  <c r="G8" i="37"/>
  <c r="I26" i="28"/>
  <c r="I31" i="28" s="1"/>
  <c r="K26" i="23" l="1"/>
  <c r="L27" i="47"/>
  <c r="L28" i="47" s="1"/>
  <c r="M21" i="28"/>
  <c r="K26" i="28"/>
  <c r="K31" i="28" s="1"/>
  <c r="L18" i="28"/>
  <c r="K25" i="19"/>
  <c r="K28" i="19" s="1"/>
  <c r="G74" i="14"/>
  <c r="M76" i="14"/>
  <c r="N19" i="15"/>
  <c r="N10" i="15"/>
  <c r="N16" i="15"/>
  <c r="F75" i="28" s="1"/>
  <c r="N17" i="15"/>
  <c r="N12" i="15"/>
  <c r="F80" i="28" s="1"/>
  <c r="N20" i="15"/>
  <c r="F77" i="28" s="1"/>
  <c r="N9" i="15"/>
  <c r="N11" i="15"/>
  <c r="N18" i="15"/>
  <c r="N21" i="15"/>
  <c r="L25" i="23"/>
  <c r="M20" i="28"/>
  <c r="D74" i="14"/>
  <c r="M74" i="14"/>
  <c r="F74" i="14"/>
  <c r="L74" i="14"/>
  <c r="E74" i="14"/>
  <c r="J74" i="14"/>
  <c r="N15" i="28"/>
  <c r="F64" i="28" s="1"/>
  <c r="E64" i="28" s="1"/>
  <c r="H74" i="14"/>
  <c r="C74" i="14"/>
  <c r="K74" i="14"/>
  <c r="I74" i="14"/>
  <c r="M19" i="23"/>
  <c r="J18" i="23" s="1"/>
  <c r="K70" i="29"/>
  <c r="G70" i="29"/>
  <c r="F70" i="29"/>
  <c r="E70" i="29"/>
  <c r="N70" i="29"/>
  <c r="H70" i="29"/>
  <c r="E71" i="29"/>
  <c r="J70" i="29"/>
  <c r="M70" i="29"/>
  <c r="K71" i="29"/>
  <c r="L70" i="29"/>
  <c r="H71" i="29"/>
  <c r="M19" i="22"/>
  <c r="M22" i="22" s="1"/>
  <c r="L16" i="28"/>
  <c r="L24" i="19"/>
  <c r="I95" i="18"/>
  <c r="I99" i="18" s="1"/>
  <c r="I8" i="37"/>
  <c r="I10" i="37" s="1"/>
  <c r="J84" i="18"/>
  <c r="J88" i="18" s="1"/>
  <c r="K12" i="28" s="1"/>
  <c r="J20" i="19"/>
  <c r="J27" i="19" s="1"/>
  <c r="J29" i="19" s="1"/>
  <c r="J6" i="28"/>
  <c r="H28" i="28"/>
  <c r="H32" i="28" s="1"/>
  <c r="K10" i="20"/>
  <c r="J15" i="20"/>
  <c r="J37" i="20" s="1"/>
  <c r="J14" i="20"/>
  <c r="J36" i="20" s="1"/>
  <c r="J13" i="20"/>
  <c r="J35" i="20" s="1"/>
  <c r="H45" i="20"/>
  <c r="H49" i="20" s="1"/>
  <c r="I8" i="28"/>
  <c r="I13" i="28" s="1"/>
  <c r="I38" i="20"/>
  <c r="J9" i="28"/>
  <c r="K7" i="28"/>
  <c r="J46" i="26"/>
  <c r="J50" i="26" s="1"/>
  <c r="L24" i="26"/>
  <c r="L34" i="26" s="1"/>
  <c r="L38" i="26"/>
  <c r="L39" i="26" s="1"/>
  <c r="M18" i="28"/>
  <c r="K82" i="14"/>
  <c r="L49" i="26"/>
  <c r="K15" i="22"/>
  <c r="K100" i="22" s="1"/>
  <c r="K14" i="22"/>
  <c r="K99" i="22" s="1"/>
  <c r="K13" i="22"/>
  <c r="K98" i="22" s="1"/>
  <c r="M41" i="26"/>
  <c r="M43" i="26" s="1"/>
  <c r="M44" i="26" s="1"/>
  <c r="M14" i="26"/>
  <c r="M37" i="26" s="1"/>
  <c r="L48" i="20"/>
  <c r="K18" i="19"/>
  <c r="K19" i="19"/>
  <c r="L10" i="22"/>
  <c r="M9" i="22"/>
  <c r="M10" i="22" s="1"/>
  <c r="M13" i="22" s="1"/>
  <c r="M23" i="20"/>
  <c r="M32" i="20"/>
  <c r="M24" i="20"/>
  <c r="M33" i="20"/>
  <c r="M40" i="20"/>
  <c r="M12" i="20"/>
  <c r="M31" i="20"/>
  <c r="M21" i="20"/>
  <c r="M22" i="20" s="1"/>
  <c r="K38" i="26"/>
  <c r="K39" i="26" s="1"/>
  <c r="M87" i="18"/>
  <c r="M17" i="28"/>
  <c r="M14" i="19"/>
  <c r="M17" i="19" s="1"/>
  <c r="M22" i="19"/>
  <c r="M24" i="19" s="1"/>
  <c r="M25" i="19" s="1"/>
  <c r="M14" i="23"/>
  <c r="M15" i="23" s="1"/>
  <c r="N10" i="28" s="1"/>
  <c r="M14" i="15"/>
  <c r="L81" i="14"/>
  <c r="M19" i="28"/>
  <c r="L114" i="22"/>
  <c r="J101" i="22"/>
  <c r="K68" i="18"/>
  <c r="K79" i="18" s="1"/>
  <c r="K60" i="18"/>
  <c r="L32" i="22"/>
  <c r="L33" i="22"/>
  <c r="L31" i="22"/>
  <c r="M85" i="18"/>
  <c r="M5" i="28"/>
  <c r="L78" i="14"/>
  <c r="G10" i="37"/>
  <c r="N22" i="28"/>
  <c r="F71" i="28" s="1"/>
  <c r="E71" i="28" s="1"/>
  <c r="M91" i="18"/>
  <c r="F91" i="18"/>
  <c r="E91" i="18"/>
  <c r="C91" i="18"/>
  <c r="I91" i="18"/>
  <c r="J91" i="18"/>
  <c r="K91" i="18"/>
  <c r="D91" i="18"/>
  <c r="G91" i="18"/>
  <c r="H91" i="18"/>
  <c r="M30" i="18"/>
  <c r="M22" i="18"/>
  <c r="L49" i="18"/>
  <c r="L41" i="18"/>
  <c r="M98" i="18"/>
  <c r="L23" i="15"/>
  <c r="L24" i="28" s="1"/>
  <c r="L91" i="18"/>
  <c r="L23" i="22"/>
  <c r="L24" i="22"/>
  <c r="L22" i="22"/>
  <c r="L22" i="23"/>
  <c r="M69" i="14"/>
  <c r="M70" i="14" s="1"/>
  <c r="M33" i="22"/>
  <c r="M31" i="22"/>
  <c r="M32" i="22"/>
  <c r="M24" i="22"/>
  <c r="F78" i="28" l="1"/>
  <c r="F76" i="28"/>
  <c r="M23" i="22"/>
  <c r="N22" i="15"/>
  <c r="G18" i="23"/>
  <c r="M27" i="47"/>
  <c r="M28" i="47" s="1"/>
  <c r="C29" i="47" s="1"/>
  <c r="N21" i="28"/>
  <c r="F70" i="28" s="1"/>
  <c r="E70" i="28" s="1"/>
  <c r="I18" i="23"/>
  <c r="M20" i="23"/>
  <c r="N20" i="28" s="1"/>
  <c r="F69" i="28" s="1"/>
  <c r="E69" i="28" s="1"/>
  <c r="K18" i="23"/>
  <c r="L18" i="23"/>
  <c r="D18" i="23"/>
  <c r="H18" i="23"/>
  <c r="E18" i="23"/>
  <c r="M18" i="23"/>
  <c r="C18" i="23"/>
  <c r="F18" i="23"/>
  <c r="L26" i="23"/>
  <c r="M98" i="22"/>
  <c r="M42" i="20"/>
  <c r="M43" i="20" s="1"/>
  <c r="M48" i="20" s="1"/>
  <c r="M16" i="28"/>
  <c r="L25" i="19"/>
  <c r="L28" i="19" s="1"/>
  <c r="M49" i="26"/>
  <c r="M108" i="22"/>
  <c r="K84" i="18"/>
  <c r="K88" i="18" s="1"/>
  <c r="L12" i="28" s="1"/>
  <c r="L26" i="28"/>
  <c r="L31" i="28" s="1"/>
  <c r="F42" i="26"/>
  <c r="L42" i="26"/>
  <c r="J95" i="18"/>
  <c r="J99" i="18" s="1"/>
  <c r="K6" i="28"/>
  <c r="J42" i="26"/>
  <c r="J38" i="20"/>
  <c r="J45" i="20" s="1"/>
  <c r="J49" i="20" s="1"/>
  <c r="K20" i="19"/>
  <c r="L6" i="28" s="1"/>
  <c r="M28" i="19"/>
  <c r="L82" i="14"/>
  <c r="G23" i="37"/>
  <c r="I28" i="28"/>
  <c r="I32" i="28" s="1"/>
  <c r="I45" i="20"/>
  <c r="I49" i="20" s="1"/>
  <c r="J8" i="28"/>
  <c r="J13" i="28" s="1"/>
  <c r="L10" i="20"/>
  <c r="K15" i="20"/>
  <c r="K37" i="20" s="1"/>
  <c r="K14" i="20"/>
  <c r="K36" i="20" s="1"/>
  <c r="K13" i="20"/>
  <c r="K35" i="20" s="1"/>
  <c r="K46" i="26"/>
  <c r="K50" i="26" s="1"/>
  <c r="L7" i="28"/>
  <c r="M7" i="28"/>
  <c r="L46" i="26"/>
  <c r="L50" i="26" s="1"/>
  <c r="L19" i="19"/>
  <c r="L18" i="19"/>
  <c r="L14" i="22"/>
  <c r="L99" i="22" s="1"/>
  <c r="L15" i="22"/>
  <c r="L100" i="22" s="1"/>
  <c r="L13" i="22"/>
  <c r="L98" i="22" s="1"/>
  <c r="D42" i="26"/>
  <c r="N17" i="28"/>
  <c r="F66" i="28" s="1"/>
  <c r="E66" i="28" s="1"/>
  <c r="M42" i="26"/>
  <c r="H42" i="26"/>
  <c r="E42" i="26"/>
  <c r="C23" i="19"/>
  <c r="D23" i="19"/>
  <c r="G23" i="19"/>
  <c r="K23" i="19"/>
  <c r="N16" i="28"/>
  <c r="F23" i="19"/>
  <c r="I23" i="19"/>
  <c r="H23" i="19"/>
  <c r="E23" i="19"/>
  <c r="J23" i="19"/>
  <c r="L23" i="19"/>
  <c r="M23" i="19"/>
  <c r="K42" i="26"/>
  <c r="I42" i="26"/>
  <c r="M14" i="22"/>
  <c r="M15" i="22"/>
  <c r="M100" i="22" s="1"/>
  <c r="K101" i="22"/>
  <c r="M24" i="26"/>
  <c r="M34" i="26" s="1"/>
  <c r="M38" i="26"/>
  <c r="M39" i="26" s="1"/>
  <c r="C42" i="26"/>
  <c r="G42" i="26"/>
  <c r="L68" i="18"/>
  <c r="L79" i="18" s="1"/>
  <c r="L60" i="18"/>
  <c r="K9" i="28"/>
  <c r="J111" i="22"/>
  <c r="J115" i="22" s="1"/>
  <c r="M23" i="15"/>
  <c r="M24" i="28" s="1"/>
  <c r="M22" i="23"/>
  <c r="M49" i="18"/>
  <c r="M41" i="18"/>
  <c r="N5" i="28"/>
  <c r="M78" i="14"/>
  <c r="N14" i="15"/>
  <c r="M81" i="14"/>
  <c r="J8" i="37"/>
  <c r="E82" i="28" l="1"/>
  <c r="M71" i="28"/>
  <c r="C13" i="38" s="1"/>
  <c r="M99" i="22"/>
  <c r="M101" i="22" s="1"/>
  <c r="M26" i="28"/>
  <c r="M31" i="28" s="1"/>
  <c r="I41" i="20"/>
  <c r="E41" i="20"/>
  <c r="L41" i="20"/>
  <c r="M25" i="23"/>
  <c r="H41" i="20"/>
  <c r="K41" i="20"/>
  <c r="J41" i="20"/>
  <c r="D41" i="20"/>
  <c r="C41" i="20"/>
  <c r="G41" i="20"/>
  <c r="F65" i="28"/>
  <c r="E65" i="28" s="1"/>
  <c r="N18" i="28"/>
  <c r="F67" i="28" s="1"/>
  <c r="E67" i="28" s="1"/>
  <c r="M41" i="20"/>
  <c r="C30" i="47"/>
  <c r="G107" i="22"/>
  <c r="M109" i="22"/>
  <c r="M114" i="22" s="1"/>
  <c r="F41" i="20"/>
  <c r="K95" i="18"/>
  <c r="K99" i="18" s="1"/>
  <c r="K8" i="28"/>
  <c r="K13" i="28" s="1"/>
  <c r="I23" i="37" s="1"/>
  <c r="K27" i="19"/>
  <c r="K29" i="19" s="1"/>
  <c r="L20" i="19"/>
  <c r="M6" i="28" s="1"/>
  <c r="K38" i="20"/>
  <c r="K45" i="20" s="1"/>
  <c r="K49" i="20" s="1"/>
  <c r="H23" i="37"/>
  <c r="J28" i="28"/>
  <c r="J32" i="28" s="1"/>
  <c r="L15" i="20"/>
  <c r="L37" i="20" s="1"/>
  <c r="L14" i="20"/>
  <c r="L36" i="20" s="1"/>
  <c r="M10" i="20"/>
  <c r="L13" i="20"/>
  <c r="L35" i="20" s="1"/>
  <c r="C107" i="22"/>
  <c r="J107" i="22"/>
  <c r="L107" i="22"/>
  <c r="K107" i="22"/>
  <c r="E107" i="22"/>
  <c r="D107" i="22"/>
  <c r="N19" i="28"/>
  <c r="F68" i="28" s="1"/>
  <c r="I107" i="22"/>
  <c r="M107" i="22"/>
  <c r="L101" i="22"/>
  <c r="M9" i="28" s="1"/>
  <c r="K8" i="37"/>
  <c r="K10" i="37" s="1"/>
  <c r="M46" i="26"/>
  <c r="N7" i="28"/>
  <c r="L84" i="18"/>
  <c r="L88" i="18" s="1"/>
  <c r="L95" i="18" s="1"/>
  <c r="L99" i="18" s="1"/>
  <c r="M18" i="19"/>
  <c r="M19" i="19"/>
  <c r="L9" i="28"/>
  <c r="K111" i="22"/>
  <c r="K115" i="22" s="1"/>
  <c r="F107" i="22"/>
  <c r="H107" i="22"/>
  <c r="J10" i="37"/>
  <c r="M23" i="23"/>
  <c r="M24" i="23" s="1"/>
  <c r="M79" i="14"/>
  <c r="M68" i="18"/>
  <c r="M79" i="18" s="1"/>
  <c r="M60" i="18"/>
  <c r="N23" i="15"/>
  <c r="D24" i="15" s="1"/>
  <c r="F82" i="28"/>
  <c r="L27" i="19" l="1"/>
  <c r="L29" i="19" s="1"/>
  <c r="F83" i="28"/>
  <c r="M26" i="23"/>
  <c r="C27" i="23" s="1"/>
  <c r="M84" i="18"/>
  <c r="M88" i="18" s="1"/>
  <c r="M95" i="18" s="1"/>
  <c r="M80" i="14"/>
  <c r="M82" i="14" s="1"/>
  <c r="C83" i="14" s="1"/>
  <c r="M12" i="28"/>
  <c r="K28" i="28"/>
  <c r="K32" i="28" s="1"/>
  <c r="L8" i="28"/>
  <c r="L13" i="28" s="1"/>
  <c r="M20" i="19"/>
  <c r="N6" i="28" s="1"/>
  <c r="M15" i="20"/>
  <c r="M37" i="20" s="1"/>
  <c r="M14" i="20"/>
  <c r="M36" i="20" s="1"/>
  <c r="M13" i="20"/>
  <c r="M35" i="20" s="1"/>
  <c r="L38" i="20"/>
  <c r="L111" i="22"/>
  <c r="L115" i="22" s="1"/>
  <c r="N9" i="28"/>
  <c r="M111" i="22"/>
  <c r="M112" i="22" s="1"/>
  <c r="M47" i="26"/>
  <c r="M48" i="26" s="1"/>
  <c r="C28" i="23"/>
  <c r="N24" i="28"/>
  <c r="E68" i="28"/>
  <c r="C6" i="38"/>
  <c r="N12" i="28" l="1"/>
  <c r="M113" i="22"/>
  <c r="M115" i="22" s="1"/>
  <c r="C117" i="22" s="1"/>
  <c r="M27" i="19"/>
  <c r="M29" i="19" s="1"/>
  <c r="C30" i="19" s="1"/>
  <c r="J23" i="37"/>
  <c r="L28" i="28"/>
  <c r="L32" i="28" s="1"/>
  <c r="C84" i="14"/>
  <c r="L45" i="20"/>
  <c r="L49" i="20" s="1"/>
  <c r="M8" i="28"/>
  <c r="M13" i="28" s="1"/>
  <c r="M38" i="20"/>
  <c r="M50" i="26"/>
  <c r="L8" i="37"/>
  <c r="N26" i="28"/>
  <c r="N31" i="28" s="1"/>
  <c r="M96" i="18"/>
  <c r="M97" i="18" s="1"/>
  <c r="C31" i="19" l="1"/>
  <c r="C116" i="22"/>
  <c r="M99" i="18"/>
  <c r="C100" i="18" s="1"/>
  <c r="M45" i="20"/>
  <c r="N8" i="28"/>
  <c r="N13" i="28" s="1"/>
  <c r="N28" i="28" s="1"/>
  <c r="K23" i="37"/>
  <c r="M28" i="28"/>
  <c r="M32" i="28" s="1"/>
  <c r="C52" i="26"/>
  <c r="C51" i="26"/>
  <c r="L10" i="37"/>
  <c r="M8" i="37"/>
  <c r="C101" i="18" l="1"/>
  <c r="L23" i="37"/>
  <c r="M23" i="37" s="1"/>
  <c r="M46" i="20"/>
  <c r="N29" i="28" s="1"/>
  <c r="M6" i="37"/>
  <c r="M47" i="20" l="1"/>
  <c r="M49" i="20" s="1"/>
  <c r="L30" i="37" l="1"/>
  <c r="M30" i="37" s="1"/>
  <c r="N30" i="28"/>
  <c r="L31" i="37" s="1"/>
  <c r="M31" i="37" s="1"/>
  <c r="J38" i="28"/>
  <c r="C29" i="28"/>
  <c r="C50" i="20"/>
  <c r="C51" i="20"/>
  <c r="N32" i="28" l="1"/>
  <c r="C35" i="28" s="1"/>
  <c r="C37" i="28" l="1"/>
  <c r="F95" i="28" l="1"/>
  <c r="C8" i="38" l="1"/>
  <c r="B9" i="37"/>
  <c r="B10" i="37" s="1"/>
  <c r="C11" i="38" l="1"/>
  <c r="C12" i="38" s="1"/>
  <c r="M65" i="28" s="1"/>
  <c r="M9" i="37"/>
  <c r="M10" i="37" s="1"/>
  <c r="B13" i="37"/>
  <c r="M68" i="28" l="1"/>
  <c r="C36" i="28" s="1"/>
  <c r="B28" i="37"/>
  <c r="B14" i="37"/>
  <c r="C13" i="37"/>
  <c r="D13" i="37" s="1"/>
  <c r="C16" i="38"/>
  <c r="M74" i="28" l="1"/>
  <c r="N71" i="28" s="1"/>
  <c r="E13" i="37"/>
  <c r="F13" i="37" s="1"/>
  <c r="C14" i="37"/>
  <c r="C15" i="37" s="1"/>
  <c r="C18" i="37" s="1"/>
  <c r="C28" i="37"/>
  <c r="B15" i="37"/>
  <c r="B18" i="37" s="1"/>
  <c r="D28" i="37"/>
  <c r="D14" i="37"/>
  <c r="N65" i="28" l="1"/>
  <c r="N68" i="28"/>
  <c r="E28" i="37"/>
  <c r="E14" i="37"/>
  <c r="E15" i="37" s="1"/>
  <c r="E18" i="37" s="1"/>
  <c r="E33" i="28"/>
  <c r="C24" i="37"/>
  <c r="C25" i="37" s="1"/>
  <c r="C29" i="37" s="1"/>
  <c r="C33" i="37" s="1"/>
  <c r="C20" i="37"/>
  <c r="D15" i="37"/>
  <c r="D18" i="37" s="1"/>
  <c r="D33" i="28"/>
  <c r="B20" i="37"/>
  <c r="B24" i="37"/>
  <c r="F28" i="37"/>
  <c r="F14" i="37"/>
  <c r="G13" i="37"/>
  <c r="H13" i="37" s="1"/>
  <c r="N74" i="28" l="1"/>
  <c r="H14" i="37"/>
  <c r="H28" i="37"/>
  <c r="D24" i="37"/>
  <c r="D25" i="37" s="1"/>
  <c r="D29" i="37" s="1"/>
  <c r="D33" i="37" s="1"/>
  <c r="D20" i="37"/>
  <c r="F33" i="28"/>
  <c r="I13" i="37"/>
  <c r="J13" i="37" s="1"/>
  <c r="B25" i="37"/>
  <c r="B29" i="37" s="1"/>
  <c r="G33" i="28"/>
  <c r="E20" i="37"/>
  <c r="E24" i="37"/>
  <c r="E25" i="37" s="1"/>
  <c r="E29" i="37" s="1"/>
  <c r="E33" i="37" s="1"/>
  <c r="G14" i="37"/>
  <c r="G15" i="37" s="1"/>
  <c r="G18" i="37" s="1"/>
  <c r="G28" i="37"/>
  <c r="F15" i="37"/>
  <c r="F18" i="37" s="1"/>
  <c r="I33" i="28" l="1"/>
  <c r="G20" i="37"/>
  <c r="G24" i="37"/>
  <c r="G25" i="37" s="1"/>
  <c r="G29" i="37" s="1"/>
  <c r="G33" i="37" s="1"/>
  <c r="J28" i="37"/>
  <c r="J14" i="37"/>
  <c r="I28" i="37"/>
  <c r="I14" i="37"/>
  <c r="B33" i="37"/>
  <c r="H15" i="37"/>
  <c r="H18" i="37" s="1"/>
  <c r="H33" i="28"/>
  <c r="F24" i="37"/>
  <c r="F25" i="37" s="1"/>
  <c r="F29" i="37" s="1"/>
  <c r="F33" i="37" s="1"/>
  <c r="F20" i="37"/>
  <c r="K13" i="37"/>
  <c r="K28" i="37" l="1"/>
  <c r="K14" i="37"/>
  <c r="L13" i="37"/>
  <c r="J15" i="37"/>
  <c r="J18" i="37" s="1"/>
  <c r="H24" i="37"/>
  <c r="H20" i="37"/>
  <c r="J33" i="28"/>
  <c r="I15" i="37"/>
  <c r="I18" i="37" s="1"/>
  <c r="K33" i="28" l="1"/>
  <c r="I24" i="37"/>
  <c r="I25" i="37" s="1"/>
  <c r="I29" i="37" s="1"/>
  <c r="I33" i="37" s="1"/>
  <c r="I20" i="37"/>
  <c r="J20" i="37"/>
  <c r="L33" i="28"/>
  <c r="J24" i="37"/>
  <c r="J25" i="37" s="1"/>
  <c r="J29" i="37" s="1"/>
  <c r="J33" i="37" s="1"/>
  <c r="H25" i="37"/>
  <c r="H29" i="37" s="1"/>
  <c r="K15" i="37"/>
  <c r="K18" i="37" s="1"/>
  <c r="L28" i="37"/>
  <c r="L14" i="37"/>
  <c r="M14" i="37" s="1"/>
  <c r="M13" i="37"/>
  <c r="L15" i="37" l="1"/>
  <c r="K24" i="37"/>
  <c r="K25" i="37" s="1"/>
  <c r="K29" i="37" s="1"/>
  <c r="K33" i="37" s="1"/>
  <c r="M33" i="28"/>
  <c r="K20" i="37"/>
  <c r="H33" i="37"/>
  <c r="M28" i="37"/>
  <c r="L19" i="37" l="1"/>
  <c r="L18" i="37"/>
  <c r="L32" i="37" l="1"/>
  <c r="M32" i="37" s="1"/>
  <c r="M19" i="37"/>
  <c r="N33" i="28"/>
  <c r="L20" i="37"/>
  <c r="L24" i="37"/>
  <c r="M18" i="37"/>
  <c r="M20" i="37" l="1"/>
  <c r="L25" i="37"/>
  <c r="L29" i="37" s="1"/>
  <c r="M24" i="37"/>
  <c r="M25" i="37" s="1"/>
  <c r="L33" i="37" l="1"/>
  <c r="M29" i="37"/>
  <c r="M33" i="37" s="1"/>
  <c r="B35" i="37" l="1"/>
  <c r="C38" i="28" s="1"/>
  <c r="B34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Hank</author>
  </authors>
  <commentList>
    <comment ref="C22" authorId="0" shapeId="0" xr:uid="{A34F21EB-E83F-449D-81B2-D6AE12746A34}">
      <text>
        <r>
          <rPr>
            <b/>
            <sz val="9"/>
            <color indexed="81"/>
            <rFont val="Tahoma"/>
            <family val="2"/>
          </rPr>
          <t>Hank:</t>
        </r>
        <r>
          <rPr>
            <sz val="9"/>
            <color indexed="81"/>
            <rFont val="Tahoma"/>
            <family val="2"/>
          </rPr>
          <t xml:space="preserve">
Based on High-rise Apt development cost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Hank</author>
  </authors>
  <commentList>
    <comment ref="C14" authorId="0" shapeId="0" xr:uid="{E6256F97-F0F2-4CDD-A66A-0E8521483166}">
      <text>
        <r>
          <rPr>
            <b/>
            <sz val="9"/>
            <color indexed="81"/>
            <rFont val="Tahoma"/>
            <family val="2"/>
          </rPr>
          <t>Hank:</t>
        </r>
        <r>
          <rPr>
            <sz val="9"/>
            <color indexed="81"/>
            <rFont val="Tahoma"/>
            <family val="2"/>
          </rPr>
          <t xml:space="preserve">
Based on reducing market rate by 50%</t>
        </r>
      </text>
    </comment>
  </commentList>
</comments>
</file>

<file path=xl/sharedStrings.xml><?xml version="1.0" encoding="utf-8"?>
<sst xmlns="http://schemas.openxmlformats.org/spreadsheetml/2006/main" count="1846" uniqueCount="654">
  <si>
    <t xml:space="preserve">Net Operating Income </t>
  </si>
  <si>
    <t>Total Net Operating Income</t>
  </si>
  <si>
    <t>Development Costs</t>
  </si>
  <si>
    <t>Total Development Costs</t>
  </si>
  <si>
    <t>Annual Cash Flow</t>
  </si>
  <si>
    <t>Net Operating Income</t>
  </si>
  <si>
    <t>Net Cash Flow</t>
  </si>
  <si>
    <t xml:space="preserve">Commercial Infrastructure </t>
  </si>
  <si>
    <t xml:space="preserve">Other Infrastructure </t>
  </si>
  <si>
    <t xml:space="preserve">Total Infrastructure Costs </t>
  </si>
  <si>
    <t>Revenue Assumptions</t>
  </si>
  <si>
    <t>Inflation Factor</t>
  </si>
  <si>
    <t>Gross Lease Revenues</t>
  </si>
  <si>
    <t>Percent Built by Year</t>
  </si>
  <si>
    <t>Assumptions</t>
  </si>
  <si>
    <t>Sale Revenues</t>
  </si>
  <si>
    <t>Leasing Revenues</t>
  </si>
  <si>
    <t>Room Revenues</t>
  </si>
  <si>
    <t>Monthly Parking Fee</t>
  </si>
  <si>
    <t>Allocation to Monthly Use</t>
  </si>
  <si>
    <t>Percent Occupancy by Monthly Contracts</t>
  </si>
  <si>
    <t>Nonwork Days</t>
  </si>
  <si>
    <t>Daily Parking Hours</t>
  </si>
  <si>
    <t>Percent Utilization</t>
  </si>
  <si>
    <t>Work Days</t>
  </si>
  <si>
    <t>Hourly Parking Rate</t>
  </si>
  <si>
    <t>Net Present Value</t>
  </si>
  <si>
    <t>Structured Parking Spaces</t>
  </si>
  <si>
    <t>Total Costs of Sale</t>
  </si>
  <si>
    <t>Total Buildout</t>
  </si>
  <si>
    <t>Project Buildout by Area</t>
  </si>
  <si>
    <t>Total</t>
  </si>
  <si>
    <t>Subtotal</t>
  </si>
  <si>
    <t>Total Infrastructure Costs</t>
  </si>
  <si>
    <t>Total Costs</t>
  </si>
  <si>
    <t>Net Present Value of Costs</t>
  </si>
  <si>
    <t>Phase I</t>
  </si>
  <si>
    <t>Projected Unit Absorption</t>
  </si>
  <si>
    <t>Average Unit Size</t>
  </si>
  <si>
    <t>Net Rentable Area</t>
  </si>
  <si>
    <t>Occupancy Factor</t>
  </si>
  <si>
    <t>Net Usable Area</t>
  </si>
  <si>
    <t>Builder Profit</t>
  </si>
  <si>
    <t>Cost of Sales</t>
  </si>
  <si>
    <t>Vacancy Factor</t>
  </si>
  <si>
    <t>Rooms Completed</t>
  </si>
  <si>
    <t>Average Daily Room Rate</t>
  </si>
  <si>
    <t>Retail</t>
  </si>
  <si>
    <t>Hotel</t>
  </si>
  <si>
    <t>Structured Parking</t>
  </si>
  <si>
    <t>Amount</t>
  </si>
  <si>
    <t>Unit Cost</t>
  </si>
  <si>
    <t>Landscaping</t>
  </si>
  <si>
    <t>Public</t>
  </si>
  <si>
    <t>Private</t>
  </si>
  <si>
    <t>Year 0</t>
  </si>
  <si>
    <t xml:space="preserve">Total Asset Value </t>
  </si>
  <si>
    <t>Asset Value</t>
  </si>
  <si>
    <t>Costs of Sale</t>
  </si>
  <si>
    <t>Unleveraged IRR Before Taxes</t>
  </si>
  <si>
    <t>1. Summary Proforma</t>
  </si>
  <si>
    <t>Market-Rate Rental Housing</t>
  </si>
  <si>
    <t>Market-Rate For-Sale Housing</t>
  </si>
  <si>
    <t>Affordable Rental Housing</t>
  </si>
  <si>
    <t>Office</t>
  </si>
  <si>
    <t>Market-Rate Retail</t>
  </si>
  <si>
    <t>Land Acquisition Costs</t>
  </si>
  <si>
    <t>Loan to Value (LTV)</t>
  </si>
  <si>
    <t>Unleveraged IRR (Before Taxes)</t>
  </si>
  <si>
    <t>Current Site Value (Start of Year 0)</t>
  </si>
  <si>
    <t>Projected Site Value (End of Year 10)</t>
  </si>
  <si>
    <t>2. Multi-Year Development Program</t>
  </si>
  <si>
    <t>Project Buildout by Development Units (Excludes Public Assets)</t>
  </si>
  <si>
    <t>% of Total</t>
  </si>
  <si>
    <t>Equity Sources (Total)</t>
  </si>
  <si>
    <t>Financing Sources (Total)</t>
  </si>
  <si>
    <t>Public Subsidies (Total, If Any)</t>
  </si>
  <si>
    <t>Phase II</t>
  </si>
  <si>
    <t>Phase III</t>
  </si>
  <si>
    <t>Development Schedule</t>
  </si>
  <si>
    <t>ULI Urban Design Competition</t>
  </si>
  <si>
    <t>Total SF</t>
  </si>
  <si>
    <t>Product Type</t>
  </si>
  <si>
    <t>Parking Garage</t>
  </si>
  <si>
    <t>Infrastructure</t>
  </si>
  <si>
    <t>Phase IA</t>
  </si>
  <si>
    <t>Apartments (Market)</t>
  </si>
  <si>
    <t>Apts (Market-Mid-Rise)</t>
  </si>
  <si>
    <t>Apts (Affordable-Mid-Rise)</t>
  </si>
  <si>
    <t>Grocery Store</t>
  </si>
  <si>
    <t>Live-Work Retail</t>
  </si>
  <si>
    <t>Condos</t>
  </si>
  <si>
    <t>Total (Retail)</t>
  </si>
  <si>
    <t>Total (Condos)</t>
  </si>
  <si>
    <t>Total (Structured Parking)</t>
  </si>
  <si>
    <t>Total (Office Mid-Rise)</t>
  </si>
  <si>
    <t>Inflation Factor:</t>
  </si>
  <si>
    <t>Discount Rate</t>
  </si>
  <si>
    <t>Team:</t>
  </si>
  <si>
    <t>Units</t>
  </si>
  <si>
    <t>SF</t>
  </si>
  <si>
    <t>Development Assumptions</t>
  </si>
  <si>
    <t>Units Completed</t>
  </si>
  <si>
    <t>Cumulative Units Leased</t>
  </si>
  <si>
    <t>Phase II Project #1</t>
  </si>
  <si>
    <t>Phase II Project #2 (Live-Work)</t>
  </si>
  <si>
    <t>Monthly Rent PSF</t>
  </si>
  <si>
    <t>Annual Operating Expenses PSF</t>
  </si>
  <si>
    <t>Development Costs PSF</t>
  </si>
  <si>
    <t>(Less) Development Costs</t>
  </si>
  <si>
    <t>Other Assumptions</t>
  </si>
  <si>
    <t>Exit Cap Rate</t>
  </si>
  <si>
    <t>Cost of Sale</t>
  </si>
  <si>
    <t>Totals</t>
  </si>
  <si>
    <t>Projected Units Sold</t>
  </si>
  <si>
    <t>Cumulative Units Sold</t>
  </si>
  <si>
    <t>Phase II Project #2</t>
  </si>
  <si>
    <t>Sale Price PSF</t>
  </si>
  <si>
    <t>GLA Absorbed (SF)</t>
  </si>
  <si>
    <t>Net Lease Revenue PSF</t>
  </si>
  <si>
    <t>Gross SF</t>
  </si>
  <si>
    <t>Net SF</t>
  </si>
  <si>
    <t>Operating Expenses PSF</t>
  </si>
  <si>
    <t>Expenses Reimbursements</t>
  </si>
  <si>
    <t>(Less) Operating Expenses</t>
  </si>
  <si>
    <t>Phase III Restaurants</t>
  </si>
  <si>
    <t>Phase III Retail</t>
  </si>
  <si>
    <t>Phase II Restaurants 2</t>
  </si>
  <si>
    <t>Development Costs PSF (Retail)</t>
  </si>
  <si>
    <t>Development Costs PSF (Restaurant)</t>
  </si>
  <si>
    <t>Development Costs PSF (Grocery Store)</t>
  </si>
  <si>
    <t>Office (Excludes Existing Office Building)</t>
  </si>
  <si>
    <t>Landscaping Costs PSF</t>
  </si>
  <si>
    <t>Infrastructure Costs (All to Be Performed By Developer)</t>
  </si>
  <si>
    <t>3. Unit Development &amp; Infrastructure Costs</t>
  </si>
  <si>
    <t>Projected Construction Costs</t>
  </si>
  <si>
    <t>Hard</t>
  </si>
  <si>
    <t>Soft</t>
  </si>
  <si>
    <t>Hard Cost</t>
  </si>
  <si>
    <t>Property Type</t>
  </si>
  <si>
    <t>Costs PSF</t>
  </si>
  <si>
    <t>Contingency</t>
  </si>
  <si>
    <t>Apartments (1-3 Stories)</t>
  </si>
  <si>
    <t>Apartments (4-7 Stories)</t>
  </si>
  <si>
    <t>Apartments (8-24 Stories)</t>
  </si>
  <si>
    <t>Assisted Senior Living</t>
  </si>
  <si>
    <t>Bus Terminal (Train Station)</t>
  </si>
  <si>
    <t>Community Center</t>
  </si>
  <si>
    <t>Day Care Center</t>
  </si>
  <si>
    <t>Department Store (1 Story)</t>
  </si>
  <si>
    <t>Hotel (8-24 Stories)</t>
  </si>
  <si>
    <t>Library</t>
  </si>
  <si>
    <t>Movie Theater</t>
  </si>
  <si>
    <t>Office (2-4 Stories)</t>
  </si>
  <si>
    <t>Office (5-10 Stories)</t>
  </si>
  <si>
    <t>Office (11-20 Stories)</t>
  </si>
  <si>
    <t>Restaurant</t>
  </si>
  <si>
    <t>Restaurant (Fast Food)</t>
  </si>
  <si>
    <t>Supermarket</t>
  </si>
  <si>
    <t>Warehouse</t>
  </si>
  <si>
    <t>Soft Costs (As a % of Hard Costs)</t>
  </si>
  <si>
    <t>Hard Cost Contingency</t>
  </si>
  <si>
    <t>Other Infrastructure Costs</t>
  </si>
  <si>
    <t>Item</t>
  </si>
  <si>
    <t>Hard Costs PSF</t>
  </si>
  <si>
    <t>Streetscape</t>
  </si>
  <si>
    <t>Bank</t>
  </si>
  <si>
    <t>Department Store (3 Stories)</t>
  </si>
  <si>
    <t>Expense Reimbursements</t>
  </si>
  <si>
    <t>Operating Expenses</t>
  </si>
  <si>
    <t>Spaces</t>
  </si>
  <si>
    <t>SF Per Parking Space</t>
  </si>
  <si>
    <t>Operating Exenses PSF</t>
  </si>
  <si>
    <t>Parking Revenue (Monthly)</t>
  </si>
  <si>
    <t>Parking Revenue (Hourly)</t>
  </si>
  <si>
    <t>(Less) City Reimbursement</t>
  </si>
  <si>
    <t>City Reimbursement</t>
  </si>
  <si>
    <t>Parking Garage #2</t>
  </si>
  <si>
    <t>Parking Garage #3</t>
  </si>
  <si>
    <t>Structured Parking (Excludes City-Built Garage)</t>
  </si>
  <si>
    <t>Land Costs</t>
  </si>
  <si>
    <t>Developable</t>
  </si>
  <si>
    <t>Current Land</t>
  </si>
  <si>
    <t>Assessed</t>
  </si>
  <si>
    <t>Parking</t>
  </si>
  <si>
    <t>Additional</t>
  </si>
  <si>
    <t>Value</t>
  </si>
  <si>
    <t>Parcel</t>
  </si>
  <si>
    <t>Status</t>
  </si>
  <si>
    <t>Use</t>
  </si>
  <si>
    <t>PSF</t>
  </si>
  <si>
    <t>Undevelopable</t>
  </si>
  <si>
    <t>Vacant</t>
  </si>
  <si>
    <t>Total (All Parcels)</t>
  </si>
  <si>
    <t>Existing Building Market Values</t>
  </si>
  <si>
    <t>Property</t>
  </si>
  <si>
    <t>Building</t>
  </si>
  <si>
    <t>Type</t>
  </si>
  <si>
    <t>Market Value</t>
  </si>
  <si>
    <t>Office Vacancy</t>
  </si>
  <si>
    <t>Retail Vacancy</t>
  </si>
  <si>
    <t>Block</t>
  </si>
  <si>
    <t>Parcels</t>
  </si>
  <si>
    <t>Purchased</t>
  </si>
  <si>
    <t xml:space="preserve">Assessed </t>
  </si>
  <si>
    <t xml:space="preserve">Total </t>
  </si>
  <si>
    <t>* $1.75 PSF in Demolition Costs</t>
  </si>
  <si>
    <t>Total Demolition Costs</t>
  </si>
  <si>
    <t>Total SF Requiring Demolition</t>
  </si>
  <si>
    <t>*</t>
  </si>
  <si>
    <r>
      <t xml:space="preserve">Total Demolition Costs </t>
    </r>
    <r>
      <rPr>
        <b/>
        <vertAlign val="superscript"/>
        <sz val="10"/>
        <rFont val="Arial"/>
        <family val="2"/>
      </rPr>
      <t>(1)</t>
    </r>
  </si>
  <si>
    <t>(1) All demolition costs are to occur in Year 0 (2013-2014).</t>
  </si>
  <si>
    <t>Summary of Land Acquisition</t>
  </si>
  <si>
    <t>Demolition Costs</t>
  </si>
  <si>
    <t>(Less) Total Development Costs</t>
  </si>
  <si>
    <t>Net Present Value (9.00% Rate)</t>
  </si>
  <si>
    <t>Land Acquisition</t>
  </si>
  <si>
    <t>Equity Funding</t>
  </si>
  <si>
    <t>Debt Funding</t>
  </si>
  <si>
    <t>Cumulative Debt Funding</t>
  </si>
  <si>
    <t>Construction Costs</t>
  </si>
  <si>
    <t>Development Budget</t>
  </si>
  <si>
    <t>Equity Contribution</t>
  </si>
  <si>
    <t>Total Financing</t>
  </si>
  <si>
    <t>Loan Fee (1.00%)</t>
  </si>
  <si>
    <t>Financing</t>
  </si>
  <si>
    <t>4. Equity &amp; Financing Sources</t>
  </si>
  <si>
    <t>Financing Analysis</t>
  </si>
  <si>
    <t>Interest Expense (6.00% All-In Rate)</t>
  </si>
  <si>
    <t>Loan Repayment</t>
  </si>
  <si>
    <t>Debt &amp; Equity Funding</t>
  </si>
  <si>
    <t>Debt Service Calculation</t>
  </si>
  <si>
    <t>Total Debt Service</t>
  </si>
  <si>
    <t>Interest Rate</t>
  </si>
  <si>
    <t>Financing Assumptions</t>
  </si>
  <si>
    <t>Leveraged IRR Calculation</t>
  </si>
  <si>
    <t>Equity Outlays</t>
  </si>
  <si>
    <t>CFADS</t>
  </si>
  <si>
    <t>Cash Flow After Debt Service</t>
  </si>
  <si>
    <t>Total CFADS</t>
  </si>
  <si>
    <t>(Less) Interest Expense</t>
  </si>
  <si>
    <t>Asset Sale</t>
  </si>
  <si>
    <t>(Less) Cost of Sale</t>
  </si>
  <si>
    <t>(Less) Debt Repayment</t>
  </si>
  <si>
    <t>Leveraged Cash Flows</t>
  </si>
  <si>
    <t>Leveraged IRR Before Taxes</t>
  </si>
  <si>
    <r>
      <t xml:space="preserve">Total </t>
    </r>
    <r>
      <rPr>
        <b/>
        <vertAlign val="superscript"/>
        <sz val="12"/>
        <rFont val="Arial"/>
        <family val="2"/>
      </rPr>
      <t>(1)</t>
    </r>
  </si>
  <si>
    <t>* Assumes all equity is contributed before the loan funds</t>
  </si>
  <si>
    <t>Leveraged IRR (Before Taxes) *</t>
  </si>
  <si>
    <t>Blended Cap Rate:</t>
  </si>
  <si>
    <t>Unit</t>
  </si>
  <si>
    <t>Sales</t>
  </si>
  <si>
    <t>Price</t>
  </si>
  <si>
    <t>Price PSF</t>
  </si>
  <si>
    <t>Year</t>
  </si>
  <si>
    <t>Unit Type</t>
  </si>
  <si>
    <t>Built</t>
  </si>
  <si>
    <t>2 BR / 2 Bath</t>
  </si>
  <si>
    <t>1 BR / 1 Bath</t>
  </si>
  <si>
    <t>3 BR / 3 Bath</t>
  </si>
  <si>
    <t>3 BR / 2 Bath</t>
  </si>
  <si>
    <t>Year 1 Construction Cost Assumptions</t>
  </si>
  <si>
    <r>
      <t xml:space="preserve">Costs PSF </t>
    </r>
    <r>
      <rPr>
        <b/>
        <vertAlign val="superscript"/>
        <sz val="12"/>
        <rFont val="Arial"/>
        <family val="2"/>
      </rPr>
      <t>(1)</t>
    </r>
  </si>
  <si>
    <r>
      <t xml:space="preserve">Costs PSF </t>
    </r>
    <r>
      <rPr>
        <b/>
        <vertAlign val="superscript"/>
        <sz val="12"/>
        <rFont val="Arial"/>
        <family val="2"/>
      </rPr>
      <t>(2)</t>
    </r>
  </si>
  <si>
    <r>
      <t xml:space="preserve">Contingency </t>
    </r>
    <r>
      <rPr>
        <b/>
        <vertAlign val="superscript"/>
        <sz val="12"/>
        <rFont val="Arial"/>
        <family val="2"/>
      </rPr>
      <t>(3)</t>
    </r>
  </si>
  <si>
    <t>Office Space</t>
  </si>
  <si>
    <t>Retail Space</t>
  </si>
  <si>
    <t>Restaurant Space</t>
  </si>
  <si>
    <r>
      <t xml:space="preserve">Costs PSF </t>
    </r>
    <r>
      <rPr>
        <b/>
        <vertAlign val="superscript"/>
        <sz val="12"/>
        <rFont val="Arial"/>
        <family val="2"/>
      </rPr>
      <t>(4)</t>
    </r>
  </si>
  <si>
    <t>(2) Soft Costs have been estimated as 20.00% of Hard Costs.</t>
  </si>
  <si>
    <t>(3) Hard Cost Contingency has been estimated as 4.00% of Hard Costs.</t>
  </si>
  <si>
    <t>Market Assumptions</t>
  </si>
  <si>
    <t>Input</t>
  </si>
  <si>
    <t>Assumption</t>
  </si>
  <si>
    <r>
      <t xml:space="preserve">Used </t>
    </r>
    <r>
      <rPr>
        <b/>
        <vertAlign val="superscript"/>
        <sz val="12"/>
        <rFont val="Arial"/>
        <family val="2"/>
      </rPr>
      <t>(1)</t>
    </r>
  </si>
  <si>
    <t>Source</t>
  </si>
  <si>
    <t>Apartment Rents PSF</t>
  </si>
  <si>
    <t>Apartment Vacancy</t>
  </si>
  <si>
    <t>Condo Sales Prices PSF</t>
  </si>
  <si>
    <t>Office Rents PSF</t>
  </si>
  <si>
    <t>Retail Rents PSF</t>
  </si>
  <si>
    <t>Apartment Cap Rates</t>
  </si>
  <si>
    <t>Office Cap Rates</t>
  </si>
  <si>
    <t>Retail Cap Rates</t>
  </si>
  <si>
    <t>Hotel Cap Rates</t>
  </si>
  <si>
    <t>Parking Cap Rates</t>
  </si>
  <si>
    <t>inflation of 3.00% was assumed.</t>
  </si>
  <si>
    <t xml:space="preserve">(4) Please note that these figures are current cost estimates, and that for purposes of estimating Development Costs, annual </t>
  </si>
  <si>
    <r>
      <t xml:space="preserve">Total Demolition Costs </t>
    </r>
    <r>
      <rPr>
        <b/>
        <vertAlign val="superscript"/>
        <sz val="12"/>
        <rFont val="Arial"/>
        <family val="2"/>
      </rPr>
      <t>(1)</t>
    </r>
  </si>
  <si>
    <t>Green Infrastructure (Roofs)</t>
  </si>
  <si>
    <t>Total (Streetscape)</t>
  </si>
  <si>
    <r>
      <t xml:space="preserve">Green Infrastructure (Roofing) Costs PSF </t>
    </r>
    <r>
      <rPr>
        <vertAlign val="superscript"/>
        <sz val="10"/>
        <rFont val="Arial"/>
        <family val="2"/>
      </rPr>
      <t>(1)</t>
    </r>
  </si>
  <si>
    <t>Debt Service (Interest Expense)</t>
  </si>
  <si>
    <t>Block E1</t>
  </si>
  <si>
    <t>Parcel 1</t>
  </si>
  <si>
    <t>Parcel 2</t>
  </si>
  <si>
    <t>Parcel 3</t>
  </si>
  <si>
    <t>Multifamily</t>
  </si>
  <si>
    <t>Mixed Used - Multifamily</t>
  </si>
  <si>
    <t>Block E2</t>
  </si>
  <si>
    <t>Parcel 4</t>
  </si>
  <si>
    <t>Parcel 5</t>
  </si>
  <si>
    <t>Parcel 6</t>
  </si>
  <si>
    <t>Parcel 7</t>
  </si>
  <si>
    <t>Parcel 8</t>
  </si>
  <si>
    <t>Parcel 9</t>
  </si>
  <si>
    <t>Parcel 10</t>
  </si>
  <si>
    <t>Parcel 11</t>
  </si>
  <si>
    <t>Parcel 12</t>
  </si>
  <si>
    <t>Ownership</t>
  </si>
  <si>
    <t>Not Owned</t>
  </si>
  <si>
    <t>Parcel 13</t>
  </si>
  <si>
    <t>Parcel 14</t>
  </si>
  <si>
    <t>Parcel 15</t>
  </si>
  <si>
    <t>Owned</t>
  </si>
  <si>
    <t>Vacant Lot - Residential</t>
  </si>
  <si>
    <t>Vacant Lot - Commercial</t>
  </si>
  <si>
    <t>Single Family Residential</t>
  </si>
  <si>
    <t>Total (Block E1)</t>
  </si>
  <si>
    <t>Total (Block E2)</t>
  </si>
  <si>
    <t>Block E3</t>
  </si>
  <si>
    <t>Parcel 16</t>
  </si>
  <si>
    <t>Parcel 17</t>
  </si>
  <si>
    <t>Parcel 18</t>
  </si>
  <si>
    <t>Parcel 19</t>
  </si>
  <si>
    <t>Parcel 20</t>
  </si>
  <si>
    <t>Parcel 21</t>
  </si>
  <si>
    <t>Parcel 22</t>
  </si>
  <si>
    <t>Parcel 23</t>
  </si>
  <si>
    <t>Parcel 24</t>
  </si>
  <si>
    <t>Parcel 25</t>
  </si>
  <si>
    <t>Parcel 26</t>
  </si>
  <si>
    <t>Parcel 27</t>
  </si>
  <si>
    <t>Parcel 28</t>
  </si>
  <si>
    <t>Parcel 29</t>
  </si>
  <si>
    <t>Parcel 30</t>
  </si>
  <si>
    <t>Parcel 31</t>
  </si>
  <si>
    <t>Parcel 32</t>
  </si>
  <si>
    <t>Total (Block E3)</t>
  </si>
  <si>
    <t>Block W1</t>
  </si>
  <si>
    <t>Total (Block W1)</t>
  </si>
  <si>
    <t>Parcel 42</t>
  </si>
  <si>
    <t>Parcel 43</t>
  </si>
  <si>
    <t>Parcel 44</t>
  </si>
  <si>
    <t>Parcel 45</t>
  </si>
  <si>
    <t>Parcel 46</t>
  </si>
  <si>
    <t>Parcel 47</t>
  </si>
  <si>
    <t>Parcel 48</t>
  </si>
  <si>
    <t>Parcel 49</t>
  </si>
  <si>
    <t>Parcel 50</t>
  </si>
  <si>
    <t>Parcel 51</t>
  </si>
  <si>
    <t>Parcel 33</t>
  </si>
  <si>
    <t>Parcel 34</t>
  </si>
  <si>
    <t>Parcel 35</t>
  </si>
  <si>
    <t>Parcel 36</t>
  </si>
  <si>
    <t>Parcel 37</t>
  </si>
  <si>
    <t>Parcel 38</t>
  </si>
  <si>
    <t>Parcel 39</t>
  </si>
  <si>
    <t>Parcel 40</t>
  </si>
  <si>
    <t>Parcel 41</t>
  </si>
  <si>
    <t>Block W2</t>
  </si>
  <si>
    <t>Total (Block W2)</t>
  </si>
  <si>
    <t>Block W3</t>
  </si>
  <si>
    <t>Total (Block W3)</t>
  </si>
  <si>
    <t>Vacant Lot - Government</t>
  </si>
  <si>
    <t>Parking Lot</t>
  </si>
  <si>
    <t>Municipal Park</t>
  </si>
  <si>
    <t>Religious</t>
  </si>
  <si>
    <t>School</t>
  </si>
  <si>
    <t>Vacant Lot - Industrial</t>
  </si>
  <si>
    <t>Vacant Single Family</t>
  </si>
  <si>
    <t>Parking - Non-Retail</t>
  </si>
  <si>
    <t>Midtown 29</t>
  </si>
  <si>
    <t>E1</t>
  </si>
  <si>
    <t>E2</t>
  </si>
  <si>
    <t>E3</t>
  </si>
  <si>
    <t>W1</t>
  </si>
  <si>
    <t>W2</t>
  </si>
  <si>
    <t>W3</t>
  </si>
  <si>
    <t>2020-2021</t>
  </si>
  <si>
    <t>148 NE 28 ST</t>
  </si>
  <si>
    <t>160 NE 28 ST</t>
  </si>
  <si>
    <t>2728 NE 2 AVE</t>
  </si>
  <si>
    <t>125 NE 26 ST</t>
  </si>
  <si>
    <t>130 NE 27 ST</t>
  </si>
  <si>
    <t>156 NE 27 ST</t>
  </si>
  <si>
    <t>127 NE 27 ST</t>
  </si>
  <si>
    <t>169 NE 27 ST</t>
  </si>
  <si>
    <t>192 NE 27 ST</t>
  </si>
  <si>
    <t>157 NE 26 ST</t>
  </si>
  <si>
    <t>161 NE 26 ST</t>
  </si>
  <si>
    <t>167 NE 26 ST</t>
  </si>
  <si>
    <t>2626 NE 2 AV</t>
  </si>
  <si>
    <t>28 NE 29 ST</t>
  </si>
  <si>
    <t>50 NE 29 ST</t>
  </si>
  <si>
    <t>80 NE 29 ST; 82 NE 29 ST</t>
  </si>
  <si>
    <t>2811 N MIAMI AVE</t>
  </si>
  <si>
    <t>25 NE 28 ST</t>
  </si>
  <si>
    <t>31 NE 28 ST</t>
  </si>
  <si>
    <t>37 NE 28 ST</t>
  </si>
  <si>
    <t>101 NE 28 ST</t>
  </si>
  <si>
    <t>2751 N MIAMI AVE</t>
  </si>
  <si>
    <t>28 NE 28 ST; 30 NE 28 ST</t>
  </si>
  <si>
    <t>42 NE 28 ST</t>
  </si>
  <si>
    <t>100 NE 28 ST</t>
  </si>
  <si>
    <t>27 NE 27 ST</t>
  </si>
  <si>
    <t>45 NE 27 ST</t>
  </si>
  <si>
    <t>85 NE 27 ST</t>
  </si>
  <si>
    <t>2637 N MIAMI AV</t>
  </si>
  <si>
    <t>26 NE 27 ST</t>
  </si>
  <si>
    <t>60 NE 27 ST</t>
  </si>
  <si>
    <t>62 NE 27 ST</t>
  </si>
  <si>
    <t>2605 N MIAMI AVE</t>
  </si>
  <si>
    <t>21 NE 26 ST</t>
  </si>
  <si>
    <t>35 NE 26 ST</t>
  </si>
  <si>
    <t>45 NE 26 ST</t>
  </si>
  <si>
    <t>E2 - 4</t>
  </si>
  <si>
    <t>E2 - 7</t>
  </si>
  <si>
    <t>E2 - 9</t>
  </si>
  <si>
    <t>E2 - 11</t>
  </si>
  <si>
    <t>E2 - 15</t>
  </si>
  <si>
    <t>E3 - 16</t>
  </si>
  <si>
    <t>E3 - 17</t>
  </si>
  <si>
    <t>E3 - 20</t>
  </si>
  <si>
    <t>E3 - 22</t>
  </si>
  <si>
    <t>E3 - 27</t>
  </si>
  <si>
    <t>E3 - 28</t>
  </si>
  <si>
    <t>E3 - 29</t>
  </si>
  <si>
    <t>E3 - 31</t>
  </si>
  <si>
    <t>W1 - 4</t>
  </si>
  <si>
    <t>W1 - 7</t>
  </si>
  <si>
    <t>W1 - 8</t>
  </si>
  <si>
    <t>W1 - 12</t>
  </si>
  <si>
    <t>W1 - 15</t>
  </si>
  <si>
    <t>W1 - 16</t>
  </si>
  <si>
    <t>W1 - 17</t>
  </si>
  <si>
    <t>W1 - 25</t>
  </si>
  <si>
    <t>W2 - 26</t>
  </si>
  <si>
    <t>W2 - 29</t>
  </si>
  <si>
    <t>W2 - 31</t>
  </si>
  <si>
    <t>W2 - 37</t>
  </si>
  <si>
    <t>W2 - 38</t>
  </si>
  <si>
    <t>W2 - 40</t>
  </si>
  <si>
    <t>W2 - 41</t>
  </si>
  <si>
    <t>W3 - 42</t>
  </si>
  <si>
    <t>W3 - 43</t>
  </si>
  <si>
    <t>W3 - 44</t>
  </si>
  <si>
    <t>W3 - 45</t>
  </si>
  <si>
    <t>W3 - 46</t>
  </si>
  <si>
    <t>W3 - 47</t>
  </si>
  <si>
    <t>W3 - 49</t>
  </si>
  <si>
    <t>W3 - 50</t>
  </si>
  <si>
    <t>E1 - 1</t>
  </si>
  <si>
    <t>ID</t>
  </si>
  <si>
    <t>(+) Total Previously Acquired SF</t>
  </si>
  <si>
    <t>Total Newly Acquired SF</t>
  </si>
  <si>
    <t>Gymnasium</t>
  </si>
  <si>
    <t>Medical Office (1 Story)</t>
  </si>
  <si>
    <t>Medical Office (2 Story)</t>
  </si>
  <si>
    <t>Store, Retail</t>
  </si>
  <si>
    <t>Store, Convenience</t>
  </si>
  <si>
    <t>(1) Source: RS Means Online Data (2020)</t>
  </si>
  <si>
    <t>Construction To Mini-Perm Debt Financing</t>
  </si>
  <si>
    <t>250 NW 24th Street</t>
  </si>
  <si>
    <t>Miami Condo Comparables</t>
  </si>
  <si>
    <t>Neighborhood</t>
  </si>
  <si>
    <t>Wynwood</t>
  </si>
  <si>
    <t>2 BR / 2.5 Bath</t>
  </si>
  <si>
    <t>3470 E Coast Ave</t>
  </si>
  <si>
    <t>Edgewater</t>
  </si>
  <si>
    <t>3 BR / 4 Bath</t>
  </si>
  <si>
    <t>3 BR / 2.5 Bath</t>
  </si>
  <si>
    <t>3301 NE 1st Ave</t>
  </si>
  <si>
    <t>2 BR / 3 Bath</t>
  </si>
  <si>
    <t>3451 NE 1st St</t>
  </si>
  <si>
    <t>Acquire all land?</t>
  </si>
  <si>
    <t>Residential</t>
  </si>
  <si>
    <t>* $4.00 PSF in Demolition Costs</t>
  </si>
  <si>
    <t>(1) All demolition costs are to occur in Year 0 (2020-2021).</t>
  </si>
  <si>
    <t>Phase</t>
  </si>
  <si>
    <t>Square Feet per Floor</t>
  </si>
  <si>
    <t>A1</t>
  </si>
  <si>
    <t>A2</t>
  </si>
  <si>
    <t>A3</t>
  </si>
  <si>
    <t>A4</t>
  </si>
  <si>
    <t>A5</t>
  </si>
  <si>
    <t>A6</t>
  </si>
  <si>
    <t>A7</t>
  </si>
  <si>
    <t>A8</t>
  </si>
  <si>
    <t>A9-1</t>
  </si>
  <si>
    <t>A9-2</t>
  </si>
  <si>
    <t>A11-1</t>
  </si>
  <si>
    <t>A11-2</t>
  </si>
  <si>
    <t>Vocational School</t>
  </si>
  <si>
    <t>Art Gallery</t>
  </si>
  <si>
    <t>Train Station</t>
  </si>
  <si>
    <t>W4</t>
  </si>
  <si>
    <t>W4/E2</t>
  </si>
  <si>
    <t>Sq Ft</t>
  </si>
  <si>
    <t>Apts (Market)</t>
  </si>
  <si>
    <t>Apartments</t>
  </si>
  <si>
    <t>Civic</t>
  </si>
  <si>
    <t>Mixed-Use Retail</t>
  </si>
  <si>
    <t>Mixed-Use Apartmetns</t>
  </si>
  <si>
    <t>Apartments (Affordable) A4</t>
  </si>
  <si>
    <t>Apartments (Market) A3</t>
  </si>
  <si>
    <t>Apartment Retail A1</t>
  </si>
  <si>
    <t>Live-Work Apartments (Affordable) A5</t>
  </si>
  <si>
    <t>Apartment (Market) A1</t>
  </si>
  <si>
    <t>Phase III Project #1</t>
  </si>
  <si>
    <t>Total (Civic)</t>
  </si>
  <si>
    <t>Total (Apartments - Market)</t>
  </si>
  <si>
    <t>Total (Apartments - Affordable)</t>
  </si>
  <si>
    <t>Phase III Project #2</t>
  </si>
  <si>
    <t>Phase II Retail</t>
  </si>
  <si>
    <t>Phase I Art Gallery</t>
  </si>
  <si>
    <t>Phase I Grocery Store</t>
  </si>
  <si>
    <t>Development Cost PSF (Art Gallery)</t>
  </si>
  <si>
    <t>(1) Source: EPA Green Roofs Report</t>
  </si>
  <si>
    <t>Incubator</t>
  </si>
  <si>
    <t>Education</t>
  </si>
  <si>
    <t>A12</t>
  </si>
  <si>
    <t>A14</t>
  </si>
  <si>
    <t>A15</t>
  </si>
  <si>
    <t>A10</t>
  </si>
  <si>
    <t>A14 Train</t>
  </si>
  <si>
    <t>A15 Train</t>
  </si>
  <si>
    <t>Office (Flagler Beacon)</t>
  </si>
  <si>
    <t>Office (Train Station)</t>
  </si>
  <si>
    <t>Mixed Retail</t>
  </si>
  <si>
    <t>Restaurants</t>
  </si>
  <si>
    <t>Apts (Affordable)</t>
  </si>
  <si>
    <t>Condos Project</t>
  </si>
  <si>
    <t>Restraunts</t>
  </si>
  <si>
    <t>Residential and Hotel Parking</t>
  </si>
  <si>
    <t>Total (Hotel)</t>
  </si>
  <si>
    <t>Phase I Retail</t>
  </si>
  <si>
    <t>Phase I Restaurants</t>
  </si>
  <si>
    <t>Phase III Project #3</t>
  </si>
  <si>
    <t xml:space="preserve"> </t>
  </si>
  <si>
    <t>Garage Parking (Structured)</t>
  </si>
  <si>
    <t>Office Parking</t>
  </si>
  <si>
    <t>Phase II Parking</t>
  </si>
  <si>
    <t>Parking Garage #1</t>
  </si>
  <si>
    <t>Landscaping (Tree Trench)</t>
  </si>
  <si>
    <t>Ramping</t>
  </si>
  <si>
    <t>Street Parking</t>
  </si>
  <si>
    <t>Sidewalk</t>
  </si>
  <si>
    <t>Rain Garden</t>
  </si>
  <si>
    <t>Planting Bed</t>
  </si>
  <si>
    <t>Lawnscaping</t>
  </si>
  <si>
    <t>Plaza</t>
  </si>
  <si>
    <t>Total (Rain Garden)</t>
  </si>
  <si>
    <t>Total (Street Parking)</t>
  </si>
  <si>
    <t>Total (Green Roofs)</t>
  </si>
  <si>
    <t>Total (Ramping)</t>
  </si>
  <si>
    <t>Total (Lawnscaping)</t>
  </si>
  <si>
    <t>Total (Plaza)</t>
  </si>
  <si>
    <t>Total (Tree Trench)</t>
  </si>
  <si>
    <t>Total (Sidewalks)</t>
  </si>
  <si>
    <t>Total (Planting Bed)</t>
  </si>
  <si>
    <t>Gross Rentable Area</t>
  </si>
  <si>
    <t>Avg. SF/Room</t>
  </si>
  <si>
    <t>Fountain and System (Individual)</t>
  </si>
  <si>
    <t>Office (LTE West)</t>
  </si>
  <si>
    <t>Los Tres Enlaces Incubator</t>
  </si>
  <si>
    <t>Train Station Retail</t>
  </si>
  <si>
    <t>(1) Source: RS Means Online Data (2020) and discussions with Hoar Construction</t>
  </si>
  <si>
    <r>
      <t>Train Station</t>
    </r>
    <r>
      <rPr>
        <vertAlign val="superscript"/>
        <sz val="10"/>
        <rFont val="Arial"/>
        <family val="2"/>
      </rPr>
      <t>(2)</t>
    </r>
  </si>
  <si>
    <t>Stories</t>
  </si>
  <si>
    <t>Development Costs PSF (4-7 Story)</t>
  </si>
  <si>
    <t>Development Costs PSF (8-24 Story)</t>
  </si>
  <si>
    <t>Gross Leasable Area</t>
  </si>
  <si>
    <t>(2) Based on discussions with Hoar Construction</t>
  </si>
  <si>
    <r>
      <t xml:space="preserve">Costs PSF </t>
    </r>
    <r>
      <rPr>
        <b/>
        <vertAlign val="superscript"/>
        <sz val="10"/>
        <rFont val="Arial"/>
        <family val="2"/>
      </rPr>
      <t>(1),(2)</t>
    </r>
  </si>
  <si>
    <t>(2) Source: Hoar Construction</t>
  </si>
  <si>
    <t>Rain Garden Costs PSF</t>
  </si>
  <si>
    <t>Streetscape Costs PSF</t>
  </si>
  <si>
    <t>Current rents on available units at Midtown 29, Yard 8, Midtown 5, Wynwood 25</t>
  </si>
  <si>
    <t>Wynwood BID Market Report 2018-2019</t>
  </si>
  <si>
    <t>Costar Miami Multfamily Report</t>
  </si>
  <si>
    <t xml:space="preserve">CBRE Miami Retail MarketView Q3 2019 </t>
  </si>
  <si>
    <t>Retail - Mixed Use Rents PSF</t>
  </si>
  <si>
    <t>Retail - Freestanding Rents PSF</t>
  </si>
  <si>
    <t>Hotel ADR</t>
  </si>
  <si>
    <t>CBRE 2019 Southeast US Real Estate Market Outlook</t>
  </si>
  <si>
    <t>Hotel Occupancy</t>
  </si>
  <si>
    <t>Hotel EBITDA Margin</t>
  </si>
  <si>
    <t>CBRE Cap Rate Survey HI 2019</t>
  </si>
  <si>
    <t>Industrial Cap Rates</t>
  </si>
  <si>
    <t>JLL Parking</t>
  </si>
  <si>
    <t>(1) Please note that these rent/sales price figures are current estimates, and that for purposes of calculating Net Operating Income, annual inflation of 2.00% was assumed.</t>
  </si>
  <si>
    <t>Hines Investment Opportunity Fund</t>
  </si>
  <si>
    <t>Green Infrastructure (Roofing) Costs PSF</t>
  </si>
  <si>
    <t>Annual Operating Expenses</t>
  </si>
  <si>
    <t>Name</t>
  </si>
  <si>
    <t>Green Infrastructure (Roofing) Costs PSF (1)</t>
  </si>
  <si>
    <t>Rental &amp; For-Sale Housing (4-7 Stories)</t>
  </si>
  <si>
    <t>Rental &amp; For-Sale Housing (8-24 Stories)</t>
  </si>
  <si>
    <t>Market research</t>
  </si>
  <si>
    <t>Syndicated Construction to Mini-Perm Facility</t>
  </si>
  <si>
    <t>(1) Please note that in addition to the Total Development Costs, this figure also includes a Loan Fee of $5,750,000 (1.00%).</t>
  </si>
  <si>
    <r>
      <t xml:space="preserve">Used </t>
    </r>
    <r>
      <rPr>
        <b/>
        <vertAlign val="superscript"/>
        <sz val="10"/>
        <rFont val="Arial"/>
        <family val="2"/>
      </rPr>
      <t>(1)</t>
    </r>
  </si>
  <si>
    <t>Water Management Funding</t>
  </si>
  <si>
    <t>1. Summary Pro Forma</t>
  </si>
  <si>
    <t>Team Number</t>
  </si>
  <si>
    <t>(If this is a multi-phase project, identify the start years of subsequent phases using different cell colors.)</t>
  </si>
  <si>
    <t>Market-rate</t>
  </si>
  <si>
    <t>Rental Housing</t>
  </si>
  <si>
    <t>For-Sale Housing</t>
  </si>
  <si>
    <t>Workforce</t>
  </si>
  <si>
    <t>Affordable</t>
  </si>
  <si>
    <t>Office/Commercial</t>
  </si>
  <si>
    <t>Market-rate Retail</t>
  </si>
  <si>
    <t>Affordable Retail</t>
  </si>
  <si>
    <t>Surface Parking</t>
  </si>
  <si>
    <t>Underground Parking</t>
  </si>
  <si>
    <t>Demolition</t>
  </si>
  <si>
    <t>Remediation</t>
  </si>
  <si>
    <t>Development Fees</t>
  </si>
  <si>
    <t>Other</t>
  </si>
  <si>
    <t>Income from Sales Proceeds</t>
  </si>
  <si>
    <t>Total Income</t>
  </si>
  <si>
    <t>Retail (ALL)</t>
  </si>
  <si>
    <t>Total Infrastructure</t>
  </si>
  <si>
    <t>Leveraged Net Cash Flow</t>
  </si>
  <si>
    <t>Debt Service</t>
  </si>
  <si>
    <t>Loan to Value Ratio (LVR)</t>
  </si>
  <si>
    <t>Current Site Value (start of Year 0)</t>
  </si>
  <si>
    <t>Projected Site Value (end of Year 10)</t>
  </si>
  <si>
    <t>2. Multiyear Development Program</t>
  </si>
  <si>
    <t>Year-by-Year Cumulative Absorption</t>
  </si>
  <si>
    <t>Project Buildout by Development Units</t>
  </si>
  <si>
    <t>(units)</t>
  </si>
  <si>
    <t>(rooms)</t>
  </si>
  <si>
    <t>(spaces)</t>
  </si>
  <si>
    <t>(s.f.)</t>
  </si>
  <si>
    <t>3. Unit Development and Infrastructure Costs</t>
  </si>
  <si>
    <t>4. Equity and Financing Sources</t>
  </si>
  <si>
    <t>Percent of Total</t>
  </si>
  <si>
    <t>($ per unit)</t>
  </si>
  <si>
    <t>Equity Sources (total)</t>
  </si>
  <si>
    <t>($ per s.f.)</t>
  </si>
  <si>
    <t>Financing Sources (total)</t>
  </si>
  <si>
    <t>($ per room)</t>
  </si>
  <si>
    <t>($ per space)</t>
  </si>
  <si>
    <t>Infrastructure Costs</t>
  </si>
  <si>
    <t>Roads</t>
  </si>
  <si>
    <t>Utilities</t>
  </si>
  <si>
    <t>Public Subsidies (total, if any)</t>
  </si>
  <si>
    <t>Other Hardscaping (not incl. surf. pkg.)</t>
  </si>
  <si>
    <t>Other Amenities</t>
  </si>
  <si>
    <t>Acquisition Taxes and Fees</t>
  </si>
  <si>
    <t>Other (Vocational School)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</si>
</sst>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$&quot;#,##0"/>
    <numFmt numFmtId="167" formatCode="#,###\ &quot;Units&quot;"/>
    <numFmt numFmtId="168" formatCode="#,##0\ &quot;SF&quot;"/>
    <numFmt numFmtId="169" formatCode="#,###\ &quot;Rooms&quot;"/>
    <numFmt numFmtId="170" formatCode="_(* #,##0.0000_);_(* \(#,##0.0000\);_(* &quot;-&quot;??_);_(@_)"/>
    <numFmt numFmtId="171" formatCode="#,###\ &quot;Spaces&quot;"/>
    <numFmt numFmtId="172" formatCode="#,##0.0"/>
    <numFmt numFmtId="173" formatCode="0.00000000000%"/>
    <numFmt numFmtId="174" formatCode="&quot;$&quot;#,##0;[Red]\(&quot;$&quot;#,##0\)"/>
    <numFmt numFmtId="175" formatCode="&quot;$&quot;#,##0.0;\(&quot;$&quot;#,##0.00\)"/>
    <numFmt numFmtId="176" formatCode="&quot;$&quot;#,##0.00;\(&quot;$&quot;#,##0.00\)"/>
    <numFmt numFmtId="177" formatCode="_(* #,##0_);_(* \(#,##0\);_(* &quot;-&quot;??_);_(@_)"/>
    <numFmt numFmtId="178" formatCode="\(0%&quot; Leverage&quot;\)"/>
    <numFmt numFmtId="179" formatCode="&quot;Yes&quot;_);\ &quot;-&quot;;\ &quot;No&quot;_)"/>
    <numFmt numFmtId="180" formatCode="_(* #,##0.0_);_(* \(#,##0.0\);_(* &quot;-&quot;??_);_(@_)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u/>
      <sz val="10"/>
      <name val="Arial"/>
      <family val="2"/>
    </font>
    <font>
      <b/>
      <vertAlign val="superscript"/>
      <sz val="10"/>
      <name val="Arial"/>
      <family val="2"/>
    </font>
    <font>
      <sz val="12"/>
      <color rgb="FF0000FF"/>
      <name val="Arial"/>
      <family val="2"/>
    </font>
    <font>
      <b/>
      <sz val="10"/>
      <color theme="0"/>
      <name val="Arial"/>
      <family val="2"/>
    </font>
    <font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sz val="10"/>
      <color rgb="FF008000"/>
      <name val="Arial"/>
      <family val="2"/>
    </font>
    <font>
      <sz val="12"/>
      <color rgb="FF00800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u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rgb="FF008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FF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color theme="1"/>
      <name val="optima"/>
      <family val="2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2" fillId="0" borderId="0">
      <alignment horizontal="left"/>
    </xf>
    <xf numFmtId="0" fontId="33" fillId="0" borderId="0">
      <alignment horizontal="left"/>
    </xf>
    <xf numFmtId="3" fontId="34" fillId="0" borderId="0">
      <alignment horizontal="right"/>
    </xf>
    <xf numFmtId="172" fontId="34" fillId="0" borderId="0">
      <alignment horizontal="right"/>
    </xf>
    <xf numFmtId="4" fontId="34" fillId="0" borderId="0">
      <alignment horizontal="right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>
      <alignment horizontal="right"/>
    </xf>
    <xf numFmtId="175" fontId="34" fillId="0" borderId="0">
      <alignment horizontal="right"/>
    </xf>
    <xf numFmtId="176" fontId="34" fillId="0" borderId="0">
      <alignment horizontal="right"/>
    </xf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" fillId="0" borderId="0"/>
    <xf numFmtId="0" fontId="3" fillId="0" borderId="0"/>
    <xf numFmtId="0" fontId="35" fillId="0" borderId="0"/>
    <xf numFmtId="0" fontId="34" fillId="0" borderId="0"/>
    <xf numFmtId="1" fontId="34" fillId="0" borderId="0">
      <alignment horizontal="right"/>
    </xf>
    <xf numFmtId="9" fontId="34" fillId="0" borderId="0">
      <alignment horizontal="right"/>
    </xf>
    <xf numFmtId="164" fontId="34" fillId="0" borderId="0">
      <alignment horizontal="right"/>
    </xf>
    <xf numFmtId="10" fontId="34" fillId="0" borderId="0">
      <alignment horizontal="right"/>
    </xf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</cellStyleXfs>
  <cellXfs count="124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8" fillId="0" borderId="1" xfId="3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9" fillId="0" borderId="3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0" xfId="3" applyFont="1" applyBorder="1" applyAlignment="1"/>
    <xf numFmtId="0" fontId="8" fillId="0" borderId="0" xfId="3" applyFont="1" applyFill="1" applyBorder="1" applyAlignment="1"/>
    <xf numFmtId="0" fontId="8" fillId="0" borderId="0" xfId="3" applyFont="1" applyAlignment="1">
      <alignment horizontal="center"/>
    </xf>
    <xf numFmtId="0" fontId="8" fillId="0" borderId="0" xfId="3" applyFont="1" applyBorder="1" applyAlignment="1">
      <alignment wrapText="1"/>
    </xf>
    <xf numFmtId="0" fontId="8" fillId="0" borderId="0" xfId="3" applyFont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2" xfId="3" applyFont="1" applyBorder="1" applyAlignment="1"/>
    <xf numFmtId="0" fontId="9" fillId="2" borderId="2" xfId="3" applyFont="1" applyFill="1" applyBorder="1" applyAlignment="1">
      <alignment horizontal="center"/>
    </xf>
    <xf numFmtId="0" fontId="8" fillId="2" borderId="2" xfId="3" applyFont="1" applyFill="1" applyBorder="1" applyAlignment="1"/>
    <xf numFmtId="0" fontId="8" fillId="0" borderId="6" xfId="3" applyFont="1" applyBorder="1" applyAlignment="1">
      <alignment horizontal="center"/>
    </xf>
    <xf numFmtId="0" fontId="8" fillId="0" borderId="6" xfId="3" applyFont="1" applyFill="1" applyBorder="1" applyAlignment="1"/>
    <xf numFmtId="0" fontId="8" fillId="0" borderId="0" xfId="3" applyFont="1" applyAlignment="1"/>
    <xf numFmtId="0" fontId="9" fillId="2" borderId="2" xfId="3" applyFont="1" applyFill="1" applyBorder="1" applyAlignment="1"/>
    <xf numFmtId="0" fontId="8" fillId="2" borderId="3" xfId="3" applyFont="1" applyFill="1" applyBorder="1" applyAlignment="1"/>
    <xf numFmtId="0" fontId="9" fillId="0" borderId="0" xfId="3" applyFont="1" applyBorder="1" applyAlignment="1"/>
    <xf numFmtId="0" fontId="9" fillId="0" borderId="0" xfId="3" applyFont="1" applyFill="1" applyBorder="1" applyAlignment="1"/>
    <xf numFmtId="0" fontId="8" fillId="0" borderId="0" xfId="3" applyFont="1" applyFill="1" applyAlignment="1"/>
    <xf numFmtId="0" fontId="9" fillId="2" borderId="1" xfId="3" applyFont="1" applyFill="1" applyBorder="1" applyAlignment="1">
      <alignment horizontal="left"/>
    </xf>
    <xf numFmtId="0" fontId="9" fillId="2" borderId="2" xfId="3" applyFont="1" applyFill="1" applyBorder="1" applyAlignment="1">
      <alignment horizontal="left"/>
    </xf>
    <xf numFmtId="0" fontId="9" fillId="0" borderId="6" xfId="3" applyFont="1" applyBorder="1" applyAlignment="1"/>
    <xf numFmtId="0" fontId="9" fillId="0" borderId="8" xfId="3" applyFont="1" applyFill="1" applyBorder="1" applyAlignment="1"/>
    <xf numFmtId="0" fontId="8" fillId="0" borderId="4" xfId="3" applyFont="1" applyFill="1" applyBorder="1" applyAlignment="1"/>
    <xf numFmtId="0" fontId="8" fillId="0" borderId="1" xfId="3" applyFont="1" applyBorder="1" applyAlignment="1"/>
    <xf numFmtId="0" fontId="9" fillId="0" borderId="1" xfId="3" applyFont="1" applyBorder="1" applyAlignment="1">
      <alignment horizontal="center"/>
    </xf>
    <xf numFmtId="0" fontId="8" fillId="2" borderId="2" xfId="3" applyFont="1" applyFill="1" applyBorder="1" applyAlignment="1">
      <alignment horizontal="center"/>
    </xf>
    <xf numFmtId="0" fontId="8" fillId="0" borderId="10" xfId="3" applyFont="1" applyBorder="1" applyAlignment="1"/>
    <xf numFmtId="0" fontId="9" fillId="0" borderId="12" xfId="3" applyFont="1" applyBorder="1" applyAlignment="1"/>
    <xf numFmtId="0" fontId="0" fillId="3" borderId="0" xfId="0" applyFill="1"/>
    <xf numFmtId="0" fontId="3" fillId="3" borderId="0" xfId="0" applyFont="1" applyFill="1"/>
    <xf numFmtId="0" fontId="12" fillId="3" borderId="2" xfId="3" applyFont="1" applyFill="1" applyBorder="1" applyAlignment="1">
      <alignment horizontal="centerContinuous"/>
    </xf>
    <xf numFmtId="0" fontId="3" fillId="3" borderId="2" xfId="3" applyFont="1" applyFill="1" applyBorder="1" applyAlignment="1">
      <alignment horizontal="centerContinuous"/>
    </xf>
    <xf numFmtId="0" fontId="3" fillId="3" borderId="3" xfId="3" applyFont="1" applyFill="1" applyBorder="1" applyAlignment="1">
      <alignment horizontal="centerContinuous"/>
    </xf>
    <xf numFmtId="0" fontId="3" fillId="3" borderId="1" xfId="3" applyFont="1" applyFill="1" applyBorder="1" applyAlignment="1">
      <alignment horizontal="center"/>
    </xf>
    <xf numFmtId="0" fontId="12" fillId="3" borderId="2" xfId="3" applyFont="1" applyFill="1" applyBorder="1" applyAlignment="1">
      <alignment horizontal="center"/>
    </xf>
    <xf numFmtId="0" fontId="12" fillId="3" borderId="1" xfId="3" applyFont="1" applyFill="1" applyBorder="1" applyAlignment="1">
      <alignment horizontal="center"/>
    </xf>
    <xf numFmtId="0" fontId="12" fillId="3" borderId="3" xfId="3" applyFont="1" applyFill="1" applyBorder="1" applyAlignment="1">
      <alignment horizontal="center"/>
    </xf>
    <xf numFmtId="0" fontId="3" fillId="3" borderId="8" xfId="3" applyFont="1" applyFill="1" applyBorder="1" applyAlignment="1"/>
    <xf numFmtId="0" fontId="3" fillId="3" borderId="4" xfId="3" applyFont="1" applyFill="1" applyBorder="1" applyAlignment="1"/>
    <xf numFmtId="0" fontId="12" fillId="3" borderId="4" xfId="3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Continuous"/>
    </xf>
    <xf numFmtId="0" fontId="17" fillId="4" borderId="4" xfId="0" applyFont="1" applyFill="1" applyBorder="1" applyAlignment="1">
      <alignment horizontal="centerContinuous"/>
    </xf>
    <xf numFmtId="0" fontId="17" fillId="4" borderId="9" xfId="0" applyFont="1" applyFill="1" applyBorder="1" applyAlignment="1">
      <alignment horizontal="centerContinuous"/>
    </xf>
    <xf numFmtId="0" fontId="17" fillId="4" borderId="12" xfId="0" applyFont="1" applyFill="1" applyBorder="1" applyAlignment="1">
      <alignment horizontal="centerContinuous"/>
    </xf>
    <xf numFmtId="0" fontId="17" fillId="4" borderId="6" xfId="0" applyFont="1" applyFill="1" applyBorder="1" applyAlignment="1">
      <alignment horizontal="centerContinuous"/>
    </xf>
    <xf numFmtId="0" fontId="17" fillId="4" borderId="7" xfId="0" applyFont="1" applyFill="1" applyBorder="1" applyAlignment="1">
      <alignment horizontal="centerContinuous"/>
    </xf>
    <xf numFmtId="0" fontId="12" fillId="3" borderId="0" xfId="0" applyFont="1" applyFill="1"/>
    <xf numFmtId="0" fontId="3" fillId="3" borderId="0" xfId="0" applyFont="1" applyFill="1" applyAlignment="1">
      <alignment horizontal="center"/>
    </xf>
    <xf numFmtId="3" fontId="18" fillId="3" borderId="0" xfId="0" applyNumberFormat="1" applyFont="1" applyFill="1" applyBorder="1" applyAlignment="1">
      <alignment horizontal="center"/>
    </xf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14" fillId="3" borderId="10" xfId="0" applyFont="1" applyFill="1" applyBorder="1"/>
    <xf numFmtId="0" fontId="3" fillId="3" borderId="10" xfId="0" applyFont="1" applyFill="1" applyBorder="1"/>
    <xf numFmtId="0" fontId="3" fillId="3" borderId="0" xfId="0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3" fillId="3" borderId="12" xfId="0" applyFont="1" applyFill="1" applyBorder="1"/>
    <xf numFmtId="0" fontId="3" fillId="3" borderId="6" xfId="0" applyFont="1" applyFill="1" applyBorder="1" applyAlignment="1">
      <alignment horizontal="center"/>
    </xf>
    <xf numFmtId="3" fontId="18" fillId="3" borderId="6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0" fontId="6" fillId="4" borderId="1" xfId="3" applyFont="1" applyFill="1" applyBorder="1" applyAlignment="1">
      <alignment horizontal="left"/>
    </xf>
    <xf numFmtId="0" fontId="6" fillId="4" borderId="2" xfId="3" applyFont="1" applyFill="1" applyBorder="1" applyAlignment="1">
      <alignment horizontal="left"/>
    </xf>
    <xf numFmtId="0" fontId="6" fillId="4" borderId="3" xfId="3" applyFont="1" applyFill="1" applyBorder="1" applyAlignment="1">
      <alignment horizontal="left"/>
    </xf>
    <xf numFmtId="0" fontId="6" fillId="4" borderId="1" xfId="3" applyFont="1" applyFill="1" applyBorder="1" applyAlignment="1"/>
    <xf numFmtId="0" fontId="6" fillId="4" borderId="2" xfId="3" applyFont="1" applyFill="1" applyBorder="1" applyAlignment="1"/>
    <xf numFmtId="0" fontId="6" fillId="4" borderId="3" xfId="3" applyFont="1" applyFill="1" applyBorder="1" applyAlignment="1"/>
    <xf numFmtId="0" fontId="3" fillId="3" borderId="1" xfId="0" applyFont="1" applyFill="1" applyBorder="1"/>
    <xf numFmtId="0" fontId="0" fillId="3" borderId="2" xfId="0" applyFill="1" applyBorder="1"/>
    <xf numFmtId="0" fontId="12" fillId="3" borderId="1" xfId="0" applyFont="1" applyFill="1" applyBorder="1"/>
    <xf numFmtId="0" fontId="12" fillId="3" borderId="2" xfId="0" applyFont="1" applyFill="1" applyBorder="1"/>
    <xf numFmtId="3" fontId="12" fillId="3" borderId="2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3" fontId="12" fillId="3" borderId="3" xfId="0" applyNumberFormat="1" applyFont="1" applyFill="1" applyBorder="1" applyAlignment="1">
      <alignment horizontal="center"/>
    </xf>
    <xf numFmtId="3" fontId="0" fillId="3" borderId="0" xfId="0" applyNumberFormat="1" applyFill="1" applyBorder="1"/>
    <xf numFmtId="3" fontId="0" fillId="3" borderId="10" xfId="0" applyNumberForma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2" fillId="3" borderId="0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12" fillId="3" borderId="6" xfId="3" applyFont="1" applyFill="1" applyBorder="1" applyAlignment="1">
      <alignment horizontal="center"/>
    </xf>
    <xf numFmtId="0" fontId="12" fillId="3" borderId="12" xfId="3" applyFont="1" applyFill="1" applyBorder="1" applyAlignment="1">
      <alignment horizontal="center"/>
    </xf>
    <xf numFmtId="0" fontId="12" fillId="3" borderId="7" xfId="3" applyFont="1" applyFill="1" applyBorder="1" applyAlignment="1">
      <alignment horizontal="center"/>
    </xf>
    <xf numFmtId="0" fontId="12" fillId="3" borderId="1" xfId="3" applyFont="1" applyFill="1" applyBorder="1" applyAlignment="1">
      <alignment horizontal="centerContinuous"/>
    </xf>
    <xf numFmtId="0" fontId="13" fillId="3" borderId="2" xfId="3" applyFont="1" applyFill="1" applyBorder="1" applyAlignment="1">
      <alignment horizontal="centerContinuous"/>
    </xf>
    <xf numFmtId="9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10" fontId="3" fillId="3" borderId="0" xfId="0" applyNumberFormat="1" applyFont="1" applyFill="1" applyBorder="1" applyAlignment="1">
      <alignment horizontal="center"/>
    </xf>
    <xf numFmtId="0" fontId="3" fillId="3" borderId="5" xfId="0" applyFont="1" applyFill="1" applyBorder="1" applyAlignment="1"/>
    <xf numFmtId="10" fontId="3" fillId="3" borderId="5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0" xfId="3" applyFont="1" applyFill="1" applyBorder="1" applyAlignment="1">
      <alignment horizontal="left"/>
    </xf>
    <xf numFmtId="0" fontId="3" fillId="3" borderId="13" xfId="3" applyFont="1" applyFill="1" applyBorder="1" applyAlignment="1">
      <alignment horizontal="left"/>
    </xf>
    <xf numFmtId="0" fontId="3" fillId="3" borderId="10" xfId="0" applyFont="1" applyFill="1" applyBorder="1" applyAlignment="1"/>
    <xf numFmtId="0" fontId="12" fillId="3" borderId="10" xfId="0" applyFont="1" applyFill="1" applyBorder="1"/>
    <xf numFmtId="0" fontId="12" fillId="3" borderId="12" xfId="0" applyFont="1" applyFill="1" applyBorder="1"/>
    <xf numFmtId="0" fontId="12" fillId="3" borderId="6" xfId="0" applyFont="1" applyFill="1" applyBorder="1"/>
    <xf numFmtId="9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 applyAlignment="1">
      <alignment horizontal="left"/>
    </xf>
    <xf numFmtId="0" fontId="12" fillId="3" borderId="12" xfId="0" applyFont="1" applyFill="1" applyBorder="1" applyAlignment="1"/>
    <xf numFmtId="0" fontId="12" fillId="3" borderId="6" xfId="0" applyFont="1" applyFill="1" applyBorder="1" applyAlignment="1"/>
    <xf numFmtId="10" fontId="3" fillId="3" borderId="6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6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right"/>
    </xf>
    <xf numFmtId="10" fontId="18" fillId="3" borderId="0" xfId="0" applyNumberFormat="1" applyFont="1" applyFill="1" applyBorder="1" applyAlignment="1">
      <alignment horizontal="center"/>
    </xf>
    <xf numFmtId="0" fontId="3" fillId="3" borderId="8" xfId="0" applyFont="1" applyFill="1" applyBorder="1"/>
    <xf numFmtId="43" fontId="18" fillId="3" borderId="11" xfId="0" applyNumberFormat="1" applyFont="1" applyFill="1" applyBorder="1" applyAlignment="1">
      <alignment horizontal="center"/>
    </xf>
    <xf numFmtId="10" fontId="18" fillId="3" borderId="7" xfId="0" applyNumberFormat="1" applyFont="1" applyFill="1" applyBorder="1" applyAlignment="1">
      <alignment horizontal="right"/>
    </xf>
    <xf numFmtId="44" fontId="17" fillId="4" borderId="1" xfId="0" applyNumberFormat="1" applyFont="1" applyFill="1" applyBorder="1" applyAlignment="1">
      <alignment horizontal="centerContinuous"/>
    </xf>
    <xf numFmtId="44" fontId="19" fillId="4" borderId="2" xfId="0" applyNumberFormat="1" applyFont="1" applyFill="1" applyBorder="1" applyAlignment="1">
      <alignment horizontal="centerContinuous"/>
    </xf>
    <xf numFmtId="44" fontId="19" fillId="4" borderId="3" xfId="0" applyNumberFormat="1" applyFont="1" applyFill="1" applyBorder="1" applyAlignment="1">
      <alignment horizontal="centerContinuous"/>
    </xf>
    <xf numFmtId="0" fontId="12" fillId="3" borderId="15" xfId="3" applyFont="1" applyFill="1" applyBorder="1" applyAlignment="1">
      <alignment horizontal="center"/>
    </xf>
    <xf numFmtId="9" fontId="3" fillId="3" borderId="16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0" fontId="3" fillId="3" borderId="16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center"/>
    </xf>
    <xf numFmtId="0" fontId="20" fillId="3" borderId="15" xfId="3" applyFont="1" applyFill="1" applyBorder="1" applyAlignment="1">
      <alignment horizontal="center"/>
    </xf>
    <xf numFmtId="42" fontId="3" fillId="3" borderId="16" xfId="0" applyNumberFormat="1" applyFont="1" applyFill="1" applyBorder="1" applyAlignment="1">
      <alignment horizontal="center"/>
    </xf>
    <xf numFmtId="41" fontId="3" fillId="3" borderId="16" xfId="0" applyNumberFormat="1" applyFont="1" applyFill="1" applyBorder="1" applyAlignment="1">
      <alignment horizontal="center"/>
    </xf>
    <xf numFmtId="41" fontId="3" fillId="3" borderId="10" xfId="0" applyNumberFormat="1" applyFont="1" applyFill="1" applyBorder="1"/>
    <xf numFmtId="41" fontId="3" fillId="3" borderId="0" xfId="0" applyNumberFormat="1" applyFont="1" applyFill="1" applyBorder="1"/>
    <xf numFmtId="41" fontId="3" fillId="3" borderId="11" xfId="0" applyNumberFormat="1" applyFont="1" applyFill="1" applyBorder="1"/>
    <xf numFmtId="41" fontId="18" fillId="3" borderId="16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Continuous"/>
    </xf>
    <xf numFmtId="42" fontId="12" fillId="3" borderId="17" xfId="0" applyNumberFormat="1" applyFont="1" applyFill="1" applyBorder="1" applyAlignment="1">
      <alignment horizontal="right"/>
    </xf>
    <xf numFmtId="42" fontId="12" fillId="3" borderId="12" xfId="0" applyNumberFormat="1" applyFont="1" applyFill="1" applyBorder="1"/>
    <xf numFmtId="42" fontId="12" fillId="3" borderId="6" xfId="0" applyNumberFormat="1" applyFont="1" applyFill="1" applyBorder="1"/>
    <xf numFmtId="42" fontId="12" fillId="3" borderId="7" xfId="0" applyNumberFormat="1" applyFont="1" applyFill="1" applyBorder="1"/>
    <xf numFmtId="41" fontId="18" fillId="3" borderId="18" xfId="0" applyNumberFormat="1" applyFont="1" applyFill="1" applyBorder="1" applyAlignment="1">
      <alignment horizontal="center"/>
    </xf>
    <xf numFmtId="41" fontId="3" fillId="3" borderId="13" xfId="0" applyNumberFormat="1" applyFont="1" applyFill="1" applyBorder="1"/>
    <xf numFmtId="41" fontId="3" fillId="3" borderId="5" xfId="0" applyNumberFormat="1" applyFont="1" applyFill="1" applyBorder="1"/>
    <xf numFmtId="41" fontId="3" fillId="3" borderId="14" xfId="0" applyNumberFormat="1" applyFont="1" applyFill="1" applyBorder="1"/>
    <xf numFmtId="0" fontId="3" fillId="3" borderId="2" xfId="0" applyFont="1" applyFill="1" applyBorder="1" applyAlignment="1">
      <alignment horizontal="center"/>
    </xf>
    <xf numFmtId="42" fontId="12" fillId="3" borderId="17" xfId="0" applyNumberFormat="1" applyFont="1" applyFill="1" applyBorder="1" applyAlignment="1">
      <alignment horizontal="left"/>
    </xf>
    <xf numFmtId="42" fontId="12" fillId="3" borderId="12" xfId="0" applyNumberFormat="1" applyFont="1" applyFill="1" applyBorder="1" applyAlignment="1">
      <alignment horizontal="left"/>
    </xf>
    <xf numFmtId="42" fontId="12" fillId="3" borderId="6" xfId="0" applyNumberFormat="1" applyFont="1" applyFill="1" applyBorder="1" applyAlignment="1">
      <alignment horizontal="left"/>
    </xf>
    <xf numFmtId="42" fontId="12" fillId="3" borderId="7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centerContinuous"/>
    </xf>
    <xf numFmtId="42" fontId="21" fillId="3" borderId="16" xfId="0" applyNumberFormat="1" applyFont="1" applyFill="1" applyBorder="1" applyAlignment="1">
      <alignment horizontal="center"/>
    </xf>
    <xf numFmtId="42" fontId="21" fillId="3" borderId="10" xfId="0" applyNumberFormat="1" applyFont="1" applyFill="1" applyBorder="1"/>
    <xf numFmtId="42" fontId="21" fillId="3" borderId="0" xfId="0" applyNumberFormat="1" applyFont="1" applyFill="1" applyBorder="1"/>
    <xf numFmtId="42" fontId="21" fillId="3" borderId="11" xfId="0" applyNumberFormat="1" applyFont="1" applyFill="1" applyBorder="1"/>
    <xf numFmtId="41" fontId="21" fillId="3" borderId="16" xfId="0" applyNumberFormat="1" applyFont="1" applyFill="1" applyBorder="1" applyAlignment="1">
      <alignment horizontal="center"/>
    </xf>
    <xf numFmtId="41" fontId="21" fillId="3" borderId="10" xfId="0" applyNumberFormat="1" applyFont="1" applyFill="1" applyBorder="1"/>
    <xf numFmtId="41" fontId="21" fillId="3" borderId="0" xfId="0" applyNumberFormat="1" applyFont="1" applyFill="1" applyBorder="1"/>
    <xf numFmtId="41" fontId="21" fillId="3" borderId="11" xfId="0" applyNumberFormat="1" applyFont="1" applyFill="1" applyBorder="1"/>
    <xf numFmtId="41" fontId="21" fillId="3" borderId="14" xfId="0" applyNumberFormat="1" applyFont="1" applyFill="1" applyBorder="1"/>
    <xf numFmtId="42" fontId="0" fillId="3" borderId="0" xfId="0" applyNumberFormat="1" applyFill="1"/>
    <xf numFmtId="41" fontId="0" fillId="3" borderId="0" xfId="0" applyNumberFormat="1" applyFill="1"/>
    <xf numFmtId="41" fontId="0" fillId="3" borderId="0" xfId="0" applyNumberFormat="1" applyFill="1" applyBorder="1"/>
    <xf numFmtId="42" fontId="0" fillId="3" borderId="0" xfId="0" applyNumberFormat="1" applyFill="1" applyBorder="1"/>
    <xf numFmtId="0" fontId="3" fillId="3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right"/>
    </xf>
    <xf numFmtId="0" fontId="12" fillId="3" borderId="4" xfId="0" applyFont="1" applyFill="1" applyBorder="1" applyAlignment="1">
      <alignment horizontal="right"/>
    </xf>
    <xf numFmtId="0" fontId="12" fillId="3" borderId="9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12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Continuous"/>
    </xf>
    <xf numFmtId="0" fontId="17" fillId="4" borderId="1" xfId="0" applyFont="1" applyFill="1" applyBorder="1" applyAlignment="1">
      <alignment horizontal="centerContinuous"/>
    </xf>
    <xf numFmtId="3" fontId="3" fillId="3" borderId="0" xfId="0" applyNumberFormat="1" applyFont="1" applyFill="1" applyBorder="1" applyAlignment="1">
      <alignment horizontal="center"/>
    </xf>
    <xf numFmtId="1" fontId="21" fillId="3" borderId="0" xfId="0" applyNumberFormat="1" applyFont="1" applyFill="1" applyBorder="1" applyAlignment="1">
      <alignment horizontal="center"/>
    </xf>
    <xf numFmtId="10" fontId="3" fillId="3" borderId="0" xfId="4" applyNumberFormat="1" applyFont="1" applyFill="1" applyBorder="1" applyAlignment="1">
      <alignment horizontal="center"/>
    </xf>
    <xf numFmtId="1" fontId="21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 horizontal="center"/>
    </xf>
    <xf numFmtId="10" fontId="3" fillId="3" borderId="6" xfId="0" applyNumberFormat="1" applyFont="1" applyFill="1" applyBorder="1" applyAlignment="1">
      <alignment horizontal="center"/>
    </xf>
    <xf numFmtId="10" fontId="18" fillId="3" borderId="6" xfId="4" applyNumberFormat="1" applyFont="1" applyFill="1" applyBorder="1" applyAlignment="1">
      <alignment horizontal="center"/>
    </xf>
    <xf numFmtId="10" fontId="3" fillId="3" borderId="6" xfId="4" applyNumberFormat="1" applyFont="1" applyFill="1" applyBorder="1" applyAlignment="1">
      <alignment horizontal="center"/>
    </xf>
    <xf numFmtId="10" fontId="18" fillId="3" borderId="6" xfId="0" applyNumberFormat="1" applyFont="1" applyFill="1" applyBorder="1" applyAlignment="1">
      <alignment horizontal="center"/>
    </xf>
    <xf numFmtId="10" fontId="3" fillId="3" borderId="7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12" fillId="2" borderId="1" xfId="0" applyFont="1" applyFill="1" applyBorder="1"/>
    <xf numFmtId="44" fontId="3" fillId="3" borderId="0" xfId="0" applyNumberFormat="1" applyFont="1" applyFill="1" applyBorder="1" applyAlignment="1">
      <alignment horizontal="right"/>
    </xf>
    <xf numFmtId="44" fontId="3" fillId="3" borderId="1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4" fontId="3" fillId="3" borderId="16" xfId="0" applyNumberFormat="1" applyFont="1" applyFill="1" applyBorder="1" applyAlignment="1">
      <alignment horizontal="center"/>
    </xf>
    <xf numFmtId="10" fontId="3" fillId="3" borderId="17" xfId="0" applyNumberFormat="1" applyFont="1" applyFill="1" applyBorder="1" applyAlignment="1">
      <alignment horizontal="center"/>
    </xf>
    <xf numFmtId="0" fontId="3" fillId="2" borderId="1" xfId="0" applyFont="1" applyFill="1" applyBorder="1"/>
    <xf numFmtId="1" fontId="21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center"/>
    </xf>
    <xf numFmtId="44" fontId="3" fillId="3" borderId="10" xfId="0" applyNumberFormat="1" applyFont="1" applyFill="1" applyBorder="1" applyAlignment="1">
      <alignment horizontal="right"/>
    </xf>
    <xf numFmtId="10" fontId="18" fillId="3" borderId="12" xfId="4" applyNumberFormat="1" applyFont="1" applyFill="1" applyBorder="1" applyAlignment="1">
      <alignment horizontal="center"/>
    </xf>
    <xf numFmtId="10" fontId="18" fillId="3" borderId="7" xfId="0" applyNumberFormat="1" applyFont="1" applyFill="1" applyBorder="1" applyAlignment="1">
      <alignment horizontal="center"/>
    </xf>
    <xf numFmtId="10" fontId="18" fillId="3" borderId="10" xfId="4" applyNumberFormat="1" applyFont="1" applyFill="1" applyBorder="1" applyAlignment="1">
      <alignment horizontal="center"/>
    </xf>
    <xf numFmtId="10" fontId="18" fillId="3" borderId="11" xfId="0" applyNumberFormat="1" applyFont="1" applyFill="1" applyBorder="1" applyAlignment="1">
      <alignment horizontal="center"/>
    </xf>
    <xf numFmtId="10" fontId="18" fillId="3" borderId="12" xfId="0" applyNumberFormat="1" applyFont="1" applyFill="1" applyBorder="1" applyAlignment="1">
      <alignment horizontal="center"/>
    </xf>
    <xf numFmtId="10" fontId="18" fillId="3" borderId="10" xfId="0" applyNumberFormat="1" applyFont="1" applyFill="1" applyBorder="1" applyAlignment="1">
      <alignment horizontal="center"/>
    </xf>
    <xf numFmtId="10" fontId="3" fillId="3" borderId="11" xfId="0" applyNumberFormat="1" applyFont="1" applyFill="1" applyBorder="1" applyAlignment="1">
      <alignment horizontal="center"/>
    </xf>
    <xf numFmtId="44" fontId="18" fillId="3" borderId="16" xfId="0" applyNumberFormat="1" applyFont="1" applyFill="1" applyBorder="1" applyAlignment="1">
      <alignment horizontal="center"/>
    </xf>
    <xf numFmtId="10" fontId="3" fillId="3" borderId="12" xfId="0" applyNumberFormat="1" applyFont="1" applyFill="1" applyBorder="1" applyAlignment="1">
      <alignment horizontal="center"/>
    </xf>
    <xf numFmtId="0" fontId="12" fillId="2" borderId="1" xfId="3" applyFont="1" applyFill="1" applyBorder="1" applyAlignment="1">
      <alignment horizontal="left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3" xfId="0" applyFont="1" applyFill="1" applyBorder="1"/>
    <xf numFmtId="3" fontId="21" fillId="3" borderId="11" xfId="0" applyNumberFormat="1" applyFont="1" applyFill="1" applyBorder="1" applyAlignment="1">
      <alignment horizontal="center"/>
    </xf>
    <xf numFmtId="3" fontId="21" fillId="3" borderId="7" xfId="0" applyNumberFormat="1" applyFont="1" applyFill="1" applyBorder="1" applyAlignment="1">
      <alignment horizontal="center"/>
    </xf>
    <xf numFmtId="42" fontId="3" fillId="3" borderId="0" xfId="0" applyNumberFormat="1" applyFont="1" applyFill="1" applyBorder="1" applyAlignment="1">
      <alignment horizontal="center"/>
    </xf>
    <xf numFmtId="42" fontId="3" fillId="3" borderId="0" xfId="0" applyNumberFormat="1" applyFont="1" applyFill="1" applyBorder="1" applyAlignment="1">
      <alignment horizontal="right"/>
    </xf>
    <xf numFmtId="41" fontId="3" fillId="3" borderId="0" xfId="0" applyNumberFormat="1" applyFont="1" applyFill="1" applyBorder="1" applyAlignment="1">
      <alignment horizontal="center"/>
    </xf>
    <xf numFmtId="41" fontId="3" fillId="3" borderId="5" xfId="0" applyNumberFormat="1" applyFont="1" applyFill="1" applyBorder="1" applyAlignment="1">
      <alignment horizontal="center"/>
    </xf>
    <xf numFmtId="42" fontId="3" fillId="3" borderId="11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41" fontId="3" fillId="3" borderId="14" xfId="0" applyNumberFormat="1" applyFont="1" applyFill="1" applyBorder="1" applyAlignment="1">
      <alignment horizontal="center"/>
    </xf>
    <xf numFmtId="42" fontId="12" fillId="3" borderId="6" xfId="0" applyNumberFormat="1" applyFont="1" applyFill="1" applyBorder="1" applyAlignment="1">
      <alignment horizontal="center"/>
    </xf>
    <xf numFmtId="42" fontId="12" fillId="3" borderId="7" xfId="0" applyNumberFormat="1" applyFont="1" applyFill="1" applyBorder="1" applyAlignment="1">
      <alignment horizontal="center"/>
    </xf>
    <xf numFmtId="41" fontId="3" fillId="3" borderId="0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10" fontId="3" fillId="3" borderId="11" xfId="4" applyNumberFormat="1" applyFont="1" applyFill="1" applyBorder="1" applyAlignment="1">
      <alignment horizontal="center"/>
    </xf>
    <xf numFmtId="42" fontId="3" fillId="3" borderId="1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42" fontId="3" fillId="3" borderId="19" xfId="0" applyNumberFormat="1" applyFont="1" applyFill="1" applyBorder="1" applyAlignment="1">
      <alignment horizontal="center"/>
    </xf>
    <xf numFmtId="42" fontId="3" fillId="3" borderId="8" xfId="0" applyNumberFormat="1" applyFont="1" applyFill="1" applyBorder="1" applyAlignment="1">
      <alignment horizontal="right"/>
    </xf>
    <xf numFmtId="42" fontId="3" fillId="3" borderId="4" xfId="0" applyNumberFormat="1" applyFont="1" applyFill="1" applyBorder="1" applyAlignment="1">
      <alignment horizontal="right"/>
    </xf>
    <xf numFmtId="42" fontId="3" fillId="3" borderId="9" xfId="0" applyNumberFormat="1" applyFont="1" applyFill="1" applyBorder="1" applyAlignment="1">
      <alignment horizontal="right"/>
    </xf>
    <xf numFmtId="41" fontId="3" fillId="3" borderId="10" xfId="0" applyNumberFormat="1" applyFont="1" applyFill="1" applyBorder="1" applyAlignment="1">
      <alignment horizontal="right"/>
    </xf>
    <xf numFmtId="41" fontId="3" fillId="3" borderId="11" xfId="0" applyNumberFormat="1" applyFont="1" applyFill="1" applyBorder="1" applyAlignment="1">
      <alignment horizontal="right"/>
    </xf>
    <xf numFmtId="41" fontId="3" fillId="3" borderId="10" xfId="0" applyNumberFormat="1" applyFont="1" applyFill="1" applyBorder="1" applyAlignment="1">
      <alignment horizontal="center"/>
    </xf>
    <xf numFmtId="41" fontId="3" fillId="3" borderId="1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2" fontId="12" fillId="3" borderId="15" xfId="0" applyNumberFormat="1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Continuous"/>
    </xf>
    <xf numFmtId="0" fontId="17" fillId="4" borderId="3" xfId="0" applyFont="1" applyFill="1" applyBorder="1" applyAlignment="1">
      <alignment horizontal="centerContinuous"/>
    </xf>
    <xf numFmtId="10" fontId="3" fillId="3" borderId="16" xfId="4" applyNumberFormat="1" applyFont="1" applyFill="1" applyBorder="1" applyAlignment="1">
      <alignment horizontal="center"/>
    </xf>
    <xf numFmtId="10" fontId="3" fillId="3" borderId="10" xfId="4" applyNumberFormat="1" applyFont="1" applyFill="1" applyBorder="1" applyAlignment="1">
      <alignment horizontal="center"/>
    </xf>
    <xf numFmtId="42" fontId="3" fillId="3" borderId="10" xfId="0" applyNumberFormat="1" applyFont="1" applyFill="1" applyBorder="1" applyAlignment="1">
      <alignment horizontal="center"/>
    </xf>
    <xf numFmtId="42" fontId="12" fillId="3" borderId="17" xfId="0" applyNumberFormat="1" applyFont="1" applyFill="1" applyBorder="1" applyAlignment="1">
      <alignment horizontal="center"/>
    </xf>
    <xf numFmtId="42" fontId="12" fillId="3" borderId="12" xfId="0" applyNumberFormat="1" applyFont="1" applyFill="1" applyBorder="1" applyAlignment="1">
      <alignment horizontal="center"/>
    </xf>
    <xf numFmtId="42" fontId="18" fillId="3" borderId="19" xfId="0" applyNumberFormat="1" applyFont="1" applyFill="1" applyBorder="1" applyAlignment="1">
      <alignment horizontal="center"/>
    </xf>
    <xf numFmtId="42" fontId="3" fillId="3" borderId="10" xfId="0" applyNumberFormat="1" applyFont="1" applyFill="1" applyBorder="1" applyAlignment="1">
      <alignment horizontal="right"/>
    </xf>
    <xf numFmtId="41" fontId="3" fillId="3" borderId="18" xfId="0" applyNumberFormat="1" applyFont="1" applyFill="1" applyBorder="1" applyAlignment="1">
      <alignment horizontal="center"/>
    </xf>
    <xf numFmtId="41" fontId="3" fillId="3" borderId="13" xfId="0" applyNumberFormat="1" applyFont="1" applyFill="1" applyBorder="1" applyAlignment="1">
      <alignment horizontal="center"/>
    </xf>
    <xf numFmtId="10" fontId="3" fillId="3" borderId="10" xfId="0" applyNumberFormat="1" applyFont="1" applyFill="1" applyBorder="1" applyAlignment="1">
      <alignment horizontal="center"/>
    </xf>
    <xf numFmtId="42" fontId="12" fillId="3" borderId="16" xfId="0" applyNumberFormat="1" applyFont="1" applyFill="1" applyBorder="1" applyAlignment="1">
      <alignment horizontal="center"/>
    </xf>
    <xf numFmtId="42" fontId="12" fillId="3" borderId="10" xfId="0" applyNumberFormat="1" applyFont="1" applyFill="1" applyBorder="1" applyAlignment="1">
      <alignment horizontal="right"/>
    </xf>
    <xf numFmtId="42" fontId="12" fillId="3" borderId="0" xfId="0" applyNumberFormat="1" applyFont="1" applyFill="1" applyBorder="1" applyAlignment="1">
      <alignment horizontal="right"/>
    </xf>
    <xf numFmtId="42" fontId="12" fillId="3" borderId="11" xfId="0" applyNumberFormat="1" applyFont="1" applyFill="1" applyBorder="1" applyAlignment="1">
      <alignment horizontal="right"/>
    </xf>
    <xf numFmtId="10" fontId="12" fillId="3" borderId="15" xfId="0" applyNumberFormat="1" applyFont="1" applyFill="1" applyBorder="1" applyAlignment="1">
      <alignment horizontal="center"/>
    </xf>
    <xf numFmtId="3" fontId="18" fillId="3" borderId="11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20" fillId="3" borderId="12" xfId="3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" fontId="18" fillId="3" borderId="0" xfId="0" applyNumberFormat="1" applyFont="1" applyFill="1" applyBorder="1" applyAlignment="1">
      <alignment horizontal="center"/>
    </xf>
    <xf numFmtId="37" fontId="3" fillId="3" borderId="0" xfId="1" applyNumberFormat="1" applyFont="1" applyFill="1" applyBorder="1" applyAlignment="1">
      <alignment horizontal="center"/>
    </xf>
    <xf numFmtId="44" fontId="3" fillId="3" borderId="4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37" fontId="3" fillId="3" borderId="11" xfId="1" applyNumberFormat="1" applyFont="1" applyFill="1" applyBorder="1" applyAlignment="1">
      <alignment horizontal="center"/>
    </xf>
    <xf numFmtId="44" fontId="3" fillId="3" borderId="6" xfId="0" applyNumberFormat="1" applyFont="1" applyFill="1" applyBorder="1" applyAlignment="1">
      <alignment horizontal="right"/>
    </xf>
    <xf numFmtId="44" fontId="3" fillId="3" borderId="7" xfId="0" applyNumberFormat="1" applyFont="1" applyFill="1" applyBorder="1" applyAlignment="1">
      <alignment horizontal="right"/>
    </xf>
    <xf numFmtId="44" fontId="18" fillId="3" borderId="19" xfId="0" applyNumberFormat="1" applyFont="1" applyFill="1" applyBorder="1" applyAlignment="1">
      <alignment horizontal="center"/>
    </xf>
    <xf numFmtId="0" fontId="20" fillId="3" borderId="1" xfId="3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9" fontId="3" fillId="3" borderId="10" xfId="0" applyNumberFormat="1" applyFont="1" applyFill="1" applyBorder="1" applyAlignment="1">
      <alignment horizontal="center"/>
    </xf>
    <xf numFmtId="44" fontId="18" fillId="3" borderId="12" xfId="0" applyNumberFormat="1" applyFont="1" applyFill="1" applyBorder="1" applyAlignment="1">
      <alignment horizontal="center"/>
    </xf>
    <xf numFmtId="44" fontId="3" fillId="3" borderId="8" xfId="0" applyNumberFormat="1" applyFont="1" applyFill="1" applyBorder="1" applyAlignment="1">
      <alignment horizontal="right"/>
    </xf>
    <xf numFmtId="44" fontId="3" fillId="3" borderId="9" xfId="0" applyNumberFormat="1" applyFont="1" applyFill="1" applyBorder="1" applyAlignment="1">
      <alignment horizontal="right"/>
    </xf>
    <xf numFmtId="1" fontId="18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37" fontId="3" fillId="3" borderId="10" xfId="1" applyNumberFormat="1" applyFont="1" applyFill="1" applyBorder="1" applyAlignment="1">
      <alignment horizontal="center"/>
    </xf>
    <xf numFmtId="44" fontId="3" fillId="3" borderId="12" xfId="0" applyNumberFormat="1" applyFont="1" applyFill="1" applyBorder="1" applyAlignment="1">
      <alignment horizontal="right"/>
    </xf>
    <xf numFmtId="9" fontId="3" fillId="3" borderId="5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2" fontId="21" fillId="3" borderId="10" xfId="0" applyNumberFormat="1" applyFont="1" applyFill="1" applyBorder="1" applyAlignment="1">
      <alignment horizontal="right"/>
    </xf>
    <xf numFmtId="42" fontId="21" fillId="3" borderId="0" xfId="0" applyNumberFormat="1" applyFont="1" applyFill="1" applyBorder="1" applyAlignment="1">
      <alignment horizontal="right"/>
    </xf>
    <xf numFmtId="42" fontId="21" fillId="3" borderId="11" xfId="0" applyNumberFormat="1" applyFont="1" applyFill="1" applyBorder="1" applyAlignment="1">
      <alignment horizontal="right"/>
    </xf>
    <xf numFmtId="41" fontId="3" fillId="3" borderId="13" xfId="0" applyNumberFormat="1" applyFont="1" applyFill="1" applyBorder="1" applyAlignment="1">
      <alignment horizontal="right"/>
    </xf>
    <xf numFmtId="41" fontId="3" fillId="3" borderId="5" xfId="0" applyNumberFormat="1" applyFont="1" applyFill="1" applyBorder="1" applyAlignment="1">
      <alignment horizontal="right"/>
    </xf>
    <xf numFmtId="41" fontId="3" fillId="3" borderId="14" xfId="0" applyNumberFormat="1" applyFont="1" applyFill="1" applyBorder="1" applyAlignment="1">
      <alignment horizontal="right"/>
    </xf>
    <xf numFmtId="42" fontId="12" fillId="3" borderId="12" xfId="0" applyNumberFormat="1" applyFont="1" applyFill="1" applyBorder="1" applyAlignment="1">
      <alignment horizontal="right"/>
    </xf>
    <xf numFmtId="42" fontId="12" fillId="3" borderId="6" xfId="0" applyNumberFormat="1" applyFont="1" applyFill="1" applyBorder="1" applyAlignment="1">
      <alignment horizontal="right"/>
    </xf>
    <xf numFmtId="42" fontId="12" fillId="3" borderId="7" xfId="0" applyNumberFormat="1" applyFont="1" applyFill="1" applyBorder="1" applyAlignment="1">
      <alignment horizontal="right"/>
    </xf>
    <xf numFmtId="42" fontId="3" fillId="2" borderId="15" xfId="0" applyNumberFormat="1" applyFont="1" applyFill="1" applyBorder="1" applyAlignment="1">
      <alignment horizontal="center"/>
    </xf>
    <xf numFmtId="42" fontId="3" fillId="2" borderId="1" xfId="0" applyNumberFormat="1" applyFont="1" applyFill="1" applyBorder="1" applyAlignment="1">
      <alignment horizontal="right"/>
    </xf>
    <xf numFmtId="42" fontId="3" fillId="2" borderId="2" xfId="0" applyNumberFormat="1" applyFont="1" applyFill="1" applyBorder="1" applyAlignment="1">
      <alignment horizontal="right"/>
    </xf>
    <xf numFmtId="42" fontId="3" fillId="2" borderId="3" xfId="0" applyNumberFormat="1" applyFont="1" applyFill="1" applyBorder="1" applyAlignment="1">
      <alignment horizontal="right"/>
    </xf>
    <xf numFmtId="0" fontId="14" fillId="3" borderId="8" xfId="0" applyFont="1" applyFill="1" applyBorder="1"/>
    <xf numFmtId="0" fontId="3" fillId="3" borderId="19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9" xfId="0" applyFont="1" applyFill="1" applyBorder="1"/>
    <xf numFmtId="3" fontId="21" fillId="3" borderId="0" xfId="0" applyNumberFormat="1" applyFont="1" applyFill="1" applyBorder="1" applyAlignment="1">
      <alignment horizontal="center"/>
    </xf>
    <xf numFmtId="3" fontId="18" fillId="3" borderId="10" xfId="0" applyNumberFormat="1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/>
    </xf>
    <xf numFmtId="10" fontId="18" fillId="3" borderId="0" xfId="4" applyNumberFormat="1" applyFont="1" applyFill="1" applyBorder="1" applyAlignment="1">
      <alignment horizontal="center"/>
    </xf>
    <xf numFmtId="42" fontId="21" fillId="3" borderId="10" xfId="0" applyNumberFormat="1" applyFont="1" applyFill="1" applyBorder="1" applyAlignment="1">
      <alignment horizontal="center"/>
    </xf>
    <xf numFmtId="42" fontId="21" fillId="3" borderId="0" xfId="0" applyNumberFormat="1" applyFont="1" applyFill="1" applyBorder="1" applyAlignment="1">
      <alignment horizontal="center"/>
    </xf>
    <xf numFmtId="42" fontId="21" fillId="3" borderId="11" xfId="0" applyNumberFormat="1" applyFont="1" applyFill="1" applyBorder="1" applyAlignment="1">
      <alignment horizontal="center"/>
    </xf>
    <xf numFmtId="44" fontId="3" fillId="3" borderId="0" xfId="0" applyNumberFormat="1" applyFont="1" applyFill="1"/>
    <xf numFmtId="44" fontId="3" fillId="3" borderId="0" xfId="0" applyNumberFormat="1" applyFont="1" applyFill="1" applyBorder="1"/>
    <xf numFmtId="0" fontId="9" fillId="3" borderId="1" xfId="3" applyFont="1" applyFill="1" applyBorder="1" applyAlignment="1">
      <alignment horizontal="centerContinuous"/>
    </xf>
    <xf numFmtId="0" fontId="10" fillId="3" borderId="2" xfId="3" applyFont="1" applyFill="1" applyBorder="1" applyAlignment="1">
      <alignment horizontal="centerContinuous"/>
    </xf>
    <xf numFmtId="0" fontId="8" fillId="3" borderId="3" xfId="3" applyFont="1" applyFill="1" applyBorder="1" applyAlignment="1">
      <alignment horizontal="centerContinuous"/>
    </xf>
    <xf numFmtId="0" fontId="8" fillId="3" borderId="2" xfId="0" applyFont="1" applyFill="1" applyBorder="1" applyAlignment="1">
      <alignment horizontal="centerContinuous"/>
    </xf>
    <xf numFmtId="0" fontId="9" fillId="3" borderId="2" xfId="3" applyFont="1" applyFill="1" applyBorder="1" applyAlignment="1">
      <alignment horizontal="centerContinuous"/>
    </xf>
    <xf numFmtId="0" fontId="8" fillId="3" borderId="2" xfId="3" applyFont="1" applyFill="1" applyBorder="1" applyAlignment="1">
      <alignment horizontal="centerContinuous"/>
    </xf>
    <xf numFmtId="0" fontId="20" fillId="3" borderId="10" xfId="3" applyFont="1" applyFill="1" applyBorder="1" applyAlignment="1">
      <alignment horizontal="center"/>
    </xf>
    <xf numFmtId="0" fontId="12" fillId="3" borderId="0" xfId="3" applyFont="1" applyFill="1" applyBorder="1" applyAlignment="1">
      <alignment horizontal="center"/>
    </xf>
    <xf numFmtId="0" fontId="12" fillId="3" borderId="10" xfId="3" applyFont="1" applyFill="1" applyBorder="1" applyAlignment="1">
      <alignment horizontal="center"/>
    </xf>
    <xf numFmtId="0" fontId="12" fillId="3" borderId="11" xfId="3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/>
    <xf numFmtId="0" fontId="20" fillId="3" borderId="8" xfId="3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4" fontId="3" fillId="3" borderId="10" xfId="0" applyNumberFormat="1" applyFont="1" applyFill="1" applyBorder="1" applyAlignment="1">
      <alignment horizontal="center"/>
    </xf>
    <xf numFmtId="10" fontId="18" fillId="3" borderId="11" xfId="0" applyNumberFormat="1" applyFont="1" applyFill="1" applyBorder="1" applyAlignment="1">
      <alignment horizontal="right"/>
    </xf>
    <xf numFmtId="9" fontId="3" fillId="3" borderId="5" xfId="0" applyNumberFormat="1" applyFont="1" applyFill="1" applyBorder="1" applyAlignment="1">
      <alignment horizontal="center" wrapText="1"/>
    </xf>
    <xf numFmtId="41" fontId="3" fillId="3" borderId="5" xfId="0" applyNumberFormat="1" applyFont="1" applyFill="1" applyBorder="1" applyAlignment="1">
      <alignment horizontal="right" wrapText="1"/>
    </xf>
    <xf numFmtId="41" fontId="3" fillId="3" borderId="14" xfId="0" applyNumberFormat="1" applyFont="1" applyFill="1" applyBorder="1" applyAlignment="1">
      <alignment horizontal="right" wrapText="1"/>
    </xf>
    <xf numFmtId="41" fontId="3" fillId="3" borderId="18" xfId="0" applyNumberFormat="1" applyFont="1" applyFill="1" applyBorder="1" applyAlignment="1">
      <alignment horizontal="center" wrapText="1"/>
    </xf>
    <xf numFmtId="41" fontId="3" fillId="3" borderId="13" xfId="0" applyNumberFormat="1" applyFont="1" applyFill="1" applyBorder="1" applyAlignment="1">
      <alignment horizontal="right" wrapText="1"/>
    </xf>
    <xf numFmtId="0" fontId="3" fillId="3" borderId="8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42" fontId="12" fillId="3" borderId="19" xfId="0" applyNumberFormat="1" applyFont="1" applyFill="1" applyBorder="1" applyAlignment="1">
      <alignment horizontal="center"/>
    </xf>
    <xf numFmtId="0" fontId="12" fillId="3" borderId="0" xfId="0" applyFont="1" applyFill="1" applyBorder="1"/>
    <xf numFmtId="0" fontId="20" fillId="3" borderId="6" xfId="3" applyFont="1" applyFill="1" applyBorder="1" applyAlignment="1">
      <alignment horizontal="center"/>
    </xf>
    <xf numFmtId="3" fontId="18" fillId="3" borderId="16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10" fontId="18" fillId="3" borderId="16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43" fontId="3" fillId="0" borderId="0" xfId="0" applyNumberFormat="1" applyFont="1" applyAlignment="1">
      <alignment wrapText="1"/>
    </xf>
    <xf numFmtId="43" fontId="18" fillId="3" borderId="16" xfId="0" applyNumberFormat="1" applyFont="1" applyFill="1" applyBorder="1" applyAlignment="1">
      <alignment horizontal="center"/>
    </xf>
    <xf numFmtId="43" fontId="3" fillId="3" borderId="10" xfId="0" applyNumberFormat="1" applyFont="1" applyFill="1" applyBorder="1" applyAlignment="1">
      <alignment horizontal="right"/>
    </xf>
    <xf numFmtId="43" fontId="3" fillId="3" borderId="0" xfId="0" applyNumberFormat="1" applyFont="1" applyFill="1" applyBorder="1" applyAlignment="1">
      <alignment horizontal="right"/>
    </xf>
    <xf numFmtId="43" fontId="3" fillId="3" borderId="11" xfId="0" applyNumberFormat="1" applyFont="1" applyFill="1" applyBorder="1" applyAlignment="1">
      <alignment horizontal="right"/>
    </xf>
    <xf numFmtId="42" fontId="18" fillId="3" borderId="16" xfId="0" applyNumberFormat="1" applyFont="1" applyFill="1" applyBorder="1" applyAlignment="1">
      <alignment horizontal="center"/>
    </xf>
    <xf numFmtId="44" fontId="3" fillId="0" borderId="0" xfId="0" applyNumberFormat="1" applyFont="1"/>
    <xf numFmtId="10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3" fillId="0" borderId="0" xfId="0" applyFont="1" applyFill="1"/>
    <xf numFmtId="10" fontId="12" fillId="3" borderId="2" xfId="0" applyNumberFormat="1" applyFont="1" applyFill="1" applyBorder="1" applyAlignment="1">
      <alignment horizontal="center"/>
    </xf>
    <xf numFmtId="0" fontId="20" fillId="3" borderId="2" xfId="3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44" fontId="3" fillId="3" borderId="0" xfId="2" applyNumberFormat="1" applyFont="1" applyFill="1" applyBorder="1" applyAlignment="1">
      <alignment horizontal="center"/>
    </xf>
    <xf numFmtId="44" fontId="3" fillId="3" borderId="0" xfId="2" applyNumberFormat="1" applyFont="1" applyFill="1" applyBorder="1"/>
    <xf numFmtId="44" fontId="12" fillId="3" borderId="16" xfId="2" applyNumberFormat="1" applyFont="1" applyFill="1" applyBorder="1"/>
    <xf numFmtId="43" fontId="18" fillId="3" borderId="0" xfId="2" applyNumberFormat="1" applyFont="1" applyFill="1" applyBorder="1" applyAlignment="1">
      <alignment horizontal="center"/>
    </xf>
    <xf numFmtId="43" fontId="3" fillId="3" borderId="0" xfId="2" applyNumberFormat="1" applyFont="1" applyFill="1" applyBorder="1" applyAlignment="1">
      <alignment horizontal="center"/>
    </xf>
    <xf numFmtId="43" fontId="3" fillId="3" borderId="0" xfId="2" applyNumberFormat="1" applyFont="1" applyFill="1" applyBorder="1"/>
    <xf numFmtId="43" fontId="12" fillId="3" borderId="16" xfId="2" applyNumberFormat="1" applyFont="1" applyFill="1" applyBorder="1"/>
    <xf numFmtId="170" fontId="3" fillId="3" borderId="0" xfId="0" applyNumberFormat="1" applyFont="1" applyFill="1"/>
    <xf numFmtId="43" fontId="18" fillId="3" borderId="6" xfId="2" applyNumberFormat="1" applyFont="1" applyFill="1" applyBorder="1" applyAlignment="1">
      <alignment horizontal="center"/>
    </xf>
    <xf numFmtId="43" fontId="3" fillId="3" borderId="6" xfId="2" applyNumberFormat="1" applyFont="1" applyFill="1" applyBorder="1" applyAlignment="1">
      <alignment horizontal="center"/>
    </xf>
    <xf numFmtId="43" fontId="3" fillId="3" borderId="6" xfId="2" applyNumberFormat="1" applyFont="1" applyFill="1" applyBorder="1"/>
    <xf numFmtId="43" fontId="12" fillId="3" borderId="17" xfId="2" applyNumberFormat="1" applyFont="1" applyFill="1" applyBorder="1"/>
    <xf numFmtId="0" fontId="3" fillId="4" borderId="9" xfId="0" applyFont="1" applyFill="1" applyBorder="1" applyAlignment="1">
      <alignment horizontal="centerContinuous"/>
    </xf>
    <xf numFmtId="0" fontId="3" fillId="4" borderId="7" xfId="0" applyFont="1" applyFill="1" applyBorder="1" applyAlignment="1">
      <alignment horizontal="centerContinuous"/>
    </xf>
    <xf numFmtId="44" fontId="3" fillId="3" borderId="11" xfId="0" applyNumberFormat="1" applyFont="1" applyFill="1" applyBorder="1"/>
    <xf numFmtId="43" fontId="3" fillId="3" borderId="7" xfId="0" applyNumberFormat="1" applyFont="1" applyFill="1" applyBorder="1"/>
    <xf numFmtId="0" fontId="3" fillId="0" borderId="0" xfId="0" applyFont="1" applyFill="1" applyAlignment="1">
      <alignment horizontal="center"/>
    </xf>
    <xf numFmtId="10" fontId="18" fillId="3" borderId="11" xfId="0" applyNumberFormat="1" applyFont="1" applyFill="1" applyBorder="1" applyAlignment="1"/>
    <xf numFmtId="10" fontId="18" fillId="3" borderId="7" xfId="0" applyNumberFormat="1" applyFont="1" applyFill="1" applyBorder="1" applyAlignment="1"/>
    <xf numFmtId="44" fontId="18" fillId="3" borderId="11" xfId="0" applyNumberFormat="1" applyFont="1" applyFill="1" applyBorder="1"/>
    <xf numFmtId="43" fontId="18" fillId="3" borderId="11" xfId="0" applyNumberFormat="1" applyFont="1" applyFill="1" applyBorder="1"/>
    <xf numFmtId="43" fontId="18" fillId="3" borderId="7" xfId="0" applyNumberFormat="1" applyFont="1" applyFill="1" applyBorder="1"/>
    <xf numFmtId="10" fontId="3" fillId="3" borderId="4" xfId="0" applyNumberFormat="1" applyFont="1" applyFill="1" applyBorder="1" applyAlignment="1">
      <alignment horizontal="center"/>
    </xf>
    <xf numFmtId="10" fontId="3" fillId="3" borderId="19" xfId="0" applyNumberFormat="1" applyFont="1" applyFill="1" applyBorder="1" applyAlignment="1">
      <alignment horizontal="center"/>
    </xf>
    <xf numFmtId="10" fontId="18" fillId="3" borderId="8" xfId="4" applyNumberFormat="1" applyFont="1" applyFill="1" applyBorder="1" applyAlignment="1">
      <alignment horizontal="center"/>
    </xf>
    <xf numFmtId="10" fontId="3" fillId="3" borderId="4" xfId="4" applyNumberFormat="1" applyFont="1" applyFill="1" applyBorder="1" applyAlignment="1">
      <alignment horizontal="center"/>
    </xf>
    <xf numFmtId="10" fontId="18" fillId="3" borderId="9" xfId="0" applyNumberFormat="1" applyFont="1" applyFill="1" applyBorder="1" applyAlignment="1">
      <alignment horizontal="center"/>
    </xf>
    <xf numFmtId="10" fontId="18" fillId="3" borderId="8" xfId="0" applyNumberFormat="1" applyFont="1" applyFill="1" applyBorder="1" applyAlignment="1">
      <alignment horizontal="center"/>
    </xf>
    <xf numFmtId="10" fontId="18" fillId="3" borderId="4" xfId="0" applyNumberFormat="1" applyFont="1" applyFill="1" applyBorder="1" applyAlignment="1">
      <alignment horizontal="center"/>
    </xf>
    <xf numFmtId="10" fontId="3" fillId="3" borderId="9" xfId="0" applyNumberFormat="1" applyFont="1" applyFill="1" applyBorder="1" applyAlignment="1">
      <alignment horizontal="center"/>
    </xf>
    <xf numFmtId="10" fontId="3" fillId="3" borderId="8" xfId="0" applyNumberFormat="1" applyFont="1" applyFill="1" applyBorder="1" applyAlignment="1">
      <alignment horizontal="center"/>
    </xf>
    <xf numFmtId="44" fontId="18" fillId="3" borderId="10" xfId="0" applyNumberFormat="1" applyFont="1" applyFill="1" applyBorder="1" applyAlignment="1">
      <alignment horizontal="center"/>
    </xf>
    <xf numFmtId="41" fontId="3" fillId="3" borderId="12" xfId="0" applyNumberFormat="1" applyFont="1" applyFill="1" applyBorder="1" applyAlignment="1">
      <alignment horizontal="center"/>
    </xf>
    <xf numFmtId="41" fontId="3" fillId="3" borderId="12" xfId="0" applyNumberFormat="1" applyFont="1" applyFill="1" applyBorder="1" applyAlignment="1">
      <alignment horizontal="right"/>
    </xf>
    <xf numFmtId="41" fontId="3" fillId="3" borderId="6" xfId="0" applyNumberFormat="1" applyFont="1" applyFill="1" applyBorder="1" applyAlignment="1">
      <alignment horizontal="right"/>
    </xf>
    <xf numFmtId="41" fontId="3" fillId="3" borderId="7" xfId="0" applyNumberFormat="1" applyFont="1" applyFill="1" applyBorder="1" applyAlignment="1">
      <alignment horizontal="right"/>
    </xf>
    <xf numFmtId="42" fontId="3" fillId="3" borderId="8" xfId="0" applyNumberFormat="1" applyFont="1" applyFill="1" applyBorder="1" applyAlignment="1">
      <alignment horizontal="center"/>
    </xf>
    <xf numFmtId="0" fontId="8" fillId="2" borderId="1" xfId="3" applyFont="1" applyFill="1" applyBorder="1" applyAlignment="1"/>
    <xf numFmtId="44" fontId="3" fillId="0" borderId="0" xfId="0" applyNumberFormat="1" applyFont="1" applyBorder="1"/>
    <xf numFmtId="41" fontId="18" fillId="3" borderId="17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3" borderId="0" xfId="0" applyFont="1" applyFill="1" applyBorder="1"/>
    <xf numFmtId="3" fontId="21" fillId="3" borderId="9" xfId="0" applyNumberFormat="1" applyFont="1" applyFill="1" applyBorder="1" applyAlignment="1">
      <alignment horizontal="center"/>
    </xf>
    <xf numFmtId="44" fontId="3" fillId="3" borderId="10" xfId="0" applyNumberFormat="1" applyFont="1" applyFill="1" applyBorder="1"/>
    <xf numFmtId="43" fontId="3" fillId="3" borderId="6" xfId="0" applyNumberFormat="1" applyFont="1" applyFill="1" applyBorder="1"/>
    <xf numFmtId="43" fontId="3" fillId="3" borderId="12" xfId="0" applyNumberFormat="1" applyFont="1" applyFill="1" applyBorder="1"/>
    <xf numFmtId="41" fontId="18" fillId="3" borderId="0" xfId="0" applyNumberFormat="1" applyFont="1" applyFill="1" applyBorder="1"/>
    <xf numFmtId="42" fontId="3" fillId="3" borderId="4" xfId="0" applyNumberFormat="1" applyFont="1" applyFill="1" applyBorder="1" applyAlignment="1">
      <alignment horizontal="center"/>
    </xf>
    <xf numFmtId="42" fontId="3" fillId="3" borderId="9" xfId="0" applyNumberFormat="1" applyFont="1" applyFill="1" applyBorder="1" applyAlignment="1">
      <alignment horizontal="center"/>
    </xf>
    <xf numFmtId="41" fontId="3" fillId="3" borderId="6" xfId="0" applyNumberFormat="1" applyFont="1" applyFill="1" applyBorder="1" applyAlignment="1">
      <alignment horizontal="center"/>
    </xf>
    <xf numFmtId="41" fontId="3" fillId="3" borderId="7" xfId="0" applyNumberFormat="1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43" fontId="18" fillId="3" borderId="12" xfId="0" applyNumberFormat="1" applyFont="1" applyFill="1" applyBorder="1" applyAlignment="1">
      <alignment horizontal="center"/>
    </xf>
    <xf numFmtId="41" fontId="3" fillId="3" borderId="17" xfId="0" applyNumberFormat="1" applyFont="1" applyFill="1" applyBorder="1" applyAlignment="1">
      <alignment horizontal="center"/>
    </xf>
    <xf numFmtId="42" fontId="3" fillId="3" borderId="8" xfId="0" applyNumberFormat="1" applyFont="1" applyFill="1" applyBorder="1"/>
    <xf numFmtId="42" fontId="3" fillId="3" borderId="4" xfId="0" applyNumberFormat="1" applyFont="1" applyFill="1" applyBorder="1"/>
    <xf numFmtId="42" fontId="3" fillId="3" borderId="9" xfId="0" applyNumberFormat="1" applyFont="1" applyFill="1" applyBorder="1"/>
    <xf numFmtId="0" fontId="3" fillId="3" borderId="13" xfId="0" applyFont="1" applyFill="1" applyBorder="1"/>
    <xf numFmtId="0" fontId="12" fillId="3" borderId="12" xfId="0" applyFont="1" applyFill="1" applyBorder="1" applyAlignment="1">
      <alignment horizontal="left"/>
    </xf>
    <xf numFmtId="0" fontId="9" fillId="0" borderId="12" xfId="3" applyFont="1" applyFill="1" applyBorder="1" applyAlignment="1"/>
    <xf numFmtId="0" fontId="6" fillId="3" borderId="0" xfId="3" applyFont="1" applyFill="1" applyBorder="1" applyAlignment="1">
      <alignment horizontal="left"/>
    </xf>
    <xf numFmtId="0" fontId="9" fillId="3" borderId="4" xfId="3" applyFont="1" applyFill="1" applyBorder="1" applyAlignment="1"/>
    <xf numFmtId="0" fontId="9" fillId="3" borderId="4" xfId="3" applyFont="1" applyFill="1" applyBorder="1" applyAlignment="1">
      <alignment horizontal="right"/>
    </xf>
    <xf numFmtId="3" fontId="9" fillId="3" borderId="4" xfId="3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Continuous"/>
    </xf>
    <xf numFmtId="0" fontId="3" fillId="4" borderId="6" xfId="0" applyFont="1" applyFill="1" applyBorder="1" applyAlignment="1">
      <alignment horizontal="centerContinuous"/>
    </xf>
    <xf numFmtId="0" fontId="17" fillId="3" borderId="8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center"/>
    </xf>
    <xf numFmtId="0" fontId="14" fillId="3" borderId="0" xfId="0" applyFont="1" applyFill="1" applyBorder="1"/>
    <xf numFmtId="43" fontId="3" fillId="3" borderId="11" xfId="0" applyNumberFormat="1" applyFont="1" applyFill="1" applyBorder="1"/>
    <xf numFmtId="43" fontId="3" fillId="3" borderId="14" xfId="0" applyNumberFormat="1" applyFont="1" applyFill="1" applyBorder="1"/>
    <xf numFmtId="0" fontId="23" fillId="3" borderId="12" xfId="0" applyFont="1" applyFill="1" applyBorder="1"/>
    <xf numFmtId="44" fontId="12" fillId="3" borderId="7" xfId="0" applyNumberFormat="1" applyFont="1" applyFill="1" applyBorder="1"/>
    <xf numFmtId="0" fontId="3" fillId="3" borderId="20" xfId="0" applyFont="1" applyFill="1" applyBorder="1"/>
    <xf numFmtId="0" fontId="3" fillId="3" borderId="21" xfId="0" applyFont="1" applyFill="1" applyBorder="1"/>
    <xf numFmtId="0" fontId="3" fillId="3" borderId="22" xfId="0" applyFont="1" applyFill="1" applyBorder="1"/>
    <xf numFmtId="0" fontId="23" fillId="3" borderId="8" xfId="0" applyFont="1" applyFill="1" applyBorder="1"/>
    <xf numFmtId="44" fontId="12" fillId="3" borderId="9" xfId="0" applyNumberFormat="1" applyFont="1" applyFill="1" applyBorder="1"/>
    <xf numFmtId="172" fontId="3" fillId="3" borderId="0" xfId="0" applyNumberFormat="1" applyFont="1" applyFill="1"/>
    <xf numFmtId="0" fontId="3" fillId="3" borderId="16" xfId="0" applyFont="1" applyFill="1" applyBorder="1"/>
    <xf numFmtId="42" fontId="3" fillId="3" borderId="16" xfId="0" applyNumberFormat="1" applyFont="1" applyFill="1" applyBorder="1"/>
    <xf numFmtId="41" fontId="3" fillId="3" borderId="16" xfId="0" applyNumberFormat="1" applyFont="1" applyFill="1" applyBorder="1"/>
    <xf numFmtId="41" fontId="3" fillId="3" borderId="18" xfId="0" applyNumberFormat="1" applyFont="1" applyFill="1" applyBorder="1"/>
    <xf numFmtId="42" fontId="12" fillId="3" borderId="17" xfId="0" applyNumberFormat="1" applyFont="1" applyFill="1" applyBorder="1"/>
    <xf numFmtId="0" fontId="3" fillId="3" borderId="23" xfId="0" applyFont="1" applyFill="1" applyBorder="1"/>
    <xf numFmtId="42" fontId="12" fillId="3" borderId="19" xfId="0" applyNumberFormat="1" applyFont="1" applyFill="1" applyBorder="1"/>
    <xf numFmtId="0" fontId="12" fillId="3" borderId="8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41" fontId="18" fillId="3" borderId="11" xfId="0" applyNumberFormat="1" applyFont="1" applyFill="1" applyBorder="1"/>
    <xf numFmtId="41" fontId="18" fillId="3" borderId="14" xfId="0" applyNumberFormat="1" applyFont="1" applyFill="1" applyBorder="1"/>
    <xf numFmtId="42" fontId="12" fillId="3" borderId="8" xfId="0" applyNumberFormat="1" applyFont="1" applyFill="1" applyBorder="1"/>
    <xf numFmtId="42" fontId="12" fillId="3" borderId="9" xfId="0" applyNumberFormat="1" applyFont="1" applyFill="1" applyBorder="1"/>
    <xf numFmtId="42" fontId="18" fillId="3" borderId="10" xfId="0" applyNumberFormat="1" applyFont="1" applyFill="1" applyBorder="1"/>
    <xf numFmtId="41" fontId="18" fillId="3" borderId="10" xfId="0" applyNumberFormat="1" applyFont="1" applyFill="1" applyBorder="1" applyAlignment="1"/>
    <xf numFmtId="41" fontId="18" fillId="3" borderId="13" xfId="0" applyNumberFormat="1" applyFont="1" applyFill="1" applyBorder="1" applyAlignment="1"/>
    <xf numFmtId="3" fontId="18" fillId="3" borderId="14" xfId="0" applyNumberFormat="1" applyFont="1" applyFill="1" applyBorder="1" applyAlignment="1">
      <alignment horizontal="center"/>
    </xf>
    <xf numFmtId="3" fontId="12" fillId="3" borderId="7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2" fillId="3" borderId="8" xfId="0" applyFont="1" applyFill="1" applyBorder="1"/>
    <xf numFmtId="3" fontId="21" fillId="3" borderId="0" xfId="0" applyNumberFormat="1" applyFont="1" applyFill="1" applyAlignment="1">
      <alignment horizontal="center"/>
    </xf>
    <xf numFmtId="41" fontId="21" fillId="3" borderId="0" xfId="0" applyNumberFormat="1" applyFont="1" applyFill="1"/>
    <xf numFmtId="43" fontId="0" fillId="3" borderId="0" xfId="0" applyNumberFormat="1" applyFill="1"/>
    <xf numFmtId="0" fontId="0" fillId="4" borderId="4" xfId="0" applyFill="1" applyBorder="1" applyAlignment="1">
      <alignment horizontal="centerContinuous"/>
    </xf>
    <xf numFmtId="0" fontId="0" fillId="4" borderId="9" xfId="0" applyFill="1" applyBorder="1" applyAlignment="1">
      <alignment horizontal="centerContinuous"/>
    </xf>
    <xf numFmtId="0" fontId="0" fillId="3" borderId="6" xfId="0" applyFill="1" applyBorder="1" applyAlignment="1">
      <alignment horizontal="center"/>
    </xf>
    <xf numFmtId="41" fontId="21" fillId="3" borderId="6" xfId="0" applyNumberFormat="1" applyFont="1" applyFill="1" applyBorder="1"/>
    <xf numFmtId="43" fontId="0" fillId="3" borderId="16" xfId="0" applyNumberFormat="1" applyFill="1" applyBorder="1"/>
    <xf numFmtId="43" fontId="0" fillId="3" borderId="17" xfId="0" applyNumberFormat="1" applyFill="1" applyBorder="1"/>
    <xf numFmtId="41" fontId="0" fillId="3" borderId="16" xfId="0" applyNumberFormat="1" applyFill="1" applyBorder="1"/>
    <xf numFmtId="41" fontId="0" fillId="3" borderId="17" xfId="0" applyNumberFormat="1" applyFill="1" applyBorder="1"/>
    <xf numFmtId="0" fontId="0" fillId="4" borderId="6" xfId="0" applyFill="1" applyBorder="1" applyAlignment="1">
      <alignment horizontal="centerContinuous"/>
    </xf>
    <xf numFmtId="0" fontId="0" fillId="4" borderId="7" xfId="0" applyFill="1" applyBorder="1" applyAlignment="1">
      <alignment horizontal="centerContinuous"/>
    </xf>
    <xf numFmtId="44" fontId="12" fillId="3" borderId="17" xfId="0" applyNumberFormat="1" applyFont="1" applyFill="1" applyBorder="1"/>
    <xf numFmtId="0" fontId="0" fillId="3" borderId="5" xfId="0" applyFill="1" applyBorder="1"/>
    <xf numFmtId="41" fontId="21" fillId="3" borderId="4" xfId="0" applyNumberFormat="1" applyFont="1" applyFill="1" applyBorder="1"/>
    <xf numFmtId="3" fontId="21" fillId="3" borderId="4" xfId="0" applyNumberFormat="1" applyFont="1" applyFill="1" applyBorder="1" applyAlignment="1">
      <alignment horizontal="center"/>
    </xf>
    <xf numFmtId="41" fontId="12" fillId="3" borderId="11" xfId="0" applyNumberFormat="1" applyFont="1" applyFill="1" applyBorder="1"/>
    <xf numFmtId="41" fontId="17" fillId="4" borderId="2" xfId="0" applyNumberFormat="1" applyFont="1" applyFill="1" applyBorder="1" applyAlignment="1">
      <alignment horizontal="centerContinuous"/>
    </xf>
    <xf numFmtId="3" fontId="17" fillId="4" borderId="2" xfId="0" applyNumberFormat="1" applyFont="1" applyFill="1" applyBorder="1" applyAlignment="1">
      <alignment horizontal="centerContinuous"/>
    </xf>
    <xf numFmtId="41" fontId="17" fillId="4" borderId="3" xfId="0" applyNumberFormat="1" applyFont="1" applyFill="1" applyBorder="1" applyAlignment="1">
      <alignment horizontal="centerContinuous"/>
    </xf>
    <xf numFmtId="41" fontId="8" fillId="0" borderId="0" xfId="3" applyNumberFormat="1" applyFont="1" applyAlignment="1"/>
    <xf numFmtId="42" fontId="9" fillId="0" borderId="9" xfId="3" applyNumberFormat="1" applyFont="1" applyFill="1" applyBorder="1" applyAlignment="1"/>
    <xf numFmtId="41" fontId="9" fillId="0" borderId="7" xfId="3" applyNumberFormat="1" applyFont="1" applyFill="1" applyBorder="1" applyAlignment="1"/>
    <xf numFmtId="42" fontId="9" fillId="0" borderId="0" xfId="3" applyNumberFormat="1" applyFont="1" applyBorder="1" applyAlignment="1"/>
    <xf numFmtId="0" fontId="9" fillId="3" borderId="4" xfId="3" applyFont="1" applyFill="1" applyBorder="1" applyAlignment="1">
      <alignment horizontal="left"/>
    </xf>
    <xf numFmtId="0" fontId="9" fillId="0" borderId="6" xfId="3" applyFont="1" applyFill="1" applyBorder="1" applyAlignment="1"/>
    <xf numFmtId="0" fontId="3" fillId="3" borderId="0" xfId="3" applyFont="1" applyFill="1"/>
    <xf numFmtId="166" fontId="3" fillId="3" borderId="0" xfId="3" applyNumberFormat="1" applyFont="1" applyFill="1" applyBorder="1"/>
    <xf numFmtId="0" fontId="3" fillId="3" borderId="0" xfId="3" applyFont="1" applyFill="1" applyBorder="1"/>
    <xf numFmtId="10" fontId="3" fillId="3" borderId="0" xfId="3" applyNumberFormat="1" applyFont="1" applyFill="1" applyBorder="1"/>
    <xf numFmtId="0" fontId="3" fillId="3" borderId="10" xfId="3" applyFont="1" applyFill="1" applyBorder="1"/>
    <xf numFmtId="0" fontId="3" fillId="3" borderId="11" xfId="3" applyFont="1" applyFill="1" applyBorder="1"/>
    <xf numFmtId="0" fontId="3" fillId="3" borderId="6" xfId="3" applyFont="1" applyFill="1" applyBorder="1"/>
    <xf numFmtId="0" fontId="3" fillId="4" borderId="4" xfId="3" applyFont="1" applyFill="1" applyBorder="1" applyAlignment="1">
      <alignment horizontal="centerContinuous"/>
    </xf>
    <xf numFmtId="0" fontId="3" fillId="4" borderId="9" xfId="3" applyFont="1" applyFill="1" applyBorder="1" applyAlignment="1">
      <alignment horizontal="centerContinuous"/>
    </xf>
    <xf numFmtId="0" fontId="3" fillId="4" borderId="6" xfId="3" applyFont="1" applyFill="1" applyBorder="1" applyAlignment="1">
      <alignment horizontal="centerContinuous"/>
    </xf>
    <xf numFmtId="0" fontId="12" fillId="4" borderId="7" xfId="3" applyFont="1" applyFill="1" applyBorder="1" applyAlignment="1">
      <alignment horizontal="centerContinuous"/>
    </xf>
    <xf numFmtId="0" fontId="3" fillId="3" borderId="5" xfId="3" applyFont="1" applyFill="1" applyBorder="1"/>
    <xf numFmtId="173" fontId="3" fillId="3" borderId="0" xfId="4" applyNumberFormat="1" applyFont="1" applyFill="1"/>
    <xf numFmtId="42" fontId="21" fillId="3" borderId="11" xfId="3" applyNumberFormat="1" applyFont="1" applyFill="1" applyBorder="1"/>
    <xf numFmtId="41" fontId="3" fillId="3" borderId="11" xfId="3" applyNumberFormat="1" applyFont="1" applyFill="1" applyBorder="1"/>
    <xf numFmtId="0" fontId="3" fillId="3" borderId="13" xfId="3" applyFont="1" applyFill="1" applyBorder="1"/>
    <xf numFmtId="41" fontId="3" fillId="3" borderId="14" xfId="3" applyNumberFormat="1" applyFont="1" applyFill="1" applyBorder="1"/>
    <xf numFmtId="0" fontId="12" fillId="3" borderId="12" xfId="3" applyFont="1" applyFill="1" applyBorder="1"/>
    <xf numFmtId="0" fontId="12" fillId="3" borderId="6" xfId="3" applyFont="1" applyFill="1" applyBorder="1"/>
    <xf numFmtId="0" fontId="14" fillId="3" borderId="10" xfId="3" applyFont="1" applyFill="1" applyBorder="1"/>
    <xf numFmtId="42" fontId="12" fillId="3" borderId="7" xfId="3" applyNumberFormat="1" applyFont="1" applyFill="1" applyBorder="1"/>
    <xf numFmtId="0" fontId="9" fillId="2" borderId="3" xfId="3" applyFont="1" applyFill="1" applyBorder="1" applyAlignment="1">
      <alignment horizontal="center"/>
    </xf>
    <xf numFmtId="6" fontId="3" fillId="3" borderId="0" xfId="3" applyNumberFormat="1" applyFont="1" applyFill="1"/>
    <xf numFmtId="8" fontId="3" fillId="3" borderId="0" xfId="3" applyNumberFormat="1" applyFont="1" applyFill="1"/>
    <xf numFmtId="164" fontId="3" fillId="3" borderId="0" xfId="3" applyNumberFormat="1" applyFont="1" applyFill="1"/>
    <xf numFmtId="6" fontId="3" fillId="3" borderId="0" xfId="3" applyNumberFormat="1" applyFont="1" applyFill="1" applyBorder="1"/>
    <xf numFmtId="0" fontId="3" fillId="3" borderId="19" xfId="3" applyFont="1" applyFill="1" applyBorder="1"/>
    <xf numFmtId="0" fontId="3" fillId="3" borderId="16" xfId="3" applyFont="1" applyFill="1" applyBorder="1"/>
    <xf numFmtId="0" fontId="12" fillId="3" borderId="17" xfId="3" applyFont="1" applyFill="1" applyBorder="1" applyAlignment="1">
      <alignment horizontal="center"/>
    </xf>
    <xf numFmtId="41" fontId="3" fillId="3" borderId="5" xfId="3" applyNumberFormat="1" applyFont="1" applyFill="1" applyBorder="1"/>
    <xf numFmtId="42" fontId="21" fillId="3" borderId="0" xfId="3" applyNumberFormat="1" applyFont="1" applyFill="1" applyBorder="1"/>
    <xf numFmtId="42" fontId="3" fillId="3" borderId="11" xfId="3" applyNumberFormat="1" applyFont="1" applyFill="1" applyBorder="1"/>
    <xf numFmtId="41" fontId="21" fillId="3" borderId="0" xfId="3" applyNumberFormat="1" applyFont="1" applyFill="1" applyBorder="1"/>
    <xf numFmtId="42" fontId="12" fillId="3" borderId="6" xfId="3" applyNumberFormat="1" applyFont="1" applyFill="1" applyBorder="1"/>
    <xf numFmtId="42" fontId="21" fillId="3" borderId="10" xfId="3" applyNumberFormat="1" applyFont="1" applyFill="1" applyBorder="1"/>
    <xf numFmtId="41" fontId="21" fillId="3" borderId="10" xfId="3" applyNumberFormat="1" applyFont="1" applyFill="1" applyBorder="1"/>
    <xf numFmtId="41" fontId="21" fillId="3" borderId="11" xfId="3" applyNumberFormat="1" applyFont="1" applyFill="1" applyBorder="1"/>
    <xf numFmtId="41" fontId="18" fillId="3" borderId="13" xfId="3" applyNumberFormat="1" applyFont="1" applyFill="1" applyBorder="1"/>
    <xf numFmtId="42" fontId="12" fillId="3" borderId="12" xfId="3" applyNumberFormat="1" applyFont="1" applyFill="1" applyBorder="1"/>
    <xf numFmtId="42" fontId="12" fillId="3" borderId="17" xfId="3" applyNumberFormat="1" applyFont="1" applyFill="1" applyBorder="1"/>
    <xf numFmtId="0" fontId="19" fillId="4" borderId="4" xfId="3" applyFont="1" applyFill="1" applyBorder="1" applyAlignment="1">
      <alignment horizontal="centerContinuous"/>
    </xf>
    <xf numFmtId="0" fontId="19" fillId="4" borderId="9" xfId="3" applyFont="1" applyFill="1" applyBorder="1" applyAlignment="1">
      <alignment horizontal="centerContinuous"/>
    </xf>
    <xf numFmtId="0" fontId="19" fillId="4" borderId="6" xfId="3" applyFont="1" applyFill="1" applyBorder="1" applyAlignment="1">
      <alignment horizontal="centerContinuous"/>
    </xf>
    <xf numFmtId="6" fontId="19" fillId="4" borderId="6" xfId="3" applyNumberFormat="1" applyFont="1" applyFill="1" applyBorder="1" applyAlignment="1">
      <alignment horizontal="centerContinuous"/>
    </xf>
    <xf numFmtId="0" fontId="19" fillId="4" borderId="7" xfId="3" applyFont="1" applyFill="1" applyBorder="1" applyAlignment="1">
      <alignment horizontal="centerContinuous"/>
    </xf>
    <xf numFmtId="42" fontId="3" fillId="3" borderId="16" xfId="3" applyNumberFormat="1" applyFont="1" applyFill="1" applyBorder="1"/>
    <xf numFmtId="41" fontId="3" fillId="3" borderId="16" xfId="3" applyNumberFormat="1" applyFont="1" applyFill="1" applyBorder="1"/>
    <xf numFmtId="41" fontId="3" fillId="3" borderId="18" xfId="3" applyNumberFormat="1" applyFont="1" applyFill="1" applyBorder="1"/>
    <xf numFmtId="6" fontId="3" fillId="3" borderId="17" xfId="3" applyNumberFormat="1" applyFont="1" applyFill="1" applyBorder="1"/>
    <xf numFmtId="0" fontId="3" fillId="3" borderId="8" xfId="3" applyFont="1" applyFill="1" applyBorder="1"/>
    <xf numFmtId="6" fontId="3" fillId="3" borderId="4" xfId="3" applyNumberFormat="1" applyFont="1" applyFill="1" applyBorder="1"/>
    <xf numFmtId="6" fontId="3" fillId="3" borderId="9" xfId="3" applyNumberFormat="1" applyFont="1" applyFill="1" applyBorder="1"/>
    <xf numFmtId="6" fontId="3" fillId="3" borderId="11" xfId="3" applyNumberFormat="1" applyFont="1" applyFill="1" applyBorder="1"/>
    <xf numFmtId="42" fontId="3" fillId="3" borderId="0" xfId="3" applyNumberFormat="1" applyFont="1" applyFill="1" applyBorder="1"/>
    <xf numFmtId="0" fontId="3" fillId="3" borderId="12" xfId="3" applyFont="1" applyFill="1" applyBorder="1"/>
    <xf numFmtId="41" fontId="3" fillId="3" borderId="6" xfId="3" applyNumberFormat="1" applyFont="1" applyFill="1" applyBorder="1"/>
    <xf numFmtId="6" fontId="3" fillId="3" borderId="19" xfId="3" applyNumberFormat="1" applyFont="1" applyFill="1" applyBorder="1"/>
    <xf numFmtId="6" fontId="3" fillId="3" borderId="16" xfId="3" applyNumberFormat="1" applyFont="1" applyFill="1" applyBorder="1"/>
    <xf numFmtId="41" fontId="3" fillId="3" borderId="13" xfId="3" applyNumberFormat="1" applyFont="1" applyFill="1" applyBorder="1"/>
    <xf numFmtId="6" fontId="3" fillId="3" borderId="8" xfId="3" applyNumberFormat="1" applyFont="1" applyFill="1" applyBorder="1"/>
    <xf numFmtId="6" fontId="3" fillId="3" borderId="10" xfId="3" applyNumberFormat="1" applyFont="1" applyFill="1" applyBorder="1"/>
    <xf numFmtId="42" fontId="3" fillId="3" borderId="10" xfId="3" applyNumberFormat="1" applyFont="1" applyFill="1" applyBorder="1"/>
    <xf numFmtId="41" fontId="3" fillId="3" borderId="12" xfId="3" applyNumberFormat="1" applyFont="1" applyFill="1" applyBorder="1"/>
    <xf numFmtId="41" fontId="3" fillId="3" borderId="7" xfId="3" applyNumberFormat="1" applyFont="1" applyFill="1" applyBorder="1"/>
    <xf numFmtId="10" fontId="18" fillId="3" borderId="7" xfId="3" applyNumberFormat="1" applyFont="1" applyFill="1" applyBorder="1" applyAlignment="1">
      <alignment horizontal="centerContinuous"/>
    </xf>
    <xf numFmtId="0" fontId="17" fillId="4" borderId="1" xfId="3" applyFont="1" applyFill="1" applyBorder="1" applyAlignment="1">
      <alignment horizontal="centerContinuous"/>
    </xf>
    <xf numFmtId="6" fontId="17" fillId="4" borderId="3" xfId="3" applyNumberFormat="1" applyFont="1" applyFill="1" applyBorder="1" applyAlignment="1">
      <alignment horizontal="centerContinuous"/>
    </xf>
    <xf numFmtId="41" fontId="3" fillId="3" borderId="10" xfId="3" applyNumberFormat="1" applyFont="1" applyFill="1" applyBorder="1"/>
    <xf numFmtId="41" fontId="3" fillId="3" borderId="0" xfId="3" applyNumberFormat="1" applyFont="1" applyFill="1" applyBorder="1"/>
    <xf numFmtId="0" fontId="12" fillId="3" borderId="0" xfId="3" applyFont="1" applyFill="1" applyBorder="1"/>
    <xf numFmtId="42" fontId="12" fillId="3" borderId="0" xfId="3" applyNumberFormat="1" applyFont="1" applyFill="1" applyBorder="1"/>
    <xf numFmtId="42" fontId="12" fillId="3" borderId="15" xfId="3" applyNumberFormat="1" applyFont="1" applyFill="1" applyBorder="1"/>
    <xf numFmtId="42" fontId="12" fillId="3" borderId="16" xfId="3" applyNumberFormat="1" applyFont="1" applyFill="1" applyBorder="1"/>
    <xf numFmtId="0" fontId="12" fillId="3" borderId="8" xfId="3" applyFont="1" applyFill="1" applyBorder="1"/>
    <xf numFmtId="42" fontId="12" fillId="3" borderId="19" xfId="3" applyNumberFormat="1" applyFont="1" applyFill="1" applyBorder="1"/>
    <xf numFmtId="42" fontId="12" fillId="3" borderId="4" xfId="3" applyNumberFormat="1" applyFont="1" applyFill="1" applyBorder="1"/>
    <xf numFmtId="42" fontId="12" fillId="3" borderId="1" xfId="3" applyNumberFormat="1" applyFont="1" applyFill="1" applyBorder="1"/>
    <xf numFmtId="42" fontId="12" fillId="3" borderId="10" xfId="3" applyNumberFormat="1" applyFont="1" applyFill="1" applyBorder="1"/>
    <xf numFmtId="42" fontId="12" fillId="3" borderId="8" xfId="3" applyNumberFormat="1" applyFont="1" applyFill="1" applyBorder="1"/>
    <xf numFmtId="42" fontId="12" fillId="3" borderId="11" xfId="3" applyNumberFormat="1" applyFont="1" applyFill="1" applyBorder="1"/>
    <xf numFmtId="42" fontId="12" fillId="3" borderId="9" xfId="3" applyNumberFormat="1" applyFont="1" applyFill="1" applyBorder="1"/>
    <xf numFmtId="41" fontId="3" fillId="3" borderId="1" xfId="3" applyNumberFormat="1" applyFont="1" applyFill="1" applyBorder="1"/>
    <xf numFmtId="41" fontId="3" fillId="3" borderId="2" xfId="3" applyNumberFormat="1" applyFont="1" applyFill="1" applyBorder="1"/>
    <xf numFmtId="41" fontId="3" fillId="3" borderId="3" xfId="3" applyNumberFormat="1" applyFont="1" applyFill="1" applyBorder="1"/>
    <xf numFmtId="10" fontId="18" fillId="3" borderId="9" xfId="3" applyNumberFormat="1" applyFont="1" applyFill="1" applyBorder="1" applyAlignment="1">
      <alignment horizontal="centerContinuous"/>
    </xf>
    <xf numFmtId="10" fontId="12" fillId="3" borderId="15" xfId="3" applyNumberFormat="1" applyFont="1" applyFill="1" applyBorder="1" applyAlignment="1">
      <alignment horizontal="center"/>
    </xf>
    <xf numFmtId="0" fontId="10" fillId="3" borderId="1" xfId="3" applyFont="1" applyFill="1" applyBorder="1" applyAlignment="1">
      <alignment wrapText="1"/>
    </xf>
    <xf numFmtId="0" fontId="10" fillId="3" borderId="2" xfId="3" applyFont="1" applyFill="1" applyBorder="1" applyAlignment="1">
      <alignment wrapText="1"/>
    </xf>
    <xf numFmtId="0" fontId="9" fillId="3" borderId="2" xfId="3" applyFont="1" applyFill="1" applyBorder="1" applyAlignment="1">
      <alignment wrapText="1"/>
    </xf>
    <xf numFmtId="0" fontId="9" fillId="3" borderId="1" xfId="3" applyFont="1" applyFill="1" applyBorder="1" applyAlignment="1">
      <alignment horizontal="center"/>
    </xf>
    <xf numFmtId="0" fontId="9" fillId="3" borderId="15" xfId="3" applyFont="1" applyFill="1" applyBorder="1" applyAlignment="1">
      <alignment horizontal="center"/>
    </xf>
    <xf numFmtId="0" fontId="25" fillId="3" borderId="10" xfId="3" applyFont="1" applyFill="1" applyBorder="1" applyAlignment="1"/>
    <xf numFmtId="0" fontId="9" fillId="3" borderId="0" xfId="3" applyFont="1" applyFill="1" applyBorder="1" applyAlignment="1"/>
    <xf numFmtId="0" fontId="8" fillId="3" borderId="0" xfId="3" applyFont="1" applyFill="1" applyBorder="1" applyAlignment="1"/>
    <xf numFmtId="0" fontId="8" fillId="3" borderId="10" xfId="3" applyFont="1" applyFill="1" applyBorder="1" applyAlignment="1"/>
    <xf numFmtId="0" fontId="8" fillId="3" borderId="16" xfId="3" applyFont="1" applyFill="1" applyBorder="1" applyAlignment="1">
      <alignment horizontal="right"/>
    </xf>
    <xf numFmtId="3" fontId="8" fillId="3" borderId="0" xfId="3" applyNumberFormat="1" applyFont="1" applyFill="1" applyBorder="1" applyAlignment="1"/>
    <xf numFmtId="42" fontId="22" fillId="3" borderId="10" xfId="3" applyNumberFormat="1" applyFont="1" applyFill="1" applyBorder="1" applyAlignment="1"/>
    <xf numFmtId="10" fontId="8" fillId="3" borderId="16" xfId="4" applyNumberFormat="1" applyFont="1" applyFill="1" applyBorder="1" applyAlignment="1">
      <alignment horizontal="center"/>
    </xf>
    <xf numFmtId="41" fontId="22" fillId="3" borderId="10" xfId="3" applyNumberFormat="1" applyFont="1" applyFill="1" applyBorder="1" applyAlignment="1"/>
    <xf numFmtId="41" fontId="16" fillId="3" borderId="10" xfId="3" applyNumberFormat="1" applyFont="1" applyFill="1" applyBorder="1" applyAlignment="1"/>
    <xf numFmtId="0" fontId="8" fillId="3" borderId="13" xfId="3" applyFont="1" applyFill="1" applyBorder="1" applyAlignment="1"/>
    <xf numFmtId="0" fontId="8" fillId="3" borderId="5" xfId="3" applyFont="1" applyFill="1" applyBorder="1" applyAlignment="1"/>
    <xf numFmtId="0" fontId="8" fillId="3" borderId="18" xfId="3" applyFont="1" applyFill="1" applyBorder="1" applyAlignment="1">
      <alignment horizontal="right"/>
    </xf>
    <xf numFmtId="0" fontId="9" fillId="3" borderId="12" xfId="3" applyFont="1" applyFill="1" applyBorder="1" applyAlignment="1"/>
    <xf numFmtId="0" fontId="9" fillId="3" borderId="6" xfId="3" applyFont="1" applyFill="1" applyBorder="1" applyAlignment="1"/>
    <xf numFmtId="0" fontId="8" fillId="3" borderId="6" xfId="3" applyFont="1" applyFill="1" applyBorder="1" applyAlignment="1"/>
    <xf numFmtId="42" fontId="9" fillId="3" borderId="12" xfId="3" applyNumberFormat="1" applyFont="1" applyFill="1" applyBorder="1" applyAlignment="1"/>
    <xf numFmtId="10" fontId="9" fillId="3" borderId="17" xfId="3" applyNumberFormat="1" applyFont="1" applyFill="1" applyBorder="1" applyAlignment="1">
      <alignment horizontal="center"/>
    </xf>
    <xf numFmtId="0" fontId="9" fillId="3" borderId="1" xfId="3" applyFont="1" applyFill="1" applyBorder="1" applyAlignment="1">
      <alignment horizontal="left"/>
    </xf>
    <xf numFmtId="0" fontId="9" fillId="3" borderId="2" xfId="3" applyFont="1" applyFill="1" applyBorder="1" applyAlignment="1">
      <alignment horizontal="left" wrapText="1"/>
    </xf>
    <xf numFmtId="0" fontId="8" fillId="3" borderId="2" xfId="3" applyFont="1" applyFill="1" applyBorder="1" applyAlignment="1">
      <alignment wrapText="1"/>
    </xf>
    <xf numFmtId="0" fontId="8" fillId="3" borderId="10" xfId="3" applyFont="1" applyFill="1" applyBorder="1" applyAlignment="1">
      <alignment horizontal="left"/>
    </xf>
    <xf numFmtId="0" fontId="8" fillId="3" borderId="0" xfId="3" applyFont="1" applyFill="1" applyBorder="1" applyAlignment="1">
      <alignment horizontal="right"/>
    </xf>
    <xf numFmtId="165" fontId="8" fillId="3" borderId="10" xfId="3" applyNumberFormat="1" applyFont="1" applyFill="1" applyBorder="1" applyAlignment="1">
      <alignment horizontal="right"/>
    </xf>
    <xf numFmtId="42" fontId="8" fillId="3" borderId="16" xfId="3" applyNumberFormat="1" applyFont="1" applyFill="1" applyBorder="1" applyAlignment="1"/>
    <xf numFmtId="41" fontId="8" fillId="3" borderId="10" xfId="3" applyNumberFormat="1" applyFont="1" applyFill="1" applyBorder="1" applyAlignment="1">
      <alignment horizontal="right"/>
    </xf>
    <xf numFmtId="41" fontId="8" fillId="3" borderId="16" xfId="3" applyNumberFormat="1" applyFont="1" applyFill="1" applyBorder="1" applyAlignment="1"/>
    <xf numFmtId="43" fontId="8" fillId="3" borderId="10" xfId="3" applyNumberFormat="1" applyFont="1" applyFill="1" applyBorder="1" applyAlignment="1">
      <alignment horizontal="right"/>
    </xf>
    <xf numFmtId="43" fontId="16" fillId="3" borderId="10" xfId="3" applyNumberFormat="1" applyFont="1" applyFill="1" applyBorder="1" applyAlignment="1">
      <alignment horizontal="right"/>
    </xf>
    <xf numFmtId="0" fontId="9" fillId="3" borderId="2" xfId="3" applyFont="1" applyFill="1" applyBorder="1" applyAlignment="1"/>
    <xf numFmtId="0" fontId="8" fillId="3" borderId="3" xfId="3" applyFont="1" applyFill="1" applyBorder="1" applyAlignment="1"/>
    <xf numFmtId="42" fontId="8" fillId="3" borderId="10" xfId="3" applyNumberFormat="1" applyFont="1" applyFill="1" applyBorder="1" applyAlignment="1"/>
    <xf numFmtId="42" fontId="22" fillId="3" borderId="16" xfId="3" applyNumberFormat="1" applyFont="1" applyFill="1" applyBorder="1" applyAlignment="1"/>
    <xf numFmtId="41" fontId="8" fillId="3" borderId="10" xfId="3" applyNumberFormat="1" applyFont="1" applyFill="1" applyBorder="1" applyAlignment="1"/>
    <xf numFmtId="41" fontId="22" fillId="3" borderId="16" xfId="3" applyNumberFormat="1" applyFont="1" applyFill="1" applyBorder="1" applyAlignment="1"/>
    <xf numFmtId="0" fontId="8" fillId="3" borderId="13" xfId="3" applyFont="1" applyFill="1" applyBorder="1" applyAlignment="1">
      <alignment horizontal="left"/>
    </xf>
    <xf numFmtId="0" fontId="8" fillId="3" borderId="5" xfId="3" applyFont="1" applyFill="1" applyBorder="1" applyAlignment="1">
      <alignment horizontal="right"/>
    </xf>
    <xf numFmtId="0" fontId="9" fillId="3" borderId="10" xfId="3" applyFont="1" applyFill="1" applyBorder="1" applyAlignment="1">
      <alignment horizontal="left"/>
    </xf>
    <xf numFmtId="0" fontId="9" fillId="3" borderId="0" xfId="3" applyFont="1" applyFill="1" applyBorder="1" applyAlignment="1">
      <alignment horizontal="right"/>
    </xf>
    <xf numFmtId="42" fontId="9" fillId="3" borderId="19" xfId="3" applyNumberFormat="1" applyFont="1" applyFill="1" applyBorder="1" applyAlignment="1"/>
    <xf numFmtId="0" fontId="9" fillId="3" borderId="2" xfId="3" applyFont="1" applyFill="1" applyBorder="1" applyAlignment="1">
      <alignment horizontal="right"/>
    </xf>
    <xf numFmtId="0" fontId="7" fillId="3" borderId="2" xfId="3" applyFont="1" applyFill="1" applyBorder="1" applyAlignment="1"/>
    <xf numFmtId="0" fontId="7" fillId="3" borderId="15" xfId="3" applyFont="1" applyFill="1" applyBorder="1" applyAlignment="1"/>
    <xf numFmtId="42" fontId="9" fillId="3" borderId="15" xfId="3" applyNumberFormat="1" applyFont="1" applyFill="1" applyBorder="1" applyAlignment="1"/>
    <xf numFmtId="168" fontId="22" fillId="3" borderId="5" xfId="3" applyNumberFormat="1" applyFont="1" applyFill="1" applyBorder="1" applyAlignment="1">
      <alignment horizontal="center"/>
    </xf>
    <xf numFmtId="3" fontId="22" fillId="3" borderId="5" xfId="3" applyNumberFormat="1" applyFont="1" applyFill="1" applyBorder="1" applyAlignment="1">
      <alignment horizontal="center"/>
    </xf>
    <xf numFmtId="3" fontId="22" fillId="3" borderId="13" xfId="3" applyNumberFormat="1" applyFont="1" applyFill="1" applyBorder="1" applyAlignment="1">
      <alignment horizontal="center"/>
    </xf>
    <xf numFmtId="3" fontId="22" fillId="3" borderId="14" xfId="3" applyNumberFormat="1" applyFont="1" applyFill="1" applyBorder="1" applyAlignment="1">
      <alignment horizontal="center"/>
    </xf>
    <xf numFmtId="0" fontId="9" fillId="3" borderId="12" xfId="3" applyFont="1" applyFill="1" applyBorder="1" applyAlignment="1">
      <alignment horizontal="left"/>
    </xf>
    <xf numFmtId="0" fontId="9" fillId="3" borderId="6" xfId="3" applyFont="1" applyFill="1" applyBorder="1" applyAlignment="1">
      <alignment horizontal="right"/>
    </xf>
    <xf numFmtId="3" fontId="9" fillId="3" borderId="6" xfId="3" applyNumberFormat="1" applyFont="1" applyFill="1" applyBorder="1" applyAlignment="1">
      <alignment horizontal="center"/>
    </xf>
    <xf numFmtId="3" fontId="9" fillId="3" borderId="12" xfId="3" applyNumberFormat="1" applyFont="1" applyFill="1" applyBorder="1" applyAlignment="1">
      <alignment horizontal="center"/>
    </xf>
    <xf numFmtId="3" fontId="9" fillId="3" borderId="7" xfId="3" applyNumberFormat="1" applyFont="1" applyFill="1" applyBorder="1" applyAlignment="1">
      <alignment horizontal="center"/>
    </xf>
    <xf numFmtId="0" fontId="8" fillId="3" borderId="0" xfId="3" applyFont="1" applyFill="1" applyBorder="1" applyAlignment="1">
      <alignment horizontal="left"/>
    </xf>
    <xf numFmtId="0" fontId="8" fillId="3" borderId="8" xfId="3" applyFont="1" applyFill="1" applyBorder="1" applyAlignment="1">
      <alignment horizontal="left"/>
    </xf>
    <xf numFmtId="0" fontId="8" fillId="3" borderId="4" xfId="3" applyFont="1" applyFill="1" applyBorder="1" applyAlignment="1"/>
    <xf numFmtId="42" fontId="8" fillId="3" borderId="11" xfId="3" applyNumberFormat="1" applyFont="1" applyFill="1" applyBorder="1" applyAlignment="1">
      <alignment horizontal="center"/>
    </xf>
    <xf numFmtId="42" fontId="8" fillId="3" borderId="0" xfId="3" applyNumberFormat="1" applyFont="1" applyFill="1" applyBorder="1" applyAlignment="1"/>
    <xf numFmtId="42" fontId="8" fillId="3" borderId="11" xfId="3" applyNumberFormat="1" applyFont="1" applyFill="1" applyBorder="1" applyAlignment="1"/>
    <xf numFmtId="41" fontId="8" fillId="3" borderId="11" xfId="3" applyNumberFormat="1" applyFont="1" applyFill="1" applyBorder="1" applyAlignment="1">
      <alignment horizontal="center"/>
    </xf>
    <xf numFmtId="41" fontId="8" fillId="3" borderId="0" xfId="3" applyNumberFormat="1" applyFont="1" applyFill="1" applyBorder="1" applyAlignment="1"/>
    <xf numFmtId="41" fontId="8" fillId="3" borderId="11" xfId="3" applyNumberFormat="1" applyFont="1" applyFill="1" applyBorder="1" applyAlignment="1"/>
    <xf numFmtId="41" fontId="9" fillId="3" borderId="0" xfId="3" applyNumberFormat="1" applyFont="1" applyFill="1" applyBorder="1" applyAlignment="1">
      <alignment horizontal="right"/>
    </xf>
    <xf numFmtId="41" fontId="9" fillId="3" borderId="0" xfId="4" applyNumberFormat="1" applyFont="1" applyFill="1" applyBorder="1" applyAlignment="1">
      <alignment horizontal="center"/>
    </xf>
    <xf numFmtId="41" fontId="22" fillId="3" borderId="11" xfId="3" applyNumberFormat="1" applyFont="1" applyFill="1" applyBorder="1" applyAlignment="1"/>
    <xf numFmtId="10" fontId="16" fillId="3" borderId="0" xfId="3" applyNumberFormat="1" applyFont="1" applyFill="1" applyBorder="1" applyAlignment="1">
      <alignment horizontal="center"/>
    </xf>
    <xf numFmtId="41" fontId="16" fillId="3" borderId="11" xfId="3" applyNumberFormat="1" applyFont="1" applyFill="1" applyBorder="1" applyAlignment="1">
      <alignment horizontal="center"/>
    </xf>
    <xf numFmtId="41" fontId="8" fillId="3" borderId="14" xfId="3" applyNumberFormat="1" applyFont="1" applyFill="1" applyBorder="1" applyAlignment="1">
      <alignment horizontal="center"/>
    </xf>
    <xf numFmtId="41" fontId="8" fillId="3" borderId="13" xfId="3" applyNumberFormat="1" applyFont="1" applyFill="1" applyBorder="1" applyAlignment="1"/>
    <xf numFmtId="41" fontId="8" fillId="3" borderId="5" xfId="3" applyNumberFormat="1" applyFont="1" applyFill="1" applyBorder="1" applyAlignment="1"/>
    <xf numFmtId="41" fontId="8" fillId="3" borderId="14" xfId="3" applyNumberFormat="1" applyFont="1" applyFill="1" applyBorder="1" applyAlignment="1"/>
    <xf numFmtId="42" fontId="9" fillId="3" borderId="11" xfId="3" applyNumberFormat="1" applyFont="1" applyFill="1" applyBorder="1" applyAlignment="1">
      <alignment horizontal="center"/>
    </xf>
    <xf numFmtId="42" fontId="9" fillId="3" borderId="10" xfId="3" applyNumberFormat="1" applyFont="1" applyFill="1" applyBorder="1" applyAlignment="1">
      <alignment horizontal="center"/>
    </xf>
    <xf numFmtId="42" fontId="9" fillId="3" borderId="0" xfId="3" applyNumberFormat="1" applyFont="1" applyFill="1" applyBorder="1" applyAlignment="1">
      <alignment horizontal="center"/>
    </xf>
    <xf numFmtId="0" fontId="8" fillId="3" borderId="12" xfId="3" applyFont="1" applyFill="1" applyBorder="1" applyAlignment="1">
      <alignment horizontal="left"/>
    </xf>
    <xf numFmtId="42" fontId="22" fillId="3" borderId="0" xfId="3" applyNumberFormat="1" applyFont="1" applyFill="1" applyBorder="1" applyAlignment="1">
      <alignment horizontal="center"/>
    </xf>
    <xf numFmtId="42" fontId="22" fillId="3" borderId="10" xfId="3" applyNumberFormat="1" applyFont="1" applyFill="1" applyBorder="1" applyAlignment="1">
      <alignment horizontal="center"/>
    </xf>
    <xf numFmtId="42" fontId="22" fillId="3" borderId="11" xfId="3" applyNumberFormat="1" applyFont="1" applyFill="1" applyBorder="1" applyAlignment="1">
      <alignment horizontal="center"/>
    </xf>
    <xf numFmtId="41" fontId="22" fillId="3" borderId="0" xfId="3" applyNumberFormat="1" applyFont="1" applyFill="1" applyBorder="1" applyAlignment="1">
      <alignment horizontal="center"/>
    </xf>
    <xf numFmtId="41" fontId="22" fillId="3" borderId="0" xfId="3" applyNumberFormat="1" applyFont="1" applyFill="1" applyBorder="1" applyAlignment="1"/>
    <xf numFmtId="0" fontId="8" fillId="3" borderId="5" xfId="3" applyFont="1" applyFill="1" applyBorder="1" applyAlignment="1">
      <alignment horizontal="left"/>
    </xf>
    <xf numFmtId="41" fontId="22" fillId="3" borderId="5" xfId="3" applyNumberFormat="1" applyFont="1" applyFill="1" applyBorder="1" applyAlignment="1">
      <alignment horizontal="center"/>
    </xf>
    <xf numFmtId="42" fontId="9" fillId="3" borderId="0" xfId="3" applyNumberFormat="1" applyFont="1" applyFill="1" applyBorder="1" applyAlignment="1"/>
    <xf numFmtId="42" fontId="9" fillId="3" borderId="11" xfId="3" applyNumberFormat="1" applyFont="1" applyFill="1" applyBorder="1" applyAlignment="1"/>
    <xf numFmtId="42" fontId="22" fillId="3" borderId="0" xfId="3" applyNumberFormat="1" applyFont="1" applyFill="1" applyBorder="1" applyAlignment="1"/>
    <xf numFmtId="42" fontId="22" fillId="3" borderId="11" xfId="3" applyNumberFormat="1" applyFont="1" applyFill="1" applyBorder="1" applyAlignment="1"/>
    <xf numFmtId="41" fontId="22" fillId="3" borderId="10" xfId="3" applyNumberFormat="1" applyFont="1" applyFill="1" applyBorder="1" applyAlignment="1">
      <alignment horizontal="center"/>
    </xf>
    <xf numFmtId="41" fontId="22" fillId="3" borderId="11" xfId="3" applyNumberFormat="1" applyFont="1" applyFill="1" applyBorder="1" applyAlignment="1">
      <alignment horizontal="center"/>
    </xf>
    <xf numFmtId="41" fontId="22" fillId="3" borderId="13" xfId="3" applyNumberFormat="1" applyFont="1" applyFill="1" applyBorder="1" applyAlignment="1"/>
    <xf numFmtId="41" fontId="22" fillId="3" borderId="5" xfId="3" applyNumberFormat="1" applyFont="1" applyFill="1" applyBorder="1" applyAlignment="1"/>
    <xf numFmtId="41" fontId="22" fillId="3" borderId="14" xfId="3" applyNumberFormat="1" applyFont="1" applyFill="1" applyBorder="1" applyAlignment="1"/>
    <xf numFmtId="42" fontId="9" fillId="3" borderId="6" xfId="3" applyNumberFormat="1" applyFont="1" applyFill="1" applyBorder="1" applyAlignment="1">
      <alignment horizontal="center"/>
    </xf>
    <xf numFmtId="42" fontId="9" fillId="3" borderId="6" xfId="3" applyNumberFormat="1" applyFont="1" applyFill="1" applyBorder="1" applyAlignment="1"/>
    <xf numFmtId="42" fontId="9" fillId="3" borderId="7" xfId="3" applyNumberFormat="1" applyFont="1" applyFill="1" applyBorder="1" applyAlignment="1"/>
    <xf numFmtId="0" fontId="9" fillId="0" borderId="4" xfId="3" applyFont="1" applyBorder="1" applyAlignment="1">
      <alignment horizontal="left"/>
    </xf>
    <xf numFmtId="0" fontId="9" fillId="0" borderId="4" xfId="3" applyFont="1" applyBorder="1" applyAlignment="1">
      <alignment horizontal="right"/>
    </xf>
    <xf numFmtId="0" fontId="8" fillId="0" borderId="4" xfId="3" applyFont="1" applyBorder="1" applyAlignment="1">
      <alignment horizontal="center"/>
    </xf>
    <xf numFmtId="0" fontId="9" fillId="0" borderId="0" xfId="3" applyFont="1" applyBorder="1" applyAlignment="1">
      <alignment horizontal="left"/>
    </xf>
    <xf numFmtId="0" fontId="8" fillId="0" borderId="6" xfId="3" applyFont="1" applyBorder="1" applyAlignment="1"/>
    <xf numFmtId="0" fontId="8" fillId="0" borderId="0" xfId="3" applyFont="1" applyBorder="1" applyAlignment="1">
      <alignment horizontal="left"/>
    </xf>
    <xf numFmtId="10" fontId="9" fillId="3" borderId="0" xfId="4" applyNumberFormat="1" applyFont="1" applyFill="1" applyBorder="1" applyAlignment="1">
      <alignment horizontal="center"/>
    </xf>
    <xf numFmtId="41" fontId="22" fillId="3" borderId="7" xfId="3" applyNumberFormat="1" applyFont="1" applyFill="1" applyBorder="1" applyAlignment="1">
      <alignment horizontal="center"/>
    </xf>
    <xf numFmtId="41" fontId="22" fillId="3" borderId="12" xfId="3" applyNumberFormat="1" applyFont="1" applyFill="1" applyBorder="1" applyAlignment="1"/>
    <xf numFmtId="41" fontId="22" fillId="3" borderId="6" xfId="3" applyNumberFormat="1" applyFont="1" applyFill="1" applyBorder="1" applyAlignment="1"/>
    <xf numFmtId="41" fontId="22" fillId="3" borderId="7" xfId="3" applyNumberFormat="1" applyFont="1" applyFill="1" applyBorder="1" applyAlignment="1"/>
    <xf numFmtId="42" fontId="8" fillId="0" borderId="0" xfId="3" applyNumberFormat="1" applyFont="1" applyBorder="1" applyAlignment="1"/>
    <xf numFmtId="0" fontId="8" fillId="0" borderId="8" xfId="3" applyFont="1" applyBorder="1" applyAlignment="1"/>
    <xf numFmtId="0" fontId="8" fillId="0" borderId="4" xfId="3" applyFont="1" applyBorder="1" applyAlignment="1"/>
    <xf numFmtId="0" fontId="9" fillId="0" borderId="4" xfId="3" applyFont="1" applyBorder="1" applyAlignment="1">
      <alignment horizontal="center"/>
    </xf>
    <xf numFmtId="0" fontId="28" fillId="4" borderId="8" xfId="5" applyFont="1" applyFill="1" applyBorder="1" applyAlignment="1">
      <alignment horizontal="centerContinuous"/>
    </xf>
    <xf numFmtId="0" fontId="28" fillId="4" borderId="4" xfId="5" applyFont="1" applyFill="1" applyBorder="1" applyAlignment="1">
      <alignment horizontal="centerContinuous"/>
    </xf>
    <xf numFmtId="0" fontId="29" fillId="3" borderId="0" xfId="5" applyFont="1" applyFill="1"/>
    <xf numFmtId="0" fontId="28" fillId="4" borderId="12" xfId="5" applyFont="1" applyFill="1" applyBorder="1" applyAlignment="1">
      <alignment horizontal="centerContinuous"/>
    </xf>
    <xf numFmtId="0" fontId="28" fillId="4" borderId="6" xfId="5" applyFont="1" applyFill="1" applyBorder="1" applyAlignment="1">
      <alignment horizontal="centerContinuous"/>
    </xf>
    <xf numFmtId="0" fontId="29" fillId="3" borderId="8" xfId="5" applyFont="1" applyFill="1" applyBorder="1"/>
    <xf numFmtId="0" fontId="30" fillId="3" borderId="4" xfId="5" applyFont="1" applyFill="1" applyBorder="1" applyAlignment="1">
      <alignment horizontal="center"/>
    </xf>
    <xf numFmtId="0" fontId="30" fillId="3" borderId="9" xfId="5" applyFont="1" applyFill="1" applyBorder="1" applyAlignment="1">
      <alignment horizontal="center"/>
    </xf>
    <xf numFmtId="0" fontId="30" fillId="3" borderId="6" xfId="5" applyFont="1" applyFill="1" applyBorder="1" applyAlignment="1">
      <alignment horizontal="center"/>
    </xf>
    <xf numFmtId="0" fontId="30" fillId="3" borderId="7" xfId="5" applyFont="1" applyFill="1" applyBorder="1" applyAlignment="1">
      <alignment horizontal="center"/>
    </xf>
    <xf numFmtId="0" fontId="29" fillId="3" borderId="0" xfId="5" applyFont="1" applyFill="1" applyBorder="1"/>
    <xf numFmtId="0" fontId="29" fillId="3" borderId="10" xfId="5" applyFont="1" applyFill="1" applyBorder="1"/>
    <xf numFmtId="44" fontId="29" fillId="3" borderId="11" xfId="5" applyNumberFormat="1" applyFont="1" applyFill="1" applyBorder="1"/>
    <xf numFmtId="0" fontId="28" fillId="4" borderId="9" xfId="5" applyFont="1" applyFill="1" applyBorder="1" applyAlignment="1">
      <alignment horizontal="centerContinuous"/>
    </xf>
    <xf numFmtId="0" fontId="28" fillId="4" borderId="7" xfId="5" applyFont="1" applyFill="1" applyBorder="1" applyAlignment="1">
      <alignment horizontal="centerContinuous"/>
    </xf>
    <xf numFmtId="0" fontId="30" fillId="3" borderId="8" xfId="5" applyFont="1" applyFill="1" applyBorder="1"/>
    <xf numFmtId="0" fontId="30" fillId="3" borderId="12" xfId="5" applyFont="1" applyFill="1" applyBorder="1"/>
    <xf numFmtId="0" fontId="29" fillId="3" borderId="12" xfId="5" applyFont="1" applyFill="1" applyBorder="1"/>
    <xf numFmtId="1" fontId="31" fillId="3" borderId="6" xfId="5" applyNumberFormat="1" applyFont="1" applyFill="1" applyBorder="1" applyAlignment="1">
      <alignment horizontal="center"/>
    </xf>
    <xf numFmtId="3" fontId="31" fillId="3" borderId="6" xfId="5" applyNumberFormat="1" applyFont="1" applyFill="1" applyBorder="1" applyAlignment="1">
      <alignment horizontal="center"/>
    </xf>
    <xf numFmtId="42" fontId="31" fillId="3" borderId="6" xfId="5" applyNumberFormat="1" applyFont="1" applyFill="1" applyBorder="1"/>
    <xf numFmtId="44" fontId="29" fillId="3" borderId="7" xfId="5" applyNumberFormat="1" applyFont="1" applyFill="1" applyBorder="1"/>
    <xf numFmtId="1" fontId="31" fillId="3" borderId="0" xfId="5" applyNumberFormat="1" applyFont="1" applyFill="1" applyBorder="1" applyAlignment="1">
      <alignment horizontal="center"/>
    </xf>
    <xf numFmtId="3" fontId="31" fillId="3" borderId="0" xfId="5" applyNumberFormat="1" applyFont="1" applyFill="1" applyBorder="1" applyAlignment="1">
      <alignment horizontal="center"/>
    </xf>
    <xf numFmtId="42" fontId="31" fillId="3" borderId="0" xfId="5" applyNumberFormat="1" applyFont="1" applyFill="1" applyBorder="1"/>
    <xf numFmtId="1" fontId="31" fillId="3" borderId="4" xfId="5" applyNumberFormat="1" applyFont="1" applyFill="1" applyBorder="1" applyAlignment="1">
      <alignment horizontal="center"/>
    </xf>
    <xf numFmtId="3" fontId="31" fillId="3" borderId="4" xfId="5" applyNumberFormat="1" applyFont="1" applyFill="1" applyBorder="1" applyAlignment="1">
      <alignment horizontal="center"/>
    </xf>
    <xf numFmtId="42" fontId="31" fillId="3" borderId="4" xfId="5" applyNumberFormat="1" applyFont="1" applyFill="1" applyBorder="1"/>
    <xf numFmtId="44" fontId="29" fillId="3" borderId="9" xfId="5" applyNumberFormat="1" applyFont="1" applyFill="1" applyBorder="1"/>
    <xf numFmtId="0" fontId="30" fillId="3" borderId="10" xfId="5" applyFont="1" applyFill="1" applyBorder="1"/>
    <xf numFmtId="0" fontId="30" fillId="3" borderId="0" xfId="5" applyFont="1" applyFill="1" applyBorder="1" applyAlignment="1">
      <alignment horizontal="center"/>
    </xf>
    <xf numFmtId="0" fontId="30" fillId="3" borderId="11" xfId="5" applyFont="1" applyFill="1" applyBorder="1" applyAlignment="1">
      <alignment horizontal="center"/>
    </xf>
    <xf numFmtId="0" fontId="36" fillId="4" borderId="1" xfId="3" applyFont="1" applyFill="1" applyBorder="1" applyAlignment="1">
      <alignment horizontal="centerContinuous"/>
    </xf>
    <xf numFmtId="0" fontId="36" fillId="4" borderId="2" xfId="3" applyFont="1" applyFill="1" applyBorder="1" applyAlignment="1">
      <alignment horizontal="centerContinuous"/>
    </xf>
    <xf numFmtId="0" fontId="36" fillId="4" borderId="3" xfId="3" applyFont="1" applyFill="1" applyBorder="1" applyAlignment="1">
      <alignment horizontal="centerContinuous"/>
    </xf>
    <xf numFmtId="0" fontId="8" fillId="3" borderId="8" xfId="0" applyFont="1" applyFill="1" applyBorder="1"/>
    <xf numFmtId="0" fontId="9" fillId="3" borderId="4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12" xfId="0" applyFont="1" applyFill="1" applyBorder="1"/>
    <xf numFmtId="0" fontId="9" fillId="3" borderId="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8" fillId="0" borderId="12" xfId="3" applyFont="1" applyBorder="1" applyAlignment="1"/>
    <xf numFmtId="44" fontId="8" fillId="0" borderId="16" xfId="3" applyNumberFormat="1" applyFont="1" applyBorder="1" applyAlignment="1"/>
    <xf numFmtId="43" fontId="8" fillId="0" borderId="16" xfId="3" applyNumberFormat="1" applyFont="1" applyBorder="1" applyAlignment="1"/>
    <xf numFmtId="43" fontId="8" fillId="0" borderId="17" xfId="3" applyNumberFormat="1" applyFont="1" applyBorder="1" applyAlignment="1"/>
    <xf numFmtId="0" fontId="8" fillId="3" borderId="0" xfId="0" applyFont="1" applyFill="1"/>
    <xf numFmtId="0" fontId="9" fillId="0" borderId="6" xfId="3" applyFont="1" applyBorder="1" applyAlignment="1">
      <alignment horizontal="center"/>
    </xf>
    <xf numFmtId="0" fontId="8" fillId="0" borderId="9" xfId="3" applyFont="1" applyBorder="1" applyAlignment="1"/>
    <xf numFmtId="0" fontId="8" fillId="0" borderId="0" xfId="3" applyFont="1" applyAlignment="1">
      <alignment vertical="top"/>
    </xf>
    <xf numFmtId="0" fontId="36" fillId="4" borderId="1" xfId="0" applyFont="1" applyFill="1" applyBorder="1" applyAlignment="1">
      <alignment horizontal="centerContinuous"/>
    </xf>
    <xf numFmtId="0" fontId="8" fillId="4" borderId="2" xfId="0" applyFont="1" applyFill="1" applyBorder="1" applyAlignment="1">
      <alignment horizontal="centerContinuous"/>
    </xf>
    <xf numFmtId="0" fontId="8" fillId="4" borderId="3" xfId="0" applyFont="1" applyFill="1" applyBorder="1" applyAlignment="1">
      <alignment horizontal="centerContinuous"/>
    </xf>
    <xf numFmtId="0" fontId="9" fillId="3" borderId="8" xfId="0" applyFont="1" applyFill="1" applyBorder="1"/>
    <xf numFmtId="0" fontId="9" fillId="3" borderId="9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42" fontId="9" fillId="3" borderId="7" xfId="0" applyNumberFormat="1" applyFont="1" applyFill="1" applyBorder="1"/>
    <xf numFmtId="0" fontId="8" fillId="3" borderId="0" xfId="0" applyFont="1" applyFill="1" applyAlignment="1">
      <alignment horizontal="center"/>
    </xf>
    <xf numFmtId="41" fontId="22" fillId="3" borderId="0" xfId="0" applyNumberFormat="1" applyFont="1" applyFill="1"/>
    <xf numFmtId="3" fontId="22" fillId="3" borderId="0" xfId="0" applyNumberFormat="1" applyFont="1" applyFill="1" applyAlignment="1">
      <alignment horizontal="center"/>
    </xf>
    <xf numFmtId="41" fontId="8" fillId="3" borderId="0" xfId="0" applyNumberFormat="1" applyFont="1" applyFill="1"/>
    <xf numFmtId="43" fontId="8" fillId="3" borderId="0" xfId="0" applyNumberFormat="1" applyFont="1" applyFill="1"/>
    <xf numFmtId="0" fontId="36" fillId="4" borderId="2" xfId="0" applyFont="1" applyFill="1" applyBorder="1" applyAlignment="1">
      <alignment horizontal="centerContinuous"/>
    </xf>
    <xf numFmtId="41" fontId="36" fillId="4" borderId="2" xfId="0" applyNumberFormat="1" applyFont="1" applyFill="1" applyBorder="1" applyAlignment="1">
      <alignment horizontal="centerContinuous"/>
    </xf>
    <xf numFmtId="3" fontId="36" fillId="4" borderId="2" xfId="0" applyNumberFormat="1" applyFont="1" applyFill="1" applyBorder="1" applyAlignment="1">
      <alignment horizontal="centerContinuous"/>
    </xf>
    <xf numFmtId="41" fontId="36" fillId="4" borderId="3" xfId="0" applyNumberFormat="1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center"/>
    </xf>
    <xf numFmtId="41" fontId="22" fillId="3" borderId="4" xfId="0" applyNumberFormat="1" applyFont="1" applyFill="1" applyBorder="1"/>
    <xf numFmtId="3" fontId="22" fillId="3" borderId="4" xfId="0" applyNumberFormat="1" applyFont="1" applyFill="1" applyBorder="1" applyAlignment="1">
      <alignment horizontal="center"/>
    </xf>
    <xf numFmtId="41" fontId="16" fillId="3" borderId="9" xfId="0" applyNumberFormat="1" applyFont="1" applyFill="1" applyBorder="1"/>
    <xf numFmtId="0" fontId="8" fillId="3" borderId="13" xfId="0" applyFont="1" applyFill="1" applyBorder="1"/>
    <xf numFmtId="0" fontId="8" fillId="3" borderId="5" xfId="0" applyFont="1" applyFill="1" applyBorder="1"/>
    <xf numFmtId="41" fontId="16" fillId="3" borderId="14" xfId="0" applyNumberFormat="1" applyFont="1" applyFill="1" applyBorder="1"/>
    <xf numFmtId="0" fontId="9" fillId="3" borderId="10" xfId="0" applyFont="1" applyFill="1" applyBorder="1"/>
    <xf numFmtId="0" fontId="8" fillId="3" borderId="0" xfId="0" applyFont="1" applyFill="1" applyBorder="1"/>
    <xf numFmtId="41" fontId="9" fillId="3" borderId="11" xfId="0" applyNumberFormat="1" applyFont="1" applyFill="1" applyBorder="1"/>
    <xf numFmtId="43" fontId="16" fillId="3" borderId="14" xfId="0" applyNumberFormat="1" applyFont="1" applyFill="1" applyBorder="1"/>
    <xf numFmtId="0" fontId="9" fillId="3" borderId="6" xfId="0" applyFont="1" applyFill="1" applyBorder="1"/>
    <xf numFmtId="41" fontId="16" fillId="3" borderId="13" xfId="3" applyNumberFormat="1" applyFont="1" applyFill="1" applyBorder="1" applyAlignment="1"/>
    <xf numFmtId="0" fontId="8" fillId="3" borderId="5" xfId="0" applyFont="1" applyFill="1" applyBorder="1" applyAlignment="1">
      <alignment horizontal="right"/>
    </xf>
    <xf numFmtId="44" fontId="8" fillId="0" borderId="6" xfId="3" applyNumberFormat="1" applyFont="1" applyBorder="1" applyAlignment="1">
      <alignment horizontal="center"/>
    </xf>
    <xf numFmtId="44" fontId="8" fillId="0" borderId="7" xfId="3" applyNumberFormat="1" applyFont="1" applyBorder="1" applyAlignment="1">
      <alignment horizontal="center"/>
    </xf>
    <xf numFmtId="0" fontId="11" fillId="4" borderId="1" xfId="3" applyFont="1" applyFill="1" applyBorder="1" applyAlignment="1"/>
    <xf numFmtId="0" fontId="7" fillId="4" borderId="2" xfId="3" applyFont="1" applyFill="1" applyBorder="1" applyAlignment="1"/>
    <xf numFmtId="0" fontId="8" fillId="4" borderId="2" xfId="3" applyFont="1" applyFill="1" applyBorder="1" applyAlignment="1"/>
    <xf numFmtId="10" fontId="9" fillId="0" borderId="0" xfId="3" applyNumberFormat="1" applyFont="1" applyBorder="1" applyAlignment="1">
      <alignment horizontal="right"/>
    </xf>
    <xf numFmtId="10" fontId="27" fillId="0" borderId="0" xfId="3" applyNumberFormat="1" applyFont="1" applyBorder="1" applyAlignment="1">
      <alignment horizontal="right"/>
    </xf>
    <xf numFmtId="41" fontId="18" fillId="3" borderId="14" xfId="3" applyNumberFormat="1" applyFont="1" applyFill="1" applyBorder="1"/>
    <xf numFmtId="41" fontId="3" fillId="3" borderId="9" xfId="0" applyNumberFormat="1" applyFont="1" applyFill="1" applyBorder="1"/>
    <xf numFmtId="43" fontId="18" fillId="3" borderId="14" xfId="0" applyNumberFormat="1" applyFont="1" applyFill="1" applyBorder="1"/>
    <xf numFmtId="44" fontId="9" fillId="0" borderId="12" xfId="3" applyNumberFormat="1" applyFont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42" fontId="21" fillId="3" borderId="4" xfId="0" applyNumberFormat="1" applyFont="1" applyFill="1" applyBorder="1"/>
    <xf numFmtId="42" fontId="0" fillId="3" borderId="19" xfId="0" applyNumberFormat="1" applyFill="1" applyBorder="1"/>
    <xf numFmtId="44" fontId="0" fillId="3" borderId="19" xfId="0" applyNumberFormat="1" applyFill="1" applyBorder="1"/>
    <xf numFmtId="41" fontId="21" fillId="3" borderId="0" xfId="0" applyNumberFormat="1" applyFont="1" applyFill="1" applyBorder="1" applyAlignment="1">
      <alignment horizontal="center"/>
    </xf>
    <xf numFmtId="41" fontId="21" fillId="3" borderId="6" xfId="0" applyNumberFormat="1" applyFont="1" applyFill="1" applyBorder="1" applyAlignment="1">
      <alignment horizontal="center"/>
    </xf>
    <xf numFmtId="41" fontId="22" fillId="0" borderId="0" xfId="3" applyNumberFormat="1" applyFont="1" applyFill="1" applyBorder="1" applyAlignment="1">
      <alignment horizontal="center"/>
    </xf>
    <xf numFmtId="41" fontId="18" fillId="3" borderId="7" xfId="0" applyNumberFormat="1" applyFont="1" applyFill="1" applyBorder="1"/>
    <xf numFmtId="42" fontId="18" fillId="3" borderId="9" xfId="0" applyNumberFormat="1" applyFont="1" applyFill="1" applyBorder="1"/>
    <xf numFmtId="0" fontId="12" fillId="3" borderId="12" xfId="0" applyFont="1" applyFill="1" applyBorder="1" applyAlignment="1">
      <alignment horizontal="left"/>
    </xf>
    <xf numFmtId="44" fontId="18" fillId="3" borderId="0" xfId="2" applyFont="1" applyFill="1" applyBorder="1" applyAlignment="1">
      <alignment horizontal="center"/>
    </xf>
    <xf numFmtId="8" fontId="3" fillId="3" borderId="0" xfId="0" applyNumberFormat="1" applyFont="1" applyFill="1"/>
    <xf numFmtId="42" fontId="3" fillId="3" borderId="11" xfId="3" applyNumberFormat="1" applyFont="1" applyFill="1" applyBorder="1" applyAlignment="1">
      <alignment horizontal="center"/>
    </xf>
    <xf numFmtId="178" fontId="18" fillId="3" borderId="0" xfId="3" applyNumberFormat="1" applyFont="1" applyFill="1" applyBorder="1" applyAlignment="1">
      <alignment horizontal="left"/>
    </xf>
    <xf numFmtId="0" fontId="30" fillId="3" borderId="6" xfId="5" applyFont="1" applyFill="1" applyBorder="1"/>
    <xf numFmtId="0" fontId="30" fillId="3" borderId="0" xfId="5" applyFont="1" applyFill="1" applyBorder="1"/>
    <xf numFmtId="0" fontId="29" fillId="3" borderId="6" xfId="5" applyFont="1" applyFill="1" applyBorder="1" applyAlignment="1">
      <alignment horizontal="center"/>
    </xf>
    <xf numFmtId="0" fontId="29" fillId="3" borderId="0" xfId="5" applyFont="1" applyFill="1" applyBorder="1" applyAlignment="1">
      <alignment horizontal="center"/>
    </xf>
    <xf numFmtId="0" fontId="29" fillId="3" borderId="4" xfId="5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1" fontId="3" fillId="3" borderId="6" xfId="0" applyNumberFormat="1" applyFont="1" applyFill="1" applyBorder="1" applyAlignment="1">
      <alignment horizontal="center"/>
    </xf>
    <xf numFmtId="179" fontId="18" fillId="3" borderId="0" xfId="0" applyNumberFormat="1" applyFont="1" applyFill="1" applyAlignment="1">
      <alignment horizontal="center"/>
    </xf>
    <xf numFmtId="44" fontId="18" fillId="3" borderId="0" xfId="0" applyNumberFormat="1" applyFont="1" applyFill="1" applyBorder="1"/>
    <xf numFmtId="10" fontId="18" fillId="3" borderId="0" xfId="0" applyNumberFormat="1" applyFont="1" applyFill="1" applyBorder="1"/>
    <xf numFmtId="43" fontId="18" fillId="3" borderId="0" xfId="0" applyNumberFormat="1" applyFont="1" applyFill="1" applyBorder="1"/>
    <xf numFmtId="0" fontId="17" fillId="3" borderId="0" xfId="0" applyFont="1" applyFill="1" applyBorder="1" applyAlignment="1">
      <alignment horizontal="centerContinuous"/>
    </xf>
    <xf numFmtId="3" fontId="0" fillId="3" borderId="10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42" fontId="0" fillId="3" borderId="0" xfId="0" applyNumberFormat="1" applyFill="1" applyAlignment="1">
      <alignment horizontal="center"/>
    </xf>
    <xf numFmtId="41" fontId="0" fillId="3" borderId="0" xfId="0" applyNumberFormat="1" applyFill="1" applyAlignment="1">
      <alignment horizontal="center"/>
    </xf>
    <xf numFmtId="41" fontId="0" fillId="3" borderId="0" xfId="0" applyNumberFormat="1" applyFill="1" applyBorder="1" applyAlignment="1">
      <alignment horizontal="center"/>
    </xf>
    <xf numFmtId="42" fontId="0" fillId="3" borderId="0" xfId="0" applyNumberFormat="1" applyFill="1" applyBorder="1" applyAlignment="1">
      <alignment horizontal="center"/>
    </xf>
    <xf numFmtId="10" fontId="18" fillId="5" borderId="11" xfId="0" applyNumberFormat="1" applyFont="1" applyFill="1" applyBorder="1" applyAlignment="1">
      <alignment horizontal="center"/>
    </xf>
    <xf numFmtId="43" fontId="3" fillId="3" borderId="16" xfId="0" applyNumberFormat="1" applyFont="1" applyFill="1" applyBorder="1" applyAlignment="1">
      <alignment horizontal="center"/>
    </xf>
    <xf numFmtId="10" fontId="0" fillId="3" borderId="0" xfId="4" applyNumberFormat="1" applyFont="1" applyFill="1" applyAlignment="1"/>
    <xf numFmtId="42" fontId="3" fillId="3" borderId="0" xfId="3" applyNumberFormat="1" applyFont="1" applyFill="1"/>
    <xf numFmtId="10" fontId="0" fillId="3" borderId="0" xfId="4" applyNumberFormat="1" applyFont="1" applyFill="1"/>
    <xf numFmtId="0" fontId="21" fillId="3" borderId="16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0" xfId="0" applyFont="1" applyFill="1" applyAlignment="1">
      <alignment wrapText="1"/>
    </xf>
    <xf numFmtId="10" fontId="21" fillId="3" borderId="6" xfId="0" applyNumberFormat="1" applyFont="1" applyFill="1" applyBorder="1" applyAlignment="1">
      <alignment horizontal="center"/>
    </xf>
    <xf numFmtId="10" fontId="21" fillId="3" borderId="7" xfId="0" applyNumberFormat="1" applyFont="1" applyFill="1" applyBorder="1" applyAlignment="1">
      <alignment horizontal="center"/>
    </xf>
    <xf numFmtId="10" fontId="21" fillId="3" borderId="12" xfId="0" applyNumberFormat="1" applyFont="1" applyFill="1" applyBorder="1" applyAlignment="1">
      <alignment horizontal="center"/>
    </xf>
    <xf numFmtId="9" fontId="18" fillId="3" borderId="0" xfId="4" applyFont="1" applyFill="1" applyBorder="1" applyAlignment="1">
      <alignment horizontal="center"/>
    </xf>
    <xf numFmtId="9" fontId="18" fillId="3" borderId="0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3" fontId="21" fillId="3" borderId="6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3" fontId="0" fillId="3" borderId="12" xfId="0" applyNumberFormat="1" applyFill="1" applyBorder="1"/>
    <xf numFmtId="3" fontId="0" fillId="3" borderId="6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0" fillId="3" borderId="8" xfId="0" applyFill="1" applyBorder="1"/>
    <xf numFmtId="0" fontId="0" fillId="3" borderId="4" xfId="0" applyFill="1" applyBorder="1"/>
    <xf numFmtId="3" fontId="0" fillId="3" borderId="4" xfId="0" applyNumberFormat="1" applyFill="1" applyBorder="1"/>
    <xf numFmtId="3" fontId="0" fillId="3" borderId="8" xfId="0" applyNumberFormat="1" applyFill="1" applyBorder="1"/>
    <xf numFmtId="3" fontId="0" fillId="3" borderId="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3" fillId="3" borderId="10" xfId="0" applyNumberFormat="1" applyFont="1" applyFill="1" applyBorder="1"/>
    <xf numFmtId="0" fontId="3" fillId="3" borderId="0" xfId="0" applyNumberFormat="1" applyFont="1" applyFill="1" applyBorder="1" applyAlignment="1">
      <alignment horizontal="center"/>
    </xf>
    <xf numFmtId="0" fontId="0" fillId="3" borderId="0" xfId="0" applyNumberFormat="1" applyFill="1" applyBorder="1"/>
    <xf numFmtId="0" fontId="0" fillId="3" borderId="10" xfId="0" applyNumberFormat="1" applyFill="1" applyBorder="1"/>
    <xf numFmtId="0" fontId="0" fillId="3" borderId="0" xfId="0" applyNumberFormat="1" applyFill="1" applyBorder="1" applyAlignment="1">
      <alignment horizontal="center"/>
    </xf>
    <xf numFmtId="3" fontId="21" fillId="3" borderId="2" xfId="0" applyNumberFormat="1" applyFont="1" applyFill="1" applyBorder="1" applyAlignment="1">
      <alignment horizontal="center"/>
    </xf>
    <xf numFmtId="3" fontId="21" fillId="3" borderId="3" xfId="0" applyNumberFormat="1" applyFont="1" applyFill="1" applyBorder="1" applyAlignment="1">
      <alignment horizontal="center"/>
    </xf>
    <xf numFmtId="0" fontId="8" fillId="0" borderId="5" xfId="3" applyFont="1" applyBorder="1" applyAlignment="1"/>
    <xf numFmtId="3" fontId="3" fillId="3" borderId="9" xfId="0" applyNumberFormat="1" applyFont="1" applyFill="1" applyBorder="1" applyAlignment="1">
      <alignment horizontal="center"/>
    </xf>
    <xf numFmtId="0" fontId="13" fillId="3" borderId="0" xfId="3" applyFont="1" applyFill="1" applyBorder="1" applyAlignment="1">
      <alignment horizontal="center"/>
    </xf>
    <xf numFmtId="0" fontId="3" fillId="3" borderId="0" xfId="3" applyFont="1" applyFill="1" applyBorder="1" applyAlignment="1">
      <alignment horizontal="center"/>
    </xf>
    <xf numFmtId="0" fontId="3" fillId="3" borderId="11" xfId="3" applyFont="1" applyFill="1" applyBorder="1" applyAlignment="1">
      <alignment horizontal="center"/>
    </xf>
    <xf numFmtId="0" fontId="17" fillId="3" borderId="0" xfId="0" applyFont="1" applyFill="1" applyBorder="1" applyAlignment="1"/>
    <xf numFmtId="0" fontId="17" fillId="3" borderId="10" xfId="0" applyFont="1" applyFill="1" applyBorder="1" applyAlignment="1"/>
    <xf numFmtId="0" fontId="17" fillId="3" borderId="11" xfId="0" applyFont="1" applyFill="1" applyBorder="1" applyAlignment="1"/>
    <xf numFmtId="3" fontId="3" fillId="3" borderId="10" xfId="3" applyNumberFormat="1" applyFont="1" applyFill="1" applyBorder="1" applyAlignment="1">
      <alignment horizontal="center"/>
    </xf>
    <xf numFmtId="3" fontId="18" fillId="3" borderId="4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43" fontId="18" fillId="0" borderId="16" xfId="0" applyNumberFormat="1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44" fontId="8" fillId="3" borderId="0" xfId="2" applyFont="1" applyFill="1" applyBorder="1" applyAlignment="1">
      <alignment horizontal="left"/>
    </xf>
    <xf numFmtId="44" fontId="8" fillId="3" borderId="5" xfId="2" applyFont="1" applyFill="1" applyBorder="1" applyAlignment="1">
      <alignment horizontal="left"/>
    </xf>
    <xf numFmtId="177" fontId="18" fillId="3" borderId="11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1" fontId="21" fillId="3" borderId="5" xfId="0" applyNumberFormat="1" applyFont="1" applyFill="1" applyBorder="1"/>
    <xf numFmtId="3" fontId="21" fillId="3" borderId="5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68" fontId="9" fillId="3" borderId="6" xfId="3" applyNumberFormat="1" applyFont="1" applyFill="1" applyBorder="1" applyAlignment="1">
      <alignment horizontal="right"/>
    </xf>
    <xf numFmtId="44" fontId="18" fillId="3" borderId="11" xfId="0" applyNumberFormat="1" applyFont="1" applyFill="1" applyBorder="1" applyAlignment="1">
      <alignment horizontal="center"/>
    </xf>
    <xf numFmtId="9" fontId="18" fillId="3" borderId="5" xfId="4" applyFont="1" applyFill="1" applyBorder="1" applyAlignment="1">
      <alignment horizontal="center"/>
    </xf>
    <xf numFmtId="44" fontId="18" fillId="3" borderId="17" xfId="0" applyNumberFormat="1" applyFont="1" applyFill="1" applyBorder="1" applyAlignment="1">
      <alignment horizontal="center"/>
    </xf>
    <xf numFmtId="44" fontId="29" fillId="3" borderId="0" xfId="5" applyNumberFormat="1" applyFont="1" applyFill="1" applyBorder="1"/>
    <xf numFmtId="0" fontId="29" fillId="3" borderId="1" xfId="5" applyFont="1" applyFill="1" applyBorder="1"/>
    <xf numFmtId="0" fontId="29" fillId="3" borderId="2" xfId="5" applyFont="1" applyFill="1" applyBorder="1" applyAlignment="1">
      <alignment horizontal="center"/>
    </xf>
    <xf numFmtId="1" fontId="31" fillId="3" borderId="2" xfId="5" applyNumberFormat="1" applyFont="1" applyFill="1" applyBorder="1" applyAlignment="1">
      <alignment horizontal="center"/>
    </xf>
    <xf numFmtId="3" fontId="31" fillId="3" borderId="2" xfId="5" applyNumberFormat="1" applyFont="1" applyFill="1" applyBorder="1" applyAlignment="1">
      <alignment horizontal="center"/>
    </xf>
    <xf numFmtId="42" fontId="31" fillId="3" borderId="2" xfId="5" applyNumberFormat="1" applyFont="1" applyFill="1" applyBorder="1"/>
    <xf numFmtId="44" fontId="29" fillId="3" borderId="3" xfId="5" applyNumberFormat="1" applyFont="1" applyFill="1" applyBorder="1"/>
    <xf numFmtId="0" fontId="8" fillId="3" borderId="8" xfId="3" applyFont="1" applyFill="1" applyBorder="1"/>
    <xf numFmtId="0" fontId="8" fillId="3" borderId="4" xfId="3" applyFont="1" applyFill="1" applyBorder="1"/>
    <xf numFmtId="0" fontId="8" fillId="3" borderId="6" xfId="3" applyFont="1" applyFill="1" applyBorder="1"/>
    <xf numFmtId="44" fontId="16" fillId="3" borderId="4" xfId="3" applyNumberFormat="1" applyFont="1" applyFill="1" applyBorder="1"/>
    <xf numFmtId="0" fontId="8" fillId="3" borderId="12" xfId="3" applyFont="1" applyFill="1" applyBorder="1"/>
    <xf numFmtId="10" fontId="16" fillId="3" borderId="2" xfId="3" applyNumberFormat="1" applyFont="1" applyFill="1" applyBorder="1" applyAlignment="1">
      <alignment horizontal="right"/>
    </xf>
    <xf numFmtId="0" fontId="8" fillId="3" borderId="10" xfId="3" applyFont="1" applyFill="1" applyBorder="1"/>
    <xf numFmtId="0" fontId="8" fillId="3" borderId="0" xfId="3" applyFont="1" applyFill="1"/>
    <xf numFmtId="43" fontId="16" fillId="3" borderId="0" xfId="3" applyNumberFormat="1" applyFont="1" applyFill="1"/>
    <xf numFmtId="10" fontId="16" fillId="3" borderId="6" xfId="33" applyNumberFormat="1" applyFont="1" applyFill="1" applyBorder="1" applyAlignment="1"/>
    <xf numFmtId="10" fontId="16" fillId="3" borderId="0" xfId="3" applyNumberFormat="1" applyFont="1" applyFill="1"/>
    <xf numFmtId="10" fontId="16" fillId="3" borderId="6" xfId="3" applyNumberFormat="1" applyFont="1" applyFill="1" applyBorder="1"/>
    <xf numFmtId="10" fontId="16" fillId="3" borderId="4" xfId="3" applyNumberFormat="1" applyFont="1" applyFill="1" applyBorder="1"/>
    <xf numFmtId="10" fontId="16" fillId="3" borderId="2" xfId="3" applyNumberFormat="1" applyFont="1" applyFill="1" applyBorder="1"/>
    <xf numFmtId="0" fontId="8" fillId="3" borderId="1" xfId="3" applyFont="1" applyFill="1" applyBorder="1"/>
    <xf numFmtId="0" fontId="8" fillId="3" borderId="2" xfId="3" applyFont="1" applyFill="1" applyBorder="1"/>
    <xf numFmtId="0" fontId="8" fillId="3" borderId="3" xfId="3" applyFont="1" applyFill="1" applyBorder="1"/>
    <xf numFmtId="42" fontId="16" fillId="3" borderId="10" xfId="3" applyNumberFormat="1" applyFont="1" applyFill="1" applyBorder="1" applyAlignment="1"/>
    <xf numFmtId="10" fontId="18" fillId="3" borderId="5" xfId="0" applyNumberFormat="1" applyFont="1" applyFill="1" applyBorder="1" applyAlignment="1">
      <alignment horizontal="center"/>
    </xf>
    <xf numFmtId="44" fontId="18" fillId="0" borderId="10" xfId="0" applyNumberFormat="1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7" fillId="4" borderId="12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177" fontId="3" fillId="16" borderId="0" xfId="1" applyNumberFormat="1" applyFont="1" applyFill="1"/>
    <xf numFmtId="180" fontId="3" fillId="8" borderId="0" xfId="1" applyNumberFormat="1" applyFont="1" applyFill="1"/>
    <xf numFmtId="180" fontId="3" fillId="7" borderId="0" xfId="1" applyNumberFormat="1" applyFont="1" applyFill="1"/>
    <xf numFmtId="180" fontId="3" fillId="3" borderId="0" xfId="1" applyNumberFormat="1" applyFont="1" applyFill="1"/>
    <xf numFmtId="180" fontId="3" fillId="3" borderId="0" xfId="0" applyNumberFormat="1" applyFont="1" applyFill="1"/>
    <xf numFmtId="164" fontId="3" fillId="3" borderId="0" xfId="4" applyNumberFormat="1" applyFont="1" applyFill="1"/>
    <xf numFmtId="177" fontId="3" fillId="15" borderId="0" xfId="1" applyNumberFormat="1" applyFont="1" applyFill="1"/>
    <xf numFmtId="180" fontId="19" fillId="12" borderId="0" xfId="1" applyNumberFormat="1" applyFont="1" applyFill="1"/>
    <xf numFmtId="177" fontId="3" fillId="14" borderId="0" xfId="1" applyNumberFormat="1" applyFont="1" applyFill="1"/>
    <xf numFmtId="180" fontId="3" fillId="10" borderId="0" xfId="1" applyNumberFormat="1" applyFont="1" applyFill="1"/>
    <xf numFmtId="180" fontId="19" fillId="9" borderId="0" xfId="1" applyNumberFormat="1" applyFont="1" applyFill="1"/>
    <xf numFmtId="180" fontId="3" fillId="6" borderId="0" xfId="1" applyNumberFormat="1" applyFont="1" applyFill="1"/>
    <xf numFmtId="43" fontId="3" fillId="3" borderId="0" xfId="0" applyNumberFormat="1" applyFont="1" applyFill="1"/>
    <xf numFmtId="180" fontId="3" fillId="11" borderId="0" xfId="1" applyNumberFormat="1" applyFont="1" applyFill="1"/>
    <xf numFmtId="180" fontId="19" fillId="3" borderId="0" xfId="1" applyNumberFormat="1" applyFont="1" applyFill="1"/>
    <xf numFmtId="180" fontId="3" fillId="0" borderId="0" xfId="1" applyNumberFormat="1" applyFont="1"/>
    <xf numFmtId="180" fontId="19" fillId="13" borderId="0" xfId="0" applyNumberFormat="1" applyFont="1" applyFill="1"/>
    <xf numFmtId="180" fontId="19" fillId="3" borderId="0" xfId="0" applyNumberFormat="1" applyFont="1" applyFill="1"/>
    <xf numFmtId="180" fontId="12" fillId="3" borderId="0" xfId="0" applyNumberFormat="1" applyFont="1" applyFill="1"/>
    <xf numFmtId="177" fontId="12" fillId="3" borderId="6" xfId="1" applyNumberFormat="1" applyFont="1" applyFill="1" applyBorder="1" applyAlignment="1">
      <alignment horizontal="center"/>
    </xf>
    <xf numFmtId="41" fontId="21" fillId="3" borderId="19" xfId="0" applyNumberFormat="1" applyFont="1" applyFill="1" applyBorder="1" applyAlignment="1">
      <alignment horizontal="center"/>
    </xf>
    <xf numFmtId="41" fontId="21" fillId="3" borderId="17" xfId="0" applyNumberFormat="1" applyFont="1" applyFill="1" applyBorder="1" applyAlignment="1">
      <alignment horizontal="center"/>
    </xf>
    <xf numFmtId="10" fontId="3" fillId="3" borderId="0" xfId="4" applyNumberFormat="1" applyFont="1" applyFill="1"/>
    <xf numFmtId="44" fontId="22" fillId="3" borderId="0" xfId="2" applyNumberFormat="1" applyFont="1" applyFill="1" applyBorder="1" applyAlignment="1">
      <alignment horizontal="center"/>
    </xf>
    <xf numFmtId="44" fontId="22" fillId="3" borderId="0" xfId="2" applyNumberFormat="1" applyFont="1" applyFill="1" applyBorder="1"/>
    <xf numFmtId="43" fontId="22" fillId="3" borderId="0" xfId="3" applyNumberFormat="1" applyFont="1" applyFill="1" applyBorder="1" applyAlignment="1"/>
    <xf numFmtId="43" fontId="22" fillId="3" borderId="0" xfId="3" applyNumberFormat="1" applyFont="1" applyFill="1" applyBorder="1" applyAlignment="1">
      <alignment horizontal="center"/>
    </xf>
    <xf numFmtId="43" fontId="22" fillId="3" borderId="6" xfId="3" applyNumberFormat="1" applyFont="1" applyFill="1" applyBorder="1" applyAlignment="1"/>
    <xf numFmtId="43" fontId="22" fillId="3" borderId="6" xfId="3" applyNumberFormat="1" applyFont="1" applyFill="1" applyBorder="1" applyAlignment="1">
      <alignment horizontal="center"/>
    </xf>
    <xf numFmtId="0" fontId="22" fillId="3" borderId="10" xfId="0" applyFont="1" applyFill="1" applyBorder="1"/>
    <xf numFmtId="0" fontId="22" fillId="3" borderId="0" xfId="0" applyFont="1" applyFill="1" applyBorder="1" applyAlignment="1">
      <alignment horizontal="center"/>
    </xf>
    <xf numFmtId="42" fontId="22" fillId="3" borderId="0" xfId="0" applyNumberFormat="1" applyFont="1" applyFill="1" applyBorder="1"/>
    <xf numFmtId="3" fontId="22" fillId="3" borderId="11" xfId="0" applyNumberFormat="1" applyFont="1" applyFill="1" applyBorder="1" applyAlignment="1">
      <alignment horizontal="center"/>
    </xf>
    <xf numFmtId="42" fontId="22" fillId="3" borderId="11" xfId="0" applyNumberFormat="1" applyFont="1" applyFill="1" applyBorder="1"/>
    <xf numFmtId="42" fontId="8" fillId="3" borderId="16" xfId="0" applyNumberFormat="1" applyFont="1" applyFill="1" applyBorder="1"/>
    <xf numFmtId="44" fontId="8" fillId="3" borderId="16" xfId="0" applyNumberFormat="1" applyFont="1" applyFill="1" applyBorder="1"/>
    <xf numFmtId="41" fontId="22" fillId="3" borderId="0" xfId="0" applyNumberFormat="1" applyFont="1" applyFill="1" applyBorder="1"/>
    <xf numFmtId="41" fontId="22" fillId="3" borderId="11" xfId="0" applyNumberFormat="1" applyFont="1" applyFill="1" applyBorder="1"/>
    <xf numFmtId="41" fontId="8" fillId="3" borderId="16" xfId="0" applyNumberFormat="1" applyFont="1" applyFill="1" applyBorder="1"/>
    <xf numFmtId="43" fontId="8" fillId="3" borderId="16" xfId="0" applyNumberFormat="1" applyFont="1" applyFill="1" applyBorder="1"/>
    <xf numFmtId="0" fontId="22" fillId="3" borderId="13" xfId="0" applyFont="1" applyFill="1" applyBorder="1"/>
    <xf numFmtId="0" fontId="22" fillId="3" borderId="5" xfId="0" applyFont="1" applyFill="1" applyBorder="1" applyAlignment="1">
      <alignment horizontal="center"/>
    </xf>
    <xf numFmtId="41" fontId="22" fillId="3" borderId="5" xfId="0" applyNumberFormat="1" applyFont="1" applyFill="1" applyBorder="1"/>
    <xf numFmtId="3" fontId="22" fillId="3" borderId="14" xfId="0" applyNumberFormat="1" applyFont="1" applyFill="1" applyBorder="1" applyAlignment="1">
      <alignment horizontal="center"/>
    </xf>
    <xf numFmtId="41" fontId="22" fillId="3" borderId="14" xfId="0" applyNumberFormat="1" applyFont="1" applyFill="1" applyBorder="1"/>
    <xf numFmtId="41" fontId="8" fillId="3" borderId="18" xfId="0" applyNumberFormat="1" applyFont="1" applyFill="1" applyBorder="1"/>
    <xf numFmtId="43" fontId="8" fillId="3" borderId="18" xfId="0" applyNumberFormat="1" applyFont="1" applyFill="1" applyBorder="1"/>
    <xf numFmtId="0" fontId="8" fillId="3" borderId="6" xfId="0" applyFont="1" applyFill="1" applyBorder="1" applyAlignment="1">
      <alignment horizontal="center"/>
    </xf>
    <xf numFmtId="42" fontId="9" fillId="3" borderId="6" xfId="0" applyNumberFormat="1" applyFont="1" applyFill="1" applyBorder="1"/>
    <xf numFmtId="3" fontId="9" fillId="3" borderId="7" xfId="0" applyNumberFormat="1" applyFont="1" applyFill="1" applyBorder="1" applyAlignment="1">
      <alignment horizontal="center"/>
    </xf>
    <xf numFmtId="42" fontId="9" fillId="3" borderId="17" xfId="0" applyNumberFormat="1" applyFont="1" applyFill="1" applyBorder="1"/>
    <xf numFmtId="44" fontId="9" fillId="3" borderId="17" xfId="0" applyNumberFormat="1" applyFont="1" applyFill="1" applyBorder="1"/>
    <xf numFmtId="167" fontId="22" fillId="3" borderId="0" xfId="3" applyNumberFormat="1" applyFont="1" applyFill="1" applyBorder="1" applyAlignment="1">
      <alignment horizontal="center"/>
    </xf>
    <xf numFmtId="3" fontId="22" fillId="3" borderId="0" xfId="3" applyNumberFormat="1" applyFont="1" applyFill="1" applyBorder="1" applyAlignment="1">
      <alignment horizontal="center"/>
    </xf>
    <xf numFmtId="3" fontId="22" fillId="3" borderId="8" xfId="3" applyNumberFormat="1" applyFont="1" applyFill="1" applyBorder="1" applyAlignment="1">
      <alignment horizontal="center"/>
    </xf>
    <xf numFmtId="3" fontId="22" fillId="3" borderId="4" xfId="3" applyNumberFormat="1" applyFont="1" applyFill="1" applyBorder="1" applyAlignment="1">
      <alignment horizontal="center"/>
    </xf>
    <xf numFmtId="3" fontId="22" fillId="3" borderId="9" xfId="3" applyNumberFormat="1" applyFont="1" applyFill="1" applyBorder="1" applyAlignment="1">
      <alignment horizontal="center"/>
    </xf>
    <xf numFmtId="3" fontId="22" fillId="3" borderId="11" xfId="3" applyNumberFormat="1" applyFont="1" applyFill="1" applyBorder="1" applyAlignment="1">
      <alignment horizontal="center"/>
    </xf>
    <xf numFmtId="1" fontId="22" fillId="3" borderId="0" xfId="3" applyNumberFormat="1" applyFont="1" applyFill="1" applyBorder="1" applyAlignment="1">
      <alignment horizontal="center"/>
    </xf>
    <xf numFmtId="1" fontId="22" fillId="3" borderId="10" xfId="3" applyNumberFormat="1" applyFont="1" applyFill="1" applyBorder="1" applyAlignment="1">
      <alignment horizontal="center"/>
    </xf>
    <xf numFmtId="0" fontId="22" fillId="3" borderId="0" xfId="3" applyFont="1" applyFill="1" applyBorder="1" applyAlignment="1">
      <alignment horizontal="center"/>
    </xf>
    <xf numFmtId="0" fontId="22" fillId="3" borderId="11" xfId="3" applyFont="1" applyFill="1" applyBorder="1" applyAlignment="1">
      <alignment horizontal="center"/>
    </xf>
    <xf numFmtId="0" fontId="22" fillId="3" borderId="10" xfId="3" applyFont="1" applyFill="1" applyBorder="1" applyAlignment="1">
      <alignment horizontal="center"/>
    </xf>
    <xf numFmtId="3" fontId="22" fillId="3" borderId="10" xfId="3" applyNumberFormat="1" applyFont="1" applyFill="1" applyBorder="1" applyAlignment="1">
      <alignment horizontal="center"/>
    </xf>
    <xf numFmtId="169" fontId="22" fillId="3" borderId="0" xfId="3" applyNumberFormat="1" applyFont="1" applyFill="1" applyBorder="1" applyAlignment="1">
      <alignment horizontal="center"/>
    </xf>
    <xf numFmtId="171" fontId="22" fillId="3" borderId="0" xfId="3" applyNumberFormat="1" applyFont="1" applyFill="1" applyBorder="1" applyAlignment="1">
      <alignment horizontal="center"/>
    </xf>
    <xf numFmtId="3" fontId="8" fillId="3" borderId="0" xfId="3" applyNumberFormat="1" applyFont="1" applyFill="1" applyBorder="1" applyAlignment="1">
      <alignment horizontal="center"/>
    </xf>
    <xf numFmtId="3" fontId="8" fillId="3" borderId="10" xfId="3" applyNumberFormat="1" applyFont="1" applyFill="1" applyBorder="1" applyAlignment="1">
      <alignment horizontal="center"/>
    </xf>
    <xf numFmtId="3" fontId="8" fillId="3" borderId="11" xfId="3" applyNumberFormat="1" applyFont="1" applyFill="1" applyBorder="1" applyAlignment="1">
      <alignment horizontal="center"/>
    </xf>
    <xf numFmtId="0" fontId="9" fillId="3" borderId="1" xfId="3" applyFont="1" applyFill="1" applyBorder="1" applyAlignment="1"/>
    <xf numFmtId="0" fontId="9" fillId="3" borderId="2" xfId="3" applyFont="1" applyFill="1" applyBorder="1" applyAlignment="1">
      <alignment horizontal="center"/>
    </xf>
    <xf numFmtId="0" fontId="8" fillId="3" borderId="1" xfId="3" applyFont="1" applyFill="1" applyBorder="1" applyAlignment="1"/>
    <xf numFmtId="0" fontId="8" fillId="3" borderId="2" xfId="3" applyFont="1" applyFill="1" applyBorder="1" applyAlignment="1"/>
    <xf numFmtId="0" fontId="8" fillId="3" borderId="4" xfId="3" applyFont="1" applyFill="1" applyBorder="1" applyAlignment="1">
      <alignment horizontal="right"/>
    </xf>
    <xf numFmtId="168" fontId="22" fillId="3" borderId="4" xfId="3" applyNumberFormat="1" applyFont="1" applyFill="1" applyBorder="1" applyAlignment="1">
      <alignment horizontal="center"/>
    </xf>
    <xf numFmtId="0" fontId="8" fillId="3" borderId="9" xfId="3" applyFont="1" applyFill="1" applyBorder="1" applyAlignment="1">
      <alignment horizontal="center"/>
    </xf>
    <xf numFmtId="168" fontId="22" fillId="3" borderId="0" xfId="3" applyNumberFormat="1" applyFont="1" applyFill="1" applyBorder="1" applyAlignment="1">
      <alignment horizontal="center"/>
    </xf>
    <xf numFmtId="0" fontId="3" fillId="3" borderId="4" xfId="3" applyFont="1" applyFill="1" applyBorder="1"/>
    <xf numFmtId="0" fontId="3" fillId="3" borderId="9" xfId="3" applyFont="1" applyFill="1" applyBorder="1"/>
    <xf numFmtId="0" fontId="8" fillId="3" borderId="0" xfId="3" applyFont="1" applyFill="1" applyAlignment="1"/>
    <xf numFmtId="0" fontId="17" fillId="4" borderId="2" xfId="3" applyFont="1" applyFill="1" applyBorder="1" applyAlignment="1">
      <alignment horizontal="centerContinuous"/>
    </xf>
    <xf numFmtId="0" fontId="17" fillId="4" borderId="3" xfId="3" applyFont="1" applyFill="1" applyBorder="1" applyAlignment="1">
      <alignment horizontal="centerContinuous"/>
    </xf>
    <xf numFmtId="0" fontId="40" fillId="3" borderId="0" xfId="32" applyFont="1" applyFill="1"/>
    <xf numFmtId="44" fontId="12" fillId="3" borderId="12" xfId="3" applyNumberFormat="1" applyFont="1" applyFill="1" applyBorder="1" applyAlignment="1">
      <alignment horizontal="left"/>
    </xf>
    <xf numFmtId="44" fontId="3" fillId="3" borderId="6" xfId="3" applyNumberFormat="1" applyFont="1" applyFill="1" applyBorder="1" applyAlignment="1">
      <alignment horizontal="center"/>
    </xf>
    <xf numFmtId="44" fontId="3" fillId="3" borderId="7" xfId="3" applyNumberFormat="1" applyFont="1" applyFill="1" applyBorder="1" applyAlignment="1">
      <alignment horizontal="center"/>
    </xf>
    <xf numFmtId="44" fontId="18" fillId="3" borderId="4" xfId="3" applyNumberFormat="1" applyFont="1" applyFill="1" applyBorder="1"/>
    <xf numFmtId="0" fontId="3" fillId="3" borderId="1" xfId="3" applyFont="1" applyFill="1" applyBorder="1"/>
    <xf numFmtId="0" fontId="3" fillId="3" borderId="2" xfId="3" applyFont="1" applyFill="1" applyBorder="1"/>
    <xf numFmtId="10" fontId="18" fillId="3" borderId="2" xfId="3" applyNumberFormat="1" applyFont="1" applyFill="1" applyBorder="1" applyAlignment="1">
      <alignment horizontal="right"/>
    </xf>
    <xf numFmtId="0" fontId="3" fillId="3" borderId="3" xfId="3" applyFont="1" applyFill="1" applyBorder="1"/>
    <xf numFmtId="43" fontId="18" fillId="3" borderId="0" xfId="3" applyNumberFormat="1" applyFont="1" applyFill="1"/>
    <xf numFmtId="10" fontId="18" fillId="3" borderId="6" xfId="33" applyNumberFormat="1" applyFont="1" applyFill="1" applyBorder="1" applyAlignment="1"/>
    <xf numFmtId="10" fontId="18" fillId="3" borderId="0" xfId="3" applyNumberFormat="1" applyFont="1" applyFill="1"/>
    <xf numFmtId="10" fontId="18" fillId="3" borderId="6" xfId="3" applyNumberFormat="1" applyFont="1" applyFill="1" applyBorder="1"/>
    <xf numFmtId="10" fontId="18" fillId="3" borderId="4" xfId="3" applyNumberFormat="1" applyFont="1" applyFill="1" applyBorder="1"/>
    <xf numFmtId="10" fontId="18" fillId="3" borderId="2" xfId="3" applyNumberFormat="1" applyFont="1" applyFill="1" applyBorder="1"/>
    <xf numFmtId="42" fontId="8" fillId="0" borderId="0" xfId="3" applyNumberFormat="1" applyFont="1" applyBorder="1" applyAlignment="1">
      <alignment horizontal="center"/>
    </xf>
    <xf numFmtId="0" fontId="41" fillId="17" borderId="0" xfId="3" applyFont="1" applyFill="1" applyAlignment="1">
      <alignment vertical="center"/>
    </xf>
    <xf numFmtId="0" fontId="42" fillId="17" borderId="0" xfId="3" applyFont="1" applyFill="1" applyAlignment="1">
      <alignment vertical="center"/>
    </xf>
    <xf numFmtId="0" fontId="3" fillId="17" borderId="0" xfId="3" applyFill="1" applyAlignment="1">
      <alignment vertical="center"/>
    </xf>
    <xf numFmtId="0" fontId="43" fillId="17" borderId="24" xfId="3" applyFont="1" applyFill="1" applyBorder="1" applyAlignment="1">
      <alignment horizontal="right" vertical="center"/>
    </xf>
    <xf numFmtId="0" fontId="43" fillId="17" borderId="25" xfId="3" applyFont="1" applyFill="1" applyBorder="1" applyAlignment="1">
      <alignment horizontal="left" vertical="center"/>
    </xf>
    <xf numFmtId="0" fontId="5" fillId="0" borderId="0" xfId="3" applyFont="1" applyAlignment="1">
      <alignment vertical="center"/>
    </xf>
    <xf numFmtId="0" fontId="5" fillId="0" borderId="26" xfId="3" applyFont="1" applyBorder="1"/>
    <xf numFmtId="0" fontId="5" fillId="0" borderId="26" xfId="3" applyFont="1" applyBorder="1" applyAlignment="1">
      <alignment horizontal="left"/>
    </xf>
    <xf numFmtId="0" fontId="44" fillId="0" borderId="27" xfId="3" applyFont="1" applyBorder="1"/>
    <xf numFmtId="0" fontId="45" fillId="0" borderId="28" xfId="3" applyFont="1" applyBorder="1"/>
    <xf numFmtId="0" fontId="5" fillId="0" borderId="28" xfId="3" applyFont="1" applyBorder="1"/>
    <xf numFmtId="0" fontId="5" fillId="0" borderId="0" xfId="3" applyFont="1"/>
    <xf numFmtId="0" fontId="5" fillId="0" borderId="5" xfId="3" applyFont="1" applyBorder="1" applyAlignment="1">
      <alignment horizontal="center"/>
    </xf>
    <xf numFmtId="0" fontId="44" fillId="0" borderId="5" xfId="3" applyFont="1" applyBorder="1" applyAlignment="1">
      <alignment horizontal="center"/>
    </xf>
    <xf numFmtId="0" fontId="44" fillId="0" borderId="29" xfId="3" applyFont="1" applyBorder="1" applyAlignment="1">
      <alignment horizontal="center"/>
    </xf>
    <xf numFmtId="0" fontId="44" fillId="0" borderId="31" xfId="3" applyFont="1" applyBorder="1"/>
    <xf numFmtId="0" fontId="44" fillId="0" borderId="31" xfId="3" applyFont="1" applyBorder="1" applyAlignment="1">
      <alignment horizontal="center"/>
    </xf>
    <xf numFmtId="0" fontId="5" fillId="0" borderId="32" xfId="3" applyFont="1" applyBorder="1"/>
    <xf numFmtId="0" fontId="5" fillId="0" borderId="31" xfId="3" applyFont="1" applyBorder="1"/>
    <xf numFmtId="0" fontId="5" fillId="0" borderId="34" xfId="3" applyFont="1" applyBorder="1" applyAlignment="1">
      <alignment horizontal="right"/>
    </xf>
    <xf numFmtId="0" fontId="5" fillId="0" borderId="34" xfId="3" applyFont="1" applyBorder="1" applyAlignment="1">
      <alignment horizontal="center"/>
    </xf>
    <xf numFmtId="0" fontId="5" fillId="0" borderId="35" xfId="3" applyFont="1" applyBorder="1"/>
    <xf numFmtId="0" fontId="5" fillId="0" borderId="34" xfId="3" applyFont="1" applyBorder="1"/>
    <xf numFmtId="0" fontId="5" fillId="0" borderId="37" xfId="3" applyFont="1" applyBorder="1" applyAlignment="1">
      <alignment horizontal="right" vertical="center"/>
    </xf>
    <xf numFmtId="0" fontId="5" fillId="0" borderId="29" xfId="3" applyFont="1" applyBorder="1"/>
    <xf numFmtId="0" fontId="5" fillId="0" borderId="5" xfId="3" applyFont="1" applyBorder="1"/>
    <xf numFmtId="0" fontId="44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44" fillId="18" borderId="24" xfId="3" applyFont="1" applyFill="1" applyBorder="1" applyAlignment="1">
      <alignment horizontal="left"/>
    </xf>
    <xf numFmtId="0" fontId="44" fillId="18" borderId="39" xfId="3" applyFont="1" applyFill="1" applyBorder="1" applyAlignment="1">
      <alignment horizontal="left"/>
    </xf>
    <xf numFmtId="0" fontId="5" fillId="18" borderId="39" xfId="3" applyFont="1" applyFill="1" applyBorder="1" applyAlignment="1">
      <alignment horizontal="center"/>
    </xf>
    <xf numFmtId="0" fontId="5" fillId="18" borderId="40" xfId="3" applyFont="1" applyFill="1" applyBorder="1"/>
    <xf numFmtId="0" fontId="5" fillId="18" borderId="39" xfId="3" applyFont="1" applyFill="1" applyBorder="1"/>
    <xf numFmtId="0" fontId="44" fillId="18" borderId="0" xfId="3" applyFont="1" applyFill="1" applyAlignment="1">
      <alignment horizontal="left"/>
    </xf>
    <xf numFmtId="0" fontId="5" fillId="18" borderId="0" xfId="3" applyFont="1" applyFill="1" applyAlignment="1">
      <alignment horizontal="center"/>
    </xf>
    <xf numFmtId="0" fontId="5" fillId="18" borderId="38" xfId="3" applyFont="1" applyFill="1" applyBorder="1"/>
    <xf numFmtId="0" fontId="5" fillId="18" borderId="0" xfId="3" applyFont="1" applyFill="1"/>
    <xf numFmtId="0" fontId="5" fillId="18" borderId="31" xfId="3" applyFont="1" applyFill="1" applyBorder="1"/>
    <xf numFmtId="0" fontId="44" fillId="0" borderId="28" xfId="3" applyFont="1" applyBorder="1"/>
    <xf numFmtId="0" fontId="44" fillId="0" borderId="28" xfId="3" applyFont="1" applyBorder="1" applyAlignment="1">
      <alignment horizontal="center"/>
    </xf>
    <xf numFmtId="0" fontId="5" fillId="0" borderId="27" xfId="3" applyFont="1" applyBorder="1"/>
    <xf numFmtId="9" fontId="5" fillId="0" borderId="34" xfId="3" applyNumberFormat="1" applyFont="1" applyBorder="1" applyAlignment="1">
      <alignment horizontal="center"/>
    </xf>
    <xf numFmtId="0" fontId="44" fillId="0" borderId="5" xfId="3" applyFont="1" applyBorder="1" applyAlignment="1">
      <alignment horizontal="left"/>
    </xf>
    <xf numFmtId="0" fontId="44" fillId="0" borderId="5" xfId="3" applyFont="1" applyBorder="1" applyAlignment="1">
      <alignment horizontal="right"/>
    </xf>
    <xf numFmtId="0" fontId="44" fillId="0" borderId="39" xfId="3" applyFont="1" applyBorder="1"/>
    <xf numFmtId="0" fontId="5" fillId="0" borderId="40" xfId="3" applyFont="1" applyBorder="1"/>
    <xf numFmtId="0" fontId="5" fillId="0" borderId="39" xfId="3" applyFont="1" applyBorder="1"/>
    <xf numFmtId="0" fontId="44" fillId="0" borderId="5" xfId="3" applyFont="1" applyBorder="1"/>
    <xf numFmtId="0" fontId="44" fillId="0" borderId="42" xfId="3" applyFont="1" applyBorder="1"/>
    <xf numFmtId="0" fontId="5" fillId="0" borderId="25" xfId="3" applyFont="1" applyBorder="1"/>
    <xf numFmtId="0" fontId="44" fillId="0" borderId="24" xfId="3" applyFont="1" applyBorder="1"/>
    <xf numFmtId="0" fontId="5" fillId="0" borderId="43" xfId="3" applyFont="1" applyBorder="1"/>
    <xf numFmtId="0" fontId="44" fillId="0" borderId="0" xfId="3" applyFont="1" applyAlignment="1">
      <alignment horizontal="right" vertical="center"/>
    </xf>
    <xf numFmtId="0" fontId="44" fillId="0" borderId="0" xfId="3" applyFont="1" applyAlignment="1">
      <alignment horizontal="left" vertical="center"/>
    </xf>
    <xf numFmtId="0" fontId="5" fillId="0" borderId="31" xfId="3" applyFont="1" applyBorder="1" applyAlignment="1">
      <alignment horizontal="center"/>
    </xf>
    <xf numFmtId="0" fontId="5" fillId="0" borderId="41" xfId="3" applyFont="1" applyBorder="1"/>
    <xf numFmtId="0" fontId="5" fillId="0" borderId="30" xfId="3" applyFont="1" applyBorder="1" applyAlignment="1">
      <alignment horizontal="center"/>
    </xf>
    <xf numFmtId="0" fontId="5" fillId="0" borderId="30" xfId="3" applyFont="1" applyBorder="1"/>
    <xf numFmtId="0" fontId="5" fillId="0" borderId="46" xfId="3" applyFont="1" applyBorder="1" applyAlignment="1">
      <alignment horizontal="center"/>
    </xf>
    <xf numFmtId="0" fontId="5" fillId="0" borderId="0" xfId="3" applyFont="1" applyAlignment="1">
      <alignment wrapText="1"/>
    </xf>
    <xf numFmtId="0" fontId="5" fillId="0" borderId="31" xfId="3" applyFont="1" applyBorder="1" applyAlignment="1">
      <alignment horizontal="right"/>
    </xf>
    <xf numFmtId="0" fontId="5" fillId="0" borderId="34" xfId="3" applyFont="1" applyBorder="1" applyAlignment="1">
      <alignment horizontal="right" vertical="center"/>
    </xf>
    <xf numFmtId="0" fontId="46" fillId="0" borderId="34" xfId="3" applyFont="1" applyBorder="1" applyAlignment="1">
      <alignment horizontal="right"/>
    </xf>
    <xf numFmtId="0" fontId="5" fillId="0" borderId="30" xfId="3" applyFont="1" applyBorder="1" applyAlignment="1">
      <alignment horizontal="right"/>
    </xf>
    <xf numFmtId="42" fontId="5" fillId="0" borderId="34" xfId="3" applyNumberFormat="1" applyFont="1" applyBorder="1" applyAlignment="1">
      <alignment horizontal="center"/>
    </xf>
    <xf numFmtId="41" fontId="5" fillId="0" borderId="34" xfId="3" applyNumberFormat="1" applyFont="1" applyBorder="1" applyAlignment="1">
      <alignment horizontal="center"/>
    </xf>
    <xf numFmtId="42" fontId="5" fillId="0" borderId="5" xfId="3" applyNumberFormat="1" applyFont="1" applyBorder="1" applyAlignment="1">
      <alignment horizontal="center"/>
    </xf>
    <xf numFmtId="0" fontId="44" fillId="0" borderId="30" xfId="3" applyFont="1" applyBorder="1" applyAlignment="1">
      <alignment horizontal="center"/>
    </xf>
    <xf numFmtId="41" fontId="5" fillId="0" borderId="39" xfId="3" applyNumberFormat="1" applyFont="1" applyBorder="1" applyAlignment="1">
      <alignment horizontal="center"/>
    </xf>
    <xf numFmtId="42" fontId="5" fillId="0" borderId="0" xfId="3" applyNumberFormat="1" applyFont="1" applyAlignment="1">
      <alignment horizontal="center"/>
    </xf>
    <xf numFmtId="0" fontId="5" fillId="0" borderId="34" xfId="3" applyFont="1" applyBorder="1" applyAlignment="1"/>
    <xf numFmtId="41" fontId="5" fillId="0" borderId="30" xfId="3" applyNumberFormat="1" applyFont="1" applyBorder="1" applyAlignment="1">
      <alignment horizontal="center"/>
    </xf>
    <xf numFmtId="0" fontId="5" fillId="18" borderId="0" xfId="3" applyFont="1" applyFill="1" applyBorder="1"/>
    <xf numFmtId="0" fontId="5" fillId="0" borderId="28" xfId="3" applyFont="1" applyBorder="1" applyAlignment="1"/>
    <xf numFmtId="0" fontId="5" fillId="0" borderId="39" xfId="3" applyFont="1" applyBorder="1" applyAlignment="1"/>
    <xf numFmtId="41" fontId="5" fillId="0" borderId="34" xfId="3" applyNumberFormat="1" applyFont="1" applyBorder="1"/>
    <xf numFmtId="41" fontId="5" fillId="0" borderId="34" xfId="3" applyNumberFormat="1" applyFont="1" applyBorder="1" applyAlignment="1"/>
    <xf numFmtId="41" fontId="5" fillId="0" borderId="5" xfId="3" applyNumberFormat="1" applyFont="1" applyBorder="1" applyAlignment="1">
      <alignment horizontal="center"/>
    </xf>
    <xf numFmtId="8" fontId="5" fillId="0" borderId="39" xfId="3" applyNumberFormat="1" applyFont="1" applyBorder="1" applyAlignment="1">
      <alignment horizontal="center"/>
    </xf>
    <xf numFmtId="10" fontId="5" fillId="0" borderId="5" xfId="3" applyNumberFormat="1" applyFont="1" applyBorder="1" applyAlignment="1">
      <alignment horizontal="center"/>
    </xf>
    <xf numFmtId="42" fontId="5" fillId="0" borderId="5" xfId="3" applyNumberFormat="1" applyFont="1" applyBorder="1"/>
    <xf numFmtId="41" fontId="5" fillId="0" borderId="5" xfId="3" applyNumberFormat="1" applyFont="1" applyBorder="1"/>
    <xf numFmtId="177" fontId="5" fillId="0" borderId="35" xfId="1" applyNumberFormat="1" applyFont="1" applyBorder="1"/>
    <xf numFmtId="177" fontId="5" fillId="0" borderId="44" xfId="1" applyNumberFormat="1" applyFont="1" applyBorder="1"/>
    <xf numFmtId="177" fontId="5" fillId="0" borderId="45" xfId="1" applyNumberFormat="1" applyFont="1" applyBorder="1"/>
    <xf numFmtId="177" fontId="5" fillId="0" borderId="32" xfId="1" applyNumberFormat="1" applyFont="1" applyBorder="1"/>
    <xf numFmtId="177" fontId="5" fillId="0" borderId="31" xfId="1" applyNumberFormat="1" applyFont="1" applyBorder="1"/>
    <xf numFmtId="177" fontId="5" fillId="0" borderId="31" xfId="1" applyNumberFormat="1" applyFont="1" applyBorder="1" applyAlignment="1"/>
    <xf numFmtId="177" fontId="5" fillId="0" borderId="29" xfId="3" applyNumberFormat="1" applyFont="1" applyBorder="1"/>
    <xf numFmtId="0" fontId="5" fillId="0" borderId="28" xfId="3" applyFont="1" applyBorder="1" applyAlignment="1">
      <alignment horizontal="right"/>
    </xf>
    <xf numFmtId="44" fontId="5" fillId="0" borderId="0" xfId="2" applyFont="1" applyAlignment="1">
      <alignment horizontal="center"/>
    </xf>
    <xf numFmtId="0" fontId="5" fillId="0" borderId="28" xfId="3" applyFont="1" applyBorder="1" applyAlignment="1">
      <alignment horizontal="left"/>
    </xf>
    <xf numFmtId="0" fontId="5" fillId="0" borderId="34" xfId="3" applyFont="1" applyBorder="1" applyAlignment="1">
      <alignment horizontal="left"/>
    </xf>
    <xf numFmtId="0" fontId="5" fillId="0" borderId="5" xfId="3" applyFont="1" applyBorder="1" applyAlignment="1">
      <alignment horizontal="left"/>
    </xf>
    <xf numFmtId="44" fontId="5" fillId="0" borderId="5" xfId="2" applyFont="1" applyBorder="1" applyAlignment="1"/>
    <xf numFmtId="44" fontId="5" fillId="0" borderId="34" xfId="2" applyFont="1" applyBorder="1" applyAlignment="1">
      <alignment horizontal="right"/>
    </xf>
    <xf numFmtId="3" fontId="5" fillId="0" borderId="31" xfId="3" applyNumberFormat="1" applyFont="1" applyBorder="1" applyAlignment="1">
      <alignment horizontal="right"/>
    </xf>
    <xf numFmtId="10" fontId="5" fillId="0" borderId="34" xfId="4" applyNumberFormat="1" applyFont="1" applyBorder="1" applyAlignment="1"/>
    <xf numFmtId="9" fontId="5" fillId="0" borderId="39" xfId="3" applyNumberFormat="1" applyFont="1" applyBorder="1" applyAlignment="1"/>
    <xf numFmtId="0" fontId="44" fillId="0" borderId="5" xfId="3" applyFont="1" applyBorder="1" applyAlignment="1">
      <alignment wrapText="1"/>
    </xf>
    <xf numFmtId="0" fontId="3" fillId="0" borderId="5" xfId="3" applyBorder="1" applyAlignment="1">
      <alignment wrapText="1"/>
    </xf>
    <xf numFmtId="41" fontId="5" fillId="0" borderId="34" xfId="3" applyNumberFormat="1" applyFont="1" applyBorder="1" applyAlignment="1">
      <alignment horizontal="right"/>
    </xf>
    <xf numFmtId="0" fontId="3" fillId="0" borderId="34" xfId="3" applyBorder="1"/>
    <xf numFmtId="165" fontId="5" fillId="0" borderId="0" xfId="2" applyNumberFormat="1" applyFont="1"/>
    <xf numFmtId="0" fontId="5" fillId="0" borderId="34" xfId="3" applyFont="1" applyBorder="1" applyAlignment="1">
      <alignment horizontal="right"/>
    </xf>
    <xf numFmtId="0" fontId="5" fillId="0" borderId="34" xfId="3" applyFont="1" applyBorder="1"/>
    <xf numFmtId="0" fontId="47" fillId="0" borderId="39" xfId="3" applyFont="1" applyBorder="1" applyAlignment="1">
      <alignment horizontal="center"/>
    </xf>
    <xf numFmtId="0" fontId="5" fillId="0" borderId="39" xfId="3" applyFont="1" applyBorder="1" applyAlignment="1">
      <alignment horizontal="center"/>
    </xf>
    <xf numFmtId="165" fontId="5" fillId="0" borderId="39" xfId="2" applyNumberFormat="1" applyFont="1" applyBorder="1" applyAlignment="1">
      <alignment horizontal="right"/>
    </xf>
    <xf numFmtId="0" fontId="44" fillId="0" borderId="39" xfId="3" applyFont="1" applyBorder="1" applyAlignment="1">
      <alignment horizontal="left"/>
    </xf>
    <xf numFmtId="0" fontId="5" fillId="0" borderId="39" xfId="3" applyFont="1" applyBorder="1"/>
    <xf numFmtId="177" fontId="5" fillId="0" borderId="39" xfId="3" applyNumberFormat="1" applyFont="1" applyBorder="1" applyAlignment="1">
      <alignment horizontal="right"/>
    </xf>
    <xf numFmtId="165" fontId="5" fillId="0" borderId="34" xfId="2" applyNumberFormat="1" applyFont="1" applyBorder="1"/>
    <xf numFmtId="165" fontId="5" fillId="0" borderId="31" xfId="2" applyNumberFormat="1" applyFont="1" applyBorder="1"/>
    <xf numFmtId="0" fontId="5" fillId="0" borderId="41" xfId="3" applyFont="1" applyBorder="1" applyAlignment="1">
      <alignment horizontal="right"/>
    </xf>
    <xf numFmtId="0" fontId="44" fillId="0" borderId="28" xfId="3" applyFont="1" applyBorder="1"/>
    <xf numFmtId="0" fontId="5" fillId="0" borderId="28" xfId="3" applyFont="1" applyBorder="1"/>
    <xf numFmtId="0" fontId="5" fillId="0" borderId="28" xfId="3" applyFont="1" applyBorder="1" applyAlignment="1">
      <alignment horizontal="right"/>
    </xf>
    <xf numFmtId="0" fontId="44" fillId="0" borderId="39" xfId="3" applyFont="1" applyBorder="1" applyAlignment="1">
      <alignment horizontal="center"/>
    </xf>
    <xf numFmtId="0" fontId="12" fillId="0" borderId="39" xfId="3" applyFont="1" applyBorder="1" applyAlignment="1">
      <alignment horizontal="center"/>
    </xf>
    <xf numFmtId="0" fontId="5" fillId="0" borderId="30" xfId="3" applyFont="1" applyBorder="1" applyAlignment="1">
      <alignment horizontal="right"/>
    </xf>
    <xf numFmtId="41" fontId="5" fillId="0" borderId="30" xfId="3" applyNumberFormat="1" applyFont="1" applyBorder="1" applyAlignment="1">
      <alignment horizontal="right"/>
    </xf>
    <xf numFmtId="0" fontId="3" fillId="0" borderId="30" xfId="3" applyBorder="1"/>
    <xf numFmtId="0" fontId="5" fillId="0" borderId="31" xfId="3" applyFont="1" applyBorder="1" applyAlignment="1">
      <alignment horizontal="right"/>
    </xf>
    <xf numFmtId="0" fontId="5" fillId="0" borderId="34" xfId="3" applyFont="1" applyBorder="1" applyAlignment="1">
      <alignment horizontal="right" vertical="center"/>
    </xf>
    <xf numFmtId="0" fontId="5" fillId="0" borderId="5" xfId="3" applyFont="1" applyBorder="1" applyAlignment="1">
      <alignment horizontal="right" vertical="center"/>
    </xf>
    <xf numFmtId="0" fontId="5" fillId="0" borderId="5" xfId="3" applyFont="1" applyBorder="1"/>
    <xf numFmtId="0" fontId="5" fillId="0" borderId="5" xfId="3" applyFont="1" applyBorder="1" applyAlignment="1">
      <alignment horizontal="right"/>
    </xf>
    <xf numFmtId="3" fontId="5" fillId="0" borderId="31" xfId="3" applyNumberFormat="1" applyFont="1" applyBorder="1" applyAlignment="1">
      <alignment horizontal="right"/>
    </xf>
    <xf numFmtId="0" fontId="5" fillId="0" borderId="33" xfId="3" applyFont="1" applyBorder="1" applyAlignment="1">
      <alignment horizontal="right" vertical="center"/>
    </xf>
    <xf numFmtId="0" fontId="5" fillId="0" borderId="36" xfId="3" applyFont="1" applyBorder="1" applyAlignment="1">
      <alignment horizontal="right" vertical="center"/>
    </xf>
    <xf numFmtId="0" fontId="5" fillId="0" borderId="37" xfId="3" applyFont="1" applyBorder="1" applyAlignment="1">
      <alignment horizontal="right" vertical="center"/>
    </xf>
    <xf numFmtId="42" fontId="5" fillId="0" borderId="28" xfId="3" applyNumberFormat="1" applyFont="1" applyBorder="1" applyAlignment="1">
      <alignment horizontal="right"/>
    </xf>
    <xf numFmtId="0" fontId="3" fillId="0" borderId="28" xfId="3" applyBorder="1"/>
    <xf numFmtId="0" fontId="44" fillId="0" borderId="28" xfId="3" applyFont="1" applyBorder="1" applyAlignment="1">
      <alignment vertical="center"/>
    </xf>
    <xf numFmtId="0" fontId="44" fillId="0" borderId="39" xfId="3" applyFont="1" applyBorder="1" applyAlignment="1">
      <alignment horizontal="right"/>
    </xf>
    <xf numFmtId="0" fontId="41" fillId="17" borderId="0" xfId="3" applyFont="1" applyFill="1" applyAlignment="1">
      <alignment horizontal="left" vertical="center"/>
    </xf>
    <xf numFmtId="0" fontId="42" fillId="17" borderId="0" xfId="3" applyFont="1" applyFill="1" applyAlignment="1">
      <alignment vertical="center"/>
    </xf>
    <xf numFmtId="0" fontId="41" fillId="17" borderId="0" xfId="3" applyFont="1" applyFill="1" applyAlignment="1">
      <alignment vertical="center"/>
    </xf>
    <xf numFmtId="0" fontId="3" fillId="0" borderId="0" xfId="3" applyAlignment="1">
      <alignment vertical="center"/>
    </xf>
    <xf numFmtId="0" fontId="44" fillId="0" borderId="31" xfId="3" applyFont="1" applyBorder="1" applyAlignment="1">
      <alignment horizontal="left" wrapText="1"/>
    </xf>
    <xf numFmtId="0" fontId="44" fillId="0" borderId="5" xfId="3" applyFont="1" applyBorder="1" applyAlignment="1">
      <alignment horizontal="center" wrapText="1"/>
    </xf>
    <xf numFmtId="0" fontId="3" fillId="0" borderId="5" xfId="3" applyBorder="1" applyAlignment="1">
      <alignment horizontal="center" wrapText="1"/>
    </xf>
    <xf numFmtId="0" fontId="45" fillId="0" borderId="5" xfId="3" applyFont="1" applyBorder="1" applyAlignment="1">
      <alignment horizontal="center" wrapText="1"/>
    </xf>
    <xf numFmtId="0" fontId="3" fillId="0" borderId="5" xfId="3" applyBorder="1" applyAlignment="1">
      <alignment wrapText="1"/>
    </xf>
    <xf numFmtId="0" fontId="44" fillId="0" borderId="5" xfId="3" applyFont="1" applyBorder="1" applyAlignment="1">
      <alignment horizontal="left"/>
    </xf>
    <xf numFmtId="0" fontId="44" fillId="0" borderId="30" xfId="3" applyFont="1" applyBorder="1" applyAlignment="1">
      <alignment horizontal="left"/>
    </xf>
    <xf numFmtId="0" fontId="5" fillId="0" borderId="31" xfId="3" applyFont="1" applyBorder="1"/>
    <xf numFmtId="0" fontId="8" fillId="3" borderId="1" xfId="3" applyFont="1" applyFill="1" applyBorder="1"/>
    <xf numFmtId="0" fontId="8" fillId="3" borderId="2" xfId="3" applyFont="1" applyFill="1" applyBorder="1"/>
    <xf numFmtId="0" fontId="8" fillId="3" borderId="3" xfId="3" applyFont="1" applyFill="1" applyBorder="1"/>
    <xf numFmtId="0" fontId="8" fillId="3" borderId="0" xfId="3" applyFont="1" applyFill="1" applyAlignment="1">
      <alignment horizontal="left" vertical="top" wrapText="1"/>
    </xf>
    <xf numFmtId="0" fontId="8" fillId="3" borderId="8" xfId="3" applyFont="1" applyFill="1" applyBorder="1" applyAlignment="1">
      <alignment horizontal="left" vertical="center"/>
    </xf>
    <xf numFmtId="0" fontId="8" fillId="3" borderId="4" xfId="3" applyFont="1" applyFill="1" applyBorder="1" applyAlignment="1">
      <alignment horizontal="left" vertical="center"/>
    </xf>
    <xf numFmtId="0" fontId="8" fillId="3" borderId="9" xfId="3" applyFont="1" applyFill="1" applyBorder="1" applyAlignment="1">
      <alignment horizontal="left" vertical="center"/>
    </xf>
    <xf numFmtId="0" fontId="8" fillId="3" borderId="10" xfId="3" applyFont="1" applyFill="1" applyBorder="1" applyAlignment="1">
      <alignment horizontal="left" vertical="center"/>
    </xf>
    <xf numFmtId="0" fontId="8" fillId="3" borderId="0" xfId="3" applyFont="1" applyFill="1" applyBorder="1" applyAlignment="1">
      <alignment horizontal="left" vertical="center"/>
    </xf>
    <xf numFmtId="0" fontId="8" fillId="3" borderId="11" xfId="3" applyFont="1" applyFill="1" applyBorder="1" applyAlignment="1">
      <alignment horizontal="left" vertical="center"/>
    </xf>
    <xf numFmtId="0" fontId="8" fillId="3" borderId="12" xfId="3" applyFont="1" applyFill="1" applyBorder="1" applyAlignment="1">
      <alignment horizontal="left" vertical="center"/>
    </xf>
    <xf numFmtId="0" fontId="8" fillId="3" borderId="6" xfId="3" applyFont="1" applyFill="1" applyBorder="1" applyAlignment="1">
      <alignment horizontal="left" vertical="center"/>
    </xf>
    <xf numFmtId="0" fontId="8" fillId="3" borderId="7" xfId="3" applyFont="1" applyFill="1" applyBorder="1" applyAlignment="1">
      <alignment horizontal="left" vertical="center"/>
    </xf>
    <xf numFmtId="0" fontId="8" fillId="3" borderId="8" xfId="3" applyFont="1" applyFill="1" applyBorder="1" applyAlignment="1">
      <alignment horizontal="left" vertical="top" wrapText="1"/>
    </xf>
    <xf numFmtId="0" fontId="8" fillId="3" borderId="4" xfId="3" applyFont="1" applyFill="1" applyBorder="1" applyAlignment="1">
      <alignment horizontal="left" vertical="top" wrapText="1"/>
    </xf>
    <xf numFmtId="0" fontId="8" fillId="3" borderId="9" xfId="3" applyFont="1" applyFill="1" applyBorder="1" applyAlignment="1">
      <alignment horizontal="left" vertical="top" wrapText="1"/>
    </xf>
    <xf numFmtId="0" fontId="8" fillId="3" borderId="12" xfId="3" applyFont="1" applyFill="1" applyBorder="1" applyAlignment="1">
      <alignment horizontal="left" vertical="top" wrapText="1"/>
    </xf>
    <xf numFmtId="0" fontId="8" fillId="3" borderId="6" xfId="3" applyFont="1" applyFill="1" applyBorder="1" applyAlignment="1">
      <alignment horizontal="left" vertical="top" wrapText="1"/>
    </xf>
    <xf numFmtId="0" fontId="8" fillId="3" borderId="7" xfId="3" applyFont="1" applyFill="1" applyBorder="1" applyAlignment="1">
      <alignment horizontal="left" vertical="top" wrapText="1"/>
    </xf>
    <xf numFmtId="0" fontId="8" fillId="3" borderId="8" xfId="3" applyFont="1" applyFill="1" applyBorder="1" applyAlignment="1">
      <alignment horizontal="left" vertical="center" wrapText="1"/>
    </xf>
    <xf numFmtId="0" fontId="8" fillId="3" borderId="4" xfId="3" applyFont="1" applyFill="1" applyBorder="1" applyAlignment="1">
      <alignment horizontal="left" vertical="center" wrapText="1"/>
    </xf>
    <xf numFmtId="0" fontId="8" fillId="3" borderId="9" xfId="3" applyFont="1" applyFill="1" applyBorder="1" applyAlignment="1">
      <alignment horizontal="left" vertical="center" wrapText="1"/>
    </xf>
    <xf numFmtId="0" fontId="8" fillId="3" borderId="12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3" borderId="7" xfId="3" applyFont="1" applyFill="1" applyBorder="1" applyAlignment="1">
      <alignment horizontal="left" vertical="center" wrapText="1"/>
    </xf>
    <xf numFmtId="0" fontId="8" fillId="3" borderId="0" xfId="3" applyFont="1" applyFill="1" applyAlignment="1">
      <alignment horizontal="left" vertical="center"/>
    </xf>
    <xf numFmtId="0" fontId="8" fillId="3" borderId="10" xfId="3" applyFont="1" applyFill="1" applyBorder="1" applyAlignment="1">
      <alignment horizontal="left" vertical="center" wrapText="1"/>
    </xf>
    <xf numFmtId="0" fontId="8" fillId="3" borderId="0" xfId="3" applyFont="1" applyFill="1" applyAlignment="1">
      <alignment horizontal="left" vertical="center" wrapText="1"/>
    </xf>
    <xf numFmtId="0" fontId="8" fillId="3" borderId="11" xfId="3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2" fillId="3" borderId="1" xfId="3" applyFont="1" applyFill="1" applyBorder="1" applyAlignment="1">
      <alignment horizontal="center"/>
    </xf>
    <xf numFmtId="0" fontId="12" fillId="3" borderId="2" xfId="3" applyFont="1" applyFill="1" applyBorder="1" applyAlignment="1">
      <alignment horizontal="center"/>
    </xf>
    <xf numFmtId="0" fontId="12" fillId="3" borderId="3" xfId="3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" fillId="3" borderId="1" xfId="3" applyFont="1" applyFill="1" applyBorder="1"/>
    <xf numFmtId="0" fontId="3" fillId="3" borderId="2" xfId="3" applyFont="1" applyFill="1" applyBorder="1"/>
    <xf numFmtId="0" fontId="3" fillId="3" borderId="3" xfId="3" applyFont="1" applyFill="1" applyBorder="1"/>
    <xf numFmtId="0" fontId="3" fillId="3" borderId="0" xfId="3" applyFont="1" applyFill="1" applyAlignment="1">
      <alignment horizontal="left" vertical="top" wrapText="1"/>
    </xf>
    <xf numFmtId="0" fontId="3" fillId="3" borderId="8" xfId="3" applyFont="1" applyFill="1" applyBorder="1" applyAlignment="1">
      <alignment horizontal="left" vertical="top" wrapText="1"/>
    </xf>
    <xf numFmtId="0" fontId="3" fillId="3" borderId="4" xfId="3" applyFont="1" applyFill="1" applyBorder="1" applyAlignment="1">
      <alignment horizontal="left" vertical="top" wrapText="1"/>
    </xf>
    <xf numFmtId="0" fontId="3" fillId="3" borderId="9" xfId="3" applyFont="1" applyFill="1" applyBorder="1" applyAlignment="1">
      <alignment horizontal="left" vertical="top" wrapText="1"/>
    </xf>
    <xf numFmtId="0" fontId="3" fillId="3" borderId="12" xfId="3" applyFont="1" applyFill="1" applyBorder="1" applyAlignment="1">
      <alignment horizontal="left" vertical="top" wrapText="1"/>
    </xf>
    <xf numFmtId="0" fontId="3" fillId="3" borderId="6" xfId="3" applyFont="1" applyFill="1" applyBorder="1" applyAlignment="1">
      <alignment horizontal="left" vertical="top" wrapText="1"/>
    </xf>
    <xf numFmtId="0" fontId="3" fillId="3" borderId="7" xfId="3" applyFont="1" applyFill="1" applyBorder="1" applyAlignment="1">
      <alignment horizontal="left" vertical="top" wrapText="1"/>
    </xf>
    <xf numFmtId="0" fontId="3" fillId="3" borderId="8" xfId="3" applyFont="1" applyFill="1" applyBorder="1" applyAlignment="1">
      <alignment horizontal="left" vertical="center" wrapText="1"/>
    </xf>
    <xf numFmtId="0" fontId="3" fillId="3" borderId="4" xfId="3" applyFont="1" applyFill="1" applyBorder="1" applyAlignment="1">
      <alignment horizontal="left" vertical="center" wrapText="1"/>
    </xf>
    <xf numFmtId="0" fontId="3" fillId="3" borderId="9" xfId="3" applyFont="1" applyFill="1" applyBorder="1" applyAlignment="1">
      <alignment horizontal="left" vertical="center" wrapText="1"/>
    </xf>
    <xf numFmtId="0" fontId="3" fillId="3" borderId="12" xfId="3" applyFont="1" applyFill="1" applyBorder="1" applyAlignment="1">
      <alignment horizontal="left" vertical="center" wrapText="1"/>
    </xf>
    <xf numFmtId="0" fontId="3" fillId="3" borderId="6" xfId="3" applyFont="1" applyFill="1" applyBorder="1" applyAlignment="1">
      <alignment horizontal="left" vertical="center" wrapText="1"/>
    </xf>
    <xf numFmtId="0" fontId="3" fillId="3" borderId="7" xfId="3" applyFont="1" applyFill="1" applyBorder="1" applyAlignment="1">
      <alignment horizontal="left" vertical="center" wrapText="1"/>
    </xf>
    <xf numFmtId="0" fontId="3" fillId="3" borderId="8" xfId="3" applyFont="1" applyFill="1" applyBorder="1" applyAlignment="1">
      <alignment horizontal="left" vertical="center"/>
    </xf>
    <xf numFmtId="0" fontId="3" fillId="3" borderId="4" xfId="3" applyFont="1" applyFill="1" applyBorder="1" applyAlignment="1">
      <alignment horizontal="left" vertical="center"/>
    </xf>
    <xf numFmtId="0" fontId="3" fillId="3" borderId="9" xfId="3" applyFont="1" applyFill="1" applyBorder="1" applyAlignment="1">
      <alignment horizontal="left" vertical="center"/>
    </xf>
    <xf numFmtId="0" fontId="3" fillId="3" borderId="10" xfId="3" applyFont="1" applyFill="1" applyBorder="1" applyAlignment="1">
      <alignment horizontal="left" vertical="center"/>
    </xf>
    <xf numFmtId="0" fontId="3" fillId="3" borderId="0" xfId="3" applyFont="1" applyFill="1" applyAlignment="1">
      <alignment horizontal="left" vertical="center"/>
    </xf>
    <xf numFmtId="0" fontId="3" fillId="3" borderId="11" xfId="3" applyFont="1" applyFill="1" applyBorder="1" applyAlignment="1">
      <alignment horizontal="left" vertical="center"/>
    </xf>
    <xf numFmtId="0" fontId="3" fillId="3" borderId="12" xfId="3" applyFont="1" applyFill="1" applyBorder="1" applyAlignment="1">
      <alignment horizontal="left" vertical="center"/>
    </xf>
    <xf numFmtId="0" fontId="3" fillId="3" borderId="6" xfId="3" applyFont="1" applyFill="1" applyBorder="1" applyAlignment="1">
      <alignment horizontal="left" vertical="center"/>
    </xf>
    <xf numFmtId="0" fontId="3" fillId="3" borderId="7" xfId="3" applyFont="1" applyFill="1" applyBorder="1" applyAlignment="1">
      <alignment horizontal="left" vertical="center"/>
    </xf>
    <xf numFmtId="0" fontId="3" fillId="3" borderId="10" xfId="3" applyFont="1" applyFill="1" applyBorder="1" applyAlignment="1">
      <alignment horizontal="left" vertical="center" wrapText="1"/>
    </xf>
    <xf numFmtId="0" fontId="3" fillId="3" borderId="0" xfId="3" applyFont="1" applyFill="1" applyAlignment="1">
      <alignment horizontal="left" vertical="center" wrapText="1"/>
    </xf>
    <xf numFmtId="0" fontId="3" fillId="3" borderId="11" xfId="3" applyFont="1" applyFill="1" applyBorder="1" applyAlignment="1">
      <alignment horizontal="left" vertical="center" wrapText="1"/>
    </xf>
  </cellXfs>
  <cellStyles count="34">
    <cellStyle name="Bold" xfId="6" xr:uid="{00000000-0005-0000-0000-000000000000}"/>
    <cellStyle name="Column Head" xfId="7" xr:uid="{00000000-0005-0000-0000-000001000000}"/>
    <cellStyle name="Comma" xfId="1" builtinId="3"/>
    <cellStyle name="Comma (0)" xfId="8" xr:uid="{00000000-0005-0000-0000-000003000000}"/>
    <cellStyle name="Comma (1)" xfId="9" xr:uid="{00000000-0005-0000-0000-000004000000}"/>
    <cellStyle name="Comma (2)" xfId="10" xr:uid="{00000000-0005-0000-0000-000005000000}"/>
    <cellStyle name="Comma 2" xfId="11" xr:uid="{00000000-0005-0000-0000-000006000000}"/>
    <cellStyle name="Comma 3" xfId="12" xr:uid="{00000000-0005-0000-0000-000007000000}"/>
    <cellStyle name="Comma 4" xfId="29" xr:uid="{6B0F1EDE-9896-4272-B332-56FF2E4BC705}"/>
    <cellStyle name="Currency" xfId="2" builtinId="4"/>
    <cellStyle name="Currency (0)" xfId="13" xr:uid="{00000000-0005-0000-0000-000009000000}"/>
    <cellStyle name="Currency (1)" xfId="14" xr:uid="{00000000-0005-0000-0000-00000A000000}"/>
    <cellStyle name="Currency (2)" xfId="15" xr:uid="{00000000-0005-0000-0000-00000B000000}"/>
    <cellStyle name="Currency 2" xfId="16" xr:uid="{00000000-0005-0000-0000-00000C000000}"/>
    <cellStyle name="Currency 3" xfId="17" xr:uid="{00000000-0005-0000-0000-00000D000000}"/>
    <cellStyle name="Currency 4" xfId="30" xr:uid="{A1C4013B-9101-4CD2-BEE3-2BC7AF00AA8F}"/>
    <cellStyle name="Normal" xfId="0" builtinId="0"/>
    <cellStyle name="Normal 10" xfId="18" xr:uid="{00000000-0005-0000-0000-00000F000000}"/>
    <cellStyle name="Normal 2" xfId="3" xr:uid="{00000000-0005-0000-0000-000010000000}"/>
    <cellStyle name="Normal 3" xfId="19" xr:uid="{00000000-0005-0000-0000-000011000000}"/>
    <cellStyle name="Normal 3 2" xfId="20" xr:uid="{00000000-0005-0000-0000-000012000000}"/>
    <cellStyle name="Normal 4" xfId="21" xr:uid="{00000000-0005-0000-0000-000013000000}"/>
    <cellStyle name="Normal 5" xfId="5" xr:uid="{00000000-0005-0000-0000-000014000000}"/>
    <cellStyle name="Normal 6" xfId="28" xr:uid="{FC1C7F2D-41BD-4961-B10B-E67DE19C2893}"/>
    <cellStyle name="Normal 7" xfId="32" xr:uid="{4B461B6D-0577-4EA8-8F6F-838817382849}"/>
    <cellStyle name="Number (0)" xfId="22" xr:uid="{00000000-0005-0000-0000-000015000000}"/>
    <cellStyle name="Percent" xfId="4" builtinId="5"/>
    <cellStyle name="Percent (0)" xfId="23" xr:uid="{00000000-0005-0000-0000-000017000000}"/>
    <cellStyle name="Percent (1)" xfId="24" xr:uid="{00000000-0005-0000-0000-000018000000}"/>
    <cellStyle name="Percent (2)" xfId="25" xr:uid="{00000000-0005-0000-0000-000019000000}"/>
    <cellStyle name="Percent 2" xfId="26" xr:uid="{00000000-0005-0000-0000-00001A000000}"/>
    <cellStyle name="Percent 3" xfId="27" xr:uid="{00000000-0005-0000-0000-00001B000000}"/>
    <cellStyle name="Percent 4" xfId="31" xr:uid="{8CD0AA8B-5DAF-4804-9BFB-582E56B3047B}"/>
    <cellStyle name="Percent 5" xfId="33" xr:uid="{33B76C9E-2927-4266-990C-620EFA605630}"/>
  </cellStyles>
  <dxfs count="0"/>
  <tableStyles count="0" defaultTableStyle="TableStyleMedium9" defaultPivotStyle="PivotStyleLight16"/>
  <colors>
    <mruColors>
      <color rgb="FF008000"/>
      <color rgb="FF000080"/>
      <color rgb="FF0000FF"/>
      <color rgb="FFFFFF99"/>
      <color rgb="FFFF5050"/>
      <color rgb="FF99FF99"/>
      <color rgb="FF66FF33"/>
      <color rgb="FF66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217CC-C210-43D4-998A-F7B0961BFDC7}">
  <dimension ref="A1:N104"/>
  <sheetViews>
    <sheetView tabSelected="1" showWhiteSpace="0" view="pageBreakPreview" topLeftCell="A73" zoomScaleNormal="100" zoomScaleSheetLayoutView="100" workbookViewId="0">
      <selection sqref="A1:N104"/>
    </sheetView>
  </sheetViews>
  <sheetFormatPr defaultColWidth="9.1796875" defaultRowHeight="14.15" customHeight="1"/>
  <cols>
    <col min="1" max="1" width="9" style="1038" customWidth="1"/>
    <col min="2" max="2" width="13.1796875" style="1038" customWidth="1"/>
    <col min="3" max="3" width="12.453125" style="1054" bestFit="1" customWidth="1"/>
    <col min="4" max="4" width="11.08984375" style="1038" customWidth="1"/>
    <col min="5" max="5" width="10.90625" style="1038" customWidth="1"/>
    <col min="6" max="6" width="9.81640625" style="1038" customWidth="1"/>
    <col min="7" max="7" width="12.08984375" style="1038" customWidth="1"/>
    <col min="8" max="8" width="11.36328125" style="1038" customWidth="1"/>
    <col min="9" max="9" width="11.26953125" style="1038" bestFit="1" customWidth="1"/>
    <col min="10" max="10" width="10.453125" style="1038" customWidth="1"/>
    <col min="11" max="11" width="10.81640625" style="1038" customWidth="1"/>
    <col min="12" max="12" width="12" style="1038" customWidth="1"/>
    <col min="13" max="13" width="12.08984375" style="1038" customWidth="1"/>
    <col min="14" max="14" width="2.26953125" style="1038" customWidth="1"/>
    <col min="15" max="16384" width="9.1796875" style="1038"/>
  </cols>
  <sheetData>
    <row r="1" spans="1:14" s="1032" customFormat="1" ht="13.5" customHeight="1">
      <c r="A1" s="1027" t="s">
        <v>604</v>
      </c>
      <c r="B1" s="1027"/>
      <c r="C1" s="1028"/>
      <c r="D1" s="1029"/>
      <c r="E1" s="1029"/>
      <c r="F1" s="1029"/>
      <c r="G1" s="1029"/>
      <c r="H1" s="1029"/>
      <c r="I1" s="1029"/>
      <c r="J1" s="1029"/>
      <c r="K1" s="1029"/>
      <c r="L1" s="1030" t="s">
        <v>605</v>
      </c>
      <c r="M1" s="1031">
        <v>202</v>
      </c>
    </row>
    <row r="2" spans="1:14" ht="11.25" customHeight="1">
      <c r="A2" s="1033"/>
      <c r="B2" s="1033"/>
      <c r="C2" s="1034" t="s">
        <v>55</v>
      </c>
      <c r="D2" s="1035" t="s">
        <v>36</v>
      </c>
      <c r="E2" s="1036" t="s">
        <v>606</v>
      </c>
      <c r="F2" s="1037"/>
      <c r="G2" s="1037"/>
      <c r="H2" s="1037"/>
      <c r="I2" s="1037"/>
      <c r="J2" s="1037"/>
      <c r="K2" s="1037"/>
      <c r="L2" s="1037"/>
      <c r="M2" s="1037"/>
      <c r="N2" s="1037"/>
    </row>
    <row r="3" spans="1:14" ht="11.25" customHeight="1">
      <c r="A3" s="1039"/>
      <c r="B3" s="1039"/>
      <c r="C3" s="1040" t="s">
        <v>379</v>
      </c>
      <c r="D3" s="1041">
        <v>2022</v>
      </c>
      <c r="E3" s="1040">
        <f>D3+1</f>
        <v>2023</v>
      </c>
      <c r="F3" s="1040">
        <f t="shared" ref="F3:K3" si="0">E3+1</f>
        <v>2024</v>
      </c>
      <c r="G3" s="1040">
        <f t="shared" si="0"/>
        <v>2025</v>
      </c>
      <c r="H3" s="1040">
        <f t="shared" si="0"/>
        <v>2026</v>
      </c>
      <c r="I3" s="1040">
        <f t="shared" si="0"/>
        <v>2027</v>
      </c>
      <c r="J3" s="1040">
        <f t="shared" si="0"/>
        <v>2028</v>
      </c>
      <c r="K3" s="1040">
        <f t="shared" si="0"/>
        <v>2029</v>
      </c>
      <c r="L3" s="1094">
        <f>K3+1</f>
        <v>2030</v>
      </c>
      <c r="M3" s="1040">
        <f>L3+1</f>
        <v>2031</v>
      </c>
    </row>
    <row r="4" spans="1:14" ht="11.25" customHeight="1">
      <c r="A4" s="1042" t="s">
        <v>0</v>
      </c>
      <c r="B4" s="1042"/>
      <c r="C4" s="1043"/>
      <c r="D4" s="1044"/>
      <c r="E4" s="1045"/>
      <c r="F4" s="1045"/>
      <c r="G4" s="1045"/>
      <c r="H4" s="1045"/>
      <c r="I4" s="1045"/>
      <c r="J4" s="1045"/>
      <c r="K4" s="1045"/>
      <c r="L4" s="1143"/>
      <c r="M4" s="1143"/>
      <c r="N4" s="1045"/>
    </row>
    <row r="5" spans="1:14" ht="11.25" customHeight="1">
      <c r="A5" s="1156" t="s">
        <v>607</v>
      </c>
      <c r="B5" s="1046" t="s">
        <v>608</v>
      </c>
      <c r="C5" s="1091">
        <f>'Summary Board'!D5</f>
        <v>0</v>
      </c>
      <c r="D5" s="1091">
        <f>'Summary Board'!E5</f>
        <v>0</v>
      </c>
      <c r="E5" s="1091">
        <f>'Summary Board'!F5</f>
        <v>1016834.4576000001</v>
      </c>
      <c r="F5" s="1091">
        <f>'Summary Board'!G5</f>
        <v>2644532.2156032003</v>
      </c>
      <c r="G5" s="1091">
        <f>'Summary Board'!H5</f>
        <v>3371123.987712</v>
      </c>
      <c r="H5" s="1091">
        <f>'Summary Board'!I5</f>
        <v>4444489.8653995004</v>
      </c>
      <c r="I5" s="1091">
        <f>'Summary Board'!J5</f>
        <v>7353130.7016868871</v>
      </c>
      <c r="J5" s="1091">
        <f>'Summary Board'!K5</f>
        <v>10137592.49113501</v>
      </c>
      <c r="K5" s="1091">
        <f>'Summary Board'!L5</f>
        <v>12748611.952514552</v>
      </c>
      <c r="L5" s="1091">
        <f>'Summary Board'!M5</f>
        <v>15726019.920186343</v>
      </c>
      <c r="M5" s="1091">
        <f>'Summary Board'!N5</f>
        <v>18001134.17384829</v>
      </c>
      <c r="N5" s="1091"/>
    </row>
    <row r="6" spans="1:14" ht="11.25" customHeight="1">
      <c r="A6" s="1157"/>
      <c r="B6" s="1046" t="s">
        <v>609</v>
      </c>
      <c r="C6" s="1092">
        <f>'Summary Board'!D6</f>
        <v>0</v>
      </c>
      <c r="D6" s="1092">
        <f>'Summary Board'!E6</f>
        <v>0</v>
      </c>
      <c r="E6" s="1092">
        <f>'Summary Board'!F6</f>
        <v>0</v>
      </c>
      <c r="F6" s="1092">
        <f>'Summary Board'!G6</f>
        <v>0</v>
      </c>
      <c r="G6" s="1092">
        <f>'Summary Board'!H6</f>
        <v>0</v>
      </c>
      <c r="H6" s="1092">
        <f>'Summary Board'!I6</f>
        <v>23475300.004574995</v>
      </c>
      <c r="I6" s="1092">
        <f>'Summary Board'!J6</f>
        <v>24179559.004712246</v>
      </c>
      <c r="J6" s="1092">
        <f>'Summary Board'!K6</f>
        <v>25851014.930992156</v>
      </c>
      <c r="K6" s="1092">
        <f>'Summary Board'!L6</f>
        <v>0</v>
      </c>
      <c r="L6" s="1092">
        <f>'Summary Board'!M6</f>
        <v>0</v>
      </c>
      <c r="M6" s="1092">
        <f>'Summary Board'!N6</f>
        <v>0</v>
      </c>
      <c r="N6" s="1092"/>
    </row>
    <row r="7" spans="1:14" ht="11.25" customHeight="1">
      <c r="A7" s="1050" t="s">
        <v>610</v>
      </c>
      <c r="B7" s="1046" t="s">
        <v>608</v>
      </c>
      <c r="C7" s="1092">
        <v>0</v>
      </c>
      <c r="D7" s="1092">
        <v>0</v>
      </c>
      <c r="E7" s="1092">
        <v>0</v>
      </c>
      <c r="F7" s="1092">
        <v>0</v>
      </c>
      <c r="G7" s="1092">
        <v>0</v>
      </c>
      <c r="H7" s="1092">
        <v>0</v>
      </c>
      <c r="I7" s="1092">
        <v>0</v>
      </c>
      <c r="J7" s="1092">
        <v>0</v>
      </c>
      <c r="K7" s="1092">
        <v>0</v>
      </c>
      <c r="L7" s="1092">
        <v>0</v>
      </c>
      <c r="M7" s="1092">
        <v>0</v>
      </c>
      <c r="N7" s="1092"/>
    </row>
    <row r="8" spans="1:14" ht="11.25" customHeight="1">
      <c r="A8" s="1156" t="s">
        <v>611</v>
      </c>
      <c r="B8" s="1046" t="s">
        <v>608</v>
      </c>
      <c r="C8" s="1092">
        <f>'Summary Board'!D7</f>
        <v>0</v>
      </c>
      <c r="D8" s="1092">
        <f>'Summary Board'!E7</f>
        <v>0</v>
      </c>
      <c r="E8" s="1092">
        <f>'Summary Board'!F7</f>
        <v>0</v>
      </c>
      <c r="F8" s="1092">
        <f>'Summary Board'!G7</f>
        <v>0</v>
      </c>
      <c r="G8" s="1092">
        <f>'Summary Board'!H7</f>
        <v>0</v>
      </c>
      <c r="H8" s="1092">
        <f>'Summary Board'!I7</f>
        <v>0</v>
      </c>
      <c r="I8" s="1092">
        <f>'Summary Board'!J7</f>
        <v>0</v>
      </c>
      <c r="J8" s="1092">
        <f>'Summary Board'!K7</f>
        <v>172674.29070565174</v>
      </c>
      <c r="K8" s="1092">
        <f>'Summary Board'!L7</f>
        <v>1422836.1554145701</v>
      </c>
      <c r="L8" s="1092">
        <f>'Summary Board'!M7</f>
        <v>2674576.2631405382</v>
      </c>
      <c r="M8" s="1092">
        <f>'Summary Board'!N7</f>
        <v>3283133.9580825167</v>
      </c>
      <c r="N8" s="1092"/>
    </row>
    <row r="9" spans="1:14" ht="11.25" customHeight="1">
      <c r="A9" s="1157"/>
      <c r="B9" s="1046" t="s">
        <v>609</v>
      </c>
      <c r="C9" s="1092">
        <v>0</v>
      </c>
      <c r="D9" s="1092">
        <v>0</v>
      </c>
      <c r="E9" s="1092">
        <v>0</v>
      </c>
      <c r="F9" s="1092">
        <v>0</v>
      </c>
      <c r="G9" s="1092">
        <v>0</v>
      </c>
      <c r="H9" s="1092">
        <v>0</v>
      </c>
      <c r="I9" s="1092">
        <v>0</v>
      </c>
      <c r="J9" s="1092">
        <v>0</v>
      </c>
      <c r="K9" s="1092">
        <v>0</v>
      </c>
      <c r="L9" s="1092">
        <v>0</v>
      </c>
      <c r="M9" s="1092">
        <v>0</v>
      </c>
      <c r="N9" s="1092"/>
    </row>
    <row r="10" spans="1:14" ht="11.25" customHeight="1">
      <c r="A10" s="1131" t="s">
        <v>612</v>
      </c>
      <c r="B10" s="1131"/>
      <c r="C10" s="1092">
        <f>'Summary Board'!D8</f>
        <v>0</v>
      </c>
      <c r="D10" s="1092">
        <f>'Summary Board'!E8</f>
        <v>-144101.96460000001</v>
      </c>
      <c r="E10" s="1092">
        <f>'Summary Board'!F8</f>
        <v>4122890.7385896007</v>
      </c>
      <c r="F10" s="1092">
        <f>'Summary Board'!G8</f>
        <v>4441215.2025433518</v>
      </c>
      <c r="G10" s="1092">
        <f>'Summary Board'!H8</f>
        <v>4829016.0371669717</v>
      </c>
      <c r="H10" s="1092">
        <f>'Summary Board'!I8</f>
        <v>5026452.4809997976</v>
      </c>
      <c r="I10" s="1092">
        <f>'Summary Board'!J8</f>
        <v>5177246.055429792</v>
      </c>
      <c r="J10" s="1092">
        <f>'Summary Board'!K8</f>
        <v>5332563.4370926851</v>
      </c>
      <c r="K10" s="1092">
        <f>'Summary Board'!L8</f>
        <v>5492540.3402054664</v>
      </c>
      <c r="L10" s="1092">
        <f>'Summary Board'!M8</f>
        <v>5657316.5504116304</v>
      </c>
      <c r="M10" s="1092">
        <f>'Summary Board'!N8</f>
        <v>5827036.0469239801</v>
      </c>
      <c r="N10" s="1092"/>
    </row>
    <row r="11" spans="1:14" ht="11.25" customHeight="1">
      <c r="A11" s="1131" t="s">
        <v>613</v>
      </c>
      <c r="B11" s="1131"/>
      <c r="C11" s="1092">
        <f>'Summary Board'!D9</f>
        <v>0</v>
      </c>
      <c r="D11" s="1092">
        <f>'Summary Board'!E9</f>
        <v>-693302.83649999998</v>
      </c>
      <c r="E11" s="1092">
        <f>'Summary Board'!F9</f>
        <v>1271235.3229934997</v>
      </c>
      <c r="F11" s="1092">
        <f>'Summary Board'!G9</f>
        <v>1836309.2638442433</v>
      </c>
      <c r="G11" s="1092">
        <f>'Summary Board'!H9</f>
        <v>2328996.367087571</v>
      </c>
      <c r="H11" s="1092">
        <f>'Summary Board'!I9</f>
        <v>3589382.8411572124</v>
      </c>
      <c r="I11" s="1092">
        <f>'Summary Board'!J9</f>
        <v>3600176.2961365134</v>
      </c>
      <c r="J11" s="1092">
        <f>'Summary Board'!K9</f>
        <v>5065153.788773058</v>
      </c>
      <c r="K11" s="1092">
        <f>'Summary Board'!L9</f>
        <v>7710581.2046776414</v>
      </c>
      <c r="L11" s="1092">
        <f>'Summary Board'!M9</f>
        <v>9929587.0844687242</v>
      </c>
      <c r="M11" s="1092">
        <f>'Summary Board'!N9</f>
        <v>12135158.122551315</v>
      </c>
      <c r="N11" s="1092"/>
    </row>
    <row r="12" spans="1:14" ht="11.25" customHeight="1">
      <c r="A12" s="1046"/>
      <c r="B12" s="1046" t="s">
        <v>614</v>
      </c>
      <c r="C12" s="1092">
        <v>0</v>
      </c>
      <c r="D12" s="1092">
        <v>0</v>
      </c>
      <c r="E12" s="1092">
        <v>0</v>
      </c>
      <c r="F12" s="1092">
        <v>0</v>
      </c>
      <c r="G12" s="1092">
        <v>0</v>
      </c>
      <c r="H12" s="1092">
        <v>0</v>
      </c>
      <c r="I12" s="1092">
        <v>0</v>
      </c>
      <c r="J12" s="1092">
        <v>0</v>
      </c>
      <c r="K12" s="1092">
        <v>0</v>
      </c>
      <c r="L12" s="1092">
        <v>0</v>
      </c>
      <c r="M12" s="1092">
        <v>0</v>
      </c>
      <c r="N12" s="1092"/>
    </row>
    <row r="13" spans="1:14" ht="11.25" customHeight="1">
      <c r="A13" s="1131" t="s">
        <v>48</v>
      </c>
      <c r="B13" s="1131"/>
      <c r="C13" s="1092">
        <f>'Summary Board'!D10</f>
        <v>0</v>
      </c>
      <c r="D13" s="1092">
        <f>'Summary Board'!E10</f>
        <v>0</v>
      </c>
      <c r="E13" s="1092">
        <f>'Summary Board'!F10</f>
        <v>0</v>
      </c>
      <c r="F13" s="1092">
        <f>'Summary Board'!G10</f>
        <v>0</v>
      </c>
      <c r="G13" s="1092">
        <f>'Summary Board'!H10</f>
        <v>0</v>
      </c>
      <c r="H13" s="1092">
        <f>'Summary Board'!I10</f>
        <v>0</v>
      </c>
      <c r="I13" s="1092">
        <f>'Summary Board'!J10</f>
        <v>0</v>
      </c>
      <c r="J13" s="1092">
        <f>'Summary Board'!K10</f>
        <v>0</v>
      </c>
      <c r="K13" s="1092">
        <f>'Summary Board'!L10</f>
        <v>0</v>
      </c>
      <c r="L13" s="1092">
        <f>'Summary Board'!M10</f>
        <v>0</v>
      </c>
      <c r="M13" s="1092">
        <f>'Summary Board'!N10</f>
        <v>6754681.9729369618</v>
      </c>
      <c r="N13" s="1092"/>
    </row>
    <row r="14" spans="1:14" ht="11.25" customHeight="1">
      <c r="A14" s="1131" t="s">
        <v>49</v>
      </c>
      <c r="B14" s="1131"/>
      <c r="C14" s="1092">
        <f>'Summary Board'!D12</f>
        <v>0</v>
      </c>
      <c r="D14" s="1092">
        <f>'Summary Board'!E12</f>
        <v>5990011.3075125013</v>
      </c>
      <c r="E14" s="1092">
        <f>'Summary Board'!F12</f>
        <v>5869711.6467378754</v>
      </c>
      <c r="F14" s="1092">
        <f>'Summary Board'!G12</f>
        <v>6054802.9961400125</v>
      </c>
      <c r="G14" s="1092">
        <f>'Summary Board'!H12</f>
        <v>6245447.0860242117</v>
      </c>
      <c r="H14" s="1092">
        <f>'Summary Board'!I12</f>
        <v>6901339.8816531245</v>
      </c>
      <c r="I14" s="1092">
        <f>'Summary Board'!J12</f>
        <v>7117380.078102719</v>
      </c>
      <c r="J14" s="1092">
        <f>'Summary Board'!K12</f>
        <v>7339901.4804457994</v>
      </c>
      <c r="K14" s="1092">
        <f>'Summary Board'!L12</f>
        <v>8679914.3753503188</v>
      </c>
      <c r="L14" s="1092">
        <f>'Summary Board'!M12</f>
        <v>8949311.8066108301</v>
      </c>
      <c r="M14" s="1092">
        <f>'Summary Board'!N12</f>
        <v>9226791.1608091556</v>
      </c>
      <c r="N14" s="1092"/>
    </row>
    <row r="15" spans="1:14" ht="11.25" customHeight="1">
      <c r="A15" s="1131" t="s">
        <v>615</v>
      </c>
      <c r="B15" s="1131"/>
      <c r="C15" s="1092">
        <v>0</v>
      </c>
      <c r="D15" s="1092">
        <v>0</v>
      </c>
      <c r="E15" s="1092">
        <v>0</v>
      </c>
      <c r="F15" s="1092">
        <v>0</v>
      </c>
      <c r="G15" s="1092">
        <v>0</v>
      </c>
      <c r="H15" s="1092">
        <v>0</v>
      </c>
      <c r="I15" s="1092">
        <v>0</v>
      </c>
      <c r="J15" s="1092">
        <v>0</v>
      </c>
      <c r="K15" s="1092">
        <v>0</v>
      </c>
      <c r="L15" s="1092">
        <v>0</v>
      </c>
      <c r="M15" s="1092">
        <v>0</v>
      </c>
      <c r="N15" s="1092"/>
    </row>
    <row r="16" spans="1:14" ht="11.25" customHeight="1">
      <c r="A16" s="1131" t="s">
        <v>616</v>
      </c>
      <c r="B16" s="1131"/>
      <c r="C16" s="1092">
        <v>0</v>
      </c>
      <c r="D16" s="1092">
        <v>0</v>
      </c>
      <c r="E16" s="1092">
        <v>0</v>
      </c>
      <c r="F16" s="1092">
        <v>0</v>
      </c>
      <c r="G16" s="1092">
        <v>0</v>
      </c>
      <c r="H16" s="1092">
        <v>0</v>
      </c>
      <c r="I16" s="1092">
        <v>0</v>
      </c>
      <c r="J16" s="1092">
        <v>0</v>
      </c>
      <c r="K16" s="1092">
        <v>0</v>
      </c>
      <c r="L16" s="1092">
        <v>0</v>
      </c>
      <c r="M16" s="1092">
        <v>0</v>
      </c>
      <c r="N16" s="1092"/>
    </row>
    <row r="17" spans="1:14" ht="11.25" customHeight="1">
      <c r="A17" s="1046"/>
      <c r="B17" s="1046" t="s">
        <v>617</v>
      </c>
      <c r="C17" s="1092">
        <v>0</v>
      </c>
      <c r="D17" s="1092">
        <v>0</v>
      </c>
      <c r="E17" s="1092">
        <v>0</v>
      </c>
      <c r="F17" s="1092">
        <v>0</v>
      </c>
      <c r="G17" s="1092">
        <v>0</v>
      </c>
      <c r="H17" s="1092">
        <v>0</v>
      </c>
      <c r="I17" s="1092">
        <v>0</v>
      </c>
      <c r="J17" s="1092">
        <v>0</v>
      </c>
      <c r="K17" s="1092">
        <v>0</v>
      </c>
      <c r="L17" s="1092">
        <v>0</v>
      </c>
      <c r="M17" s="1092">
        <v>0</v>
      </c>
      <c r="N17" s="1092"/>
    </row>
    <row r="18" spans="1:14" ht="11.25" customHeight="1">
      <c r="A18" s="1131" t="s">
        <v>618</v>
      </c>
      <c r="B18" s="1131"/>
      <c r="C18" s="1092">
        <v>0</v>
      </c>
      <c r="D18" s="1092">
        <v>0</v>
      </c>
      <c r="E18" s="1092">
        <v>0</v>
      </c>
      <c r="F18" s="1092">
        <v>0</v>
      </c>
      <c r="G18" s="1092">
        <v>0</v>
      </c>
      <c r="H18" s="1092">
        <v>0</v>
      </c>
      <c r="I18" s="1092">
        <v>0</v>
      </c>
      <c r="J18" s="1092">
        <v>0</v>
      </c>
      <c r="K18" s="1092">
        <v>0</v>
      </c>
      <c r="L18" s="1092">
        <v>0</v>
      </c>
      <c r="M18" s="1092">
        <v>0</v>
      </c>
      <c r="N18" s="1092"/>
    </row>
    <row r="19" spans="1:14" ht="11.25" customHeight="1">
      <c r="A19" s="1046"/>
      <c r="B19" s="1046" t="s">
        <v>619</v>
      </c>
      <c r="C19" s="1092">
        <v>0</v>
      </c>
      <c r="D19" s="1092">
        <v>0</v>
      </c>
      <c r="E19" s="1092">
        <v>0</v>
      </c>
      <c r="F19" s="1092">
        <v>0</v>
      </c>
      <c r="G19" s="1092">
        <v>0</v>
      </c>
      <c r="H19" s="1092">
        <v>0</v>
      </c>
      <c r="I19" s="1092">
        <v>0</v>
      </c>
      <c r="J19" s="1092">
        <v>0</v>
      </c>
      <c r="K19" s="1092">
        <v>0</v>
      </c>
      <c r="L19" s="1092">
        <v>0</v>
      </c>
      <c r="M19" s="1092">
        <v>0</v>
      </c>
      <c r="N19" s="1092"/>
    </row>
    <row r="20" spans="1:14" ht="11.25" customHeight="1">
      <c r="A20" s="1131" t="s">
        <v>653</v>
      </c>
      <c r="B20" s="1131"/>
      <c r="C20" s="1092">
        <f>'Summary Board'!D11</f>
        <v>0</v>
      </c>
      <c r="D20" s="1092">
        <f>'Summary Board'!E11</f>
        <v>0</v>
      </c>
      <c r="E20" s="1092">
        <f>'Summary Board'!F11</f>
        <v>0</v>
      </c>
      <c r="F20" s="1092">
        <f>'Summary Board'!G11</f>
        <v>0</v>
      </c>
      <c r="G20" s="1092">
        <f>'Summary Board'!H11</f>
        <v>0</v>
      </c>
      <c r="H20" s="1092">
        <f>'Summary Board'!I11</f>
        <v>0</v>
      </c>
      <c r="I20" s="1092">
        <f>'Summary Board'!J11</f>
        <v>736308.73784046317</v>
      </c>
      <c r="J20" s="1092">
        <f>'Summary Board'!K11</f>
        <v>758397.999975677</v>
      </c>
      <c r="K20" s="1092">
        <f>'Summary Board'!L11</f>
        <v>781149.93997494713</v>
      </c>
      <c r="L20" s="1092">
        <f>'Summary Board'!M11</f>
        <v>804584.4381741957</v>
      </c>
      <c r="M20" s="1092">
        <f>'Summary Board'!N11</f>
        <v>828721.97131942154</v>
      </c>
      <c r="N20" s="1092"/>
    </row>
    <row r="21" spans="1:14" ht="11.25" customHeight="1">
      <c r="A21" s="1173" t="s">
        <v>1</v>
      </c>
      <c r="B21" s="1173"/>
      <c r="C21" s="1093">
        <f>SUM(C5:C20)</f>
        <v>0</v>
      </c>
      <c r="D21" s="1093">
        <f t="shared" ref="D21:M21" si="1">SUM(D5:D20)</f>
        <v>5152606.5064125014</v>
      </c>
      <c r="E21" s="1093">
        <f t="shared" si="1"/>
        <v>12280672.165920977</v>
      </c>
      <c r="F21" s="1093">
        <f t="shared" si="1"/>
        <v>14976859.678130807</v>
      </c>
      <c r="G21" s="1093">
        <f t="shared" si="1"/>
        <v>16774583.477990754</v>
      </c>
      <c r="H21" s="1093">
        <f t="shared" si="1"/>
        <v>43436965.073784627</v>
      </c>
      <c r="I21" s="1093">
        <f t="shared" si="1"/>
        <v>48163800.873908632</v>
      </c>
      <c r="J21" s="1093">
        <f t="shared" si="1"/>
        <v>54657298.419120036</v>
      </c>
      <c r="K21" s="1093">
        <f t="shared" si="1"/>
        <v>36835633.968137495</v>
      </c>
      <c r="L21" s="1093">
        <f t="shared" si="1"/>
        <v>43741396.06299226</v>
      </c>
      <c r="M21" s="1093">
        <f t="shared" si="1"/>
        <v>56056657.40647164</v>
      </c>
      <c r="N21" s="1093"/>
    </row>
    <row r="22" spans="1:14" ht="11.25" customHeight="1">
      <c r="A22" s="1173" t="s">
        <v>621</v>
      </c>
      <c r="B22" s="1173"/>
      <c r="C22" s="1095">
        <v>0</v>
      </c>
      <c r="D22" s="1095">
        <v>0</v>
      </c>
      <c r="E22" s="1095">
        <v>0</v>
      </c>
      <c r="F22" s="1095">
        <v>0</v>
      </c>
      <c r="G22" s="1095">
        <v>0</v>
      </c>
      <c r="H22" s="1095">
        <v>0</v>
      </c>
      <c r="I22" s="1095">
        <v>0</v>
      </c>
      <c r="J22" s="1095">
        <v>0</v>
      </c>
      <c r="K22" s="1095">
        <v>0</v>
      </c>
      <c r="L22" s="1095">
        <v>0</v>
      </c>
      <c r="M22" s="1095">
        <v>0</v>
      </c>
      <c r="N22" s="1052"/>
    </row>
    <row r="23" spans="1:14" ht="11.25" customHeight="1">
      <c r="A23" s="1053"/>
      <c r="B23" s="1053" t="s">
        <v>622</v>
      </c>
      <c r="C23" s="1096">
        <f>SUM(C21:C22)</f>
        <v>0</v>
      </c>
      <c r="D23" s="1096">
        <f t="shared" ref="D23:M23" si="2">SUM(D21:D22)</f>
        <v>5152606.5064125014</v>
      </c>
      <c r="E23" s="1096">
        <f t="shared" si="2"/>
        <v>12280672.165920977</v>
      </c>
      <c r="F23" s="1096">
        <f t="shared" si="2"/>
        <v>14976859.678130807</v>
      </c>
      <c r="G23" s="1096">
        <f t="shared" si="2"/>
        <v>16774583.477990754</v>
      </c>
      <c r="H23" s="1096">
        <f t="shared" si="2"/>
        <v>43436965.073784627</v>
      </c>
      <c r="I23" s="1096">
        <f t="shared" si="2"/>
        <v>48163800.873908632</v>
      </c>
      <c r="J23" s="1096">
        <f t="shared" si="2"/>
        <v>54657298.419120036</v>
      </c>
      <c r="K23" s="1096">
        <f t="shared" si="2"/>
        <v>36835633.968137495</v>
      </c>
      <c r="L23" s="1096">
        <f t="shared" si="2"/>
        <v>43741396.06299226</v>
      </c>
      <c r="M23" s="1096">
        <f t="shared" si="2"/>
        <v>56056657.40647164</v>
      </c>
    </row>
    <row r="24" spans="1:14" s="1099" customFormat="1" ht="11.25" customHeight="1">
      <c r="A24" s="1055"/>
      <c r="B24" s="1056"/>
      <c r="C24" s="1057"/>
      <c r="D24" s="1058"/>
      <c r="E24" s="1059"/>
      <c r="F24" s="1059"/>
      <c r="G24" s="1059"/>
      <c r="H24" s="1059"/>
      <c r="I24" s="1059"/>
      <c r="J24" s="1059"/>
      <c r="K24" s="1059"/>
      <c r="L24" s="1059"/>
      <c r="M24" s="1059"/>
      <c r="N24" s="1059"/>
    </row>
    <row r="25" spans="1:14" ht="11.25" customHeight="1">
      <c r="A25" s="1042" t="s">
        <v>2</v>
      </c>
      <c r="B25" s="1042"/>
      <c r="C25" s="1043"/>
      <c r="D25" s="1044"/>
      <c r="E25" s="1045"/>
      <c r="F25" s="1045"/>
      <c r="G25" s="1045"/>
      <c r="H25" s="1045"/>
      <c r="I25" s="1045"/>
      <c r="J25" s="1045"/>
      <c r="K25" s="1045"/>
      <c r="L25" s="1174"/>
      <c r="M25" s="1174"/>
      <c r="N25" s="1045"/>
    </row>
    <row r="26" spans="1:14" ht="11.25" customHeight="1">
      <c r="A26" s="1156" t="s">
        <v>607</v>
      </c>
      <c r="B26" s="1046" t="s">
        <v>608</v>
      </c>
      <c r="C26" s="1091">
        <f>'Summary Board'!D15</f>
        <v>0</v>
      </c>
      <c r="D26" s="1091">
        <f>'Summary Board'!E15</f>
        <v>45420552.719999999</v>
      </c>
      <c r="E26" s="1091">
        <f>'Summary Board'!F15</f>
        <v>0</v>
      </c>
      <c r="F26" s="1091">
        <f>'Summary Board'!G15</f>
        <v>0</v>
      </c>
      <c r="G26" s="1091">
        <f>'Summary Board'!H15</f>
        <v>27077891.632116359</v>
      </c>
      <c r="H26" s="1091">
        <f>'Summary Board'!I15</f>
        <v>44739002.429185651</v>
      </c>
      <c r="I26" s="1091">
        <f>'Summary Board'!J15</f>
        <v>0</v>
      </c>
      <c r="J26" s="1091">
        <f>'Summary Board'!K15</f>
        <v>39449309.152183406</v>
      </c>
      <c r="K26" s="1091">
        <f>'Summary Board'!L15</f>
        <v>3180.8596743643038</v>
      </c>
      <c r="L26" s="1091">
        <f>'Summary Board'!M15</f>
        <v>0</v>
      </c>
      <c r="M26" s="1091">
        <f>'Summary Board'!N15</f>
        <v>0</v>
      </c>
      <c r="N26" s="1049"/>
    </row>
    <row r="27" spans="1:14" ht="11.25" customHeight="1">
      <c r="A27" s="1157"/>
      <c r="B27" s="1046" t="s">
        <v>609</v>
      </c>
      <c r="C27" s="1092">
        <f>'Summary Board'!D16</f>
        <v>0</v>
      </c>
      <c r="D27" s="1092">
        <f>'Summary Board'!E16</f>
        <v>0</v>
      </c>
      <c r="E27" s="1092">
        <f>'Summary Board'!F16</f>
        <v>0</v>
      </c>
      <c r="F27" s="1092">
        <f>'Summary Board'!G16</f>
        <v>0</v>
      </c>
      <c r="G27" s="1092">
        <f>'Summary Board'!H16</f>
        <v>59623718.684784859</v>
      </c>
      <c r="H27" s="1092">
        <f>'Summary Board'!I16</f>
        <v>0</v>
      </c>
      <c r="I27" s="1092">
        <f>'Summary Board'!J16</f>
        <v>0</v>
      </c>
      <c r="J27" s="1092">
        <f>'Summary Board'!K16</f>
        <v>0</v>
      </c>
      <c r="K27" s="1092">
        <f>'Summary Board'!L16</f>
        <v>0</v>
      </c>
      <c r="L27" s="1092">
        <f>'Summary Board'!M16</f>
        <v>0</v>
      </c>
      <c r="M27" s="1092">
        <f>'Summary Board'!N16</f>
        <v>0</v>
      </c>
      <c r="N27" s="1049"/>
    </row>
    <row r="28" spans="1:14" ht="11.25" customHeight="1">
      <c r="A28" s="1050" t="s">
        <v>610</v>
      </c>
      <c r="B28" s="1046" t="s">
        <v>608</v>
      </c>
      <c r="C28" s="1092">
        <v>0</v>
      </c>
      <c r="D28" s="1092">
        <v>0</v>
      </c>
      <c r="E28" s="1092">
        <v>0</v>
      </c>
      <c r="F28" s="1092">
        <v>0</v>
      </c>
      <c r="G28" s="1092">
        <v>0</v>
      </c>
      <c r="H28" s="1092">
        <v>0</v>
      </c>
      <c r="I28" s="1092">
        <v>0</v>
      </c>
      <c r="J28" s="1092">
        <v>0</v>
      </c>
      <c r="K28" s="1092">
        <v>0</v>
      </c>
      <c r="L28" s="1092">
        <v>0</v>
      </c>
      <c r="M28" s="1092">
        <v>0</v>
      </c>
      <c r="N28" s="1049"/>
    </row>
    <row r="29" spans="1:14" ht="11.25" customHeight="1">
      <c r="A29" s="1156" t="s">
        <v>611</v>
      </c>
      <c r="B29" s="1046" t="s">
        <v>608</v>
      </c>
      <c r="C29" s="1092">
        <f>'Summary Board'!D17</f>
        <v>0</v>
      </c>
      <c r="D29" s="1092">
        <f>'Summary Board'!E17</f>
        <v>0</v>
      </c>
      <c r="E29" s="1092">
        <f>'Summary Board'!F17</f>
        <v>0</v>
      </c>
      <c r="F29" s="1092">
        <f>'Summary Board'!G17</f>
        <v>0</v>
      </c>
      <c r="G29" s="1092">
        <f>'Summary Board'!H17</f>
        <v>0</v>
      </c>
      <c r="H29" s="1092">
        <f>'Summary Board'!I17</f>
        <v>9931938.0408541095</v>
      </c>
      <c r="I29" s="1092">
        <f>'Summary Board'!J17</f>
        <v>0</v>
      </c>
      <c r="J29" s="1092">
        <f>'Summary Board'!K17</f>
        <v>31582783.538808752</v>
      </c>
      <c r="K29" s="1092">
        <f>'Summary Board'!L17</f>
        <v>0</v>
      </c>
      <c r="L29" s="1092">
        <f>'Summary Board'!M17</f>
        <v>0</v>
      </c>
      <c r="M29" s="1092">
        <f>'Summary Board'!N17</f>
        <v>0</v>
      </c>
      <c r="N29" s="1049"/>
    </row>
    <row r="30" spans="1:14" ht="11.25" customHeight="1">
      <c r="A30" s="1157"/>
      <c r="B30" s="1046" t="s">
        <v>609</v>
      </c>
      <c r="C30" s="1092">
        <v>0</v>
      </c>
      <c r="D30" s="1092">
        <v>0</v>
      </c>
      <c r="E30" s="1092">
        <v>0</v>
      </c>
      <c r="F30" s="1092">
        <v>0</v>
      </c>
      <c r="G30" s="1092">
        <v>0</v>
      </c>
      <c r="H30" s="1092">
        <v>0</v>
      </c>
      <c r="I30" s="1092">
        <v>0</v>
      </c>
      <c r="J30" s="1092">
        <v>0</v>
      </c>
      <c r="K30" s="1092">
        <v>0</v>
      </c>
      <c r="L30" s="1092">
        <v>0</v>
      </c>
      <c r="M30" s="1092">
        <v>0</v>
      </c>
      <c r="N30" s="1049"/>
    </row>
    <row r="31" spans="1:14" ht="11.25" customHeight="1">
      <c r="A31" s="1131" t="s">
        <v>612</v>
      </c>
      <c r="B31" s="1131"/>
      <c r="C31" s="1092">
        <f>'Summary Board'!D18</f>
        <v>0</v>
      </c>
      <c r="D31" s="1092">
        <f>'Summary Board'!E18</f>
        <v>3609826.9920000001</v>
      </c>
      <c r="E31" s="1092">
        <f>'Summary Board'!F18</f>
        <v>25891643.877840005</v>
      </c>
      <c r="F31" s="1092">
        <f>'Summary Board'!G18</f>
        <v>0</v>
      </c>
      <c r="G31" s="1092">
        <f>'Summary Board'!H18</f>
        <v>0</v>
      </c>
      <c r="H31" s="1092">
        <f>'Summary Board'!I18</f>
        <v>0</v>
      </c>
      <c r="I31" s="1092">
        <f>'Summary Board'!J18</f>
        <v>0</v>
      </c>
      <c r="J31" s="1092">
        <f>'Summary Board'!K18</f>
        <v>0</v>
      </c>
      <c r="K31" s="1092">
        <f>'Summary Board'!L18</f>
        <v>0</v>
      </c>
      <c r="L31" s="1092">
        <f>'Summary Board'!M18</f>
        <v>0</v>
      </c>
      <c r="M31" s="1092">
        <f>'Summary Board'!N18</f>
        <v>0</v>
      </c>
      <c r="N31" s="1049"/>
    </row>
    <row r="32" spans="1:14" ht="11.25" customHeight="1">
      <c r="A32" s="1131" t="s">
        <v>623</v>
      </c>
      <c r="B32" s="1131"/>
      <c r="C32" s="1092">
        <f>'Summary Board'!D19</f>
        <v>0</v>
      </c>
      <c r="D32" s="1092">
        <f>'Summary Board'!E19</f>
        <v>6805272.2119999994</v>
      </c>
      <c r="E32" s="1092">
        <f>'Summary Board'!F19</f>
        <v>0</v>
      </c>
      <c r="F32" s="1092">
        <f>'Summary Board'!G19</f>
        <v>0</v>
      </c>
      <c r="G32" s="1092">
        <f>'Summary Board'!H19</f>
        <v>4019417.0622720001</v>
      </c>
      <c r="H32" s="1092">
        <f>'Summary Board'!I19</f>
        <v>4593298.9226729451</v>
      </c>
      <c r="I32" s="1092">
        <f>'Summary Board'!J19</f>
        <v>7160088.5534795932</v>
      </c>
      <c r="J32" s="1092">
        <f>'Summary Board'!K19</f>
        <v>13395592.510866312</v>
      </c>
      <c r="K32" s="1092">
        <f>'Summary Board'!L19</f>
        <v>15377780.487392122</v>
      </c>
      <c r="L32" s="1092">
        <f>'Summary Board'!M19</f>
        <v>7378486.091643095</v>
      </c>
      <c r="M32" s="1092">
        <f>'Summary Board'!N19</f>
        <v>0</v>
      </c>
      <c r="N32" s="1049"/>
    </row>
    <row r="33" spans="1:14" ht="11.25" customHeight="1">
      <c r="A33" s="1131" t="s">
        <v>48</v>
      </c>
      <c r="B33" s="1131"/>
      <c r="C33" s="1092">
        <f>'Summary Board'!D20</f>
        <v>0</v>
      </c>
      <c r="D33" s="1092">
        <f>'Summary Board'!E20</f>
        <v>0</v>
      </c>
      <c r="E33" s="1092">
        <f>'Summary Board'!F20</f>
        <v>0</v>
      </c>
      <c r="F33" s="1092">
        <f>'Summary Board'!G20</f>
        <v>0</v>
      </c>
      <c r="G33" s="1092">
        <f>'Summary Board'!H20</f>
        <v>0</v>
      </c>
      <c r="H33" s="1092">
        <f>'Summary Board'!I20</f>
        <v>0</v>
      </c>
      <c r="I33" s="1092">
        <f>'Summary Board'!J20</f>
        <v>0</v>
      </c>
      <c r="J33" s="1092">
        <f>'Summary Board'!K20</f>
        <v>0</v>
      </c>
      <c r="K33" s="1092">
        <f>'Summary Board'!L20</f>
        <v>59181886.95195917</v>
      </c>
      <c r="L33" s="1092">
        <f>'Summary Board'!M20</f>
        <v>30478671.780258972</v>
      </c>
      <c r="M33" s="1092">
        <f>'Summary Board'!N20</f>
        <v>0</v>
      </c>
      <c r="N33" s="1049"/>
    </row>
    <row r="34" spans="1:14" ht="11.25" customHeight="1">
      <c r="A34" s="1131" t="s">
        <v>49</v>
      </c>
      <c r="B34" s="1131"/>
      <c r="C34" s="1092">
        <f>'Summary Board'!D22</f>
        <v>0</v>
      </c>
      <c r="D34" s="1092">
        <f>'Summary Board'!E22</f>
        <v>22484624.833440002</v>
      </c>
      <c r="E34" s="1092">
        <f>'Summary Board'!F22</f>
        <v>0</v>
      </c>
      <c r="F34" s="1092">
        <f>'Summary Board'!G22</f>
        <v>0</v>
      </c>
      <c r="G34" s="1092">
        <f>'Summary Board'!H22</f>
        <v>0</v>
      </c>
      <c r="H34" s="1092">
        <f>'Summary Board'!I22</f>
        <v>3105719.9514987711</v>
      </c>
      <c r="I34" s="1092">
        <f>'Summary Board'!J22</f>
        <v>0</v>
      </c>
      <c r="J34" s="1092">
        <f>'Summary Board'!K22</f>
        <v>0</v>
      </c>
      <c r="K34" s="1092">
        <f>'Summary Board'!L22</f>
        <v>0</v>
      </c>
      <c r="L34" s="1092">
        <f>'Summary Board'!M22</f>
        <v>0</v>
      </c>
      <c r="M34" s="1092">
        <f>'Summary Board'!N22</f>
        <v>0</v>
      </c>
      <c r="N34" s="1049"/>
    </row>
    <row r="35" spans="1:14" ht="11.25" customHeight="1">
      <c r="A35" s="1131" t="s">
        <v>615</v>
      </c>
      <c r="B35" s="1131"/>
      <c r="C35" s="1092">
        <v>0</v>
      </c>
      <c r="D35" s="1092">
        <v>0</v>
      </c>
      <c r="E35" s="1092">
        <v>0</v>
      </c>
      <c r="F35" s="1092">
        <v>0</v>
      </c>
      <c r="G35" s="1092">
        <v>0</v>
      </c>
      <c r="H35" s="1092">
        <v>0</v>
      </c>
      <c r="I35" s="1092">
        <v>0</v>
      </c>
      <c r="J35" s="1092">
        <v>0</v>
      </c>
      <c r="K35" s="1092">
        <v>0</v>
      </c>
      <c r="L35" s="1092">
        <v>0</v>
      </c>
      <c r="M35" s="1092">
        <v>0</v>
      </c>
      <c r="N35" s="1049"/>
    </row>
    <row r="36" spans="1:14" ht="11.25" customHeight="1">
      <c r="A36" s="1131" t="s">
        <v>616</v>
      </c>
      <c r="B36" s="1131"/>
      <c r="C36" s="1092">
        <v>0</v>
      </c>
      <c r="D36" s="1092">
        <v>0</v>
      </c>
      <c r="E36" s="1092">
        <v>0</v>
      </c>
      <c r="F36" s="1092">
        <v>0</v>
      </c>
      <c r="G36" s="1092">
        <v>0</v>
      </c>
      <c r="H36" s="1092">
        <v>0</v>
      </c>
      <c r="I36" s="1092">
        <v>0</v>
      </c>
      <c r="J36" s="1092">
        <v>0</v>
      </c>
      <c r="K36" s="1092">
        <v>0</v>
      </c>
      <c r="L36" s="1092">
        <v>0</v>
      </c>
      <c r="M36" s="1092">
        <v>0</v>
      </c>
      <c r="N36" s="1049"/>
    </row>
    <row r="37" spans="1:14" ht="11.25" customHeight="1">
      <c r="A37" s="1131" t="s">
        <v>653</v>
      </c>
      <c r="B37" s="1131"/>
      <c r="C37" s="1092">
        <f>'Summary Board'!D21</f>
        <v>0</v>
      </c>
      <c r="D37" s="1092">
        <f>'Summary Board'!E21</f>
        <v>0</v>
      </c>
      <c r="E37" s="1092">
        <f>'Summary Board'!F21</f>
        <v>0</v>
      </c>
      <c r="F37" s="1092">
        <f>'Summary Board'!G21</f>
        <v>0</v>
      </c>
      <c r="G37" s="1092">
        <f>'Summary Board'!H21</f>
        <v>0</v>
      </c>
      <c r="H37" s="1092">
        <f>'Summary Board'!I21</f>
        <v>4521923.6888536476</v>
      </c>
      <c r="I37" s="1092">
        <f>'Summary Board'!J21</f>
        <v>0</v>
      </c>
      <c r="J37" s="1092">
        <f>'Summary Board'!K21</f>
        <v>0</v>
      </c>
      <c r="K37" s="1092">
        <f>'Summary Board'!L21</f>
        <v>0</v>
      </c>
      <c r="L37" s="1092">
        <f>'Summary Board'!M21</f>
        <v>0</v>
      </c>
      <c r="M37" s="1092">
        <f>'Summary Board'!N21</f>
        <v>0</v>
      </c>
      <c r="N37" s="1049"/>
    </row>
    <row r="38" spans="1:14" ht="11.25" customHeight="1">
      <c r="A38" s="1046"/>
      <c r="B38" s="1046" t="s">
        <v>216</v>
      </c>
      <c r="C38" s="1092">
        <f>'Summary Board'!D23</f>
        <v>57724371</v>
      </c>
      <c r="D38" s="1092">
        <f>'Summary Board'!E23</f>
        <v>0</v>
      </c>
      <c r="E38" s="1092">
        <f>'Summary Board'!F23</f>
        <v>0</v>
      </c>
      <c r="F38" s="1092">
        <f>'Summary Board'!G23</f>
        <v>0</v>
      </c>
      <c r="G38" s="1092">
        <f>'Summary Board'!H23</f>
        <v>0</v>
      </c>
      <c r="H38" s="1092">
        <f>'Summary Board'!I23</f>
        <v>0</v>
      </c>
      <c r="I38" s="1092">
        <f>'Summary Board'!J23</f>
        <v>0</v>
      </c>
      <c r="J38" s="1092">
        <f>'Summary Board'!K23</f>
        <v>0</v>
      </c>
      <c r="K38" s="1092">
        <f>'Summary Board'!L23</f>
        <v>0</v>
      </c>
      <c r="L38" s="1092">
        <f>'Summary Board'!M23</f>
        <v>0</v>
      </c>
      <c r="M38" s="1092">
        <f>'Summary Board'!N23</f>
        <v>0</v>
      </c>
      <c r="N38" s="1049"/>
    </row>
    <row r="39" spans="1:14" ht="11.25" customHeight="1">
      <c r="A39" s="1131" t="s">
        <v>624</v>
      </c>
      <c r="B39" s="1131"/>
      <c r="C39" s="1092">
        <f>'Summary Board'!D24</f>
        <v>7500000</v>
      </c>
      <c r="D39" s="1092">
        <f>'Summary Board'!E24</f>
        <v>13845874.289999999</v>
      </c>
      <c r="E39" s="1092">
        <f>'Summary Board'!F24</f>
        <v>0</v>
      </c>
      <c r="F39" s="1092">
        <f>'Summary Board'!G24</f>
        <v>0</v>
      </c>
      <c r="G39" s="1092">
        <f>'Summary Board'!H24</f>
        <v>28923890.072542928</v>
      </c>
      <c r="H39" s="1092">
        <f>'Summary Board'!I24</f>
        <v>230148.36342263038</v>
      </c>
      <c r="I39" s="1092">
        <f>'Summary Board'!J24</f>
        <v>0</v>
      </c>
      <c r="J39" s="1092">
        <f>'Summary Board'!K24</f>
        <v>1161002.1588349426</v>
      </c>
      <c r="K39" s="1092">
        <f>'Summary Board'!L24</f>
        <v>899613.24130847352</v>
      </c>
      <c r="L39" s="1092">
        <f>'Summary Board'!M24</f>
        <v>0</v>
      </c>
      <c r="M39" s="1092">
        <f>'Summary Board'!N24</f>
        <v>0</v>
      </c>
      <c r="N39" s="1049"/>
    </row>
    <row r="40" spans="1:14" ht="11.25" customHeight="1">
      <c r="A40" s="1090"/>
      <c r="B40" s="1090" t="s">
        <v>213</v>
      </c>
      <c r="C40" s="1098">
        <f>'Summary Board'!D25</f>
        <v>2958157.6</v>
      </c>
      <c r="D40" s="1098">
        <f>'Summary Board'!E25</f>
        <v>0</v>
      </c>
      <c r="E40" s="1098">
        <f>'Summary Board'!F25</f>
        <v>0</v>
      </c>
      <c r="F40" s="1098">
        <f>'Summary Board'!G25</f>
        <v>0</v>
      </c>
      <c r="G40" s="1098">
        <f>'Summary Board'!H25</f>
        <v>0</v>
      </c>
      <c r="H40" s="1098">
        <f>'Summary Board'!I25</f>
        <v>0</v>
      </c>
      <c r="I40" s="1098">
        <f>'Summary Board'!J25</f>
        <v>0</v>
      </c>
      <c r="J40" s="1098">
        <f>'Summary Board'!K25</f>
        <v>0</v>
      </c>
      <c r="K40" s="1098">
        <f>'Summary Board'!L25</f>
        <v>0</v>
      </c>
      <c r="L40" s="1098">
        <f>'Summary Board'!M25</f>
        <v>0</v>
      </c>
      <c r="M40" s="1098">
        <f>'Summary Board'!N25</f>
        <v>0</v>
      </c>
    </row>
    <row r="41" spans="1:14" ht="11.25" customHeight="1">
      <c r="A41" s="1172" t="s">
        <v>3</v>
      </c>
      <c r="B41" s="1172"/>
      <c r="C41" s="1093">
        <f>SUM(C26:C40)</f>
        <v>68182528.599999994</v>
      </c>
      <c r="D41" s="1093">
        <f t="shared" ref="D41:M41" si="3">SUM(D26:D40)</f>
        <v>92166151.047439992</v>
      </c>
      <c r="E41" s="1093">
        <f t="shared" si="3"/>
        <v>25891643.877840005</v>
      </c>
      <c r="F41" s="1093">
        <f t="shared" si="3"/>
        <v>0</v>
      </c>
      <c r="G41" s="1093">
        <f t="shared" si="3"/>
        <v>119644917.45171615</v>
      </c>
      <c r="H41" s="1093">
        <f t="shared" si="3"/>
        <v>67122031.396487758</v>
      </c>
      <c r="I41" s="1093">
        <f t="shared" si="3"/>
        <v>7160088.5534795932</v>
      </c>
      <c r="J41" s="1093">
        <f t="shared" si="3"/>
        <v>85588687.360693425</v>
      </c>
      <c r="K41" s="1093">
        <f t="shared" si="3"/>
        <v>75462461.540334135</v>
      </c>
      <c r="L41" s="1093">
        <f t="shared" si="3"/>
        <v>37857157.871902063</v>
      </c>
      <c r="M41" s="1093">
        <f t="shared" si="3"/>
        <v>0</v>
      </c>
      <c r="N41" s="1052"/>
    </row>
    <row r="42" spans="1:14" s="1063" customFormat="1" ht="11.25" customHeight="1">
      <c r="A42" s="1060"/>
      <c r="B42" s="1060"/>
      <c r="C42" s="1061"/>
      <c r="D42" s="1062"/>
      <c r="L42" s="1064"/>
      <c r="M42" s="1064"/>
    </row>
    <row r="43" spans="1:14" ht="11.25" customHeight="1">
      <c r="A43" s="1065" t="s">
        <v>4</v>
      </c>
      <c r="B43" s="1065"/>
      <c r="C43" s="1066"/>
      <c r="D43" s="1067"/>
      <c r="E43" s="1037"/>
      <c r="F43" s="1037"/>
      <c r="G43" s="1037"/>
      <c r="H43" s="1037"/>
      <c r="I43" s="1037"/>
      <c r="J43" s="1037"/>
      <c r="K43" s="1037"/>
      <c r="L43" s="1143"/>
      <c r="M43" s="1143"/>
      <c r="N43" s="1037"/>
    </row>
    <row r="44" spans="1:14" ht="11.25" customHeight="1">
      <c r="A44" s="1131" t="s">
        <v>5</v>
      </c>
      <c r="B44" s="1131"/>
      <c r="C44" s="1091">
        <f>C23</f>
        <v>0</v>
      </c>
      <c r="D44" s="1091">
        <f t="shared" ref="D44:M44" si="4">D23</f>
        <v>5152606.5064125014</v>
      </c>
      <c r="E44" s="1091">
        <f t="shared" si="4"/>
        <v>12280672.165920977</v>
      </c>
      <c r="F44" s="1091">
        <f t="shared" si="4"/>
        <v>14976859.678130807</v>
      </c>
      <c r="G44" s="1091">
        <f t="shared" si="4"/>
        <v>16774583.477990754</v>
      </c>
      <c r="H44" s="1091">
        <f t="shared" si="4"/>
        <v>43436965.073784627</v>
      </c>
      <c r="I44" s="1091">
        <f t="shared" si="4"/>
        <v>48163800.873908632</v>
      </c>
      <c r="J44" s="1091">
        <f t="shared" si="4"/>
        <v>54657298.419120036</v>
      </c>
      <c r="K44" s="1091">
        <f t="shared" si="4"/>
        <v>36835633.968137495</v>
      </c>
      <c r="L44" s="1091">
        <f t="shared" si="4"/>
        <v>43741396.06299226</v>
      </c>
      <c r="M44" s="1091">
        <f t="shared" si="4"/>
        <v>56056657.40647164</v>
      </c>
      <c r="N44" s="1049"/>
    </row>
    <row r="45" spans="1:14" ht="11.25" customHeight="1">
      <c r="A45" s="1046"/>
      <c r="B45" s="1046" t="s">
        <v>56</v>
      </c>
      <c r="C45" s="1047"/>
      <c r="D45" s="1048"/>
      <c r="E45" s="1049"/>
      <c r="F45" s="1049"/>
      <c r="G45" s="1049"/>
      <c r="H45" s="1049"/>
      <c r="I45" s="1049"/>
      <c r="J45" s="1049"/>
      <c r="K45" s="1049"/>
      <c r="L45" s="1049"/>
      <c r="M45" s="1102">
        <f>'Summary Board'!N29</f>
        <v>1042706927.5783665</v>
      </c>
      <c r="N45" s="1049"/>
    </row>
    <row r="46" spans="1:14" ht="11.25" customHeight="1">
      <c r="A46" s="1131" t="s">
        <v>28</v>
      </c>
      <c r="B46" s="1131"/>
      <c r="C46" s="1068"/>
      <c r="D46" s="1048"/>
      <c r="E46" s="1049"/>
      <c r="F46" s="1049"/>
      <c r="G46" s="1049"/>
      <c r="H46" s="1049"/>
      <c r="I46" s="1049"/>
      <c r="J46" s="1049"/>
      <c r="K46" s="1049"/>
      <c r="L46" s="1097"/>
      <c r="M46" s="1103">
        <f>'Summary Board'!N30</f>
        <v>-31281207.827350993</v>
      </c>
      <c r="N46" s="1049"/>
    </row>
    <row r="47" spans="1:14" ht="11.25" customHeight="1">
      <c r="A47" s="1131" t="s">
        <v>3</v>
      </c>
      <c r="B47" s="1131"/>
      <c r="C47" s="1091">
        <f>-C41</f>
        <v>-68182528.599999994</v>
      </c>
      <c r="D47" s="1091">
        <f t="shared" ref="D47:M47" si="5">-D41</f>
        <v>-92166151.047439992</v>
      </c>
      <c r="E47" s="1091">
        <f t="shared" si="5"/>
        <v>-25891643.877840005</v>
      </c>
      <c r="F47" s="1091">
        <f t="shared" si="5"/>
        <v>0</v>
      </c>
      <c r="G47" s="1091">
        <f t="shared" si="5"/>
        <v>-119644917.45171615</v>
      </c>
      <c r="H47" s="1091">
        <f t="shared" si="5"/>
        <v>-67122031.396487758</v>
      </c>
      <c r="I47" s="1091">
        <f t="shared" si="5"/>
        <v>-7160088.5534795932</v>
      </c>
      <c r="J47" s="1091">
        <f t="shared" si="5"/>
        <v>-85588687.360693425</v>
      </c>
      <c r="K47" s="1091">
        <f t="shared" si="5"/>
        <v>-75462461.540334135</v>
      </c>
      <c r="L47" s="1091">
        <f t="shared" si="5"/>
        <v>-37857157.871902063</v>
      </c>
      <c r="M47" s="1091">
        <f t="shared" si="5"/>
        <v>0</v>
      </c>
      <c r="N47" s="1049"/>
    </row>
    <row r="48" spans="1:14" ht="11.25" customHeight="1">
      <c r="A48" s="1069" t="s">
        <v>6</v>
      </c>
      <c r="B48" s="1070"/>
      <c r="C48" s="1093">
        <f>SUM(C44:C47)</f>
        <v>-68182528.599999994</v>
      </c>
      <c r="D48" s="1093">
        <f t="shared" ref="D48:M48" si="6">SUM(D44:D47)</f>
        <v>-87013544.541027486</v>
      </c>
      <c r="E48" s="1093">
        <f t="shared" si="6"/>
        <v>-13610971.711919028</v>
      </c>
      <c r="F48" s="1093">
        <f t="shared" si="6"/>
        <v>14976859.678130807</v>
      </c>
      <c r="G48" s="1093">
        <f t="shared" si="6"/>
        <v>-102870333.97372541</v>
      </c>
      <c r="H48" s="1093">
        <f t="shared" si="6"/>
        <v>-23685066.322703131</v>
      </c>
      <c r="I48" s="1093">
        <f t="shared" si="6"/>
        <v>41003712.320429042</v>
      </c>
      <c r="J48" s="1093">
        <f t="shared" si="6"/>
        <v>-30931388.941573389</v>
      </c>
      <c r="K48" s="1093">
        <f t="shared" si="6"/>
        <v>-38626827.57219664</v>
      </c>
      <c r="L48" s="1093">
        <f t="shared" si="6"/>
        <v>5884238.1910901964</v>
      </c>
      <c r="M48" s="1093">
        <f t="shared" si="6"/>
        <v>1067482377.1574873</v>
      </c>
      <c r="N48" s="1052"/>
    </row>
    <row r="49" spans="1:14" ht="11.25" customHeight="1">
      <c r="A49" s="1069" t="s">
        <v>625</v>
      </c>
      <c r="B49" s="1070"/>
      <c r="C49" s="1093">
        <f>Financing!B33</f>
        <v>-73932528.599999994</v>
      </c>
      <c r="D49" s="1093">
        <f>Financing!C33</f>
        <v>-87013544.541027486</v>
      </c>
      <c r="E49" s="1093">
        <f>Financing!D33</f>
        <v>-13610971.711919028</v>
      </c>
      <c r="F49" s="1093">
        <f>Financing!E33</f>
        <v>14976859.678130807</v>
      </c>
      <c r="G49" s="1093">
        <f>Financing!F33</f>
        <v>4004147.871386176</v>
      </c>
      <c r="H49" s="1093">
        <f>Financing!G33</f>
        <v>32587867.75307335</v>
      </c>
      <c r="I49" s="1093">
        <f>Financing!H33</f>
        <v>36885098.239988565</v>
      </c>
      <c r="J49" s="1093">
        <f>Financing!I33</f>
        <v>38243274.543558374</v>
      </c>
      <c r="K49" s="1093">
        <f>Financing!J33</f>
        <v>15893862.400155786</v>
      </c>
      <c r="L49" s="1093">
        <f>Financing!K33</f>
        <v>20528195.022696428</v>
      </c>
      <c r="M49" s="1093">
        <f>Financing!L33</f>
        <v>657382492.11226082</v>
      </c>
      <c r="N49" s="1052"/>
    </row>
    <row r="50" spans="1:14" ht="11.25" customHeight="1">
      <c r="A50" s="1069" t="s">
        <v>626</v>
      </c>
      <c r="B50" s="1070"/>
      <c r="C50" s="1104">
        <f>'Summary Board'!D33</f>
        <v>0</v>
      </c>
      <c r="D50" s="1104">
        <f>'Summary Board'!E33</f>
        <v>0</v>
      </c>
      <c r="E50" s="1104">
        <f>'Summary Board'!F33</f>
        <v>0</v>
      </c>
      <c r="F50" s="1104">
        <f>'Summary Board'!G33</f>
        <v>0</v>
      </c>
      <c r="G50" s="1104">
        <f>'Summary Board'!H33</f>
        <v>-6821775.4369220156</v>
      </c>
      <c r="H50" s="1104">
        <f>'Summary Board'!I33</f>
        <v>-10849097.320711279</v>
      </c>
      <c r="I50" s="1104">
        <f>'Summary Board'!J33</f>
        <v>-11278702.633920055</v>
      </c>
      <c r="J50" s="1104">
        <f>'Summary Board'!K33</f>
        <v>-16414023.87556166</v>
      </c>
      <c r="K50" s="1104">
        <f>'Summary Board'!L33</f>
        <v>-20941771.567981709</v>
      </c>
      <c r="L50" s="1104">
        <f>'Summary Board'!M33</f>
        <v>-23213201.040295832</v>
      </c>
      <c r="M50" s="1104">
        <f>'Summary Board'!N33</f>
        <v>-23213201.040295832</v>
      </c>
      <c r="N50" s="1052"/>
    </row>
    <row r="51" spans="1:14" ht="11.25" customHeight="1">
      <c r="A51" s="1071" t="s">
        <v>26</v>
      </c>
      <c r="B51" s="1071"/>
      <c r="C51" s="1105">
        <f>NPV(0.09, D48:M48)+C48</f>
        <v>205596228.15763208</v>
      </c>
      <c r="D51" s="1072"/>
      <c r="E51" s="1073"/>
      <c r="F51" s="1073"/>
      <c r="H51" s="1073"/>
      <c r="I51" s="1073"/>
      <c r="J51" s="1073"/>
      <c r="K51" s="1073"/>
      <c r="L51" s="1100"/>
      <c r="M51" s="1100"/>
      <c r="N51" s="1073"/>
    </row>
    <row r="52" spans="1:14" ht="11.25" customHeight="1">
      <c r="A52" s="1069" t="s">
        <v>627</v>
      </c>
      <c r="B52" s="1074"/>
      <c r="C52" s="1039"/>
      <c r="D52" s="1051"/>
      <c r="E52" s="1052"/>
      <c r="F52" s="1052"/>
      <c r="G52" s="1071"/>
      <c r="H52" s="1052"/>
      <c r="I52" s="1052"/>
      <c r="J52" s="1052"/>
      <c r="K52" s="1052"/>
      <c r="L52" s="1033"/>
      <c r="M52" s="1033"/>
      <c r="N52" s="1052"/>
    </row>
    <row r="53" spans="1:14" ht="11.25" customHeight="1">
      <c r="A53" s="1074" t="s">
        <v>59</v>
      </c>
      <c r="B53" s="1074"/>
      <c r="C53" s="1106">
        <f>IRR(C48:M48)</f>
        <v>0.17616839607844192</v>
      </c>
      <c r="D53" s="1051"/>
      <c r="E53" s="1052"/>
      <c r="F53" s="1075" t="s">
        <v>628</v>
      </c>
      <c r="G53" s="1073"/>
      <c r="H53" s="1076"/>
      <c r="I53" s="1107">
        <f>'Summary Board'!J37</f>
        <v>57724371</v>
      </c>
      <c r="J53" s="1052"/>
      <c r="K53" s="1052"/>
      <c r="L53" s="1101"/>
      <c r="M53" s="1101"/>
      <c r="N53" s="1052"/>
    </row>
    <row r="54" spans="1:14" ht="11.25" customHeight="1">
      <c r="A54" s="1074" t="s">
        <v>245</v>
      </c>
      <c r="B54" s="1074"/>
      <c r="C54" s="1106">
        <f>IRR(C49:M49)</f>
        <v>0.20445295487659809</v>
      </c>
      <c r="D54" s="1051"/>
      <c r="E54" s="1052"/>
      <c r="F54" s="1077" t="s">
        <v>629</v>
      </c>
      <c r="G54" s="1052"/>
      <c r="H54" s="1078"/>
      <c r="I54" s="1108">
        <f>'Summary Board'!J38</f>
        <v>1042706927.5783665</v>
      </c>
      <c r="J54" s="1052"/>
      <c r="K54" s="1052"/>
      <c r="L54" s="1101"/>
      <c r="M54" s="1101"/>
      <c r="N54" s="1052"/>
    </row>
    <row r="55" spans="1:14" ht="11.25" customHeight="1">
      <c r="M55" s="1079"/>
      <c r="N55" s="1080"/>
    </row>
    <row r="56" spans="1:14" s="1032" customFormat="1" ht="11.25" customHeight="1">
      <c r="A56" s="1165" t="s">
        <v>630</v>
      </c>
      <c r="B56" s="1165"/>
      <c r="C56" s="1164"/>
      <c r="D56" s="1166"/>
      <c r="E56" s="1166"/>
      <c r="F56" s="1166"/>
      <c r="G56" s="1166"/>
      <c r="H56" s="1166"/>
      <c r="I56" s="1166"/>
      <c r="J56" s="1166"/>
      <c r="K56" s="1166"/>
      <c r="L56" s="1166"/>
      <c r="M56" s="1166"/>
      <c r="N56" s="1166"/>
    </row>
    <row r="57" spans="1:14" ht="11.25" customHeight="1">
      <c r="D57" s="1044" t="s">
        <v>631</v>
      </c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</row>
    <row r="58" spans="1:14" s="1054" customFormat="1" ht="11.25" customHeight="1">
      <c r="A58" s="1039"/>
      <c r="B58" s="1039"/>
      <c r="C58" s="1070" t="s">
        <v>29</v>
      </c>
      <c r="D58" s="1041">
        <v>2021</v>
      </c>
      <c r="E58" s="1040">
        <f t="shared" ref="E58:K58" si="7">D58+1</f>
        <v>2022</v>
      </c>
      <c r="F58" s="1040">
        <f t="shared" si="7"/>
        <v>2023</v>
      </c>
      <c r="G58" s="1040">
        <f t="shared" si="7"/>
        <v>2024</v>
      </c>
      <c r="H58" s="1040">
        <f t="shared" si="7"/>
        <v>2025</v>
      </c>
      <c r="I58" s="1040">
        <f t="shared" si="7"/>
        <v>2026</v>
      </c>
      <c r="J58" s="1040">
        <f t="shared" si="7"/>
        <v>2027</v>
      </c>
      <c r="K58" s="1040">
        <f t="shared" si="7"/>
        <v>2028</v>
      </c>
      <c r="L58" s="1094">
        <f>K58+1</f>
        <v>2029</v>
      </c>
      <c r="M58" s="1040">
        <f>L58+1</f>
        <v>2030</v>
      </c>
    </row>
    <row r="59" spans="1:14" ht="11.25" customHeight="1">
      <c r="A59" s="1042" t="s">
        <v>632</v>
      </c>
      <c r="B59" s="1042"/>
      <c r="C59" s="1081"/>
      <c r="D59" s="1044"/>
      <c r="E59" s="1045"/>
      <c r="F59" s="1045"/>
      <c r="G59" s="1045"/>
      <c r="H59" s="1045"/>
      <c r="I59" s="1045"/>
      <c r="J59" s="1045"/>
      <c r="K59" s="1045"/>
      <c r="L59" s="1100"/>
      <c r="M59" s="1100"/>
      <c r="N59" s="1045"/>
    </row>
    <row r="60" spans="1:14" ht="11.25" customHeight="1">
      <c r="A60" s="1156" t="s">
        <v>607</v>
      </c>
      <c r="B60" s="1046" t="s">
        <v>608</v>
      </c>
      <c r="C60" s="1047" t="s">
        <v>633</v>
      </c>
      <c r="D60" s="1109">
        <f>'Summary Board'!D44</f>
        <v>0</v>
      </c>
      <c r="E60" s="1109">
        <f>'Summary Board'!E44</f>
        <v>134</v>
      </c>
      <c r="F60" s="1109">
        <f>'Summary Board'!F44</f>
        <v>0</v>
      </c>
      <c r="G60" s="1109">
        <f>'Summary Board'!G44</f>
        <v>0</v>
      </c>
      <c r="H60" s="1109">
        <f>'Summary Board'!H44</f>
        <v>117</v>
      </c>
      <c r="I60" s="1109">
        <f>'Summary Board'!I44</f>
        <v>147</v>
      </c>
      <c r="J60" s="1109">
        <f>'Summary Board'!J44</f>
        <v>0</v>
      </c>
      <c r="K60" s="1109">
        <f>'Summary Board'!K44</f>
        <v>140</v>
      </c>
      <c r="L60" s="1109">
        <f>'Summary Board'!L44</f>
        <v>76</v>
      </c>
      <c r="M60" s="1109">
        <f>'Summary Board'!M44</f>
        <v>0</v>
      </c>
      <c r="N60" s="1049"/>
    </row>
    <row r="61" spans="1:14" ht="11.25" customHeight="1">
      <c r="A61" s="1157"/>
      <c r="B61" s="1046" t="s">
        <v>609</v>
      </c>
      <c r="C61" s="1047" t="s">
        <v>633</v>
      </c>
      <c r="D61" s="1109">
        <f>'Summary Board'!C45</f>
        <v>75.949680000000015</v>
      </c>
      <c r="E61" s="1109">
        <f>'Summary Board'!D45</f>
        <v>0</v>
      </c>
      <c r="F61" s="1109">
        <f>'Summary Board'!E45</f>
        <v>0</v>
      </c>
      <c r="G61" s="1109">
        <f>'Summary Board'!F45</f>
        <v>0</v>
      </c>
      <c r="H61" s="1109">
        <f>'Summary Board'!G45</f>
        <v>0</v>
      </c>
      <c r="I61" s="1109">
        <f>'Summary Board'!H45</f>
        <v>76</v>
      </c>
      <c r="J61" s="1109">
        <f>'Summary Board'!I45</f>
        <v>0</v>
      </c>
      <c r="K61" s="1109">
        <f>'Summary Board'!J45</f>
        <v>0</v>
      </c>
      <c r="L61" s="1109">
        <f>'Summary Board'!K45</f>
        <v>0</v>
      </c>
      <c r="M61" s="1109">
        <f>'Summary Board'!L45</f>
        <v>0</v>
      </c>
      <c r="N61" s="1049"/>
    </row>
    <row r="62" spans="1:14" ht="11.25" customHeight="1">
      <c r="A62" s="1156" t="s">
        <v>611</v>
      </c>
      <c r="B62" s="1046" t="s">
        <v>608</v>
      </c>
      <c r="C62" s="1047" t="s">
        <v>633</v>
      </c>
      <c r="D62" s="1109">
        <f>'Summary Board'!C46</f>
        <v>93.701888333333329</v>
      </c>
      <c r="E62" s="1109">
        <f>'Summary Board'!D46</f>
        <v>0</v>
      </c>
      <c r="F62" s="1109">
        <f>'Summary Board'!E46</f>
        <v>0</v>
      </c>
      <c r="G62" s="1109">
        <f>'Summary Board'!F46</f>
        <v>0</v>
      </c>
      <c r="H62" s="1109">
        <f>'Summary Board'!G46</f>
        <v>0</v>
      </c>
      <c r="I62" s="1109">
        <f>'Summary Board'!H46</f>
        <v>0</v>
      </c>
      <c r="J62" s="1109">
        <f>'Summary Board'!I46</f>
        <v>0</v>
      </c>
      <c r="K62" s="1109">
        <f>'Summary Board'!J46</f>
        <v>0</v>
      </c>
      <c r="L62" s="1109">
        <f>'Summary Board'!K46</f>
        <v>145</v>
      </c>
      <c r="M62" s="1109">
        <f>'Summary Board'!L46</f>
        <v>0</v>
      </c>
      <c r="N62" s="1049"/>
    </row>
    <row r="63" spans="1:14" ht="11.25" customHeight="1">
      <c r="A63" s="1157"/>
      <c r="B63" s="1046" t="s">
        <v>609</v>
      </c>
      <c r="C63" s="1047" t="s">
        <v>633</v>
      </c>
      <c r="D63" s="1109">
        <v>0</v>
      </c>
      <c r="E63" s="1109">
        <v>0</v>
      </c>
      <c r="F63" s="1109">
        <v>0</v>
      </c>
      <c r="G63" s="1109">
        <v>0</v>
      </c>
      <c r="H63" s="1109">
        <v>0</v>
      </c>
      <c r="I63" s="1109">
        <v>0</v>
      </c>
      <c r="J63" s="1109">
        <v>0</v>
      </c>
      <c r="K63" s="1109">
        <v>0</v>
      </c>
      <c r="L63" s="1109">
        <v>0</v>
      </c>
      <c r="M63" s="1109">
        <v>0</v>
      </c>
      <c r="N63" s="1049"/>
    </row>
    <row r="64" spans="1:14" ht="11.25" customHeight="1">
      <c r="A64" s="1131" t="s">
        <v>614</v>
      </c>
      <c r="B64" s="1131"/>
      <c r="C64" s="1047" t="s">
        <v>633</v>
      </c>
      <c r="D64" s="1109">
        <v>0</v>
      </c>
      <c r="E64" s="1109">
        <v>0</v>
      </c>
      <c r="F64" s="1109">
        <v>0</v>
      </c>
      <c r="G64" s="1109">
        <v>0</v>
      </c>
      <c r="H64" s="1109">
        <v>0</v>
      </c>
      <c r="I64" s="1109">
        <v>0</v>
      </c>
      <c r="J64" s="1109">
        <v>0</v>
      </c>
      <c r="K64" s="1109">
        <v>0</v>
      </c>
      <c r="L64" s="1109">
        <v>0</v>
      </c>
      <c r="M64" s="1109">
        <v>0</v>
      </c>
      <c r="N64" s="1049"/>
    </row>
    <row r="65" spans="1:14" ht="11.25" customHeight="1">
      <c r="A65" s="1131" t="s">
        <v>48</v>
      </c>
      <c r="B65" s="1131"/>
      <c r="C65" s="1047" t="s">
        <v>634</v>
      </c>
      <c r="D65" s="1109">
        <f>'Summary Board'!D47</f>
        <v>0</v>
      </c>
      <c r="E65" s="1109">
        <f>'Summary Board'!E47</f>
        <v>0</v>
      </c>
      <c r="F65" s="1109">
        <f>'Summary Board'!F47</f>
        <v>0</v>
      </c>
      <c r="G65" s="1109">
        <f>'Summary Board'!G47</f>
        <v>0</v>
      </c>
      <c r="H65" s="1109">
        <f>'Summary Board'!H47</f>
        <v>0</v>
      </c>
      <c r="I65" s="1109">
        <f>'Summary Board'!I47</f>
        <v>0</v>
      </c>
      <c r="J65" s="1109">
        <f>'Summary Board'!J47</f>
        <v>0</v>
      </c>
      <c r="K65" s="1109">
        <f>'Summary Board'!K47</f>
        <v>0</v>
      </c>
      <c r="L65" s="1109">
        <f>'Summary Board'!L47</f>
        <v>233.14599999999996</v>
      </c>
      <c r="M65" s="1109">
        <f>'Summary Board'!M47</f>
        <v>116.57299999999998</v>
      </c>
      <c r="N65" s="1049"/>
    </row>
    <row r="66" spans="1:14" ht="11.25" customHeight="1">
      <c r="A66" s="1131" t="s">
        <v>49</v>
      </c>
      <c r="B66" s="1131"/>
      <c r="C66" s="1047" t="s">
        <v>635</v>
      </c>
      <c r="D66" s="1109">
        <f>'Summary Board'!D48</f>
        <v>0</v>
      </c>
      <c r="E66" s="1109">
        <f>'Summary Board'!E48</f>
        <v>870.82968750000009</v>
      </c>
      <c r="F66" s="1109">
        <f>'Summary Board'!F48</f>
        <v>0</v>
      </c>
      <c r="G66" s="1109">
        <f>'Summary Board'!G48</f>
        <v>0</v>
      </c>
      <c r="H66" s="1109">
        <f>'Summary Board'!H48</f>
        <v>0</v>
      </c>
      <c r="I66" s="1109">
        <f>'Summary Board'!I48</f>
        <v>47.620625000000018</v>
      </c>
      <c r="J66" s="1109">
        <f>'Summary Board'!J48</f>
        <v>0</v>
      </c>
      <c r="K66" s="1109">
        <f>'Summary Board'!K48</f>
        <v>0</v>
      </c>
      <c r="L66" s="1109">
        <f>'Summary Board'!L48</f>
        <v>103.84749999999997</v>
      </c>
      <c r="M66" s="1109">
        <f>'Summary Board'!M48</f>
        <v>0</v>
      </c>
      <c r="N66" s="1049"/>
    </row>
    <row r="67" spans="1:14" ht="11.25" customHeight="1">
      <c r="A67" s="1131" t="s">
        <v>615</v>
      </c>
      <c r="B67" s="1131"/>
      <c r="C67" s="1047" t="s">
        <v>635</v>
      </c>
      <c r="D67" s="1110">
        <v>0</v>
      </c>
      <c r="E67" s="1110">
        <v>0</v>
      </c>
      <c r="F67" s="1110">
        <v>0</v>
      </c>
      <c r="G67" s="1110">
        <v>0</v>
      </c>
      <c r="H67" s="1110">
        <v>0</v>
      </c>
      <c r="I67" s="1110">
        <v>0</v>
      </c>
      <c r="J67" s="1110">
        <v>0</v>
      </c>
      <c r="K67" s="1110">
        <v>0</v>
      </c>
      <c r="L67" s="1110">
        <v>0</v>
      </c>
      <c r="M67" s="1110">
        <v>0</v>
      </c>
      <c r="N67" s="1082"/>
    </row>
    <row r="68" spans="1:14" ht="11.25" customHeight="1">
      <c r="A68" s="1147" t="s">
        <v>620</v>
      </c>
      <c r="B68" s="1147"/>
      <c r="C68" s="1083"/>
      <c r="D68" s="1111">
        <v>0</v>
      </c>
      <c r="E68" s="1111">
        <v>0</v>
      </c>
      <c r="F68" s="1111">
        <v>0</v>
      </c>
      <c r="G68" s="1111">
        <v>0</v>
      </c>
      <c r="H68" s="1111">
        <v>0</v>
      </c>
      <c r="I68" s="1111">
        <v>0</v>
      </c>
      <c r="J68" s="1111">
        <v>0</v>
      </c>
      <c r="K68" s="1111">
        <v>0</v>
      </c>
      <c r="L68" s="1111">
        <v>0</v>
      </c>
      <c r="M68" s="1111">
        <v>0</v>
      </c>
      <c r="N68" s="1084"/>
    </row>
    <row r="69" spans="1:14" ht="11.25" customHeight="1">
      <c r="A69" s="1042" t="s">
        <v>30</v>
      </c>
      <c r="B69" s="1042"/>
      <c r="C69" s="1081"/>
      <c r="D69" s="1112"/>
      <c r="E69" s="1113"/>
      <c r="F69" s="1113"/>
      <c r="G69" s="1113"/>
      <c r="H69" s="1113"/>
      <c r="I69" s="1113"/>
      <c r="J69" s="1113"/>
      <c r="K69" s="1113"/>
      <c r="L69" s="1114"/>
      <c r="M69" s="1114"/>
      <c r="N69" s="1045"/>
    </row>
    <row r="70" spans="1:14" ht="11.25" customHeight="1">
      <c r="A70" s="1156" t="s">
        <v>607</v>
      </c>
      <c r="B70" s="1046" t="s">
        <v>608</v>
      </c>
      <c r="C70" s="1047" t="s">
        <v>636</v>
      </c>
      <c r="D70" s="1109">
        <f>'Summary Board'!D51</f>
        <v>0</v>
      </c>
      <c r="E70" s="1109">
        <f>'Summary Board'!E51</f>
        <v>158056</v>
      </c>
      <c r="F70" s="1109">
        <f>'Summary Board'!F51</f>
        <v>0</v>
      </c>
      <c r="G70" s="1109">
        <f>'Summary Board'!G51</f>
        <v>0</v>
      </c>
      <c r="H70" s="1109">
        <f>'Summary Board'!H51</f>
        <v>110868</v>
      </c>
      <c r="I70" s="1109">
        <f>'Summary Board'!I51</f>
        <v>138323.5</v>
      </c>
      <c r="J70" s="1109">
        <f>'Summary Board'!J51</f>
        <v>0</v>
      </c>
      <c r="K70" s="1109">
        <f>'Summary Board'!K51</f>
        <v>147815.19999999995</v>
      </c>
      <c r="L70" s="1109">
        <f>'Summary Board'!L51</f>
        <v>89962.800000000047</v>
      </c>
      <c r="M70" s="1109">
        <f>'Summary Board'!M51</f>
        <v>0</v>
      </c>
      <c r="N70" s="1049"/>
    </row>
    <row r="71" spans="1:14" ht="11.25" customHeight="1">
      <c r="A71" s="1157"/>
      <c r="B71" s="1046" t="s">
        <v>609</v>
      </c>
      <c r="C71" s="1047" t="s">
        <v>636</v>
      </c>
      <c r="D71" s="1109">
        <f>'Summary Board'!D52</f>
        <v>0</v>
      </c>
      <c r="E71" s="1109">
        <f>'Summary Board'!E52</f>
        <v>0</v>
      </c>
      <c r="F71" s="1109">
        <f>'Summary Board'!F52</f>
        <v>0</v>
      </c>
      <c r="G71" s="1109">
        <f>'Summary Board'!G52</f>
        <v>0</v>
      </c>
      <c r="H71" s="1109">
        <f>'Summary Board'!H52</f>
        <v>190000</v>
      </c>
      <c r="I71" s="1109">
        <f>'Summary Board'!I52</f>
        <v>0</v>
      </c>
      <c r="J71" s="1109">
        <f>'Summary Board'!J52</f>
        <v>0</v>
      </c>
      <c r="K71" s="1109">
        <f>'Summary Board'!K52</f>
        <v>0</v>
      </c>
      <c r="L71" s="1109">
        <f>'Summary Board'!L52</f>
        <v>0</v>
      </c>
      <c r="M71" s="1109">
        <f>'Summary Board'!M52</f>
        <v>0</v>
      </c>
      <c r="N71" s="1049"/>
    </row>
    <row r="72" spans="1:14" ht="11.25" customHeight="1">
      <c r="A72" s="1156" t="s">
        <v>611</v>
      </c>
      <c r="B72" s="1046" t="s">
        <v>608</v>
      </c>
      <c r="C72" s="1047" t="s">
        <v>636</v>
      </c>
      <c r="D72" s="1109">
        <f>'Summary Board'!D53</f>
        <v>0</v>
      </c>
      <c r="E72" s="1109">
        <f>'Summary Board'!E53</f>
        <v>0</v>
      </c>
      <c r="F72" s="1109">
        <f>'Summary Board'!F53</f>
        <v>0</v>
      </c>
      <c r="G72" s="1109">
        <f>'Summary Board'!G53</f>
        <v>0</v>
      </c>
      <c r="H72" s="1109">
        <f>'Summary Board'!H53</f>
        <v>0</v>
      </c>
      <c r="I72" s="1109">
        <f>'Summary Board'!I53</f>
        <v>0</v>
      </c>
      <c r="J72" s="1109">
        <f>'Summary Board'!J53</f>
        <v>0</v>
      </c>
      <c r="K72" s="1109">
        <f>'Summary Board'!K53</f>
        <v>290000</v>
      </c>
      <c r="L72" s="1109">
        <f>'Summary Board'!L53</f>
        <v>0</v>
      </c>
      <c r="M72" s="1109">
        <f>'Summary Board'!M53</f>
        <v>0</v>
      </c>
      <c r="N72" s="1049"/>
    </row>
    <row r="73" spans="1:14" ht="11.25" customHeight="1">
      <c r="A73" s="1157"/>
      <c r="B73" s="1046" t="s">
        <v>609</v>
      </c>
      <c r="C73" s="1047" t="s">
        <v>636</v>
      </c>
      <c r="D73" s="1109">
        <v>0</v>
      </c>
      <c r="E73" s="1109">
        <v>0</v>
      </c>
      <c r="F73" s="1109">
        <v>0</v>
      </c>
      <c r="G73" s="1109">
        <v>0</v>
      </c>
      <c r="H73" s="1109">
        <v>0</v>
      </c>
      <c r="I73" s="1109">
        <v>0</v>
      </c>
      <c r="J73" s="1109">
        <v>0</v>
      </c>
      <c r="K73" s="1109">
        <v>0</v>
      </c>
      <c r="L73" s="1109">
        <v>0</v>
      </c>
      <c r="M73" s="1109">
        <v>0</v>
      </c>
      <c r="N73" s="1049"/>
    </row>
    <row r="74" spans="1:14" ht="11.25" customHeight="1">
      <c r="A74" s="1131" t="s">
        <v>612</v>
      </c>
      <c r="B74" s="1131"/>
      <c r="C74" s="1047" t="s">
        <v>636</v>
      </c>
      <c r="D74" s="1109">
        <f>'Summary Board'!D54</f>
        <v>0</v>
      </c>
      <c r="E74" s="1109">
        <f>'Summary Board'!E54</f>
        <v>14131.800000000001</v>
      </c>
      <c r="F74" s="1109">
        <f>'Summary Board'!F54</f>
        <v>98408.700000000012</v>
      </c>
      <c r="G74" s="1109">
        <f>'Summary Board'!G54</f>
        <v>0</v>
      </c>
      <c r="H74" s="1109">
        <f>'Summary Board'!H54</f>
        <v>14774.8</v>
      </c>
      <c r="I74" s="1109">
        <f>'Summary Board'!I54</f>
        <v>0</v>
      </c>
      <c r="J74" s="1109">
        <f>'Summary Board'!J54</f>
        <v>0</v>
      </c>
      <c r="K74" s="1109">
        <f>'Summary Board'!K54</f>
        <v>0</v>
      </c>
      <c r="L74" s="1109">
        <f>'Summary Board'!L54</f>
        <v>0</v>
      </c>
      <c r="M74" s="1109">
        <f>'Summary Board'!M54</f>
        <v>0</v>
      </c>
      <c r="N74" s="1049"/>
    </row>
    <row r="75" spans="1:14" ht="11.25" customHeight="1">
      <c r="A75" s="1131" t="s">
        <v>613</v>
      </c>
      <c r="B75" s="1131"/>
      <c r="C75" s="1047" t="s">
        <v>636</v>
      </c>
      <c r="D75" s="1109">
        <f>'Summary Board'!D55</f>
        <v>0</v>
      </c>
      <c r="E75" s="1109">
        <f>'Summary Board'!E55</f>
        <v>79537.100000000006</v>
      </c>
      <c r="F75" s="1109">
        <f>'Summary Board'!F55</f>
        <v>19757</v>
      </c>
      <c r="G75" s="1109">
        <f>'Summary Board'!G55</f>
        <v>0</v>
      </c>
      <c r="H75" s="1109">
        <f>'Summary Board'!H55</f>
        <v>56630.899999999994</v>
      </c>
      <c r="I75" s="1109">
        <f>'Summary Board'!I55</f>
        <v>0</v>
      </c>
      <c r="J75" s="1109">
        <f>'Summary Board'!J55</f>
        <v>0</v>
      </c>
      <c r="K75" s="1109">
        <f>'Summary Board'!K55</f>
        <v>79401.399999999994</v>
      </c>
      <c r="L75" s="1109">
        <f>'Summary Board'!L55</f>
        <v>34779.5</v>
      </c>
      <c r="M75" s="1109">
        <f>'Summary Board'!M55</f>
        <v>0</v>
      </c>
      <c r="N75" s="1049"/>
    </row>
    <row r="76" spans="1:14" ht="11.25" customHeight="1">
      <c r="A76" s="1046"/>
      <c r="B76" s="1046" t="s">
        <v>614</v>
      </c>
      <c r="C76" s="1047" t="s">
        <v>636</v>
      </c>
      <c r="D76" s="1109">
        <v>0</v>
      </c>
      <c r="E76" s="1109">
        <v>0</v>
      </c>
      <c r="F76" s="1109">
        <v>0</v>
      </c>
      <c r="G76" s="1109">
        <v>0</v>
      </c>
      <c r="H76" s="1109">
        <v>0</v>
      </c>
      <c r="I76" s="1109">
        <v>0</v>
      </c>
      <c r="J76" s="1109">
        <v>0</v>
      </c>
      <c r="K76" s="1109">
        <v>0</v>
      </c>
      <c r="L76" s="1109">
        <v>0</v>
      </c>
      <c r="M76" s="1109">
        <v>0</v>
      </c>
      <c r="N76" s="1049"/>
    </row>
    <row r="77" spans="1:14" ht="11.25" customHeight="1">
      <c r="A77" s="1131" t="s">
        <v>48</v>
      </c>
      <c r="B77" s="1131"/>
      <c r="C77" s="1047" t="s">
        <v>636</v>
      </c>
      <c r="D77" s="1109">
        <f>'Summary Board'!D56</f>
        <v>0</v>
      </c>
      <c r="E77" s="1109">
        <f>'Summary Board'!E56</f>
        <v>0</v>
      </c>
      <c r="F77" s="1109">
        <f>'Summary Board'!F56</f>
        <v>0</v>
      </c>
      <c r="G77" s="1109">
        <f>'Summary Board'!G56</f>
        <v>0</v>
      </c>
      <c r="H77" s="1109">
        <f>'Summary Board'!H56</f>
        <v>0</v>
      </c>
      <c r="I77" s="1109">
        <f>'Summary Board'!I56</f>
        <v>0</v>
      </c>
      <c r="J77" s="1109">
        <f>'Summary Board'!J56</f>
        <v>0</v>
      </c>
      <c r="K77" s="1109">
        <f>'Summary Board'!K56</f>
        <v>0</v>
      </c>
      <c r="L77" s="1109">
        <f>'Summary Board'!L56</f>
        <v>93258.39999999998</v>
      </c>
      <c r="M77" s="1109">
        <f>'Summary Board'!M56</f>
        <v>46629.19999999999</v>
      </c>
      <c r="N77" s="1049"/>
    </row>
    <row r="78" spans="1:14" ht="11.25" customHeight="1">
      <c r="A78" s="1131" t="s">
        <v>49</v>
      </c>
      <c r="B78" s="1131"/>
      <c r="C78" s="1047" t="s">
        <v>636</v>
      </c>
      <c r="D78" s="1109">
        <f>'Summary Board'!D58</f>
        <v>0</v>
      </c>
      <c r="E78" s="1109">
        <f>'Summary Board'!E58</f>
        <v>78319.199999999997</v>
      </c>
      <c r="F78" s="1109">
        <f>'Summary Board'!F58</f>
        <v>0</v>
      </c>
      <c r="G78" s="1109">
        <f>'Summary Board'!G58</f>
        <v>0</v>
      </c>
      <c r="H78" s="1109">
        <f>'Summary Board'!H58</f>
        <v>72234</v>
      </c>
      <c r="I78" s="1109">
        <f>'Summary Board'!I58</f>
        <v>33231.199999999997</v>
      </c>
      <c r="J78" s="1109">
        <f>'Summary Board'!J58</f>
        <v>0</v>
      </c>
      <c r="K78" s="1109">
        <f>'Summary Board'!K58</f>
        <v>0</v>
      </c>
      <c r="L78" s="1109">
        <f>'Summary Board'!L58</f>
        <v>15238.6</v>
      </c>
      <c r="M78" s="1109">
        <f>'Summary Board'!M58</f>
        <v>0</v>
      </c>
      <c r="N78" s="1049"/>
    </row>
    <row r="79" spans="1:14" ht="11.25" customHeight="1">
      <c r="A79" s="1131" t="s">
        <v>615</v>
      </c>
      <c r="B79" s="1131"/>
      <c r="C79" s="1047" t="s">
        <v>636</v>
      </c>
      <c r="D79" s="1109">
        <v>0</v>
      </c>
      <c r="E79" s="1109">
        <v>0</v>
      </c>
      <c r="F79" s="1109">
        <v>0</v>
      </c>
      <c r="G79" s="1109">
        <v>0</v>
      </c>
      <c r="H79" s="1109">
        <v>0</v>
      </c>
      <c r="I79" s="1109">
        <v>0</v>
      </c>
      <c r="J79" s="1109">
        <v>0</v>
      </c>
      <c r="K79" s="1109">
        <v>0</v>
      </c>
      <c r="L79" s="1109">
        <v>0</v>
      </c>
      <c r="M79" s="1109">
        <v>0</v>
      </c>
      <c r="N79" s="1049"/>
    </row>
    <row r="80" spans="1:14" ht="11.25" customHeight="1">
      <c r="A80" s="1147" t="s">
        <v>653</v>
      </c>
      <c r="B80" s="1147"/>
      <c r="C80" s="1085" t="s">
        <v>636</v>
      </c>
      <c r="D80" s="1111">
        <f>'Summary Board'!D57</f>
        <v>0</v>
      </c>
      <c r="E80" s="1111">
        <f>'Summary Board'!E57</f>
        <v>0</v>
      </c>
      <c r="F80" s="1111">
        <f>'Summary Board'!F57</f>
        <v>0</v>
      </c>
      <c r="G80" s="1111">
        <f>'Summary Board'!G57</f>
        <v>0</v>
      </c>
      <c r="H80" s="1111">
        <f>'Summary Board'!H57</f>
        <v>0</v>
      </c>
      <c r="I80" s="1111">
        <f>'Summary Board'!I57</f>
        <v>24587.200000000001</v>
      </c>
      <c r="J80" s="1111">
        <f>'Summary Board'!J57</f>
        <v>0</v>
      </c>
      <c r="K80" s="1111">
        <f>'Summary Board'!K57</f>
        <v>0</v>
      </c>
      <c r="L80" s="1111">
        <f>'Summary Board'!L57</f>
        <v>0</v>
      </c>
      <c r="M80" s="1111">
        <f>'Summary Board'!M57</f>
        <v>0</v>
      </c>
      <c r="N80" s="1049"/>
    </row>
    <row r="81" spans="1:14" ht="11.25" customHeight="1">
      <c r="A81" s="1162" t="s">
        <v>31</v>
      </c>
      <c r="B81" s="1162"/>
      <c r="C81" s="1039" t="s">
        <v>636</v>
      </c>
      <c r="D81" s="1115">
        <f>SUM(D70:D80)</f>
        <v>0</v>
      </c>
      <c r="E81" s="1115">
        <f t="shared" ref="E81:M81" si="8">SUM(E70:E80)</f>
        <v>330044.09999999998</v>
      </c>
      <c r="F81" s="1115">
        <f t="shared" si="8"/>
        <v>118165.70000000001</v>
      </c>
      <c r="G81" s="1115">
        <f t="shared" si="8"/>
        <v>0</v>
      </c>
      <c r="H81" s="1115">
        <f t="shared" si="8"/>
        <v>444507.69999999995</v>
      </c>
      <c r="I81" s="1115">
        <f t="shared" si="8"/>
        <v>196141.90000000002</v>
      </c>
      <c r="J81" s="1115">
        <f t="shared" si="8"/>
        <v>0</v>
      </c>
      <c r="K81" s="1115">
        <f t="shared" si="8"/>
        <v>517216.6</v>
      </c>
      <c r="L81" s="1115">
        <f t="shared" si="8"/>
        <v>233239.30000000002</v>
      </c>
      <c r="M81" s="1115">
        <f t="shared" si="8"/>
        <v>46629.19999999999</v>
      </c>
      <c r="N81" s="1084"/>
    </row>
    <row r="82" spans="1:14" ht="11.25" customHeight="1"/>
    <row r="83" spans="1:14" s="1032" customFormat="1" ht="11.25" customHeight="1">
      <c r="A83" s="1163" t="s">
        <v>637</v>
      </c>
      <c r="B83" s="1163"/>
      <c r="C83" s="1164"/>
      <c r="D83" s="1164"/>
      <c r="E83" s="1164"/>
      <c r="F83" s="1164"/>
      <c r="H83" s="1165" t="s">
        <v>638</v>
      </c>
      <c r="I83" s="1166"/>
      <c r="J83" s="1166"/>
      <c r="K83" s="1166"/>
      <c r="L83" s="1166"/>
      <c r="M83" s="1166"/>
      <c r="N83" s="1166"/>
    </row>
    <row r="84" spans="1:14" s="1086" customFormat="1" ht="11.25" customHeight="1">
      <c r="A84" s="1167" t="s">
        <v>2</v>
      </c>
      <c r="B84" s="1167"/>
      <c r="C84" s="1168" t="s">
        <v>51</v>
      </c>
      <c r="D84" s="1169"/>
      <c r="E84" s="1168" t="s">
        <v>34</v>
      </c>
      <c r="F84" s="1169"/>
      <c r="H84" s="1170"/>
      <c r="I84" s="1171"/>
      <c r="J84" s="1171"/>
      <c r="K84" s="1168" t="s">
        <v>50</v>
      </c>
      <c r="L84" s="1168"/>
      <c r="M84" s="1126" t="s">
        <v>639</v>
      </c>
      <c r="N84" s="1127"/>
    </row>
    <row r="85" spans="1:14" ht="11.25" customHeight="1">
      <c r="A85" s="1158" t="s">
        <v>607</v>
      </c>
      <c r="B85" s="1087" t="s">
        <v>608</v>
      </c>
      <c r="C85" s="1117">
        <f>E85/SUM(D60:M60)</f>
        <v>255195.33679667718</v>
      </c>
      <c r="D85" s="1118" t="s">
        <v>640</v>
      </c>
      <c r="E85" s="1159">
        <f>SUM(C26:M26)</f>
        <v>156689936.79315978</v>
      </c>
      <c r="F85" s="1160"/>
      <c r="H85" s="1161" t="s">
        <v>641</v>
      </c>
      <c r="I85" s="1143"/>
      <c r="J85" s="1143"/>
      <c r="K85" s="1037"/>
      <c r="L85" s="1037"/>
      <c r="M85" s="1116"/>
      <c r="N85" s="1116"/>
    </row>
    <row r="86" spans="1:14" ht="11.25" customHeight="1">
      <c r="A86" s="1157"/>
      <c r="B86" s="1046" t="s">
        <v>609</v>
      </c>
      <c r="C86" s="1117">
        <f>E86/SUM(D61:M61)</f>
        <v>392391.20927918283</v>
      </c>
      <c r="D86" s="1119" t="s">
        <v>640</v>
      </c>
      <c r="E86" s="1128">
        <f>SUM(C27:M27)</f>
        <v>59623718.684784859</v>
      </c>
      <c r="F86" s="1129"/>
      <c r="H86" s="1151" t="str">
        <f>'Summary Board'!I65</f>
        <v>Hines Investment Opportunity Fund</v>
      </c>
      <c r="I86" s="1132"/>
      <c r="J86" s="1132"/>
      <c r="K86" s="1155">
        <f>'Summary Board'!M65</f>
        <v>197938983.69496256</v>
      </c>
      <c r="L86" s="1150"/>
      <c r="M86" s="1124">
        <f>K86/$K$104</f>
        <v>0.34137671841980627</v>
      </c>
      <c r="N86" s="1124"/>
    </row>
    <row r="87" spans="1:14" ht="11.25" customHeight="1">
      <c r="A87" s="1050" t="s">
        <v>610</v>
      </c>
      <c r="B87" s="1046" t="s">
        <v>608</v>
      </c>
      <c r="C87" s="1117">
        <v>0</v>
      </c>
      <c r="D87" s="1119" t="s">
        <v>640</v>
      </c>
      <c r="E87" s="1128">
        <v>0</v>
      </c>
      <c r="F87" s="1129"/>
      <c r="H87" s="1088"/>
      <c r="I87" s="1049"/>
      <c r="J87" s="1049"/>
      <c r="K87" s="1123"/>
      <c r="L87" s="1087"/>
      <c r="M87" s="1046"/>
      <c r="N87" s="1046"/>
    </row>
    <row r="88" spans="1:14" ht="11.25" customHeight="1">
      <c r="A88" s="1156" t="s">
        <v>611</v>
      </c>
      <c r="B88" s="1046" t="s">
        <v>608</v>
      </c>
      <c r="C88" s="1117">
        <f>E88/SUM(D62:M62)</f>
        <v>173918.69779299761</v>
      </c>
      <c r="D88" s="1119" t="s">
        <v>640</v>
      </c>
      <c r="E88" s="1128">
        <f>SUM(C29:M29)</f>
        <v>41514721.579662859</v>
      </c>
      <c r="F88" s="1129"/>
      <c r="H88" s="1151"/>
      <c r="I88" s="1132"/>
      <c r="J88" s="1132"/>
      <c r="K88" s="1131"/>
      <c r="L88" s="1131"/>
      <c r="M88" s="1131"/>
      <c r="N88" s="1131"/>
    </row>
    <row r="89" spans="1:14" ht="11.25" customHeight="1">
      <c r="A89" s="1157"/>
      <c r="B89" s="1046" t="s">
        <v>609</v>
      </c>
      <c r="C89" s="1117">
        <v>0</v>
      </c>
      <c r="D89" s="1119" t="s">
        <v>640</v>
      </c>
      <c r="E89" s="1128">
        <v>0</v>
      </c>
      <c r="F89" s="1129"/>
      <c r="H89" s="1151"/>
      <c r="I89" s="1132"/>
      <c r="J89" s="1132"/>
      <c r="K89" s="1131"/>
      <c r="L89" s="1131"/>
      <c r="M89" s="1131"/>
      <c r="N89" s="1131"/>
    </row>
    <row r="90" spans="1:14" ht="11.25" customHeight="1">
      <c r="A90" s="1131" t="s">
        <v>612</v>
      </c>
      <c r="B90" s="1131"/>
      <c r="C90" s="1117">
        <f>E90/SUM(D74:M74)</f>
        <v>231.71976086016369</v>
      </c>
      <c r="D90" s="1119" t="s">
        <v>642</v>
      </c>
      <c r="E90" s="1128">
        <f>SUM(C31:M31)</f>
        <v>29501470.869840004</v>
      </c>
      <c r="F90" s="1129"/>
      <c r="H90" s="1152"/>
      <c r="I90" s="1153"/>
      <c r="J90" s="1153"/>
      <c r="K90" s="1154"/>
      <c r="L90" s="1154"/>
      <c r="M90" s="1147"/>
      <c r="N90" s="1147"/>
    </row>
    <row r="91" spans="1:14" ht="11.25" customHeight="1">
      <c r="A91" s="1131" t="s">
        <v>623</v>
      </c>
      <c r="B91" s="1131"/>
      <c r="C91" s="1117">
        <f>E91/SUM(D75:M75)</f>
        <v>217.43299883610857</v>
      </c>
      <c r="D91" s="1119" t="s">
        <v>642</v>
      </c>
      <c r="E91" s="1128">
        <f>SUM(C32:M32)</f>
        <v>58729935.840326063</v>
      </c>
      <c r="F91" s="1129"/>
      <c r="H91" s="1142" t="s">
        <v>643</v>
      </c>
      <c r="I91" s="1143"/>
      <c r="J91" s="1143"/>
      <c r="K91" s="1144"/>
      <c r="L91" s="1144"/>
      <c r="M91" s="1150"/>
      <c r="N91" s="1150"/>
    </row>
    <row r="92" spans="1:14" ht="11.25" customHeight="1">
      <c r="A92" s="1131" t="s">
        <v>48</v>
      </c>
      <c r="B92" s="1131"/>
      <c r="C92" s="1117">
        <f>E92/SUM(D65:M65)</f>
        <v>256378.86054866383</v>
      </c>
      <c r="D92" s="1119" t="s">
        <v>644</v>
      </c>
      <c r="E92" s="1128">
        <f>SUM(C33:M33)</f>
        <v>89660558.732218146</v>
      </c>
      <c r="F92" s="1129"/>
      <c r="H92" s="1131" t="str">
        <f>'Summary Board'!I68</f>
        <v>Syndicated Construction to Mini-Perm Facility</v>
      </c>
      <c r="I92" s="1132"/>
      <c r="J92" s="1132"/>
      <c r="K92" s="1128">
        <f>'Summary Board'!M68</f>
        <v>376886684.00493056</v>
      </c>
      <c r="L92" s="1131"/>
      <c r="M92" s="1124">
        <f>K92/$K$104</f>
        <v>0.65</v>
      </c>
      <c r="N92" s="1124"/>
    </row>
    <row r="93" spans="1:14" ht="11.25" customHeight="1">
      <c r="A93" s="1131" t="s">
        <v>49</v>
      </c>
      <c r="B93" s="1131"/>
      <c r="C93" s="1117">
        <f>E93/SUM(D66:M66)</f>
        <v>25032.18188676186</v>
      </c>
      <c r="D93" s="1119" t="s">
        <v>645</v>
      </c>
      <c r="E93" s="1128">
        <f>SUM(C34:M34)</f>
        <v>25590344.784938775</v>
      </c>
      <c r="F93" s="1129"/>
      <c r="H93" s="1131"/>
      <c r="I93" s="1132"/>
      <c r="J93" s="1132"/>
      <c r="K93" s="1131"/>
      <c r="L93" s="1131"/>
      <c r="M93" s="1131"/>
      <c r="N93" s="1131"/>
    </row>
    <row r="94" spans="1:14" ht="11.25" customHeight="1">
      <c r="A94" s="1131" t="s">
        <v>615</v>
      </c>
      <c r="B94" s="1131"/>
      <c r="C94" s="1122">
        <v>0</v>
      </c>
      <c r="D94" s="1119" t="s">
        <v>645</v>
      </c>
      <c r="E94" s="1128">
        <v>0</v>
      </c>
      <c r="F94" s="1129"/>
      <c r="H94" s="1131"/>
      <c r="I94" s="1132"/>
      <c r="J94" s="1132"/>
      <c r="K94" s="1131"/>
      <c r="L94" s="1131"/>
      <c r="M94" s="1131"/>
      <c r="N94" s="1131"/>
    </row>
    <row r="95" spans="1:14" ht="11.25" customHeight="1">
      <c r="A95" s="1147" t="s">
        <v>620</v>
      </c>
      <c r="B95" s="1147"/>
      <c r="C95" s="1121">
        <f>E95/SUM(D80:M80)</f>
        <v>183.91373108176805</v>
      </c>
      <c r="D95" s="1120" t="s">
        <v>642</v>
      </c>
      <c r="E95" s="1148">
        <f>SUM(C37:M37)</f>
        <v>4521923.6888536476</v>
      </c>
      <c r="F95" s="1149"/>
      <c r="H95" s="1131"/>
      <c r="I95" s="1132"/>
      <c r="J95" s="1132"/>
      <c r="K95" s="1131"/>
      <c r="L95" s="1131"/>
      <c r="M95" s="1131"/>
      <c r="N95" s="1131"/>
    </row>
    <row r="96" spans="1:14" ht="11.25" customHeight="1">
      <c r="A96" s="1065" t="s">
        <v>646</v>
      </c>
      <c r="B96" s="1065"/>
      <c r="C96" s="1145" t="s">
        <v>53</v>
      </c>
      <c r="D96" s="1145"/>
      <c r="E96" s="1146" t="s">
        <v>54</v>
      </c>
      <c r="F96" s="1146"/>
      <c r="H96" s="1131"/>
      <c r="I96" s="1132"/>
      <c r="J96" s="1132"/>
      <c r="K96" s="1131"/>
      <c r="L96" s="1131"/>
      <c r="M96" s="1131"/>
      <c r="N96" s="1131"/>
    </row>
    <row r="97" spans="1:14" ht="11.25" customHeight="1">
      <c r="A97" s="1049"/>
      <c r="B97" s="1046" t="s">
        <v>647</v>
      </c>
      <c r="C97" s="1140">
        <v>0</v>
      </c>
      <c r="D97" s="1140"/>
      <c r="E97" s="1140">
        <f>'Summary Board'!F78</f>
        <v>5169242.46</v>
      </c>
      <c r="F97" s="1140"/>
      <c r="H97" s="1131"/>
      <c r="I97" s="1132"/>
      <c r="J97" s="1132"/>
      <c r="K97" s="1141"/>
      <c r="L97" s="1141"/>
      <c r="M97" s="1141"/>
      <c r="N97" s="1141"/>
    </row>
    <row r="98" spans="1:14" ht="11.25" customHeight="1">
      <c r="A98" s="1049"/>
      <c r="B98" s="1046" t="s">
        <v>648</v>
      </c>
      <c r="C98" s="1139">
        <f>'Summary Board'!E75</f>
        <v>5000000</v>
      </c>
      <c r="D98" s="1139"/>
      <c r="E98" s="1139">
        <f>'Summary Board'!F75</f>
        <v>20736276.919774998</v>
      </c>
      <c r="F98" s="1139"/>
      <c r="H98" s="1142" t="s">
        <v>649</v>
      </c>
      <c r="I98" s="1143"/>
      <c r="J98" s="1143"/>
      <c r="K98" s="1144"/>
      <c r="L98" s="1144"/>
      <c r="M98" s="1144"/>
      <c r="N98" s="1144"/>
    </row>
    <row r="99" spans="1:14" ht="11.25" customHeight="1">
      <c r="A99" s="1049"/>
      <c r="B99" s="1089" t="s">
        <v>650</v>
      </c>
      <c r="C99" s="1139">
        <v>0</v>
      </c>
      <c r="D99" s="1139"/>
      <c r="E99" s="1139">
        <f>'Summary Board'!F80</f>
        <v>1176631.83</v>
      </c>
      <c r="F99" s="1139"/>
      <c r="H99" s="1131" t="str">
        <f>'Summary Board'!I71</f>
        <v>Water Management Funding</v>
      </c>
      <c r="I99" s="1132"/>
      <c r="J99" s="1132"/>
      <c r="K99" s="1128">
        <f>'Summary Board'!M71</f>
        <v>5000000</v>
      </c>
      <c r="L99" s="1131"/>
      <c r="M99" s="1124">
        <f>K99/$K$104</f>
        <v>8.6232815801936969E-3</v>
      </c>
      <c r="N99" s="1124"/>
    </row>
    <row r="100" spans="1:14" ht="11.25" customHeight="1">
      <c r="A100" s="1049"/>
      <c r="B100" s="1046" t="s">
        <v>52</v>
      </c>
      <c r="C100" s="1139">
        <v>0</v>
      </c>
      <c r="D100" s="1139"/>
      <c r="E100" s="1139">
        <f>SUM('Summary Board'!F76,'Summary Board'!F77)</f>
        <v>5478376.9163339762</v>
      </c>
      <c r="F100" s="1139"/>
      <c r="H100" s="1131"/>
      <c r="I100" s="1132"/>
      <c r="J100" s="1132"/>
      <c r="K100" s="1131"/>
      <c r="L100" s="1131"/>
      <c r="M100" s="1131"/>
      <c r="N100" s="1131"/>
    </row>
    <row r="101" spans="1:14" ht="11.25" customHeight="1">
      <c r="A101" s="1084"/>
      <c r="B101" s="1090" t="s">
        <v>651</v>
      </c>
      <c r="C101" s="1139">
        <v>0</v>
      </c>
      <c r="D101" s="1139"/>
      <c r="E101" s="1139">
        <f>'Summary Board'!F79</f>
        <v>15000000</v>
      </c>
      <c r="F101" s="1139"/>
      <c r="H101" s="1131"/>
      <c r="I101" s="1132"/>
      <c r="J101" s="1132"/>
      <c r="K101" s="1131"/>
      <c r="L101" s="1131"/>
      <c r="M101" s="1131"/>
      <c r="N101" s="1131"/>
    </row>
    <row r="102" spans="1:14" ht="11.25" customHeight="1">
      <c r="A102" s="1074"/>
      <c r="B102" s="1070" t="s">
        <v>652</v>
      </c>
      <c r="C102" s="1130">
        <v>0</v>
      </c>
      <c r="D102" s="1130"/>
      <c r="E102" s="1130">
        <v>0</v>
      </c>
      <c r="F102" s="1130"/>
      <c r="H102" s="1131"/>
      <c r="I102" s="1132"/>
      <c r="J102" s="1132"/>
      <c r="K102" s="1131"/>
      <c r="L102" s="1131"/>
      <c r="M102" s="1131"/>
      <c r="N102" s="1131"/>
    </row>
    <row r="103" spans="1:14" ht="11.25" customHeight="1">
      <c r="A103" s="1074"/>
      <c r="B103" s="1070" t="s">
        <v>33</v>
      </c>
      <c r="C103" s="1130">
        <f>SUM(C97:D102)</f>
        <v>5000000</v>
      </c>
      <c r="D103" s="1130"/>
      <c r="E103" s="1130">
        <f>SUM(E97:F102)</f>
        <v>47560528.126108974</v>
      </c>
      <c r="F103" s="1130"/>
      <c r="H103" s="1131"/>
      <c r="I103" s="1132"/>
      <c r="J103" s="1132"/>
      <c r="K103" s="1131"/>
      <c r="L103" s="1131"/>
      <c r="M103" s="1131"/>
      <c r="N103" s="1131"/>
    </row>
    <row r="104" spans="1:14" ht="11.25" customHeight="1">
      <c r="A104" s="1074"/>
      <c r="B104" s="1070" t="s">
        <v>3</v>
      </c>
      <c r="C104" s="1133"/>
      <c r="D104" s="1134"/>
      <c r="E104" s="1135">
        <f>SUM(C103:F103)+SUM(C41:M41)</f>
        <v>631636195.82600224</v>
      </c>
      <c r="F104" s="1135"/>
      <c r="H104" s="1136" t="s">
        <v>31</v>
      </c>
      <c r="I104" s="1137"/>
      <c r="J104" s="1137"/>
      <c r="K104" s="1138">
        <f>K86+K92+K99</f>
        <v>579825667.69989312</v>
      </c>
      <c r="L104" s="1138"/>
      <c r="M104" s="1125">
        <v>1</v>
      </c>
      <c r="N104" s="1101"/>
    </row>
  </sheetData>
  <mergeCells count="141">
    <mergeCell ref="L4:M4"/>
    <mergeCell ref="A5:A6"/>
    <mergeCell ref="A8:A9"/>
    <mergeCell ref="A18:B18"/>
    <mergeCell ref="A20:B20"/>
    <mergeCell ref="A21:B21"/>
    <mergeCell ref="A14:B14"/>
    <mergeCell ref="A15:B15"/>
    <mergeCell ref="A16:B16"/>
    <mergeCell ref="A10:B10"/>
    <mergeCell ref="A11:B11"/>
    <mergeCell ref="A13:B13"/>
    <mergeCell ref="A33:B33"/>
    <mergeCell ref="A34:B34"/>
    <mergeCell ref="A35:B35"/>
    <mergeCell ref="A29:A30"/>
    <mergeCell ref="A31:B31"/>
    <mergeCell ref="A32:B32"/>
    <mergeCell ref="A22:B22"/>
    <mergeCell ref="L25:M25"/>
    <mergeCell ref="A26:A27"/>
    <mergeCell ref="A56:N56"/>
    <mergeCell ref="A60:A61"/>
    <mergeCell ref="A47:B47"/>
    <mergeCell ref="A41:B41"/>
    <mergeCell ref="L43:M43"/>
    <mergeCell ref="A44:B44"/>
    <mergeCell ref="A46:B46"/>
    <mergeCell ref="A36:B36"/>
    <mergeCell ref="A37:B37"/>
    <mergeCell ref="A39:B39"/>
    <mergeCell ref="A74:B74"/>
    <mergeCell ref="A75:B75"/>
    <mergeCell ref="A77:B77"/>
    <mergeCell ref="A70:A71"/>
    <mergeCell ref="A72:A73"/>
    <mergeCell ref="A66:B66"/>
    <mergeCell ref="A67:B67"/>
    <mergeCell ref="A68:B68"/>
    <mergeCell ref="A62:A63"/>
    <mergeCell ref="A64:B64"/>
    <mergeCell ref="A65:B65"/>
    <mergeCell ref="A81:B81"/>
    <mergeCell ref="A83:F83"/>
    <mergeCell ref="H83:N83"/>
    <mergeCell ref="A84:B84"/>
    <mergeCell ref="C84:D84"/>
    <mergeCell ref="E84:F84"/>
    <mergeCell ref="H84:J84"/>
    <mergeCell ref="K84:L84"/>
    <mergeCell ref="A78:B78"/>
    <mergeCell ref="A79:B79"/>
    <mergeCell ref="A80:B80"/>
    <mergeCell ref="K86:L86"/>
    <mergeCell ref="A88:A89"/>
    <mergeCell ref="E88:F88"/>
    <mergeCell ref="H88:J88"/>
    <mergeCell ref="K88:L88"/>
    <mergeCell ref="M88:N88"/>
    <mergeCell ref="E89:F89"/>
    <mergeCell ref="A85:A86"/>
    <mergeCell ref="E85:F85"/>
    <mergeCell ref="H85:J85"/>
    <mergeCell ref="E86:F86"/>
    <mergeCell ref="H86:J86"/>
    <mergeCell ref="A91:B91"/>
    <mergeCell ref="E91:F91"/>
    <mergeCell ref="H91:J91"/>
    <mergeCell ref="K91:L91"/>
    <mergeCell ref="M91:N91"/>
    <mergeCell ref="H89:J89"/>
    <mergeCell ref="K89:L89"/>
    <mergeCell ref="M89:N89"/>
    <mergeCell ref="A90:B90"/>
    <mergeCell ref="E90:F90"/>
    <mergeCell ref="H90:J90"/>
    <mergeCell ref="K90:L90"/>
    <mergeCell ref="M90:N90"/>
    <mergeCell ref="A93:B93"/>
    <mergeCell ref="E93:F93"/>
    <mergeCell ref="H93:J93"/>
    <mergeCell ref="K93:L93"/>
    <mergeCell ref="M93:N93"/>
    <mergeCell ref="A92:B92"/>
    <mergeCell ref="E92:F92"/>
    <mergeCell ref="H92:J92"/>
    <mergeCell ref="K92:L92"/>
    <mergeCell ref="M95:N95"/>
    <mergeCell ref="C96:D96"/>
    <mergeCell ref="E96:F96"/>
    <mergeCell ref="H96:J96"/>
    <mergeCell ref="K96:L96"/>
    <mergeCell ref="M96:N96"/>
    <mergeCell ref="A94:B94"/>
    <mergeCell ref="E94:F94"/>
    <mergeCell ref="H94:J94"/>
    <mergeCell ref="K94:L94"/>
    <mergeCell ref="M94:N94"/>
    <mergeCell ref="A95:B95"/>
    <mergeCell ref="E95:F95"/>
    <mergeCell ref="H95:J95"/>
    <mergeCell ref="K95:L95"/>
    <mergeCell ref="C100:D100"/>
    <mergeCell ref="E100:F100"/>
    <mergeCell ref="H100:J100"/>
    <mergeCell ref="K100:L100"/>
    <mergeCell ref="M100:N100"/>
    <mergeCell ref="C97:D97"/>
    <mergeCell ref="E97:F97"/>
    <mergeCell ref="H97:J97"/>
    <mergeCell ref="K97:L97"/>
    <mergeCell ref="M97:N97"/>
    <mergeCell ref="C98:D98"/>
    <mergeCell ref="E98:F98"/>
    <mergeCell ref="H98:J98"/>
    <mergeCell ref="K98:L98"/>
    <mergeCell ref="M98:N98"/>
    <mergeCell ref="E87:F87"/>
    <mergeCell ref="C103:D103"/>
    <mergeCell ref="E103:F103"/>
    <mergeCell ref="H103:J103"/>
    <mergeCell ref="K103:L103"/>
    <mergeCell ref="M103:N103"/>
    <mergeCell ref="C104:D104"/>
    <mergeCell ref="E104:F104"/>
    <mergeCell ref="H104:J104"/>
    <mergeCell ref="K104:L104"/>
    <mergeCell ref="C101:D101"/>
    <mergeCell ref="E101:F101"/>
    <mergeCell ref="H101:J101"/>
    <mergeCell ref="K101:L101"/>
    <mergeCell ref="M101:N101"/>
    <mergeCell ref="C102:D102"/>
    <mergeCell ref="E102:F102"/>
    <mergeCell ref="H102:J102"/>
    <mergeCell ref="K102:L102"/>
    <mergeCell ref="M102:N102"/>
    <mergeCell ref="C99:D99"/>
    <mergeCell ref="E99:F99"/>
    <mergeCell ref="H99:J99"/>
    <mergeCell ref="K99:L99"/>
  </mergeCells>
  <pageMargins left="0.25" right="0.25" top="0.75" bottom="0.75" header="0.3" footer="0.3"/>
  <pageSetup paperSize="3" scale="58" fitToHeight="0" orientation="portrait" r:id="rId1"/>
  <headerFooter alignWithMargins="0">
    <oddHeader xml:space="preserve">&amp;L&amp;"Arial,Bold"2019 ULI Hines Student Competition&amp;RTeam &amp;A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AD70C-0B52-4679-96A0-B05B2D5CB76F}">
  <dimension ref="A1:N40"/>
  <sheetViews>
    <sheetView view="pageBreakPreview" zoomScale="85" zoomScaleNormal="100" zoomScaleSheetLayoutView="85" workbookViewId="0">
      <selection activeCell="B16" sqref="B16"/>
    </sheetView>
  </sheetViews>
  <sheetFormatPr defaultColWidth="9.1796875" defaultRowHeight="12.5"/>
  <cols>
    <col min="1" max="1" width="28.1796875" style="89" customWidth="1"/>
    <col min="2" max="2" width="12.7265625" style="90" customWidth="1"/>
    <col min="3" max="3" width="13.7265625" style="90" customWidth="1"/>
    <col min="4" max="13" width="13.7265625" style="89" customWidth="1"/>
    <col min="14" max="14" width="15.26953125" style="89" bestFit="1" customWidth="1"/>
    <col min="15" max="16384" width="9.1796875" style="89"/>
  </cols>
  <sheetData>
    <row r="1" spans="1:14" ht="14.15" customHeight="1" thickBot="1">
      <c r="A1" s="38"/>
      <c r="B1" s="56"/>
      <c r="C1" s="56"/>
      <c r="D1" s="38"/>
      <c r="E1" s="38"/>
      <c r="F1" s="38"/>
      <c r="G1" s="38"/>
      <c r="H1" s="38"/>
      <c r="I1" s="38"/>
      <c r="J1" s="38"/>
      <c r="K1" s="38"/>
      <c r="L1" s="135" t="s">
        <v>98</v>
      </c>
      <c r="M1" s="319">
        <f>'1.Infrastructure Costs'!$N$1</f>
        <v>202</v>
      </c>
    </row>
    <row r="2" spans="1:14" ht="14.15" customHeight="1" thickBot="1">
      <c r="A2" s="38"/>
      <c r="B2" s="56"/>
      <c r="C2" s="56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4.15" customHeight="1" thickBot="1">
      <c r="A3" s="123"/>
      <c r="B3" s="203"/>
      <c r="C3" s="129" t="s">
        <v>55</v>
      </c>
      <c r="D3" s="96" t="s">
        <v>36</v>
      </c>
      <c r="E3" s="97"/>
      <c r="F3" s="41"/>
      <c r="G3" s="96" t="s">
        <v>77</v>
      </c>
      <c r="H3" s="144"/>
      <c r="I3" s="41"/>
      <c r="J3" s="39" t="s">
        <v>78</v>
      </c>
      <c r="K3" s="39"/>
      <c r="L3" s="40"/>
      <c r="M3" s="41"/>
    </row>
    <row r="4" spans="1:14" ht="14.15" customHeight="1" thickBot="1">
      <c r="A4" s="62"/>
      <c r="B4" s="63"/>
      <c r="C4" s="137">
        <v>0</v>
      </c>
      <c r="D4" s="94">
        <f>C4+1</f>
        <v>1</v>
      </c>
      <c r="E4" s="93">
        <f t="shared" ref="E4:M5" si="0">D4+1</f>
        <v>2</v>
      </c>
      <c r="F4" s="95">
        <f t="shared" si="0"/>
        <v>3</v>
      </c>
      <c r="G4" s="94">
        <f t="shared" si="0"/>
        <v>4</v>
      </c>
      <c r="H4" s="136">
        <f t="shared" si="0"/>
        <v>5</v>
      </c>
      <c r="I4" s="95">
        <f t="shared" si="0"/>
        <v>6</v>
      </c>
      <c r="J4" s="93">
        <f t="shared" si="0"/>
        <v>7</v>
      </c>
      <c r="K4" s="93">
        <f t="shared" si="0"/>
        <v>8</v>
      </c>
      <c r="L4" s="93">
        <f t="shared" si="0"/>
        <v>9</v>
      </c>
      <c r="M4" s="95">
        <f t="shared" si="0"/>
        <v>10</v>
      </c>
    </row>
    <row r="5" spans="1:14" ht="13.5" customHeight="1" thickBot="1">
      <c r="A5" s="65"/>
      <c r="B5" s="136"/>
      <c r="C5" s="137" t="s">
        <v>379</v>
      </c>
      <c r="D5" s="276">
        <v>2022</v>
      </c>
      <c r="E5" s="93">
        <f>D5+1</f>
        <v>2023</v>
      </c>
      <c r="F5" s="95">
        <f t="shared" si="0"/>
        <v>2024</v>
      </c>
      <c r="G5" s="94">
        <f t="shared" si="0"/>
        <v>2025</v>
      </c>
      <c r="H5" s="93">
        <f t="shared" si="0"/>
        <v>2026</v>
      </c>
      <c r="I5" s="95">
        <f t="shared" si="0"/>
        <v>2027</v>
      </c>
      <c r="J5" s="93">
        <f t="shared" si="0"/>
        <v>2028</v>
      </c>
      <c r="K5" s="93">
        <f t="shared" si="0"/>
        <v>2029</v>
      </c>
      <c r="L5" s="93">
        <f>K5+1</f>
        <v>2030</v>
      </c>
      <c r="M5" s="95">
        <f>L5+1</f>
        <v>2031</v>
      </c>
    </row>
    <row r="6" spans="1:14" ht="13.5" thickBot="1">
      <c r="A6" s="198" t="s">
        <v>10</v>
      </c>
      <c r="B6" s="195"/>
      <c r="C6" s="204"/>
      <c r="D6" s="207"/>
      <c r="E6" s="196"/>
      <c r="F6" s="197"/>
      <c r="G6" s="207"/>
      <c r="H6" s="196"/>
      <c r="I6" s="197"/>
      <c r="J6" s="207"/>
      <c r="K6" s="196"/>
      <c r="L6" s="196"/>
      <c r="M6" s="197"/>
    </row>
    <row r="7" spans="1:14" s="38" customFormat="1" ht="13">
      <c r="A7" s="61" t="s">
        <v>36</v>
      </c>
      <c r="B7" s="63"/>
      <c r="C7" s="131"/>
      <c r="D7" s="62"/>
      <c r="E7" s="68"/>
      <c r="F7" s="105"/>
      <c r="G7" s="62"/>
      <c r="H7" s="68"/>
      <c r="I7" s="105"/>
      <c r="J7" s="62"/>
      <c r="K7" s="68"/>
      <c r="L7" s="68"/>
      <c r="M7" s="105"/>
    </row>
    <row r="8" spans="1:14" s="38" customFormat="1">
      <c r="A8" s="173" t="s">
        <v>11</v>
      </c>
      <c r="B8" s="122">
        <v>0.03</v>
      </c>
      <c r="C8" s="130"/>
      <c r="D8" s="133"/>
      <c r="E8" s="99"/>
      <c r="F8" s="104"/>
      <c r="G8" s="133"/>
      <c r="H8" s="99"/>
      <c r="I8" s="104"/>
      <c r="J8" s="133"/>
      <c r="K8" s="99"/>
      <c r="L8" s="99"/>
      <c r="M8" s="104"/>
    </row>
    <row r="9" spans="1:14" s="38" customFormat="1">
      <c r="A9" s="173" t="s">
        <v>561</v>
      </c>
      <c r="B9" s="122"/>
      <c r="C9" s="131">
        <f>'Development Schedule'!D25</f>
        <v>0</v>
      </c>
      <c r="D9" s="211">
        <f>'Development Schedule'!E25</f>
        <v>0</v>
      </c>
      <c r="E9" s="184">
        <f>'Development Schedule'!F25</f>
        <v>0</v>
      </c>
      <c r="F9" s="189">
        <f>'Development Schedule'!G25</f>
        <v>0</v>
      </c>
      <c r="G9" s="211">
        <f>'Development Schedule'!H25</f>
        <v>0</v>
      </c>
      <c r="H9" s="184">
        <f>'Development Schedule'!I25</f>
        <v>24587.200000000001</v>
      </c>
      <c r="I9" s="189">
        <f>H9</f>
        <v>24587.200000000001</v>
      </c>
      <c r="J9" s="211">
        <f t="shared" ref="J9:M9" si="1">I9</f>
        <v>24587.200000000001</v>
      </c>
      <c r="K9" s="184">
        <f t="shared" si="1"/>
        <v>24587.200000000001</v>
      </c>
      <c r="L9" s="184">
        <f t="shared" si="1"/>
        <v>24587.200000000001</v>
      </c>
      <c r="M9" s="189">
        <f t="shared" si="1"/>
        <v>24587.200000000001</v>
      </c>
    </row>
    <row r="10" spans="1:14" s="38" customFormat="1" ht="14.15" customHeight="1">
      <c r="A10" s="173" t="s">
        <v>39</v>
      </c>
      <c r="B10" s="846">
        <v>0.95</v>
      </c>
      <c r="C10" s="131">
        <f>'Development Schedule'!D25*'8.Vocational School'!$B$10</f>
        <v>0</v>
      </c>
      <c r="D10" s="211">
        <f>'Development Schedule'!E25*'8.Vocational School'!$B$10</f>
        <v>0</v>
      </c>
      <c r="E10" s="184">
        <f>'Development Schedule'!F25*'8.Vocational School'!$B$10</f>
        <v>0</v>
      </c>
      <c r="F10" s="189">
        <f>'Development Schedule'!G25*'8.Vocational School'!$B$10</f>
        <v>0</v>
      </c>
      <c r="G10" s="211">
        <f>'Development Schedule'!H25*'8.Vocational School'!$B$10</f>
        <v>0</v>
      </c>
      <c r="H10" s="184">
        <f>'Development Schedule'!I25*'8.Vocational School'!$B$10</f>
        <v>23357.84</v>
      </c>
      <c r="I10" s="189">
        <f>H10</f>
        <v>23357.84</v>
      </c>
      <c r="J10" s="211">
        <f t="shared" ref="J10:M10" si="2">I10</f>
        <v>23357.84</v>
      </c>
      <c r="K10" s="184">
        <f t="shared" si="2"/>
        <v>23357.84</v>
      </c>
      <c r="L10" s="184">
        <f t="shared" si="2"/>
        <v>23357.84</v>
      </c>
      <c r="M10" s="189">
        <f t="shared" si="2"/>
        <v>23357.84</v>
      </c>
    </row>
    <row r="11" spans="1:14" s="38" customFormat="1" ht="14.15" customHeight="1">
      <c r="A11" s="173" t="s">
        <v>106</v>
      </c>
      <c r="B11" s="63"/>
      <c r="C11" s="220">
        <v>4</v>
      </c>
      <c r="D11" s="212">
        <f t="shared" ref="D11:M11" si="3">$C$11*(1+$B$8)^D4</f>
        <v>4.12</v>
      </c>
      <c r="E11" s="199">
        <f t="shared" si="3"/>
        <v>4.2435999999999998</v>
      </c>
      <c r="F11" s="200">
        <f t="shared" si="3"/>
        <v>4.370908</v>
      </c>
      <c r="G11" s="212">
        <f t="shared" si="3"/>
        <v>4.5020352399999997</v>
      </c>
      <c r="H11" s="199">
        <f t="shared" si="3"/>
        <v>4.6370962971999994</v>
      </c>
      <c r="I11" s="200">
        <f t="shared" si="3"/>
        <v>4.7762091861159996</v>
      </c>
      <c r="J11" s="212">
        <f t="shared" si="3"/>
        <v>4.9194954616994799</v>
      </c>
      <c r="K11" s="199">
        <f t="shared" si="3"/>
        <v>5.0670803255504637</v>
      </c>
      <c r="L11" s="199">
        <f t="shared" si="3"/>
        <v>5.2190927353169778</v>
      </c>
      <c r="M11" s="200">
        <f t="shared" si="3"/>
        <v>5.3756655173764871</v>
      </c>
    </row>
    <row r="12" spans="1:14" s="38" customFormat="1" ht="14.15" customHeight="1" thickBot="1">
      <c r="A12" s="134" t="s">
        <v>40</v>
      </c>
      <c r="B12" s="190"/>
      <c r="C12" s="206"/>
      <c r="D12" s="213">
        <v>0</v>
      </c>
      <c r="E12" s="191">
        <v>0</v>
      </c>
      <c r="F12" s="214">
        <v>0</v>
      </c>
      <c r="G12" s="217">
        <v>0</v>
      </c>
      <c r="H12" s="842">
        <f>G12</f>
        <v>0</v>
      </c>
      <c r="I12" s="843">
        <v>1</v>
      </c>
      <c r="J12" s="844">
        <f t="shared" ref="J12:M12" si="4">I12</f>
        <v>1</v>
      </c>
      <c r="K12" s="842">
        <f t="shared" si="4"/>
        <v>1</v>
      </c>
      <c r="L12" s="842">
        <f t="shared" si="4"/>
        <v>1</v>
      </c>
      <c r="M12" s="843">
        <f t="shared" si="4"/>
        <v>1</v>
      </c>
    </row>
    <row r="13" spans="1:14" s="68" customFormat="1" ht="4.5" customHeight="1" thickBot="1">
      <c r="A13" s="173"/>
      <c r="B13" s="101"/>
      <c r="C13" s="132"/>
      <c r="D13" s="215"/>
      <c r="E13" s="186"/>
      <c r="F13" s="216"/>
      <c r="G13" s="218"/>
      <c r="H13" s="122"/>
      <c r="I13" s="219"/>
      <c r="J13" s="264"/>
      <c r="K13" s="101"/>
      <c r="L13" s="101"/>
      <c r="M13" s="219"/>
    </row>
    <row r="14" spans="1:14" ht="13.5" thickBot="1">
      <c r="A14" s="198" t="s">
        <v>0</v>
      </c>
      <c r="B14" s="195"/>
      <c r="C14" s="204"/>
      <c r="D14" s="242"/>
      <c r="E14" s="201"/>
      <c r="F14" s="202"/>
      <c r="G14" s="242"/>
      <c r="H14" s="201"/>
      <c r="I14" s="202"/>
      <c r="J14" s="242"/>
      <c r="K14" s="201"/>
      <c r="L14" s="201"/>
      <c r="M14" s="202"/>
    </row>
    <row r="15" spans="1:14" s="38" customFormat="1" ht="14.15" customHeight="1">
      <c r="A15" s="173" t="s">
        <v>12</v>
      </c>
      <c r="B15" s="63"/>
      <c r="C15" s="260">
        <v>0</v>
      </c>
      <c r="D15" s="244">
        <f t="shared" ref="D15:M15" si="5">D11*D10*D12*12</f>
        <v>0</v>
      </c>
      <c r="E15" s="245">
        <f t="shared" si="5"/>
        <v>0</v>
      </c>
      <c r="F15" s="246">
        <f t="shared" si="5"/>
        <v>0</v>
      </c>
      <c r="G15" s="244">
        <f t="shared" si="5"/>
        <v>0</v>
      </c>
      <c r="H15" s="245">
        <f t="shared" si="5"/>
        <v>0</v>
      </c>
      <c r="I15" s="246">
        <f t="shared" si="5"/>
        <v>1338743.159709933</v>
      </c>
      <c r="J15" s="261">
        <f t="shared" si="5"/>
        <v>1378905.454501231</v>
      </c>
      <c r="K15" s="230">
        <f t="shared" si="5"/>
        <v>1420272.6181362676</v>
      </c>
      <c r="L15" s="230">
        <f t="shared" si="5"/>
        <v>1462880.7966803559</v>
      </c>
      <c r="M15" s="233">
        <f t="shared" si="5"/>
        <v>1506767.2205807664</v>
      </c>
      <c r="N15" s="325"/>
    </row>
    <row r="16" spans="1:14" s="38" customFormat="1" ht="14.15" customHeight="1">
      <c r="A16" s="234" t="s">
        <v>594</v>
      </c>
      <c r="B16" s="890">
        <v>0.45</v>
      </c>
      <c r="C16" s="262">
        <f>C15*-$B$16</f>
        <v>0</v>
      </c>
      <c r="D16" s="263">
        <f>D15*-$B$16</f>
        <v>0</v>
      </c>
      <c r="E16" s="232">
        <f t="shared" ref="E16:M16" si="6">E15*-$B$16</f>
        <v>0</v>
      </c>
      <c r="F16" s="235">
        <f t="shared" si="6"/>
        <v>0</v>
      </c>
      <c r="G16" s="263">
        <f t="shared" si="6"/>
        <v>0</v>
      </c>
      <c r="H16" s="232">
        <f t="shared" si="6"/>
        <v>0</v>
      </c>
      <c r="I16" s="235">
        <f t="shared" si="6"/>
        <v>-602434.42186946981</v>
      </c>
      <c r="J16" s="263">
        <f t="shared" si="6"/>
        <v>-620507.45452555397</v>
      </c>
      <c r="K16" s="232">
        <f t="shared" si="6"/>
        <v>-639122.67816132051</v>
      </c>
      <c r="L16" s="232">
        <f t="shared" si="6"/>
        <v>-658296.35850616021</v>
      </c>
      <c r="M16" s="235">
        <f t="shared" si="6"/>
        <v>-678045.2492613449</v>
      </c>
      <c r="N16" s="325"/>
    </row>
    <row r="17" spans="1:13" s="38" customFormat="1" ht="14.15" customHeight="1" thickBot="1">
      <c r="A17" s="815" t="s">
        <v>5</v>
      </c>
      <c r="B17" s="66"/>
      <c r="C17" s="258">
        <f>SUM(C15:C16)</f>
        <v>0</v>
      </c>
      <c r="D17" s="259">
        <f>SUM(D15:D16)</f>
        <v>0</v>
      </c>
      <c r="E17" s="236">
        <f t="shared" ref="E17:M17" si="7">SUM(E15:E16)</f>
        <v>0</v>
      </c>
      <c r="F17" s="237">
        <f t="shared" si="7"/>
        <v>0</v>
      </c>
      <c r="G17" s="259">
        <f t="shared" si="7"/>
        <v>0</v>
      </c>
      <c r="H17" s="236">
        <f t="shared" si="7"/>
        <v>0</v>
      </c>
      <c r="I17" s="237">
        <f t="shared" si="7"/>
        <v>736308.73784046317</v>
      </c>
      <c r="J17" s="259">
        <f t="shared" si="7"/>
        <v>758397.999975677</v>
      </c>
      <c r="K17" s="236">
        <f t="shared" si="7"/>
        <v>781149.93997494713</v>
      </c>
      <c r="L17" s="236">
        <f t="shared" si="7"/>
        <v>804584.4381741957</v>
      </c>
      <c r="M17" s="237">
        <f t="shared" si="7"/>
        <v>828721.97131942154</v>
      </c>
    </row>
    <row r="18" spans="1:13" ht="13.5" thickBot="1">
      <c r="A18" s="198" t="s">
        <v>2</v>
      </c>
      <c r="B18" s="195"/>
      <c r="C18" s="204"/>
      <c r="D18" s="242"/>
      <c r="E18" s="201"/>
      <c r="F18" s="202"/>
      <c r="G18" s="242"/>
      <c r="H18" s="201"/>
      <c r="I18" s="202"/>
      <c r="J18" s="242"/>
      <c r="K18" s="201"/>
      <c r="L18" s="201"/>
      <c r="M18" s="202"/>
    </row>
    <row r="19" spans="1:13" s="38" customFormat="1" ht="14.15" customHeight="1">
      <c r="A19" s="173" t="s">
        <v>108</v>
      </c>
      <c r="B19" s="63"/>
      <c r="C19" s="220">
        <f>'Development Costs'!E32</f>
        <v>158.6456</v>
      </c>
      <c r="D19" s="212">
        <f t="shared" ref="D19:M19" si="8">$C$19*(1+$B$8)^D4</f>
        <v>163.404968</v>
      </c>
      <c r="E19" s="199">
        <f t="shared" si="8"/>
        <v>168.30711704000001</v>
      </c>
      <c r="F19" s="200">
        <f t="shared" si="8"/>
        <v>173.35633055119999</v>
      </c>
      <c r="G19" s="212">
        <f t="shared" si="8"/>
        <v>178.55702046773598</v>
      </c>
      <c r="H19" s="199">
        <f t="shared" si="8"/>
        <v>183.91373108176805</v>
      </c>
      <c r="I19" s="200">
        <f t="shared" si="8"/>
        <v>189.43114301422111</v>
      </c>
      <c r="J19" s="212">
        <f t="shared" si="8"/>
        <v>195.11407730464776</v>
      </c>
      <c r="K19" s="199">
        <f t="shared" si="8"/>
        <v>200.96749962378718</v>
      </c>
      <c r="L19" s="199">
        <f t="shared" si="8"/>
        <v>206.99652461250079</v>
      </c>
      <c r="M19" s="200">
        <f t="shared" si="8"/>
        <v>213.20642035087582</v>
      </c>
    </row>
    <row r="20" spans="1:13" s="38" customFormat="1" ht="14.15" customHeight="1">
      <c r="A20" s="173" t="s">
        <v>13</v>
      </c>
      <c r="B20" s="63"/>
      <c r="C20" s="255">
        <f>C21/SUM($C$21:$M$21)</f>
        <v>0</v>
      </c>
      <c r="D20" s="256">
        <f t="shared" ref="D20:M20" si="9">D21/SUM($C$21:$M$21)</f>
        <v>0</v>
      </c>
      <c r="E20" s="186">
        <f t="shared" si="9"/>
        <v>0</v>
      </c>
      <c r="F20" s="240">
        <f t="shared" si="9"/>
        <v>0</v>
      </c>
      <c r="G20" s="256">
        <f t="shared" si="9"/>
        <v>0</v>
      </c>
      <c r="H20" s="186">
        <f t="shared" si="9"/>
        <v>1</v>
      </c>
      <c r="I20" s="240">
        <f t="shared" si="9"/>
        <v>0</v>
      </c>
      <c r="J20" s="256">
        <f t="shared" si="9"/>
        <v>0</v>
      </c>
      <c r="K20" s="186">
        <f t="shared" si="9"/>
        <v>0</v>
      </c>
      <c r="L20" s="186">
        <f t="shared" si="9"/>
        <v>0</v>
      </c>
      <c r="M20" s="240">
        <f t="shared" si="9"/>
        <v>0</v>
      </c>
    </row>
    <row r="21" spans="1:13" s="38" customFormat="1" ht="14.15" customHeight="1">
      <c r="A21" s="173" t="s">
        <v>2</v>
      </c>
      <c r="B21" s="63"/>
      <c r="C21" s="159">
        <f>C19*'Development Schedule'!D25</f>
        <v>0</v>
      </c>
      <c r="D21" s="322">
        <f>D19*'Development Schedule'!E25</f>
        <v>0</v>
      </c>
      <c r="E21" s="323">
        <f>E19*'Development Schedule'!F25</f>
        <v>0</v>
      </c>
      <c r="F21" s="324">
        <f>F19*'Development Schedule'!G25</f>
        <v>0</v>
      </c>
      <c r="G21" s="322">
        <f>G19*'Development Schedule'!H25</f>
        <v>0</v>
      </c>
      <c r="H21" s="323">
        <f>H19*'Development Schedule'!I25</f>
        <v>4521923.6888536476</v>
      </c>
      <c r="I21" s="324">
        <f>I19*'Development Schedule'!J25</f>
        <v>0</v>
      </c>
      <c r="J21" s="322">
        <f>J19*'Development Schedule'!K25</f>
        <v>0</v>
      </c>
      <c r="K21" s="323">
        <f>K19*'Development Schedule'!L25</f>
        <v>0</v>
      </c>
      <c r="L21" s="323">
        <f>L19*'Development Schedule'!M25</f>
        <v>0</v>
      </c>
      <c r="M21" s="324">
        <f>M19*'Development Schedule'!N25</f>
        <v>0</v>
      </c>
    </row>
    <row r="22" spans="1:13" s="38" customFormat="1" ht="13.5" customHeight="1" thickBot="1">
      <c r="A22" s="815" t="s">
        <v>3</v>
      </c>
      <c r="B22" s="66"/>
      <c r="C22" s="258">
        <f>C21</f>
        <v>0</v>
      </c>
      <c r="D22" s="259">
        <f t="shared" ref="D22:M22" si="10">D21</f>
        <v>0</v>
      </c>
      <c r="E22" s="236">
        <f t="shared" si="10"/>
        <v>0</v>
      </c>
      <c r="F22" s="237">
        <f t="shared" si="10"/>
        <v>0</v>
      </c>
      <c r="G22" s="259">
        <f t="shared" si="10"/>
        <v>0</v>
      </c>
      <c r="H22" s="236">
        <f t="shared" si="10"/>
        <v>4521923.6888536476</v>
      </c>
      <c r="I22" s="237">
        <f t="shared" si="10"/>
        <v>0</v>
      </c>
      <c r="J22" s="259">
        <f t="shared" si="10"/>
        <v>0</v>
      </c>
      <c r="K22" s="236">
        <f t="shared" si="10"/>
        <v>0</v>
      </c>
      <c r="L22" s="236">
        <f t="shared" si="10"/>
        <v>0</v>
      </c>
      <c r="M22" s="237">
        <f t="shared" si="10"/>
        <v>0</v>
      </c>
    </row>
    <row r="23" spans="1:13" ht="13.5" thickBot="1">
      <c r="A23" s="198" t="s">
        <v>4</v>
      </c>
      <c r="B23" s="195"/>
      <c r="C23" s="204"/>
      <c r="D23" s="242"/>
      <c r="E23" s="201"/>
      <c r="F23" s="202"/>
      <c r="G23" s="242"/>
      <c r="H23" s="201"/>
      <c r="I23" s="202"/>
      <c r="J23" s="242"/>
      <c r="K23" s="201"/>
      <c r="L23" s="201"/>
      <c r="M23" s="202"/>
    </row>
    <row r="24" spans="1:13" ht="14.15" customHeight="1">
      <c r="A24" s="173" t="s">
        <v>5</v>
      </c>
      <c r="B24" s="63"/>
      <c r="C24" s="243">
        <f t="shared" ref="C24:M24" si="11">C17</f>
        <v>0</v>
      </c>
      <c r="D24" s="244">
        <f t="shared" si="11"/>
        <v>0</v>
      </c>
      <c r="E24" s="245">
        <f t="shared" si="11"/>
        <v>0</v>
      </c>
      <c r="F24" s="246">
        <f t="shared" si="11"/>
        <v>0</v>
      </c>
      <c r="G24" s="244">
        <f t="shared" si="11"/>
        <v>0</v>
      </c>
      <c r="H24" s="245">
        <f t="shared" si="11"/>
        <v>0</v>
      </c>
      <c r="I24" s="246">
        <f t="shared" si="11"/>
        <v>736308.73784046317</v>
      </c>
      <c r="J24" s="230">
        <f t="shared" si="11"/>
        <v>758397.999975677</v>
      </c>
      <c r="K24" s="230">
        <f t="shared" si="11"/>
        <v>781149.93997494713</v>
      </c>
      <c r="L24" s="230">
        <f t="shared" si="11"/>
        <v>804584.4381741957</v>
      </c>
      <c r="M24" s="233">
        <f t="shared" si="11"/>
        <v>828721.97131942154</v>
      </c>
    </row>
    <row r="25" spans="1:13" ht="14.15" customHeight="1">
      <c r="A25" s="173" t="s">
        <v>57</v>
      </c>
      <c r="B25" s="101">
        <f>D37</f>
        <v>0.11</v>
      </c>
      <c r="C25" s="143">
        <v>0</v>
      </c>
      <c r="D25" s="247">
        <f>C25</f>
        <v>0</v>
      </c>
      <c r="E25" s="238">
        <f t="shared" ref="E25:L26" si="12">D25</f>
        <v>0</v>
      </c>
      <c r="F25" s="248">
        <f t="shared" si="12"/>
        <v>0</v>
      </c>
      <c r="G25" s="247">
        <f t="shared" si="12"/>
        <v>0</v>
      </c>
      <c r="H25" s="238">
        <f t="shared" si="12"/>
        <v>0</v>
      </c>
      <c r="I25" s="248">
        <f t="shared" si="12"/>
        <v>0</v>
      </c>
      <c r="J25" s="238">
        <f t="shared" si="12"/>
        <v>0</v>
      </c>
      <c r="K25" s="238">
        <f t="shared" si="12"/>
        <v>0</v>
      </c>
      <c r="L25" s="238">
        <f t="shared" si="12"/>
        <v>0</v>
      </c>
      <c r="M25" s="248">
        <f>M24/B25</f>
        <v>7533836.1029038318</v>
      </c>
    </row>
    <row r="26" spans="1:13" ht="14.15" customHeight="1">
      <c r="A26" s="173" t="s">
        <v>58</v>
      </c>
      <c r="B26" s="101">
        <f>D38</f>
        <v>0.03</v>
      </c>
      <c r="C26" s="143">
        <v>0</v>
      </c>
      <c r="D26" s="247">
        <f>C26</f>
        <v>0</v>
      </c>
      <c r="E26" s="238">
        <f t="shared" si="12"/>
        <v>0</v>
      </c>
      <c r="F26" s="248">
        <f t="shared" si="12"/>
        <v>0</v>
      </c>
      <c r="G26" s="247">
        <f t="shared" si="12"/>
        <v>0</v>
      </c>
      <c r="H26" s="238">
        <f t="shared" si="12"/>
        <v>0</v>
      </c>
      <c r="I26" s="248">
        <f t="shared" si="12"/>
        <v>0</v>
      </c>
      <c r="J26" s="238">
        <f t="shared" si="12"/>
        <v>0</v>
      </c>
      <c r="K26" s="238">
        <f t="shared" si="12"/>
        <v>0</v>
      </c>
      <c r="L26" s="238">
        <f t="shared" si="12"/>
        <v>0</v>
      </c>
      <c r="M26" s="248">
        <f>M25*-B26</f>
        <v>-226015.08308711494</v>
      </c>
    </row>
    <row r="27" spans="1:13" ht="14.15" customHeight="1">
      <c r="A27" s="234" t="s">
        <v>109</v>
      </c>
      <c r="B27" s="239"/>
      <c r="C27" s="262">
        <f>-C22</f>
        <v>0</v>
      </c>
      <c r="D27" s="263">
        <f t="shared" ref="D27:M27" si="13">-D22</f>
        <v>0</v>
      </c>
      <c r="E27" s="232">
        <f t="shared" si="13"/>
        <v>0</v>
      </c>
      <c r="F27" s="235">
        <f t="shared" si="13"/>
        <v>0</v>
      </c>
      <c r="G27" s="263">
        <f t="shared" si="13"/>
        <v>0</v>
      </c>
      <c r="H27" s="232">
        <f t="shared" si="13"/>
        <v>-4521923.6888536476</v>
      </c>
      <c r="I27" s="235">
        <f t="shared" si="13"/>
        <v>0</v>
      </c>
      <c r="J27" s="232">
        <f t="shared" si="13"/>
        <v>0</v>
      </c>
      <c r="K27" s="232">
        <f t="shared" si="13"/>
        <v>0</v>
      </c>
      <c r="L27" s="232">
        <f t="shared" si="13"/>
        <v>0</v>
      </c>
      <c r="M27" s="235">
        <f t="shared" si="13"/>
        <v>0</v>
      </c>
    </row>
    <row r="28" spans="1:13" ht="13.5" thickBot="1">
      <c r="A28" s="110" t="s">
        <v>6</v>
      </c>
      <c r="B28" s="66"/>
      <c r="C28" s="306">
        <f>SUM(C24:C27)</f>
        <v>0</v>
      </c>
      <c r="D28" s="306">
        <f t="shared" ref="D28:M28" si="14">SUM(D24:D27)</f>
        <v>0</v>
      </c>
      <c r="E28" s="307">
        <f t="shared" si="14"/>
        <v>0</v>
      </c>
      <c r="F28" s="308">
        <f t="shared" si="14"/>
        <v>0</v>
      </c>
      <c r="G28" s="306">
        <f t="shared" si="14"/>
        <v>0</v>
      </c>
      <c r="H28" s="307">
        <f t="shared" si="14"/>
        <v>-4521923.6888536476</v>
      </c>
      <c r="I28" s="308">
        <f t="shared" si="14"/>
        <v>736308.73784046317</v>
      </c>
      <c r="J28" s="307">
        <f t="shared" si="14"/>
        <v>758397.999975677</v>
      </c>
      <c r="K28" s="307">
        <f t="shared" si="14"/>
        <v>781149.93997494713</v>
      </c>
      <c r="L28" s="307">
        <f t="shared" si="14"/>
        <v>804584.4381741957</v>
      </c>
      <c r="M28" s="308">
        <f t="shared" si="14"/>
        <v>8136542.9911361383</v>
      </c>
    </row>
    <row r="29" spans="1:13" ht="13.5" thickBot="1">
      <c r="A29" s="109" t="s">
        <v>26</v>
      </c>
      <c r="B29" s="98"/>
      <c r="C29" s="306">
        <f>C28+NPV(D39,D28:M28)</f>
        <v>2114415.9190163673</v>
      </c>
      <c r="D29" s="266"/>
      <c r="E29" s="267"/>
      <c r="F29" s="268"/>
      <c r="G29" s="266"/>
      <c r="H29" s="267"/>
      <c r="I29" s="268"/>
      <c r="J29" s="267"/>
      <c r="K29" s="267"/>
      <c r="L29" s="267"/>
      <c r="M29" s="268"/>
    </row>
    <row r="30" spans="1:13" ht="13.5" thickBot="1">
      <c r="A30" s="80" t="s">
        <v>59</v>
      </c>
      <c r="B30" s="153"/>
      <c r="C30" s="269">
        <f>IRR(C28:M28,0)</f>
        <v>0.24630974815609341</v>
      </c>
      <c r="D30" s="251"/>
      <c r="E30" s="153"/>
      <c r="F30" s="172"/>
      <c r="G30" s="251"/>
      <c r="H30" s="153"/>
      <c r="I30" s="172"/>
      <c r="J30" s="153"/>
      <c r="K30" s="153"/>
      <c r="L30" s="153"/>
      <c r="M30" s="172"/>
    </row>
    <row r="31" spans="1:13" ht="13" thickBot="1">
      <c r="A31" s="38"/>
      <c r="B31" s="56"/>
      <c r="C31" s="56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3.5" thickBot="1">
      <c r="A32" s="183" t="s">
        <v>101</v>
      </c>
      <c r="B32" s="158"/>
      <c r="C32" s="158"/>
      <c r="D32" s="182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3.5" thickBot="1">
      <c r="A33" s="123"/>
      <c r="B33" s="203"/>
      <c r="C33" s="373" t="s">
        <v>121</v>
      </c>
      <c r="D33" s="443" t="s">
        <v>120</v>
      </c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3" thickBot="1">
      <c r="A34" s="78" t="s">
        <v>493</v>
      </c>
      <c r="B34" s="153"/>
      <c r="C34" s="866">
        <f>D34*B10</f>
        <v>23357.84</v>
      </c>
      <c r="D34" s="867">
        <f>'Development Schedule'!C25</f>
        <v>24587.200000000001</v>
      </c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3" thickBot="1">
      <c r="A35" s="38"/>
      <c r="B35" s="56"/>
      <c r="C35" s="56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3.5" thickBot="1">
      <c r="A36" s="183" t="s">
        <v>110</v>
      </c>
      <c r="B36" s="253"/>
      <c r="C36" s="253"/>
      <c r="D36" s="254"/>
      <c r="E36" s="38"/>
      <c r="F36" s="38"/>
      <c r="G36" s="38"/>
      <c r="H36" s="38"/>
      <c r="I36" s="38"/>
      <c r="J36" s="38"/>
      <c r="K36" s="38"/>
      <c r="L36" s="38"/>
      <c r="M36" s="38"/>
    </row>
    <row r="37" spans="1:13">
      <c r="A37" s="62" t="s">
        <v>111</v>
      </c>
      <c r="B37" s="63"/>
      <c r="C37" s="63"/>
      <c r="D37" s="828">
        <v>0.11</v>
      </c>
      <c r="E37" s="38"/>
      <c r="F37" s="38"/>
      <c r="G37" s="38"/>
      <c r="H37" s="38"/>
      <c r="I37" s="38"/>
      <c r="J37" s="38"/>
      <c r="K37" s="38"/>
      <c r="L37" s="38"/>
      <c r="M37" s="38"/>
    </row>
    <row r="38" spans="1:13">
      <c r="A38" s="62" t="s">
        <v>112</v>
      </c>
      <c r="B38" s="63"/>
      <c r="C38" s="63"/>
      <c r="D38" s="216">
        <v>0.03</v>
      </c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3" thickBot="1">
      <c r="A39" s="65" t="s">
        <v>97</v>
      </c>
      <c r="B39" s="66"/>
      <c r="C39" s="66"/>
      <c r="D39" s="214">
        <v>0.09</v>
      </c>
      <c r="E39" s="38"/>
      <c r="F39" s="38"/>
      <c r="G39" s="38"/>
      <c r="H39" s="38"/>
      <c r="I39" s="38"/>
      <c r="J39" s="38"/>
      <c r="K39" s="38"/>
      <c r="L39" s="38"/>
      <c r="M39" s="38"/>
    </row>
    <row r="40" spans="1:13">
      <c r="A40" s="38"/>
      <c r="B40" s="56"/>
      <c r="C40" s="56"/>
      <c r="D40" s="38"/>
      <c r="E40" s="38"/>
      <c r="F40" s="38"/>
      <c r="G40" s="38"/>
      <c r="H40" s="38"/>
      <c r="I40" s="38"/>
      <c r="J40" s="38"/>
      <c r="K40" s="38"/>
      <c r="L40" s="38"/>
      <c r="M40" s="38"/>
    </row>
  </sheetData>
  <printOptions horizontalCentered="1"/>
  <pageMargins left="0.5" right="0.5" top="1" bottom="0.5" header="0.5" footer="0.5"/>
  <pageSetup scale="65" orientation="landscape" r:id="rId1"/>
  <headerFooter alignWithMargins="0">
    <oddHeader>&amp;L&amp;"Arial,Bold"2. Income Statement: Market-rate Rental Housing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16"/>
  <sheetViews>
    <sheetView view="pageBreakPreview" topLeftCell="A54" zoomScale="85" zoomScaleNormal="100" zoomScaleSheetLayoutView="85" workbookViewId="0">
      <selection activeCell="D112" sqref="D112"/>
    </sheetView>
  </sheetViews>
  <sheetFormatPr defaultColWidth="9.1796875" defaultRowHeight="13" outlineLevelRow="1"/>
  <cols>
    <col min="1" max="1" width="23.1796875" style="1" customWidth="1"/>
    <col min="2" max="2" width="12.7265625" style="2" customWidth="1"/>
    <col min="3" max="3" width="13.7265625" style="2" customWidth="1"/>
    <col min="4" max="4" width="13.7265625" style="1" customWidth="1"/>
    <col min="5" max="5" width="16.54296875" style="1" bestFit="1" customWidth="1"/>
    <col min="6" max="7" width="15.54296875" style="1" bestFit="1" customWidth="1"/>
    <col min="8" max="13" width="13.7265625" style="1" customWidth="1"/>
    <col min="14" max="16384" width="9.1796875" style="1"/>
  </cols>
  <sheetData>
    <row r="1" spans="1:15" ht="14.15" customHeight="1" thickBot="1">
      <c r="A1" s="38"/>
      <c r="B1" s="56"/>
      <c r="C1" s="56"/>
      <c r="D1" s="38"/>
      <c r="E1" s="38"/>
      <c r="F1" s="38"/>
      <c r="G1" s="38"/>
      <c r="H1" s="38"/>
      <c r="I1" s="38"/>
      <c r="J1" s="38"/>
      <c r="K1" s="38"/>
      <c r="L1" s="135" t="s">
        <v>98</v>
      </c>
      <c r="M1" s="319">
        <f>'1.Infrastructure Costs'!$N$1</f>
        <v>202</v>
      </c>
    </row>
    <row r="2" spans="1:15" ht="14.15" customHeight="1" thickBot="1">
      <c r="A2" s="38"/>
      <c r="B2" s="56"/>
      <c r="C2" s="56"/>
      <c r="D2" s="38"/>
      <c r="E2" s="38"/>
      <c r="F2" s="38"/>
      <c r="G2" s="38"/>
      <c r="H2" s="38"/>
      <c r="I2" s="38"/>
      <c r="J2" s="38"/>
      <c r="K2" s="38"/>
      <c r="L2" s="337"/>
      <c r="M2" s="338"/>
    </row>
    <row r="3" spans="1:15" ht="14.15" customHeight="1" thickBot="1">
      <c r="A3" s="123"/>
      <c r="B3" s="203"/>
      <c r="C3" s="129" t="s">
        <v>55</v>
      </c>
      <c r="D3" s="96" t="s">
        <v>36</v>
      </c>
      <c r="E3" s="97"/>
      <c r="F3" s="41"/>
      <c r="G3" s="96" t="s">
        <v>77</v>
      </c>
      <c r="H3" s="144"/>
      <c r="I3" s="41"/>
      <c r="J3" s="96" t="s">
        <v>78</v>
      </c>
      <c r="K3" s="39"/>
      <c r="L3" s="40"/>
      <c r="M3" s="41"/>
      <c r="N3" s="3"/>
      <c r="O3" s="3"/>
    </row>
    <row r="4" spans="1:15" ht="14.15" customHeight="1" thickBot="1">
      <c r="A4" s="62"/>
      <c r="B4" s="63"/>
      <c r="C4" s="137">
        <v>0</v>
      </c>
      <c r="D4" s="44">
        <f>C4+1</f>
        <v>1</v>
      </c>
      <c r="E4" s="43">
        <f t="shared" ref="E4:M5" si="0">D4+1</f>
        <v>2</v>
      </c>
      <c r="F4" s="45">
        <f t="shared" si="0"/>
        <v>3</v>
      </c>
      <c r="G4" s="94">
        <f t="shared" si="0"/>
        <v>4</v>
      </c>
      <c r="H4" s="136">
        <f t="shared" si="0"/>
        <v>5</v>
      </c>
      <c r="I4" s="95">
        <f t="shared" si="0"/>
        <v>6</v>
      </c>
      <c r="J4" s="94">
        <f t="shared" si="0"/>
        <v>7</v>
      </c>
      <c r="K4" s="93">
        <f t="shared" si="0"/>
        <v>8</v>
      </c>
      <c r="L4" s="93">
        <f t="shared" si="0"/>
        <v>9</v>
      </c>
      <c r="M4" s="95">
        <f t="shared" si="0"/>
        <v>10</v>
      </c>
      <c r="N4" s="3"/>
      <c r="O4" s="3"/>
    </row>
    <row r="5" spans="1:15" ht="14.15" customHeight="1" thickBot="1">
      <c r="A5" s="65"/>
      <c r="B5" s="136"/>
      <c r="C5" s="137" t="s">
        <v>379</v>
      </c>
      <c r="D5" s="276">
        <v>2022</v>
      </c>
      <c r="E5" s="93">
        <f>D5+1</f>
        <v>2023</v>
      </c>
      <c r="F5" s="95">
        <f t="shared" si="0"/>
        <v>2024</v>
      </c>
      <c r="G5" s="94">
        <f t="shared" si="0"/>
        <v>2025</v>
      </c>
      <c r="H5" s="93">
        <f t="shared" si="0"/>
        <v>2026</v>
      </c>
      <c r="I5" s="95">
        <f t="shared" si="0"/>
        <v>2027</v>
      </c>
      <c r="J5" s="94">
        <f t="shared" si="0"/>
        <v>2028</v>
      </c>
      <c r="K5" s="93">
        <f t="shared" si="0"/>
        <v>2029</v>
      </c>
      <c r="L5" s="93">
        <f>K5+1</f>
        <v>2030</v>
      </c>
      <c r="M5" s="95">
        <f>L5+1</f>
        <v>2031</v>
      </c>
      <c r="N5" s="3"/>
      <c r="O5" s="3"/>
    </row>
    <row r="6" spans="1:15" ht="13.5" thickBot="1">
      <c r="A6" s="198" t="s">
        <v>10</v>
      </c>
      <c r="B6" s="195"/>
      <c r="C6" s="204"/>
      <c r="D6" s="207"/>
      <c r="E6" s="196"/>
      <c r="F6" s="196"/>
      <c r="G6" s="207"/>
      <c r="H6" s="196"/>
      <c r="I6" s="197"/>
      <c r="J6" s="207"/>
      <c r="K6" s="196"/>
      <c r="L6" s="196"/>
      <c r="M6" s="197"/>
    </row>
    <row r="7" spans="1:15" s="274" customFormat="1">
      <c r="A7" s="61" t="str">
        <f>A105</f>
        <v>Parking Garage #1</v>
      </c>
      <c r="B7" s="63"/>
      <c r="C7" s="209"/>
      <c r="D7" s="123"/>
      <c r="E7" s="315"/>
      <c r="F7" s="315"/>
      <c r="G7" s="62"/>
      <c r="H7" s="68"/>
      <c r="I7" s="105"/>
      <c r="J7" s="62"/>
      <c r="K7" s="68"/>
      <c r="L7" s="68"/>
      <c r="M7" s="105"/>
    </row>
    <row r="8" spans="1:15">
      <c r="A8" s="62" t="s">
        <v>11</v>
      </c>
      <c r="B8" s="122">
        <v>0.03</v>
      </c>
      <c r="C8" s="288"/>
      <c r="D8" s="62"/>
      <c r="E8" s="68"/>
      <c r="F8" s="68"/>
      <c r="G8" s="62"/>
      <c r="H8" s="68"/>
      <c r="I8" s="105"/>
      <c r="J8" s="62"/>
      <c r="K8" s="68"/>
      <c r="L8" s="68"/>
      <c r="M8" s="105"/>
    </row>
    <row r="9" spans="1:15">
      <c r="A9" s="62" t="s">
        <v>27</v>
      </c>
      <c r="B9" s="63"/>
      <c r="C9" s="318">
        <v>0</v>
      </c>
      <c r="D9" s="211">
        <f>C105</f>
        <v>626.08218750000015</v>
      </c>
      <c r="E9" s="184">
        <f>C105</f>
        <v>626.08218750000015</v>
      </c>
      <c r="F9" s="184">
        <f t="shared" ref="F9:M9" si="1">E9</f>
        <v>626.08218750000015</v>
      </c>
      <c r="G9" s="211">
        <f t="shared" si="1"/>
        <v>626.08218750000015</v>
      </c>
      <c r="H9" s="184">
        <f t="shared" si="1"/>
        <v>626.08218750000015</v>
      </c>
      <c r="I9" s="189">
        <f t="shared" si="1"/>
        <v>626.08218750000015</v>
      </c>
      <c r="J9" s="211">
        <f t="shared" si="1"/>
        <v>626.08218750000015</v>
      </c>
      <c r="K9" s="184">
        <f t="shared" si="1"/>
        <v>626.08218750000015</v>
      </c>
      <c r="L9" s="184">
        <f t="shared" si="1"/>
        <v>626.08218750000015</v>
      </c>
      <c r="M9" s="189">
        <f t="shared" si="1"/>
        <v>626.08218750000015</v>
      </c>
    </row>
    <row r="10" spans="1:15">
      <c r="A10" s="62" t="s">
        <v>81</v>
      </c>
      <c r="B10" s="63"/>
      <c r="C10" s="318">
        <v>0</v>
      </c>
      <c r="D10" s="211">
        <f>'Development Schedule'!E11</f>
        <v>200346.30000000005</v>
      </c>
      <c r="E10" s="184">
        <f>D105</f>
        <v>200346.30000000005</v>
      </c>
      <c r="F10" s="184">
        <f t="shared" ref="F10:M10" si="2">E10</f>
        <v>200346.30000000005</v>
      </c>
      <c r="G10" s="211">
        <f t="shared" si="2"/>
        <v>200346.30000000005</v>
      </c>
      <c r="H10" s="184">
        <f t="shared" si="2"/>
        <v>200346.30000000005</v>
      </c>
      <c r="I10" s="189">
        <f t="shared" si="2"/>
        <v>200346.30000000005</v>
      </c>
      <c r="J10" s="211">
        <f t="shared" si="2"/>
        <v>200346.30000000005</v>
      </c>
      <c r="K10" s="184">
        <f t="shared" si="2"/>
        <v>200346.30000000005</v>
      </c>
      <c r="L10" s="184">
        <f t="shared" si="2"/>
        <v>200346.30000000005</v>
      </c>
      <c r="M10" s="189">
        <f t="shared" si="2"/>
        <v>200346.30000000005</v>
      </c>
    </row>
    <row r="11" spans="1:15">
      <c r="A11" s="173" t="s">
        <v>18</v>
      </c>
      <c r="B11" s="63"/>
      <c r="C11" s="918">
        <v>100</v>
      </c>
      <c r="D11" s="419">
        <f>$C$11*(1+$B8)^D$4</f>
        <v>103</v>
      </c>
      <c r="E11" s="326">
        <f t="shared" ref="E11:M11" si="3">$C$11*(1+$B8)^E$4</f>
        <v>106.08999999999999</v>
      </c>
      <c r="F11" s="326">
        <f t="shared" si="3"/>
        <v>109.2727</v>
      </c>
      <c r="G11" s="419">
        <f t="shared" si="3"/>
        <v>112.55088099999999</v>
      </c>
      <c r="H11" s="326">
        <f t="shared" si="3"/>
        <v>115.92740742999999</v>
      </c>
      <c r="I11" s="390">
        <f t="shared" si="3"/>
        <v>119.40522965289999</v>
      </c>
      <c r="J11" s="419">
        <f t="shared" si="3"/>
        <v>122.987386542487</v>
      </c>
      <c r="K11" s="326">
        <f t="shared" si="3"/>
        <v>126.67700813876159</v>
      </c>
      <c r="L11" s="326">
        <f t="shared" si="3"/>
        <v>130.47731838292444</v>
      </c>
      <c r="M11" s="390">
        <f t="shared" si="3"/>
        <v>134.39163793441219</v>
      </c>
    </row>
    <row r="12" spans="1:15">
      <c r="A12" s="173" t="s">
        <v>19</v>
      </c>
      <c r="B12" s="63"/>
      <c r="C12" s="218">
        <v>0.3</v>
      </c>
      <c r="D12" s="264"/>
      <c r="E12" s="101"/>
      <c r="F12" s="101"/>
      <c r="G12" s="264"/>
      <c r="H12" s="101"/>
      <c r="I12" s="219"/>
      <c r="J12" s="264"/>
      <c r="K12" s="101"/>
      <c r="L12" s="101"/>
      <c r="M12" s="219"/>
    </row>
    <row r="13" spans="1:15">
      <c r="A13" s="173" t="s">
        <v>20</v>
      </c>
      <c r="B13" s="63"/>
      <c r="C13" s="218">
        <v>0.5</v>
      </c>
      <c r="D13" s="264"/>
      <c r="E13" s="101"/>
      <c r="F13" s="101"/>
      <c r="G13" s="264"/>
      <c r="H13" s="101"/>
      <c r="I13" s="219"/>
      <c r="J13" s="264"/>
      <c r="K13" s="101"/>
      <c r="L13" s="101"/>
      <c r="M13" s="219"/>
    </row>
    <row r="14" spans="1:15">
      <c r="A14" s="173" t="s">
        <v>21</v>
      </c>
      <c r="B14" s="63"/>
      <c r="C14" s="427">
        <f>52*2</f>
        <v>104</v>
      </c>
      <c r="D14" s="209"/>
      <c r="E14" s="63"/>
      <c r="F14" s="63"/>
      <c r="G14" s="209"/>
      <c r="H14" s="63"/>
      <c r="I14" s="181"/>
      <c r="J14" s="209"/>
      <c r="K14" s="63"/>
      <c r="L14" s="63"/>
      <c r="M14" s="181"/>
    </row>
    <row r="15" spans="1:15">
      <c r="A15" s="173" t="s">
        <v>22</v>
      </c>
      <c r="B15" s="63"/>
      <c r="C15" s="427">
        <v>24</v>
      </c>
      <c r="D15" s="209"/>
      <c r="E15" s="63"/>
      <c r="F15" s="63"/>
      <c r="G15" s="209"/>
      <c r="H15" s="63"/>
      <c r="I15" s="181"/>
      <c r="J15" s="209"/>
      <c r="K15" s="63"/>
      <c r="L15" s="63"/>
      <c r="M15" s="181"/>
    </row>
    <row r="16" spans="1:15">
      <c r="A16" s="173" t="s">
        <v>23</v>
      </c>
      <c r="B16" s="63"/>
      <c r="C16" s="218">
        <v>0.3</v>
      </c>
      <c r="D16" s="264"/>
      <c r="E16" s="101"/>
      <c r="F16" s="101"/>
      <c r="G16" s="264"/>
      <c r="H16" s="101"/>
      <c r="I16" s="219"/>
      <c r="J16" s="264"/>
      <c r="K16" s="101"/>
      <c r="L16" s="101"/>
      <c r="M16" s="219"/>
    </row>
    <row r="17" spans="1:13">
      <c r="A17" s="173" t="s">
        <v>24</v>
      </c>
      <c r="B17" s="63"/>
      <c r="C17" s="209">
        <f>365-C14</f>
        <v>261</v>
      </c>
      <c r="D17" s="209"/>
      <c r="E17" s="63"/>
      <c r="F17" s="63"/>
      <c r="G17" s="209"/>
      <c r="H17" s="63"/>
      <c r="I17" s="181"/>
      <c r="J17" s="209"/>
      <c r="K17" s="63"/>
      <c r="L17" s="63"/>
      <c r="M17" s="181"/>
    </row>
    <row r="18" spans="1:13">
      <c r="A18" s="173" t="s">
        <v>22</v>
      </c>
      <c r="B18" s="63"/>
      <c r="C18" s="427">
        <v>24</v>
      </c>
      <c r="D18" s="209"/>
      <c r="E18" s="63"/>
      <c r="F18" s="63"/>
      <c r="G18" s="209"/>
      <c r="H18" s="63"/>
      <c r="I18" s="181"/>
      <c r="J18" s="209"/>
      <c r="K18" s="63"/>
      <c r="L18" s="63"/>
      <c r="M18" s="181"/>
    </row>
    <row r="19" spans="1:13">
      <c r="A19" s="173" t="s">
        <v>23</v>
      </c>
      <c r="B19" s="63"/>
      <c r="C19" s="218">
        <v>0.3</v>
      </c>
      <c r="D19" s="264"/>
      <c r="E19" s="101"/>
      <c r="F19" s="101"/>
      <c r="G19" s="264"/>
      <c r="H19" s="101"/>
      <c r="I19" s="219"/>
      <c r="J19" s="264"/>
      <c r="K19" s="101"/>
      <c r="L19" s="101"/>
      <c r="M19" s="219"/>
    </row>
    <row r="20" spans="1:13" s="416" customFormat="1">
      <c r="A20" s="173" t="s">
        <v>25</v>
      </c>
      <c r="B20" s="63"/>
      <c r="C20" s="918">
        <v>3</v>
      </c>
      <c r="D20" s="419">
        <f t="shared" ref="D20:M20" si="4">$C$20*(1+$B8)^D$4</f>
        <v>3.09</v>
      </c>
      <c r="E20" s="326">
        <f t="shared" si="4"/>
        <v>3.1826999999999996</v>
      </c>
      <c r="F20" s="326">
        <f t="shared" si="4"/>
        <v>3.278181</v>
      </c>
      <c r="G20" s="419">
        <f t="shared" si="4"/>
        <v>3.3765264299999997</v>
      </c>
      <c r="H20" s="326">
        <f t="shared" si="4"/>
        <v>3.4778222228999995</v>
      </c>
      <c r="I20" s="390">
        <f t="shared" si="4"/>
        <v>3.582156889587</v>
      </c>
      <c r="J20" s="419">
        <f t="shared" si="4"/>
        <v>3.6896215962746099</v>
      </c>
      <c r="K20" s="326">
        <f t="shared" si="4"/>
        <v>3.8003102441628478</v>
      </c>
      <c r="L20" s="326">
        <f t="shared" si="4"/>
        <v>3.9143195514877336</v>
      </c>
      <c r="M20" s="390">
        <f t="shared" si="4"/>
        <v>4.0317491380323656</v>
      </c>
    </row>
    <row r="21" spans="1:13" ht="13.5" thickBot="1">
      <c r="A21" s="134" t="s">
        <v>172</v>
      </c>
      <c r="B21" s="66"/>
      <c r="C21" s="428">
        <v>0.5</v>
      </c>
      <c r="D21" s="421">
        <f t="shared" ref="D21:M21" si="5">$C$21*(1+$B8)^D$4</f>
        <v>0.51500000000000001</v>
      </c>
      <c r="E21" s="420">
        <f t="shared" si="5"/>
        <v>0.53044999999999998</v>
      </c>
      <c r="F21" s="420">
        <f t="shared" si="5"/>
        <v>0.5463635</v>
      </c>
      <c r="G21" s="421">
        <f t="shared" si="5"/>
        <v>0.56275440499999996</v>
      </c>
      <c r="H21" s="420">
        <f t="shared" si="5"/>
        <v>0.57963703714999992</v>
      </c>
      <c r="I21" s="391">
        <f t="shared" si="5"/>
        <v>0.59702614826449996</v>
      </c>
      <c r="J21" s="421">
        <f t="shared" si="5"/>
        <v>0.61493693271243499</v>
      </c>
      <c r="K21" s="420">
        <f t="shared" si="5"/>
        <v>0.63338504069380797</v>
      </c>
      <c r="L21" s="420">
        <f t="shared" si="5"/>
        <v>0.65238659191462223</v>
      </c>
      <c r="M21" s="391">
        <f t="shared" si="5"/>
        <v>0.67195818967206089</v>
      </c>
    </row>
    <row r="22" spans="1:13" hidden="1" outlineLevel="1">
      <c r="A22" s="320" t="s">
        <v>173</v>
      </c>
      <c r="B22" s="203"/>
      <c r="C22" s="243">
        <f>C9*C11*$C13*12</f>
        <v>0</v>
      </c>
      <c r="D22" s="412">
        <f t="shared" ref="D22:M22" si="6">D9*D11*$C13*12</f>
        <v>386918.79187500011</v>
      </c>
      <c r="E22" s="423">
        <f t="shared" si="6"/>
        <v>398526.35563125007</v>
      </c>
      <c r="F22" s="423">
        <f t="shared" si="6"/>
        <v>410482.14630018757</v>
      </c>
      <c r="G22" s="412">
        <f t="shared" si="6"/>
        <v>422796.61068919318</v>
      </c>
      <c r="H22" s="423">
        <f t="shared" si="6"/>
        <v>435480.50900986895</v>
      </c>
      <c r="I22" s="424">
        <f t="shared" si="6"/>
        <v>448544.92428016505</v>
      </c>
      <c r="J22" s="412">
        <f t="shared" si="6"/>
        <v>462001.27200857003</v>
      </c>
      <c r="K22" s="423">
        <f t="shared" si="6"/>
        <v>475861.31016882707</v>
      </c>
      <c r="L22" s="423">
        <f t="shared" si="6"/>
        <v>490137.14947389194</v>
      </c>
      <c r="M22" s="424">
        <f t="shared" si="6"/>
        <v>504841.26395810873</v>
      </c>
    </row>
    <row r="23" spans="1:13" hidden="1" outlineLevel="1">
      <c r="A23" s="173" t="s">
        <v>174</v>
      </c>
      <c r="B23" s="63"/>
      <c r="C23" s="139">
        <f>(C9*$C14*$C15*$C16*C20)+(C9*$C17*$C18*$C19*C20)</f>
        <v>0</v>
      </c>
      <c r="D23" s="249">
        <f t="shared" ref="D23:M23" si="7">(D9*$C$14*$C$15*$C$16*D20)+(D9*$C$17*$C$18*$C$19*D20)</f>
        <v>5084112.925237501</v>
      </c>
      <c r="E23" s="231">
        <f t="shared" si="7"/>
        <v>5236636.3129946254</v>
      </c>
      <c r="F23" s="231">
        <f t="shared" si="7"/>
        <v>5393735.4023844656</v>
      </c>
      <c r="G23" s="249">
        <f t="shared" si="7"/>
        <v>5555547.4644559985</v>
      </c>
      <c r="H23" s="231">
        <f t="shared" si="7"/>
        <v>5722213.8883896787</v>
      </c>
      <c r="I23" s="250">
        <f t="shared" si="7"/>
        <v>5893880.30504137</v>
      </c>
      <c r="J23" s="249">
        <f t="shared" si="7"/>
        <v>6070696.7141926102</v>
      </c>
      <c r="K23" s="231">
        <f t="shared" si="7"/>
        <v>6252817.6156183882</v>
      </c>
      <c r="L23" s="231">
        <f t="shared" si="7"/>
        <v>6440402.1440869402</v>
      </c>
      <c r="M23" s="250">
        <f t="shared" si="7"/>
        <v>6633614.2084095487</v>
      </c>
    </row>
    <row r="24" spans="1:13" hidden="1" outlineLevel="1">
      <c r="A24" s="173" t="s">
        <v>176</v>
      </c>
      <c r="B24" s="63"/>
      <c r="C24" s="143">
        <v>0</v>
      </c>
      <c r="D24" s="140">
        <f>C24</f>
        <v>0</v>
      </c>
      <c r="E24" s="422">
        <f>(100*3000)</f>
        <v>300000</v>
      </c>
      <c r="F24" s="141">
        <f>E24</f>
        <v>300000</v>
      </c>
      <c r="G24" s="140">
        <f t="shared" ref="G24:M24" si="8">F24</f>
        <v>300000</v>
      </c>
      <c r="H24" s="141">
        <f t="shared" si="8"/>
        <v>300000</v>
      </c>
      <c r="I24" s="142">
        <f t="shared" si="8"/>
        <v>300000</v>
      </c>
      <c r="J24" s="140">
        <f t="shared" si="8"/>
        <v>300000</v>
      </c>
      <c r="K24" s="141">
        <f t="shared" si="8"/>
        <v>300000</v>
      </c>
      <c r="L24" s="141">
        <f t="shared" si="8"/>
        <v>300000</v>
      </c>
      <c r="M24" s="142">
        <f t="shared" si="8"/>
        <v>300000</v>
      </c>
    </row>
    <row r="25" spans="1:13" ht="13.5" hidden="1" outlineLevel="1" thickBot="1">
      <c r="A25" s="134" t="s">
        <v>169</v>
      </c>
      <c r="B25" s="66"/>
      <c r="C25" s="429">
        <f>C10*C21</f>
        <v>0</v>
      </c>
      <c r="D25" s="408">
        <f t="shared" ref="D25:M25" si="9">D10*D21</f>
        <v>103178.34450000002</v>
      </c>
      <c r="E25" s="425">
        <f t="shared" si="9"/>
        <v>106273.69483500002</v>
      </c>
      <c r="F25" s="425">
        <f t="shared" si="9"/>
        <v>109461.90568005003</v>
      </c>
      <c r="G25" s="408">
        <f t="shared" si="9"/>
        <v>112745.76285045152</v>
      </c>
      <c r="H25" s="425">
        <f t="shared" si="9"/>
        <v>116128.13573596506</v>
      </c>
      <c r="I25" s="426">
        <f t="shared" si="9"/>
        <v>119611.97980804401</v>
      </c>
      <c r="J25" s="408">
        <f t="shared" si="9"/>
        <v>123200.33920228534</v>
      </c>
      <c r="K25" s="425">
        <f t="shared" si="9"/>
        <v>126896.34937835389</v>
      </c>
      <c r="L25" s="425">
        <f t="shared" si="9"/>
        <v>130703.23985970451</v>
      </c>
      <c r="M25" s="426">
        <f t="shared" si="9"/>
        <v>134624.33705549565</v>
      </c>
    </row>
    <row r="26" spans="1:13" s="274" customFormat="1" collapsed="1">
      <c r="A26" s="61" t="str">
        <f>A106</f>
        <v>Parking Garage #2</v>
      </c>
      <c r="B26" s="63"/>
      <c r="C26" s="209"/>
      <c r="D26" s="123"/>
      <c r="E26" s="315"/>
      <c r="F26" s="315"/>
      <c r="G26" s="62"/>
      <c r="H26" s="68"/>
      <c r="I26" s="105"/>
      <c r="J26" s="62"/>
      <c r="K26" s="68"/>
      <c r="L26" s="68"/>
      <c r="M26" s="105"/>
    </row>
    <row r="27" spans="1:13">
      <c r="A27" s="62" t="s">
        <v>11</v>
      </c>
      <c r="B27" s="122">
        <v>0.03</v>
      </c>
      <c r="C27" s="288"/>
      <c r="D27" s="62"/>
      <c r="E27" s="68"/>
      <c r="F27" s="68"/>
      <c r="G27" s="62"/>
      <c r="H27" s="68"/>
      <c r="I27" s="105"/>
      <c r="J27" s="62"/>
      <c r="K27" s="68"/>
      <c r="L27" s="68"/>
      <c r="M27" s="105"/>
    </row>
    <row r="28" spans="1:13">
      <c r="A28" s="62" t="s">
        <v>27</v>
      </c>
      <c r="B28" s="63"/>
      <c r="C28" s="318">
        <v>0</v>
      </c>
      <c r="D28" s="211">
        <f t="shared" ref="D28:F29" si="10">C28</f>
        <v>0</v>
      </c>
      <c r="E28" s="184">
        <f t="shared" si="10"/>
        <v>0</v>
      </c>
      <c r="F28" s="184">
        <f t="shared" si="10"/>
        <v>0</v>
      </c>
      <c r="G28" s="211">
        <v>0</v>
      </c>
      <c r="H28" s="184">
        <f>C106</f>
        <v>47.620625000000004</v>
      </c>
      <c r="I28" s="189">
        <f t="shared" ref="I28:M28" si="11">H28</f>
        <v>47.620625000000004</v>
      </c>
      <c r="J28" s="211">
        <f t="shared" si="11"/>
        <v>47.620625000000004</v>
      </c>
      <c r="K28" s="184">
        <f t="shared" si="11"/>
        <v>47.620625000000004</v>
      </c>
      <c r="L28" s="184">
        <f t="shared" si="11"/>
        <v>47.620625000000004</v>
      </c>
      <c r="M28" s="189">
        <f t="shared" si="11"/>
        <v>47.620625000000004</v>
      </c>
    </row>
    <row r="29" spans="1:13">
      <c r="A29" s="62" t="s">
        <v>81</v>
      </c>
      <c r="B29" s="63"/>
      <c r="C29" s="318">
        <v>0</v>
      </c>
      <c r="D29" s="211">
        <f t="shared" si="10"/>
        <v>0</v>
      </c>
      <c r="E29" s="184">
        <f t="shared" si="10"/>
        <v>0</v>
      </c>
      <c r="F29" s="184">
        <f t="shared" si="10"/>
        <v>0</v>
      </c>
      <c r="G29" s="211">
        <v>0</v>
      </c>
      <c r="H29" s="184">
        <f>D106</f>
        <v>15238.6</v>
      </c>
      <c r="I29" s="189">
        <f t="shared" ref="I29:M29" si="12">H29</f>
        <v>15238.6</v>
      </c>
      <c r="J29" s="211">
        <f t="shared" si="12"/>
        <v>15238.6</v>
      </c>
      <c r="K29" s="184">
        <f t="shared" si="12"/>
        <v>15238.6</v>
      </c>
      <c r="L29" s="184">
        <f t="shared" si="12"/>
        <v>15238.6</v>
      </c>
      <c r="M29" s="189">
        <f t="shared" si="12"/>
        <v>15238.6</v>
      </c>
    </row>
    <row r="30" spans="1:13">
      <c r="A30" s="173" t="s">
        <v>18</v>
      </c>
      <c r="B30" s="63"/>
      <c r="C30" s="344">
        <f>C11</f>
        <v>100</v>
      </c>
      <c r="D30" s="419">
        <f t="shared" ref="D30:M30" si="13">D11</f>
        <v>103</v>
      </c>
      <c r="E30" s="326">
        <f t="shared" si="13"/>
        <v>106.08999999999999</v>
      </c>
      <c r="F30" s="326">
        <f t="shared" si="13"/>
        <v>109.2727</v>
      </c>
      <c r="G30" s="419">
        <f t="shared" si="13"/>
        <v>112.55088099999999</v>
      </c>
      <c r="H30" s="326">
        <f t="shared" si="13"/>
        <v>115.92740742999999</v>
      </c>
      <c r="I30" s="390">
        <f t="shared" si="13"/>
        <v>119.40522965289999</v>
      </c>
      <c r="J30" s="419">
        <f t="shared" si="13"/>
        <v>122.987386542487</v>
      </c>
      <c r="K30" s="326">
        <f t="shared" si="13"/>
        <v>126.67700813876159</v>
      </c>
      <c r="L30" s="326">
        <f t="shared" si="13"/>
        <v>130.47731838292444</v>
      </c>
      <c r="M30" s="390">
        <f t="shared" si="13"/>
        <v>134.39163793441219</v>
      </c>
    </row>
    <row r="31" spans="1:13">
      <c r="A31" s="173" t="s">
        <v>19</v>
      </c>
      <c r="B31" s="63"/>
      <c r="C31" s="218">
        <v>0.5</v>
      </c>
      <c r="D31" s="264"/>
      <c r="E31" s="101"/>
      <c r="F31" s="101"/>
      <c r="G31" s="264"/>
      <c r="H31" s="101"/>
      <c r="I31" s="219"/>
      <c r="J31" s="264"/>
      <c r="K31" s="101"/>
      <c r="L31" s="101"/>
      <c r="M31" s="219"/>
    </row>
    <row r="32" spans="1:13">
      <c r="A32" s="173" t="s">
        <v>20</v>
      </c>
      <c r="B32" s="63"/>
      <c r="C32" s="218">
        <v>0.5</v>
      </c>
      <c r="D32" s="264"/>
      <c r="E32" s="101"/>
      <c r="F32" s="101"/>
      <c r="G32" s="264"/>
      <c r="H32" s="101"/>
      <c r="I32" s="219"/>
      <c r="J32" s="264"/>
      <c r="K32" s="101"/>
      <c r="L32" s="101"/>
      <c r="M32" s="219"/>
    </row>
    <row r="33" spans="1:13">
      <c r="A33" s="173" t="s">
        <v>21</v>
      </c>
      <c r="B33" s="63"/>
      <c r="C33" s="427">
        <f>52*2</f>
        <v>104</v>
      </c>
      <c r="D33" s="209"/>
      <c r="E33" s="63"/>
      <c r="F33" s="63"/>
      <c r="G33" s="209"/>
      <c r="H33" s="63"/>
      <c r="I33" s="181"/>
      <c r="J33" s="209"/>
      <c r="K33" s="63"/>
      <c r="L33" s="63"/>
      <c r="M33" s="181"/>
    </row>
    <row r="34" spans="1:13">
      <c r="A34" s="173" t="s">
        <v>22</v>
      </c>
      <c r="B34" s="63"/>
      <c r="C34" s="427">
        <v>24</v>
      </c>
      <c r="D34" s="209"/>
      <c r="E34" s="63"/>
      <c r="F34" s="63"/>
      <c r="G34" s="209"/>
      <c r="H34" s="63"/>
      <c r="I34" s="181"/>
      <c r="J34" s="209"/>
      <c r="K34" s="63"/>
      <c r="L34" s="63"/>
      <c r="M34" s="181"/>
    </row>
    <row r="35" spans="1:13">
      <c r="A35" s="173" t="s">
        <v>23</v>
      </c>
      <c r="B35" s="63"/>
      <c r="C35" s="218">
        <v>0.3</v>
      </c>
      <c r="D35" s="264"/>
      <c r="E35" s="101"/>
      <c r="F35" s="101"/>
      <c r="G35" s="264"/>
      <c r="H35" s="101"/>
      <c r="I35" s="219"/>
      <c r="J35" s="264"/>
      <c r="K35" s="101"/>
      <c r="L35" s="101"/>
      <c r="M35" s="219"/>
    </row>
    <row r="36" spans="1:13">
      <c r="A36" s="173" t="s">
        <v>24</v>
      </c>
      <c r="B36" s="63"/>
      <c r="C36" s="209">
        <f>365-C33</f>
        <v>261</v>
      </c>
      <c r="D36" s="209"/>
      <c r="E36" s="63"/>
      <c r="F36" s="63"/>
      <c r="G36" s="209"/>
      <c r="H36" s="63"/>
      <c r="I36" s="181"/>
      <c r="J36" s="209"/>
      <c r="K36" s="63"/>
      <c r="L36" s="63"/>
      <c r="M36" s="181"/>
    </row>
    <row r="37" spans="1:13">
      <c r="A37" s="173" t="s">
        <v>22</v>
      </c>
      <c r="B37" s="63"/>
      <c r="C37" s="427">
        <v>24</v>
      </c>
      <c r="D37" s="209"/>
      <c r="E37" s="63"/>
      <c r="F37" s="63"/>
      <c r="G37" s="209"/>
      <c r="H37" s="63"/>
      <c r="I37" s="181"/>
      <c r="J37" s="209"/>
      <c r="K37" s="63"/>
      <c r="L37" s="63"/>
      <c r="M37" s="181"/>
    </row>
    <row r="38" spans="1:13">
      <c r="A38" s="173" t="s">
        <v>23</v>
      </c>
      <c r="B38" s="63"/>
      <c r="C38" s="218">
        <v>0.3</v>
      </c>
      <c r="D38" s="264"/>
      <c r="E38" s="101"/>
      <c r="F38" s="101"/>
      <c r="G38" s="264"/>
      <c r="H38" s="101"/>
      <c r="I38" s="219"/>
      <c r="J38" s="264"/>
      <c r="K38" s="101"/>
      <c r="L38" s="101"/>
      <c r="M38" s="219"/>
    </row>
    <row r="39" spans="1:13" s="416" customFormat="1">
      <c r="A39" s="173" t="s">
        <v>25</v>
      </c>
      <c r="B39" s="63"/>
      <c r="C39" s="407">
        <f>C20</f>
        <v>3</v>
      </c>
      <c r="D39" s="419">
        <f t="shared" ref="D39:M39" si="14">$C$20*(1+$B27)^D$4</f>
        <v>3.09</v>
      </c>
      <c r="E39" s="326">
        <f t="shared" si="14"/>
        <v>3.1826999999999996</v>
      </c>
      <c r="F39" s="326">
        <f t="shared" si="14"/>
        <v>3.278181</v>
      </c>
      <c r="G39" s="419">
        <f t="shared" si="14"/>
        <v>3.3765264299999997</v>
      </c>
      <c r="H39" s="326">
        <f t="shared" si="14"/>
        <v>3.4778222228999995</v>
      </c>
      <c r="I39" s="390">
        <f t="shared" si="14"/>
        <v>3.582156889587</v>
      </c>
      <c r="J39" s="419">
        <f t="shared" si="14"/>
        <v>3.6896215962746099</v>
      </c>
      <c r="K39" s="326">
        <f t="shared" si="14"/>
        <v>3.8003102441628478</v>
      </c>
      <c r="L39" s="326">
        <f t="shared" si="14"/>
        <v>3.9143195514877336</v>
      </c>
      <c r="M39" s="390">
        <f t="shared" si="14"/>
        <v>4.0317491380323656</v>
      </c>
    </row>
    <row r="40" spans="1:13" ht="13.5" thickBot="1">
      <c r="A40" s="134" t="s">
        <v>172</v>
      </c>
      <c r="B40" s="66"/>
      <c r="C40" s="428">
        <v>0.5</v>
      </c>
      <c r="D40" s="421">
        <f t="shared" ref="D40:M40" si="15">$C$21*(1+$B27)^D$4</f>
        <v>0.51500000000000001</v>
      </c>
      <c r="E40" s="420">
        <f t="shared" si="15"/>
        <v>0.53044999999999998</v>
      </c>
      <c r="F40" s="420">
        <f t="shared" si="15"/>
        <v>0.5463635</v>
      </c>
      <c r="G40" s="421">
        <f t="shared" si="15"/>
        <v>0.56275440499999996</v>
      </c>
      <c r="H40" s="420">
        <f t="shared" si="15"/>
        <v>0.57963703714999992</v>
      </c>
      <c r="I40" s="391">
        <f t="shared" si="15"/>
        <v>0.59702614826449996</v>
      </c>
      <c r="J40" s="421">
        <f t="shared" si="15"/>
        <v>0.61493693271243499</v>
      </c>
      <c r="K40" s="420">
        <f t="shared" si="15"/>
        <v>0.63338504069380797</v>
      </c>
      <c r="L40" s="420">
        <f t="shared" si="15"/>
        <v>0.65238659191462223</v>
      </c>
      <c r="M40" s="391">
        <f t="shared" si="15"/>
        <v>0.67195818967206089</v>
      </c>
    </row>
    <row r="41" spans="1:13" hidden="1" outlineLevel="1">
      <c r="A41" s="320" t="s">
        <v>173</v>
      </c>
      <c r="B41" s="203"/>
      <c r="C41" s="243">
        <f>C28*C30*$C32*12</f>
        <v>0</v>
      </c>
      <c r="D41" s="412">
        <f t="shared" ref="D41:M41" si="16">D28*D30*$C32*12</f>
        <v>0</v>
      </c>
      <c r="E41" s="423">
        <f t="shared" si="16"/>
        <v>0</v>
      </c>
      <c r="F41" s="423">
        <f t="shared" si="16"/>
        <v>0</v>
      </c>
      <c r="G41" s="412">
        <f t="shared" si="16"/>
        <v>0</v>
      </c>
      <c r="H41" s="423">
        <f t="shared" si="16"/>
        <v>33123.21357867746</v>
      </c>
      <c r="I41" s="424">
        <f t="shared" si="16"/>
        <v>34116.909986037783</v>
      </c>
      <c r="J41" s="412">
        <f t="shared" si="16"/>
        <v>35140.417285618925</v>
      </c>
      <c r="K41" s="423">
        <f t="shared" si="16"/>
        <v>36194.629804187483</v>
      </c>
      <c r="L41" s="423">
        <f t="shared" si="16"/>
        <v>37280.468698313111</v>
      </c>
      <c r="M41" s="424">
        <f t="shared" si="16"/>
        <v>38398.882759262509</v>
      </c>
    </row>
    <row r="42" spans="1:13" hidden="1" outlineLevel="1">
      <c r="A42" s="173" t="s">
        <v>174</v>
      </c>
      <c r="B42" s="63"/>
      <c r="C42" s="139">
        <f>(C28*$C33*$C34*$C35*C39)+(C28*$C36*$C37*$C38*C39)</f>
        <v>0</v>
      </c>
      <c r="D42" s="249">
        <f t="shared" ref="D42:M42" si="17">(D28*$C33*$C34*$C35*D39)+(D28*$C36*$C37*$C38*D39)</f>
        <v>0</v>
      </c>
      <c r="E42" s="231">
        <f t="shared" si="17"/>
        <v>0</v>
      </c>
      <c r="F42" s="231">
        <f t="shared" si="17"/>
        <v>0</v>
      </c>
      <c r="G42" s="249">
        <f t="shared" si="17"/>
        <v>0</v>
      </c>
      <c r="H42" s="231">
        <f t="shared" si="17"/>
        <v>435239.02642382187</v>
      </c>
      <c r="I42" s="250">
        <f t="shared" si="17"/>
        <v>448296.19721653656</v>
      </c>
      <c r="J42" s="249">
        <f t="shared" si="17"/>
        <v>461745.08313303266</v>
      </c>
      <c r="K42" s="231">
        <f t="shared" si="17"/>
        <v>475597.43562702357</v>
      </c>
      <c r="L42" s="231">
        <f t="shared" si="17"/>
        <v>489865.35869583429</v>
      </c>
      <c r="M42" s="250">
        <f t="shared" si="17"/>
        <v>504561.31945670932</v>
      </c>
    </row>
    <row r="43" spans="1:13" hidden="1" outlineLevel="1">
      <c r="A43" s="173" t="s">
        <v>176</v>
      </c>
      <c r="B43" s="63"/>
      <c r="C43" s="143">
        <v>0</v>
      </c>
      <c r="D43" s="140">
        <f>C43</f>
        <v>0</v>
      </c>
      <c r="E43" s="141">
        <f>D43</f>
        <v>0</v>
      </c>
      <c r="F43" s="141">
        <f>E43</f>
        <v>0</v>
      </c>
      <c r="G43" s="140">
        <f t="shared" ref="G43:M43" si="18">F43</f>
        <v>0</v>
      </c>
      <c r="H43" s="141">
        <f t="shared" si="18"/>
        <v>0</v>
      </c>
      <c r="I43" s="142">
        <f t="shared" si="18"/>
        <v>0</v>
      </c>
      <c r="J43" s="140">
        <f t="shared" si="18"/>
        <v>0</v>
      </c>
      <c r="K43" s="141">
        <f t="shared" si="18"/>
        <v>0</v>
      </c>
      <c r="L43" s="141">
        <f t="shared" si="18"/>
        <v>0</v>
      </c>
      <c r="M43" s="142">
        <f t="shared" si="18"/>
        <v>0</v>
      </c>
    </row>
    <row r="44" spans="1:13" ht="13.5" hidden="1" outlineLevel="1" thickBot="1">
      <c r="A44" s="134" t="s">
        <v>169</v>
      </c>
      <c r="B44" s="66"/>
      <c r="C44" s="429">
        <f>C29*C40</f>
        <v>0</v>
      </c>
      <c r="D44" s="408">
        <f t="shared" ref="D44:M44" si="19">D29*D40</f>
        <v>0</v>
      </c>
      <c r="E44" s="425">
        <f t="shared" si="19"/>
        <v>0</v>
      </c>
      <c r="F44" s="425">
        <f t="shared" si="19"/>
        <v>0</v>
      </c>
      <c r="G44" s="408">
        <f t="shared" si="19"/>
        <v>0</v>
      </c>
      <c r="H44" s="425">
        <f t="shared" si="19"/>
        <v>8832.8569543139893</v>
      </c>
      <c r="I44" s="426">
        <f t="shared" si="19"/>
        <v>9097.8426629434089</v>
      </c>
      <c r="J44" s="408">
        <f t="shared" si="19"/>
        <v>9370.7779428317117</v>
      </c>
      <c r="K44" s="425">
        <f t="shared" si="19"/>
        <v>9651.9012811166631</v>
      </c>
      <c r="L44" s="425">
        <f t="shared" si="19"/>
        <v>9941.4583195501618</v>
      </c>
      <c r="M44" s="426">
        <f t="shared" si="19"/>
        <v>10239.702069136667</v>
      </c>
    </row>
    <row r="45" spans="1:13" s="274" customFormat="1" collapsed="1">
      <c r="A45" s="61" t="str">
        <f>A107</f>
        <v>Office Parking</v>
      </c>
      <c r="B45" s="63"/>
      <c r="C45" s="209"/>
      <c r="D45" s="123"/>
      <c r="E45" s="315"/>
      <c r="F45" s="315"/>
      <c r="G45" s="62"/>
      <c r="H45" s="68"/>
      <c r="I45" s="105"/>
      <c r="J45" s="62"/>
      <c r="K45" s="68"/>
      <c r="L45" s="68"/>
      <c r="M45" s="105"/>
    </row>
    <row r="46" spans="1:13">
      <c r="A46" s="62" t="s">
        <v>11</v>
      </c>
      <c r="B46" s="122">
        <v>0.03</v>
      </c>
      <c r="C46" s="288"/>
      <c r="D46" s="62"/>
      <c r="E46" s="68"/>
      <c r="F46" s="68"/>
      <c r="G46" s="62"/>
      <c r="H46" s="68"/>
      <c r="I46" s="105"/>
      <c r="J46" s="62"/>
      <c r="K46" s="68"/>
      <c r="L46" s="68"/>
      <c r="M46" s="105"/>
    </row>
    <row r="47" spans="1:13">
      <c r="A47" s="62" t="s">
        <v>27</v>
      </c>
      <c r="B47" s="63"/>
      <c r="C47" s="318">
        <v>0</v>
      </c>
      <c r="D47" s="211">
        <f>C107</f>
        <v>244.7475</v>
      </c>
      <c r="E47" s="184">
        <f>D47</f>
        <v>244.7475</v>
      </c>
      <c r="F47" s="184">
        <f>C107</f>
        <v>244.7475</v>
      </c>
      <c r="G47" s="211">
        <f t="shared" ref="G47:M47" si="20">F47</f>
        <v>244.7475</v>
      </c>
      <c r="H47" s="184">
        <f t="shared" si="20"/>
        <v>244.7475</v>
      </c>
      <c r="I47" s="189">
        <f t="shared" si="20"/>
        <v>244.7475</v>
      </c>
      <c r="J47" s="211">
        <f t="shared" si="20"/>
        <v>244.7475</v>
      </c>
      <c r="K47" s="184">
        <f t="shared" si="20"/>
        <v>244.7475</v>
      </c>
      <c r="L47" s="184">
        <f t="shared" si="20"/>
        <v>244.7475</v>
      </c>
      <c r="M47" s="189">
        <f t="shared" si="20"/>
        <v>244.7475</v>
      </c>
    </row>
    <row r="48" spans="1:13">
      <c r="A48" s="62" t="s">
        <v>81</v>
      </c>
      <c r="B48" s="63"/>
      <c r="C48" s="318">
        <v>0</v>
      </c>
      <c r="D48" s="211">
        <f>D107</f>
        <v>78319.199999999997</v>
      </c>
      <c r="E48" s="184">
        <f>D48</f>
        <v>78319.199999999997</v>
      </c>
      <c r="F48" s="184">
        <f>D107</f>
        <v>78319.199999999997</v>
      </c>
      <c r="G48" s="211">
        <f t="shared" ref="G48:M48" si="21">F48</f>
        <v>78319.199999999997</v>
      </c>
      <c r="H48" s="184">
        <f t="shared" si="21"/>
        <v>78319.199999999997</v>
      </c>
      <c r="I48" s="189">
        <f t="shared" si="21"/>
        <v>78319.199999999997</v>
      </c>
      <c r="J48" s="211">
        <f t="shared" si="21"/>
        <v>78319.199999999997</v>
      </c>
      <c r="K48" s="184">
        <f t="shared" si="21"/>
        <v>78319.199999999997</v>
      </c>
      <c r="L48" s="184">
        <f t="shared" si="21"/>
        <v>78319.199999999997</v>
      </c>
      <c r="M48" s="189">
        <f t="shared" si="21"/>
        <v>78319.199999999997</v>
      </c>
    </row>
    <row r="49" spans="1:13">
      <c r="A49" s="173" t="s">
        <v>18</v>
      </c>
      <c r="B49" s="63"/>
      <c r="C49" s="344">
        <f>C30</f>
        <v>100</v>
      </c>
      <c r="D49" s="419">
        <f t="shared" ref="D49:M49" si="22">D30</f>
        <v>103</v>
      </c>
      <c r="E49" s="326">
        <f t="shared" si="22"/>
        <v>106.08999999999999</v>
      </c>
      <c r="F49" s="326">
        <f t="shared" si="22"/>
        <v>109.2727</v>
      </c>
      <c r="G49" s="419">
        <f t="shared" si="22"/>
        <v>112.55088099999999</v>
      </c>
      <c r="H49" s="326">
        <f t="shared" si="22"/>
        <v>115.92740742999999</v>
      </c>
      <c r="I49" s="390">
        <f t="shared" si="22"/>
        <v>119.40522965289999</v>
      </c>
      <c r="J49" s="419">
        <f t="shared" si="22"/>
        <v>122.987386542487</v>
      </c>
      <c r="K49" s="326">
        <f t="shared" si="22"/>
        <v>126.67700813876159</v>
      </c>
      <c r="L49" s="326">
        <f t="shared" si="22"/>
        <v>130.47731838292444</v>
      </c>
      <c r="M49" s="390">
        <f t="shared" si="22"/>
        <v>134.39163793441219</v>
      </c>
    </row>
    <row r="50" spans="1:13">
      <c r="A50" s="173" t="s">
        <v>19</v>
      </c>
      <c r="B50" s="63"/>
      <c r="C50" s="218">
        <v>0</v>
      </c>
      <c r="D50" s="264"/>
      <c r="E50" s="101"/>
      <c r="F50" s="101"/>
      <c r="G50" s="264"/>
      <c r="H50" s="101"/>
      <c r="I50" s="219"/>
      <c r="J50" s="264"/>
      <c r="K50" s="101"/>
      <c r="L50" s="101"/>
      <c r="M50" s="219"/>
    </row>
    <row r="51" spans="1:13">
      <c r="A51" s="173" t="s">
        <v>20</v>
      </c>
      <c r="B51" s="63"/>
      <c r="C51" s="218">
        <v>0</v>
      </c>
      <c r="D51" s="264"/>
      <c r="E51" s="101"/>
      <c r="F51" s="101"/>
      <c r="G51" s="264"/>
      <c r="H51" s="101"/>
      <c r="I51" s="219"/>
      <c r="J51" s="264"/>
      <c r="K51" s="101"/>
      <c r="L51" s="101"/>
      <c r="M51" s="219"/>
    </row>
    <row r="52" spans="1:13">
      <c r="A52" s="173" t="s">
        <v>21</v>
      </c>
      <c r="B52" s="63"/>
      <c r="C52" s="427">
        <f>52*2</f>
        <v>104</v>
      </c>
      <c r="D52" s="209"/>
      <c r="E52" s="63"/>
      <c r="F52" s="63"/>
      <c r="G52" s="209"/>
      <c r="H52" s="63"/>
      <c r="I52" s="181"/>
      <c r="J52" s="209"/>
      <c r="K52" s="63"/>
      <c r="L52" s="63"/>
      <c r="M52" s="181"/>
    </row>
    <row r="53" spans="1:13">
      <c r="A53" s="173" t="s">
        <v>22</v>
      </c>
      <c r="B53" s="63"/>
      <c r="C53" s="427">
        <v>24</v>
      </c>
      <c r="D53" s="209"/>
      <c r="E53" s="63"/>
      <c r="F53" s="63"/>
      <c r="G53" s="209"/>
      <c r="H53" s="63"/>
      <c r="I53" s="181"/>
      <c r="J53" s="209"/>
      <c r="K53" s="63"/>
      <c r="L53" s="63"/>
      <c r="M53" s="181"/>
    </row>
    <row r="54" spans="1:13">
      <c r="A54" s="173" t="s">
        <v>23</v>
      </c>
      <c r="B54" s="63"/>
      <c r="C54" s="218">
        <v>0.1</v>
      </c>
      <c r="D54" s="264"/>
      <c r="E54" s="101"/>
      <c r="F54" s="101"/>
      <c r="G54" s="264"/>
      <c r="H54" s="101"/>
      <c r="I54" s="219"/>
      <c r="J54" s="264"/>
      <c r="K54" s="101"/>
      <c r="L54" s="101"/>
      <c r="M54" s="219"/>
    </row>
    <row r="55" spans="1:13">
      <c r="A55" s="173" t="s">
        <v>24</v>
      </c>
      <c r="B55" s="63"/>
      <c r="C55" s="209">
        <f>365-C52</f>
        <v>261</v>
      </c>
      <c r="D55" s="209"/>
      <c r="E55" s="63"/>
      <c r="F55" s="63"/>
      <c r="G55" s="209"/>
      <c r="H55" s="63"/>
      <c r="I55" s="181"/>
      <c r="J55" s="209"/>
      <c r="K55" s="63"/>
      <c r="L55" s="63"/>
      <c r="M55" s="181"/>
    </row>
    <row r="56" spans="1:13">
      <c r="A56" s="173" t="s">
        <v>22</v>
      </c>
      <c r="B56" s="63"/>
      <c r="C56" s="427">
        <v>24</v>
      </c>
      <c r="D56" s="209"/>
      <c r="E56" s="63"/>
      <c r="F56" s="63"/>
      <c r="G56" s="209"/>
      <c r="H56" s="63"/>
      <c r="I56" s="181"/>
      <c r="J56" s="209"/>
      <c r="K56" s="63"/>
      <c r="L56" s="63"/>
      <c r="M56" s="181"/>
    </row>
    <row r="57" spans="1:13">
      <c r="A57" s="173" t="s">
        <v>23</v>
      </c>
      <c r="B57" s="63"/>
      <c r="C57" s="218">
        <v>0.1</v>
      </c>
      <c r="D57" s="264"/>
      <c r="E57" s="101"/>
      <c r="F57" s="101"/>
      <c r="G57" s="264"/>
      <c r="H57" s="101"/>
      <c r="I57" s="219"/>
      <c r="J57" s="264"/>
      <c r="K57" s="101"/>
      <c r="L57" s="101"/>
      <c r="M57" s="219"/>
    </row>
    <row r="58" spans="1:13" s="416" customFormat="1">
      <c r="A58" s="173" t="s">
        <v>25</v>
      </c>
      <c r="B58" s="63"/>
      <c r="C58" s="407">
        <f>C39</f>
        <v>3</v>
      </c>
      <c r="D58" s="419">
        <f t="shared" ref="D58:M58" si="23">$C$20*(1+$B46)^D$4</f>
        <v>3.09</v>
      </c>
      <c r="E58" s="326">
        <f t="shared" si="23"/>
        <v>3.1826999999999996</v>
      </c>
      <c r="F58" s="326">
        <f t="shared" si="23"/>
        <v>3.278181</v>
      </c>
      <c r="G58" s="419">
        <f t="shared" si="23"/>
        <v>3.3765264299999997</v>
      </c>
      <c r="H58" s="326">
        <f t="shared" si="23"/>
        <v>3.4778222228999995</v>
      </c>
      <c r="I58" s="390">
        <f t="shared" si="23"/>
        <v>3.582156889587</v>
      </c>
      <c r="J58" s="419">
        <f t="shared" si="23"/>
        <v>3.6896215962746099</v>
      </c>
      <c r="K58" s="326">
        <f t="shared" si="23"/>
        <v>3.8003102441628478</v>
      </c>
      <c r="L58" s="326">
        <f t="shared" si="23"/>
        <v>3.9143195514877336</v>
      </c>
      <c r="M58" s="390">
        <f t="shared" si="23"/>
        <v>4.0317491380323656</v>
      </c>
    </row>
    <row r="59" spans="1:13" ht="13.5" thickBot="1">
      <c r="A59" s="134" t="s">
        <v>172</v>
      </c>
      <c r="B59" s="66"/>
      <c r="C59" s="428">
        <v>0.5</v>
      </c>
      <c r="D59" s="421">
        <f t="shared" ref="D59:M59" si="24">$C$21*(1+$B46)^D$4</f>
        <v>0.51500000000000001</v>
      </c>
      <c r="E59" s="420">
        <f t="shared" si="24"/>
        <v>0.53044999999999998</v>
      </c>
      <c r="F59" s="420">
        <f t="shared" si="24"/>
        <v>0.5463635</v>
      </c>
      <c r="G59" s="421">
        <f t="shared" si="24"/>
        <v>0.56275440499999996</v>
      </c>
      <c r="H59" s="420">
        <f t="shared" si="24"/>
        <v>0.57963703714999992</v>
      </c>
      <c r="I59" s="391">
        <f t="shared" si="24"/>
        <v>0.59702614826449996</v>
      </c>
      <c r="J59" s="421">
        <f t="shared" si="24"/>
        <v>0.61493693271243499</v>
      </c>
      <c r="K59" s="420">
        <f t="shared" si="24"/>
        <v>0.63338504069380797</v>
      </c>
      <c r="L59" s="420">
        <f t="shared" si="24"/>
        <v>0.65238659191462223</v>
      </c>
      <c r="M59" s="391">
        <f t="shared" si="24"/>
        <v>0.67195818967206089</v>
      </c>
    </row>
    <row r="60" spans="1:13" hidden="1" outlineLevel="1">
      <c r="A60" s="320" t="s">
        <v>173</v>
      </c>
      <c r="B60" s="203"/>
      <c r="C60" s="243">
        <f>C47*C49*$C51*12</f>
        <v>0</v>
      </c>
      <c r="D60" s="412">
        <f t="shared" ref="D60:M60" si="25">D47*D49*$C51*12</f>
        <v>0</v>
      </c>
      <c r="E60" s="423">
        <f t="shared" si="25"/>
        <v>0</v>
      </c>
      <c r="F60" s="423">
        <f t="shared" si="25"/>
        <v>0</v>
      </c>
      <c r="G60" s="412">
        <f t="shared" si="25"/>
        <v>0</v>
      </c>
      <c r="H60" s="423">
        <f t="shared" si="25"/>
        <v>0</v>
      </c>
      <c r="I60" s="424">
        <f t="shared" si="25"/>
        <v>0</v>
      </c>
      <c r="J60" s="412">
        <f t="shared" si="25"/>
        <v>0</v>
      </c>
      <c r="K60" s="423">
        <f t="shared" si="25"/>
        <v>0</v>
      </c>
      <c r="L60" s="423">
        <f t="shared" si="25"/>
        <v>0</v>
      </c>
      <c r="M60" s="424">
        <f t="shared" si="25"/>
        <v>0</v>
      </c>
    </row>
    <row r="61" spans="1:13" hidden="1" outlineLevel="1">
      <c r="A61" s="173" t="s">
        <v>174</v>
      </c>
      <c r="B61" s="63"/>
      <c r="C61" s="139">
        <f>(C47*$C52*$C53*$C54*C58)+(C47*$C55*$C56*$C57*C58)</f>
        <v>0</v>
      </c>
      <c r="D61" s="249">
        <f t="shared" ref="D61:M61" si="26">(D47*$C52*$C53*$C54*D58)+(D47*$C55*$C56*$C57*D58)</f>
        <v>662492.32290000003</v>
      </c>
      <c r="E61" s="231">
        <f t="shared" si="26"/>
        <v>682367.09258699999</v>
      </c>
      <c r="F61" s="231">
        <f t="shared" si="26"/>
        <v>702838.10536460998</v>
      </c>
      <c r="G61" s="249">
        <f t="shared" si="26"/>
        <v>723923.24852554826</v>
      </c>
      <c r="H61" s="231">
        <f t="shared" si="26"/>
        <v>745640.94598131464</v>
      </c>
      <c r="I61" s="250">
        <f t="shared" si="26"/>
        <v>768010.1743607542</v>
      </c>
      <c r="J61" s="249">
        <f t="shared" si="26"/>
        <v>791050.47959157685</v>
      </c>
      <c r="K61" s="231">
        <f t="shared" si="26"/>
        <v>814781.993979324</v>
      </c>
      <c r="L61" s="231">
        <f t="shared" si="26"/>
        <v>839225.45379870385</v>
      </c>
      <c r="M61" s="250">
        <f t="shared" si="26"/>
        <v>864402.21741266502</v>
      </c>
    </row>
    <row r="62" spans="1:13" hidden="1" outlineLevel="1">
      <c r="A62" s="173" t="s">
        <v>176</v>
      </c>
      <c r="B62" s="63"/>
      <c r="C62" s="143">
        <v>0</v>
      </c>
      <c r="D62" s="140">
        <f>C62</f>
        <v>0</v>
      </c>
      <c r="E62" s="141">
        <f>D62</f>
        <v>0</v>
      </c>
      <c r="F62" s="141">
        <f>E62</f>
        <v>0</v>
      </c>
      <c r="G62" s="140">
        <f t="shared" ref="G62:M62" si="27">F62</f>
        <v>0</v>
      </c>
      <c r="H62" s="141">
        <f t="shared" si="27"/>
        <v>0</v>
      </c>
      <c r="I62" s="142">
        <f t="shared" si="27"/>
        <v>0</v>
      </c>
      <c r="J62" s="140">
        <f t="shared" si="27"/>
        <v>0</v>
      </c>
      <c r="K62" s="141">
        <f t="shared" si="27"/>
        <v>0</v>
      </c>
      <c r="L62" s="141">
        <f t="shared" si="27"/>
        <v>0</v>
      </c>
      <c r="M62" s="142">
        <f t="shared" si="27"/>
        <v>0</v>
      </c>
    </row>
    <row r="63" spans="1:13" ht="13.5" hidden="1" outlineLevel="1" thickBot="1">
      <c r="A63" s="134" t="s">
        <v>169</v>
      </c>
      <c r="B63" s="66"/>
      <c r="C63" s="429">
        <f>C48*C59</f>
        <v>0</v>
      </c>
      <c r="D63" s="408">
        <f t="shared" ref="D63:M63" si="28">D48*D59</f>
        <v>40334.387999999999</v>
      </c>
      <c r="E63" s="425">
        <f t="shared" si="28"/>
        <v>41544.41964</v>
      </c>
      <c r="F63" s="425">
        <f t="shared" si="28"/>
        <v>42790.752229199999</v>
      </c>
      <c r="G63" s="408">
        <f t="shared" si="28"/>
        <v>44074.474796075992</v>
      </c>
      <c r="H63" s="425">
        <f t="shared" si="28"/>
        <v>45396.709039958274</v>
      </c>
      <c r="I63" s="426">
        <f t="shared" si="28"/>
        <v>46758.610311157026</v>
      </c>
      <c r="J63" s="408">
        <f t="shared" si="28"/>
        <v>48161.368620491739</v>
      </c>
      <c r="K63" s="425">
        <f t="shared" si="28"/>
        <v>49606.209679106483</v>
      </c>
      <c r="L63" s="425">
        <f t="shared" si="28"/>
        <v>51094.395969479679</v>
      </c>
      <c r="M63" s="426">
        <f t="shared" si="28"/>
        <v>52627.227848564071</v>
      </c>
    </row>
    <row r="64" spans="1:13" s="274" customFormat="1" collapsed="1">
      <c r="A64" s="61" t="str">
        <f>A108</f>
        <v>Parking Garage #3</v>
      </c>
      <c r="B64" s="63"/>
      <c r="C64" s="209"/>
      <c r="D64" s="123"/>
      <c r="E64" s="315"/>
      <c r="F64" s="315"/>
      <c r="G64" s="62"/>
      <c r="H64" s="68"/>
      <c r="I64" s="105"/>
      <c r="J64" s="62"/>
      <c r="K64" s="68"/>
      <c r="L64" s="68"/>
      <c r="M64" s="105"/>
    </row>
    <row r="65" spans="1:13" s="274" customFormat="1">
      <c r="A65" s="62" t="s">
        <v>11</v>
      </c>
      <c r="B65" s="122">
        <v>0.03</v>
      </c>
      <c r="C65" s="288"/>
      <c r="D65" s="62"/>
      <c r="E65" s="68"/>
      <c r="F65" s="68"/>
      <c r="G65" s="62"/>
      <c r="H65" s="68"/>
      <c r="I65" s="105"/>
      <c r="J65" s="62"/>
      <c r="K65" s="68"/>
      <c r="L65" s="68"/>
      <c r="M65" s="105"/>
    </row>
    <row r="66" spans="1:13" s="274" customFormat="1">
      <c r="A66" s="62" t="s">
        <v>27</v>
      </c>
      <c r="B66" s="63"/>
      <c r="C66" s="318">
        <v>0</v>
      </c>
      <c r="D66" s="211">
        <f>C66</f>
        <v>0</v>
      </c>
      <c r="E66" s="184">
        <f>D66</f>
        <v>0</v>
      </c>
      <c r="F66" s="184">
        <f>C144</f>
        <v>0</v>
      </c>
      <c r="G66" s="211">
        <f t="shared" ref="G66:M66" si="29">F66</f>
        <v>0</v>
      </c>
      <c r="H66" s="184">
        <v>0</v>
      </c>
      <c r="I66" s="189">
        <f t="shared" si="29"/>
        <v>0</v>
      </c>
      <c r="J66" s="211">
        <f t="shared" si="29"/>
        <v>0</v>
      </c>
      <c r="K66" s="184">
        <f>C108</f>
        <v>103.8475</v>
      </c>
      <c r="L66" s="184">
        <f t="shared" si="29"/>
        <v>103.8475</v>
      </c>
      <c r="M66" s="189">
        <f t="shared" si="29"/>
        <v>103.8475</v>
      </c>
    </row>
    <row r="67" spans="1:13" s="274" customFormat="1">
      <c r="A67" s="62" t="s">
        <v>81</v>
      </c>
      <c r="B67" s="63"/>
      <c r="C67" s="318">
        <v>0</v>
      </c>
      <c r="D67" s="211">
        <f>C67</f>
        <v>0</v>
      </c>
      <c r="E67" s="184">
        <f>D67</f>
        <v>0</v>
      </c>
      <c r="F67" s="184">
        <f>D144</f>
        <v>0</v>
      </c>
      <c r="G67" s="211">
        <f t="shared" ref="G67:M67" si="30">F67</f>
        <v>0</v>
      </c>
      <c r="H67" s="184">
        <v>0</v>
      </c>
      <c r="I67" s="189">
        <f t="shared" si="30"/>
        <v>0</v>
      </c>
      <c r="J67" s="211">
        <f t="shared" si="30"/>
        <v>0</v>
      </c>
      <c r="K67" s="184">
        <f>D108</f>
        <v>33231.199999999997</v>
      </c>
      <c r="L67" s="184">
        <f t="shared" si="30"/>
        <v>33231.199999999997</v>
      </c>
      <c r="M67" s="189">
        <f t="shared" si="30"/>
        <v>33231.199999999997</v>
      </c>
    </row>
    <row r="68" spans="1:13" s="274" customFormat="1">
      <c r="A68" s="173" t="s">
        <v>18</v>
      </c>
      <c r="B68" s="63"/>
      <c r="C68" s="344">
        <f>C49</f>
        <v>100</v>
      </c>
      <c r="D68" s="419">
        <f t="shared" ref="D68:M68" si="31">D49</f>
        <v>103</v>
      </c>
      <c r="E68" s="326">
        <f t="shared" si="31"/>
        <v>106.08999999999999</v>
      </c>
      <c r="F68" s="326">
        <f t="shared" si="31"/>
        <v>109.2727</v>
      </c>
      <c r="G68" s="419">
        <f t="shared" si="31"/>
        <v>112.55088099999999</v>
      </c>
      <c r="H68" s="326">
        <f t="shared" si="31"/>
        <v>115.92740742999999</v>
      </c>
      <c r="I68" s="390">
        <f t="shared" si="31"/>
        <v>119.40522965289999</v>
      </c>
      <c r="J68" s="419">
        <f t="shared" si="31"/>
        <v>122.987386542487</v>
      </c>
      <c r="K68" s="326">
        <f t="shared" si="31"/>
        <v>126.67700813876159</v>
      </c>
      <c r="L68" s="326">
        <f t="shared" si="31"/>
        <v>130.47731838292444</v>
      </c>
      <c r="M68" s="390">
        <f t="shared" si="31"/>
        <v>134.39163793441219</v>
      </c>
    </row>
    <row r="69" spans="1:13" s="274" customFormat="1">
      <c r="A69" s="173" t="s">
        <v>19</v>
      </c>
      <c r="B69" s="63"/>
      <c r="C69" s="218">
        <v>0.6</v>
      </c>
      <c r="D69" s="264"/>
      <c r="E69" s="101"/>
      <c r="F69" s="101"/>
      <c r="G69" s="264"/>
      <c r="H69" s="101"/>
      <c r="I69" s="219"/>
      <c r="J69" s="264"/>
      <c r="K69" s="101"/>
      <c r="L69" s="101"/>
      <c r="M69" s="219"/>
    </row>
    <row r="70" spans="1:13" s="274" customFormat="1">
      <c r="A70" s="173" t="s">
        <v>20</v>
      </c>
      <c r="B70" s="63"/>
      <c r="C70" s="218">
        <v>0.6</v>
      </c>
      <c r="D70" s="264"/>
      <c r="E70" s="101"/>
      <c r="F70" s="101"/>
      <c r="G70" s="264"/>
      <c r="H70" s="101"/>
      <c r="I70" s="219"/>
      <c r="J70" s="264"/>
      <c r="K70" s="101"/>
      <c r="L70" s="101"/>
      <c r="M70" s="219"/>
    </row>
    <row r="71" spans="1:13" s="274" customFormat="1">
      <c r="A71" s="173" t="s">
        <v>21</v>
      </c>
      <c r="B71" s="63"/>
      <c r="C71" s="427">
        <f>52*2</f>
        <v>104</v>
      </c>
      <c r="D71" s="209"/>
      <c r="E71" s="63"/>
      <c r="F71" s="63"/>
      <c r="G71" s="209"/>
      <c r="H71" s="63"/>
      <c r="I71" s="181"/>
      <c r="J71" s="209"/>
      <c r="K71" s="63"/>
      <c r="L71" s="63"/>
      <c r="M71" s="181"/>
    </row>
    <row r="72" spans="1:13" s="274" customFormat="1">
      <c r="A72" s="173" t="s">
        <v>22</v>
      </c>
      <c r="B72" s="63"/>
      <c r="C72" s="427">
        <v>24</v>
      </c>
      <c r="D72" s="209"/>
      <c r="E72" s="63"/>
      <c r="F72" s="63"/>
      <c r="G72" s="209"/>
      <c r="H72" s="63"/>
      <c r="I72" s="181"/>
      <c r="J72" s="209"/>
      <c r="K72" s="63"/>
      <c r="L72" s="63"/>
      <c r="M72" s="181"/>
    </row>
    <row r="73" spans="1:13" s="274" customFormat="1">
      <c r="A73" s="173" t="s">
        <v>23</v>
      </c>
      <c r="B73" s="63"/>
      <c r="C73" s="218">
        <v>0.3</v>
      </c>
      <c r="D73" s="264"/>
      <c r="E73" s="101"/>
      <c r="F73" s="101"/>
      <c r="G73" s="264"/>
      <c r="H73" s="101"/>
      <c r="I73" s="219"/>
      <c r="J73" s="264"/>
      <c r="K73" s="101"/>
      <c r="L73" s="101"/>
      <c r="M73" s="219"/>
    </row>
    <row r="74" spans="1:13" s="274" customFormat="1">
      <c r="A74" s="173" t="s">
        <v>24</v>
      </c>
      <c r="B74" s="63"/>
      <c r="C74" s="209">
        <f>365-C71</f>
        <v>261</v>
      </c>
      <c r="D74" s="209"/>
      <c r="E74" s="63"/>
      <c r="F74" s="63"/>
      <c r="G74" s="209"/>
      <c r="H74" s="63"/>
      <c r="I74" s="181"/>
      <c r="J74" s="209"/>
      <c r="K74" s="63"/>
      <c r="L74" s="63"/>
      <c r="M74" s="181"/>
    </row>
    <row r="75" spans="1:13" s="274" customFormat="1">
      <c r="A75" s="173" t="s">
        <v>22</v>
      </c>
      <c r="B75" s="63"/>
      <c r="C75" s="427">
        <v>24</v>
      </c>
      <c r="D75" s="209"/>
      <c r="E75" s="63"/>
      <c r="F75" s="63"/>
      <c r="G75" s="209"/>
      <c r="H75" s="63"/>
      <c r="I75" s="181"/>
      <c r="J75" s="209"/>
      <c r="K75" s="63"/>
      <c r="L75" s="63"/>
      <c r="M75" s="181"/>
    </row>
    <row r="76" spans="1:13" s="274" customFormat="1">
      <c r="A76" s="173" t="s">
        <v>23</v>
      </c>
      <c r="B76" s="63"/>
      <c r="C76" s="218">
        <v>0.3</v>
      </c>
      <c r="D76" s="264"/>
      <c r="E76" s="101"/>
      <c r="F76" s="101"/>
      <c r="G76" s="264"/>
      <c r="H76" s="101"/>
      <c r="I76" s="219"/>
      <c r="J76" s="264"/>
      <c r="K76" s="101"/>
      <c r="L76" s="101"/>
      <c r="M76" s="219"/>
    </row>
    <row r="77" spans="1:13" s="417" customFormat="1">
      <c r="A77" s="173" t="s">
        <v>25</v>
      </c>
      <c r="B77" s="63"/>
      <c r="C77" s="407">
        <f>C58</f>
        <v>3</v>
      </c>
      <c r="D77" s="419">
        <f t="shared" ref="D77:M77" si="32">$C$20*(1+$B65)^D$4</f>
        <v>3.09</v>
      </c>
      <c r="E77" s="326">
        <f t="shared" si="32"/>
        <v>3.1826999999999996</v>
      </c>
      <c r="F77" s="326">
        <f t="shared" si="32"/>
        <v>3.278181</v>
      </c>
      <c r="G77" s="419">
        <f t="shared" si="32"/>
        <v>3.3765264299999997</v>
      </c>
      <c r="H77" s="326">
        <f t="shared" si="32"/>
        <v>3.4778222228999995</v>
      </c>
      <c r="I77" s="390">
        <f t="shared" si="32"/>
        <v>3.582156889587</v>
      </c>
      <c r="J77" s="419">
        <f t="shared" si="32"/>
        <v>3.6896215962746099</v>
      </c>
      <c r="K77" s="326">
        <f t="shared" si="32"/>
        <v>3.8003102441628478</v>
      </c>
      <c r="L77" s="326">
        <f t="shared" si="32"/>
        <v>3.9143195514877336</v>
      </c>
      <c r="M77" s="390">
        <f t="shared" si="32"/>
        <v>4.0317491380323656</v>
      </c>
    </row>
    <row r="78" spans="1:13" s="274" customFormat="1" ht="13.5" thickBot="1">
      <c r="A78" s="134" t="s">
        <v>172</v>
      </c>
      <c r="B78" s="66"/>
      <c r="C78" s="428">
        <v>0.5</v>
      </c>
      <c r="D78" s="421">
        <f t="shared" ref="D78:M78" si="33">$C$21*(1+$B65)^D$4</f>
        <v>0.51500000000000001</v>
      </c>
      <c r="E78" s="420">
        <f t="shared" si="33"/>
        <v>0.53044999999999998</v>
      </c>
      <c r="F78" s="420">
        <f t="shared" si="33"/>
        <v>0.5463635</v>
      </c>
      <c r="G78" s="421">
        <f t="shared" si="33"/>
        <v>0.56275440499999996</v>
      </c>
      <c r="H78" s="420">
        <f t="shared" si="33"/>
        <v>0.57963703714999992</v>
      </c>
      <c r="I78" s="391">
        <f t="shared" si="33"/>
        <v>0.59702614826449996</v>
      </c>
      <c r="J78" s="421">
        <f t="shared" si="33"/>
        <v>0.61493693271243499</v>
      </c>
      <c r="K78" s="420">
        <f t="shared" si="33"/>
        <v>0.63338504069380797</v>
      </c>
      <c r="L78" s="420">
        <f t="shared" si="33"/>
        <v>0.65238659191462223</v>
      </c>
      <c r="M78" s="391">
        <f t="shared" si="33"/>
        <v>0.67195818967206089</v>
      </c>
    </row>
    <row r="79" spans="1:13" s="274" customFormat="1" hidden="1" outlineLevel="1">
      <c r="A79" s="320" t="s">
        <v>173</v>
      </c>
      <c r="B79" s="203"/>
      <c r="C79" s="243">
        <f>C66*C68*$C70*12</f>
        <v>0</v>
      </c>
      <c r="D79" s="412">
        <f t="shared" ref="D79:M79" si="34">D66*D68*$C70*12</f>
        <v>0</v>
      </c>
      <c r="E79" s="423">
        <f t="shared" si="34"/>
        <v>0</v>
      </c>
      <c r="F79" s="423">
        <f t="shared" si="34"/>
        <v>0</v>
      </c>
      <c r="G79" s="412">
        <f t="shared" si="34"/>
        <v>0</v>
      </c>
      <c r="H79" s="423">
        <f t="shared" si="34"/>
        <v>0</v>
      </c>
      <c r="I79" s="424">
        <f t="shared" si="34"/>
        <v>0</v>
      </c>
      <c r="J79" s="412">
        <f t="shared" si="34"/>
        <v>0</v>
      </c>
      <c r="K79" s="423">
        <f t="shared" si="34"/>
        <v>94716.652339368316</v>
      </c>
      <c r="L79" s="423">
        <f t="shared" si="34"/>
        <v>97558.151909549357</v>
      </c>
      <c r="M79" s="424">
        <f t="shared" si="34"/>
        <v>100484.89646683587</v>
      </c>
    </row>
    <row r="80" spans="1:13" s="274" customFormat="1" hidden="1" outlineLevel="1">
      <c r="A80" s="173" t="s">
        <v>174</v>
      </c>
      <c r="B80" s="63"/>
      <c r="C80" s="139">
        <f>(C66*$C71*$C72*$C73*C77)+(C66*$C74*$C75*$C76*C77)</f>
        <v>0</v>
      </c>
      <c r="D80" s="249">
        <f t="shared" ref="D80:M80" si="35">(D66*$C71*$C72*$C73*D77)+(D66*$C74*$C75*$C76*D77)</f>
        <v>0</v>
      </c>
      <c r="E80" s="231">
        <f t="shared" si="35"/>
        <v>0</v>
      </c>
      <c r="F80" s="231">
        <f t="shared" si="35"/>
        <v>0</v>
      </c>
      <c r="G80" s="249">
        <f t="shared" si="35"/>
        <v>0</v>
      </c>
      <c r="H80" s="231">
        <f t="shared" si="35"/>
        <v>0</v>
      </c>
      <c r="I80" s="250">
        <f t="shared" si="35"/>
        <v>0</v>
      </c>
      <c r="J80" s="249">
        <f t="shared" si="35"/>
        <v>0</v>
      </c>
      <c r="K80" s="231">
        <f t="shared" si="35"/>
        <v>1037147.3431160829</v>
      </c>
      <c r="L80" s="231">
        <f t="shared" si="35"/>
        <v>1068261.7634095657</v>
      </c>
      <c r="M80" s="250">
        <f t="shared" si="35"/>
        <v>1100309.6163118526</v>
      </c>
    </row>
    <row r="81" spans="1:13" s="274" customFormat="1" hidden="1" outlineLevel="1">
      <c r="A81" s="173" t="s">
        <v>176</v>
      </c>
      <c r="B81" s="63"/>
      <c r="C81" s="143">
        <v>0</v>
      </c>
      <c r="D81" s="140">
        <f>C81</f>
        <v>0</v>
      </c>
      <c r="E81" s="141">
        <f>D81</f>
        <v>0</v>
      </c>
      <c r="F81" s="141">
        <f>E81</f>
        <v>0</v>
      </c>
      <c r="G81" s="140">
        <f t="shared" ref="G81:M81" si="36">F81</f>
        <v>0</v>
      </c>
      <c r="H81" s="141">
        <f t="shared" si="36"/>
        <v>0</v>
      </c>
      <c r="I81" s="142">
        <f t="shared" si="36"/>
        <v>0</v>
      </c>
      <c r="J81" s="140">
        <f t="shared" si="36"/>
        <v>0</v>
      </c>
      <c r="K81" s="141">
        <f t="shared" si="36"/>
        <v>0</v>
      </c>
      <c r="L81" s="141">
        <f t="shared" si="36"/>
        <v>0</v>
      </c>
      <c r="M81" s="142">
        <f t="shared" si="36"/>
        <v>0</v>
      </c>
    </row>
    <row r="82" spans="1:13" s="274" customFormat="1" ht="13.5" hidden="1" outlineLevel="1" thickBot="1">
      <c r="A82" s="134" t="s">
        <v>169</v>
      </c>
      <c r="B82" s="66"/>
      <c r="C82" s="429">
        <f>C67*C78</f>
        <v>0</v>
      </c>
      <c r="D82" s="408">
        <f t="shared" ref="D82:M82" si="37">D67*D78</f>
        <v>0</v>
      </c>
      <c r="E82" s="425">
        <f t="shared" si="37"/>
        <v>0</v>
      </c>
      <c r="F82" s="425">
        <f t="shared" si="37"/>
        <v>0</v>
      </c>
      <c r="G82" s="408">
        <f t="shared" si="37"/>
        <v>0</v>
      </c>
      <c r="H82" s="425">
        <f t="shared" si="37"/>
        <v>0</v>
      </c>
      <c r="I82" s="426">
        <f t="shared" si="37"/>
        <v>0</v>
      </c>
      <c r="J82" s="408">
        <f t="shared" si="37"/>
        <v>0</v>
      </c>
      <c r="K82" s="425">
        <f t="shared" si="37"/>
        <v>21048.144964304069</v>
      </c>
      <c r="L82" s="425">
        <f t="shared" si="37"/>
        <v>21679.589313233191</v>
      </c>
      <c r="M82" s="426">
        <f t="shared" si="37"/>
        <v>22329.976992630189</v>
      </c>
    </row>
    <row r="83" spans="1:13" s="274" customFormat="1" ht="13.5" collapsed="1" thickBot="1">
      <c r="A83" s="198" t="s">
        <v>0</v>
      </c>
      <c r="B83" s="195"/>
      <c r="C83" s="204"/>
      <c r="D83" s="242"/>
      <c r="E83" s="201"/>
      <c r="F83" s="202"/>
      <c r="G83" s="242"/>
      <c r="H83" s="201"/>
      <c r="I83" s="202"/>
      <c r="J83" s="242"/>
      <c r="K83" s="201"/>
      <c r="L83" s="201"/>
      <c r="M83" s="202"/>
    </row>
    <row r="84" spans="1:13" s="274" customFormat="1">
      <c r="A84" s="320" t="s">
        <v>173</v>
      </c>
      <c r="B84" s="63"/>
      <c r="C84" s="138">
        <f>SUM(C22,C41,C60,C79)</f>
        <v>0</v>
      </c>
      <c r="D84" s="430">
        <f t="shared" ref="D84:M84" si="38">SUM(D22,D41,D60,D79)</f>
        <v>386918.79187500011</v>
      </c>
      <c r="E84" s="431">
        <f t="shared" si="38"/>
        <v>398526.35563125007</v>
      </c>
      <c r="F84" s="432">
        <f t="shared" si="38"/>
        <v>410482.14630018757</v>
      </c>
      <c r="G84" s="430">
        <f t="shared" si="38"/>
        <v>422796.61068919318</v>
      </c>
      <c r="H84" s="431">
        <f t="shared" si="38"/>
        <v>468603.7225885464</v>
      </c>
      <c r="I84" s="432">
        <f t="shared" si="38"/>
        <v>482661.83426620282</v>
      </c>
      <c r="J84" s="430">
        <f t="shared" si="38"/>
        <v>497141.68929418898</v>
      </c>
      <c r="K84" s="431">
        <f t="shared" si="38"/>
        <v>606772.59231238288</v>
      </c>
      <c r="L84" s="431">
        <f t="shared" si="38"/>
        <v>624975.77008175442</v>
      </c>
      <c r="M84" s="432">
        <f t="shared" si="38"/>
        <v>643725.04318420705</v>
      </c>
    </row>
    <row r="85" spans="1:13" s="274" customFormat="1">
      <c r="A85" s="173" t="s">
        <v>174</v>
      </c>
      <c r="B85" s="63"/>
      <c r="C85" s="139">
        <f t="shared" ref="C85:M85" si="39">SUM(C23,C42,C61,C80)</f>
        <v>0</v>
      </c>
      <c r="D85" s="140">
        <f t="shared" si="39"/>
        <v>5746605.2481375011</v>
      </c>
      <c r="E85" s="141">
        <f t="shared" si="39"/>
        <v>5919003.4055816252</v>
      </c>
      <c r="F85" s="142">
        <f t="shared" si="39"/>
        <v>6096573.5077490751</v>
      </c>
      <c r="G85" s="140">
        <f t="shared" si="39"/>
        <v>6279470.7129815463</v>
      </c>
      <c r="H85" s="141">
        <f t="shared" si="39"/>
        <v>6903093.8607948152</v>
      </c>
      <c r="I85" s="142">
        <f t="shared" si="39"/>
        <v>7110186.6766186608</v>
      </c>
      <c r="J85" s="140">
        <f t="shared" si="39"/>
        <v>7323492.2769172192</v>
      </c>
      <c r="K85" s="141">
        <f t="shared" si="39"/>
        <v>8580344.3883408178</v>
      </c>
      <c r="L85" s="141">
        <f t="shared" si="39"/>
        <v>8837754.7199910432</v>
      </c>
      <c r="M85" s="142">
        <f t="shared" si="39"/>
        <v>9102887.3615907747</v>
      </c>
    </row>
    <row r="86" spans="1:13" s="274" customFormat="1">
      <c r="A86" s="173" t="s">
        <v>175</v>
      </c>
      <c r="B86" s="63"/>
      <c r="C86" s="139">
        <f>-SUM(C24,C43,C62,C81)</f>
        <v>0</v>
      </c>
      <c r="D86" s="140">
        <f t="shared" ref="D86:M86" si="40">-SUM(D24,D43,D62,D81)</f>
        <v>0</v>
      </c>
      <c r="E86" s="141">
        <f t="shared" si="40"/>
        <v>-300000</v>
      </c>
      <c r="F86" s="142">
        <f t="shared" si="40"/>
        <v>-300000</v>
      </c>
      <c r="G86" s="140">
        <f t="shared" si="40"/>
        <v>-300000</v>
      </c>
      <c r="H86" s="141">
        <f t="shared" si="40"/>
        <v>-300000</v>
      </c>
      <c r="I86" s="142">
        <f t="shared" si="40"/>
        <v>-300000</v>
      </c>
      <c r="J86" s="140">
        <f t="shared" si="40"/>
        <v>-300000</v>
      </c>
      <c r="K86" s="141">
        <f t="shared" si="40"/>
        <v>-300000</v>
      </c>
      <c r="L86" s="141">
        <f t="shared" si="40"/>
        <v>-300000</v>
      </c>
      <c r="M86" s="142">
        <f t="shared" si="40"/>
        <v>-300000</v>
      </c>
    </row>
    <row r="87" spans="1:13" s="274" customFormat="1">
      <c r="A87" s="433" t="s">
        <v>124</v>
      </c>
      <c r="B87" s="239"/>
      <c r="C87" s="262">
        <f>-SUM(C25,C44,C63,C82)</f>
        <v>0</v>
      </c>
      <c r="D87" s="150">
        <f t="shared" ref="D87:M87" si="41">-SUM(D25,D44,D63,D82)</f>
        <v>-143512.73250000001</v>
      </c>
      <c r="E87" s="151">
        <f t="shared" si="41"/>
        <v>-147818.11447500001</v>
      </c>
      <c r="F87" s="152">
        <f t="shared" si="41"/>
        <v>-152252.65790925003</v>
      </c>
      <c r="G87" s="150">
        <f t="shared" si="41"/>
        <v>-156820.2376465275</v>
      </c>
      <c r="H87" s="151">
        <f t="shared" si="41"/>
        <v>-170357.70173023731</v>
      </c>
      <c r="I87" s="152">
        <f t="shared" si="41"/>
        <v>-175468.43278214446</v>
      </c>
      <c r="J87" s="150">
        <f t="shared" si="41"/>
        <v>-180732.48576560878</v>
      </c>
      <c r="K87" s="151">
        <f t="shared" si="41"/>
        <v>-207202.6053028811</v>
      </c>
      <c r="L87" s="151">
        <f t="shared" si="41"/>
        <v>-213418.68346196754</v>
      </c>
      <c r="M87" s="152">
        <f t="shared" si="41"/>
        <v>-219821.24396582658</v>
      </c>
    </row>
    <row r="88" spans="1:13" s="274" customFormat="1" ht="13.5" thickBot="1">
      <c r="A88" s="110" t="s">
        <v>5</v>
      </c>
      <c r="B88" s="66"/>
      <c r="C88" s="258">
        <f>SUM(C84:C87)</f>
        <v>0</v>
      </c>
      <c r="D88" s="259">
        <f t="shared" ref="D88:M88" si="42">SUM(D84:D87)</f>
        <v>5990011.3075125013</v>
      </c>
      <c r="E88" s="236">
        <f t="shared" si="42"/>
        <v>5869711.6467378754</v>
      </c>
      <c r="F88" s="237">
        <f t="shared" si="42"/>
        <v>6054802.9961400125</v>
      </c>
      <c r="G88" s="259">
        <f t="shared" si="42"/>
        <v>6245447.0860242117</v>
      </c>
      <c r="H88" s="236">
        <f t="shared" si="42"/>
        <v>6901339.8816531245</v>
      </c>
      <c r="I88" s="237">
        <f t="shared" si="42"/>
        <v>7117380.078102719</v>
      </c>
      <c r="J88" s="259">
        <f t="shared" si="42"/>
        <v>7339901.4804457994</v>
      </c>
      <c r="K88" s="236">
        <f t="shared" si="42"/>
        <v>8679914.3753503188</v>
      </c>
      <c r="L88" s="236">
        <f t="shared" si="42"/>
        <v>8949311.8066108301</v>
      </c>
      <c r="M88" s="237">
        <f t="shared" si="42"/>
        <v>9226791.1608091556</v>
      </c>
    </row>
    <row r="89" spans="1:13" s="274" customFormat="1" ht="13.5" thickBot="1">
      <c r="A89" s="198" t="s">
        <v>2</v>
      </c>
      <c r="B89" s="195"/>
      <c r="C89" s="204"/>
      <c r="D89" s="242"/>
      <c r="E89" s="201"/>
      <c r="F89" s="202"/>
      <c r="G89" s="242"/>
      <c r="H89" s="201"/>
      <c r="I89" s="202"/>
      <c r="J89" s="242"/>
      <c r="K89" s="201"/>
      <c r="L89" s="201"/>
      <c r="M89" s="202"/>
    </row>
    <row r="90" spans="1:13" s="274" customFormat="1">
      <c r="A90" s="173" t="s">
        <v>108</v>
      </c>
      <c r="B90" s="63"/>
      <c r="C90" s="220">
        <v>108.96</v>
      </c>
      <c r="D90" s="212">
        <f>$C$90*(1+$B$8)^D4</f>
        <v>112.22879999999999</v>
      </c>
      <c r="E90" s="199">
        <f t="shared" ref="E90:M90" si="43">$C$90*(1+$B$8)^E4</f>
        <v>115.59566399999999</v>
      </c>
      <c r="F90" s="200">
        <f t="shared" si="43"/>
        <v>119.06353392</v>
      </c>
      <c r="G90" s="212">
        <f t="shared" si="43"/>
        <v>122.63543993759998</v>
      </c>
      <c r="H90" s="199">
        <f t="shared" si="43"/>
        <v>126.31450313572797</v>
      </c>
      <c r="I90" s="200">
        <f t="shared" si="43"/>
        <v>130.10393822979981</v>
      </c>
      <c r="J90" s="212">
        <f t="shared" si="43"/>
        <v>134.00705637669384</v>
      </c>
      <c r="K90" s="199">
        <f t="shared" si="43"/>
        <v>138.02726806799461</v>
      </c>
      <c r="L90" s="199">
        <f t="shared" si="43"/>
        <v>142.16808611003447</v>
      </c>
      <c r="M90" s="200">
        <f t="shared" si="43"/>
        <v>146.4331286933355</v>
      </c>
    </row>
    <row r="91" spans="1:13" s="274" customFormat="1">
      <c r="A91" s="173" t="s">
        <v>13</v>
      </c>
      <c r="B91" s="63"/>
      <c r="C91" s="255">
        <f>C92/SUM($C$92:$M$92)</f>
        <v>0</v>
      </c>
      <c r="D91" s="256">
        <f t="shared" ref="D91:M91" si="44">D92/SUM($C$92:$M$92)</f>
        <v>0.87863704152487043</v>
      </c>
      <c r="E91" s="186">
        <f t="shared" si="44"/>
        <v>0</v>
      </c>
      <c r="F91" s="240">
        <f t="shared" si="44"/>
        <v>0</v>
      </c>
      <c r="G91" s="256">
        <f t="shared" si="44"/>
        <v>0</v>
      </c>
      <c r="H91" s="186">
        <f t="shared" si="44"/>
        <v>0.1213629584751295</v>
      </c>
      <c r="I91" s="240">
        <f t="shared" si="44"/>
        <v>0</v>
      </c>
      <c r="J91" s="256">
        <f t="shared" si="44"/>
        <v>0</v>
      </c>
      <c r="K91" s="186">
        <f t="shared" si="44"/>
        <v>0</v>
      </c>
      <c r="L91" s="186">
        <f t="shared" si="44"/>
        <v>0</v>
      </c>
      <c r="M91" s="240">
        <f t="shared" si="44"/>
        <v>0</v>
      </c>
    </row>
    <row r="92" spans="1:13" s="274" customFormat="1">
      <c r="A92" s="173" t="s">
        <v>2</v>
      </c>
      <c r="B92" s="63"/>
      <c r="C92" s="159">
        <f>SUM('Development Schedule'!D11,'Development Schedule'!D25)*C90</f>
        <v>0</v>
      </c>
      <c r="D92" s="300">
        <f>SUM('Development Schedule'!E11,'Development Schedule'!E25)*D90</f>
        <v>22484624.833440002</v>
      </c>
      <c r="E92" s="301">
        <f>SUM('Development Schedule'!F11,'Development Schedule'!F25)*E90</f>
        <v>0</v>
      </c>
      <c r="F92" s="302">
        <f>SUM('Development Schedule'!G11,'Development Schedule'!G25)*F90</f>
        <v>0</v>
      </c>
      <c r="G92" s="300">
        <f>SUM('Development Schedule'!H11,'Development Schedule'!H25)*G90</f>
        <v>0</v>
      </c>
      <c r="H92" s="301">
        <f>SUM('Development Schedule'!I11,'Development Schedule'!I25)*H90</f>
        <v>3105719.9514987711</v>
      </c>
      <c r="I92" s="302">
        <f>SUM('Development Schedule'!J11,'Development Schedule'!J25)*I90</f>
        <v>0</v>
      </c>
      <c r="J92" s="300">
        <f>SUM('Development Schedule'!K11,'Development Schedule'!K25)*J90</f>
        <v>0</v>
      </c>
      <c r="K92" s="301">
        <f>SUM('Development Schedule'!L11,'Development Schedule'!L25)*K90</f>
        <v>0</v>
      </c>
      <c r="L92" s="301">
        <f>SUM('Development Schedule'!M11,'Development Schedule'!M25)*L90</f>
        <v>0</v>
      </c>
      <c r="M92" s="302">
        <f>SUM('Development Schedule'!N11,'Development Schedule'!N25)*M90</f>
        <v>0</v>
      </c>
    </row>
    <row r="93" spans="1:13" s="274" customFormat="1" ht="13.5" thickBot="1">
      <c r="A93" s="369" t="s">
        <v>3</v>
      </c>
      <c r="B93" s="66"/>
      <c r="C93" s="259">
        <f>C92</f>
        <v>0</v>
      </c>
      <c r="D93" s="259">
        <f t="shared" ref="D93:M93" si="45">D92</f>
        <v>22484624.833440002</v>
      </c>
      <c r="E93" s="236">
        <f t="shared" si="45"/>
        <v>0</v>
      </c>
      <c r="F93" s="237">
        <f t="shared" si="45"/>
        <v>0</v>
      </c>
      <c r="G93" s="259">
        <f t="shared" si="45"/>
        <v>0</v>
      </c>
      <c r="H93" s="236">
        <f t="shared" si="45"/>
        <v>3105719.9514987711</v>
      </c>
      <c r="I93" s="237">
        <f t="shared" si="45"/>
        <v>0</v>
      </c>
      <c r="J93" s="259">
        <f t="shared" si="45"/>
        <v>0</v>
      </c>
      <c r="K93" s="236">
        <f t="shared" si="45"/>
        <v>0</v>
      </c>
      <c r="L93" s="236">
        <f t="shared" si="45"/>
        <v>0</v>
      </c>
      <c r="M93" s="237">
        <f t="shared" si="45"/>
        <v>0</v>
      </c>
    </row>
    <row r="94" spans="1:13" s="274" customFormat="1" ht="13.5" thickBot="1">
      <c r="A94" s="198" t="s">
        <v>4</v>
      </c>
      <c r="B94" s="195"/>
      <c r="C94" s="204"/>
      <c r="D94" s="242"/>
      <c r="E94" s="201"/>
      <c r="F94" s="202"/>
      <c r="G94" s="242"/>
      <c r="H94" s="201"/>
      <c r="I94" s="202"/>
      <c r="J94" s="242"/>
      <c r="K94" s="201"/>
      <c r="L94" s="201"/>
      <c r="M94" s="202"/>
    </row>
    <row r="95" spans="1:13" s="274" customFormat="1">
      <c r="A95" s="173" t="s">
        <v>5</v>
      </c>
      <c r="B95" s="63"/>
      <c r="C95" s="138">
        <f t="shared" ref="C95:M95" si="46">C88</f>
        <v>0</v>
      </c>
      <c r="D95" s="257">
        <f t="shared" si="46"/>
        <v>5990011.3075125013</v>
      </c>
      <c r="E95" s="229">
        <f t="shared" si="46"/>
        <v>5869711.6467378754</v>
      </c>
      <c r="F95" s="241">
        <f t="shared" si="46"/>
        <v>6054802.9961400125</v>
      </c>
      <c r="G95" s="257">
        <f t="shared" si="46"/>
        <v>6245447.0860242117</v>
      </c>
      <c r="H95" s="229">
        <f t="shared" si="46"/>
        <v>6901339.8816531245</v>
      </c>
      <c r="I95" s="241">
        <f t="shared" si="46"/>
        <v>7117380.078102719</v>
      </c>
      <c r="J95" s="257">
        <f t="shared" si="46"/>
        <v>7339901.4804457994</v>
      </c>
      <c r="K95" s="229">
        <f t="shared" si="46"/>
        <v>8679914.3753503188</v>
      </c>
      <c r="L95" s="229">
        <f t="shared" si="46"/>
        <v>8949311.8066108301</v>
      </c>
      <c r="M95" s="241">
        <f t="shared" si="46"/>
        <v>9226791.1608091556</v>
      </c>
    </row>
    <row r="96" spans="1:13" s="274" customFormat="1">
      <c r="A96" s="173" t="s">
        <v>57</v>
      </c>
      <c r="B96" s="101">
        <f>D112</f>
        <v>0.06</v>
      </c>
      <c r="C96" s="143">
        <v>0</v>
      </c>
      <c r="D96" s="247">
        <f>C96</f>
        <v>0</v>
      </c>
      <c r="E96" s="238">
        <f t="shared" ref="E96:L97" si="47">D96</f>
        <v>0</v>
      </c>
      <c r="F96" s="248">
        <f t="shared" si="47"/>
        <v>0</v>
      </c>
      <c r="G96" s="247">
        <f t="shared" si="47"/>
        <v>0</v>
      </c>
      <c r="H96" s="238">
        <f t="shared" si="47"/>
        <v>0</v>
      </c>
      <c r="I96" s="248">
        <f t="shared" si="47"/>
        <v>0</v>
      </c>
      <c r="J96" s="247">
        <f t="shared" si="47"/>
        <v>0</v>
      </c>
      <c r="K96" s="238">
        <f t="shared" si="47"/>
        <v>0</v>
      </c>
      <c r="L96" s="238">
        <f t="shared" si="47"/>
        <v>0</v>
      </c>
      <c r="M96" s="248">
        <f>M95/B96</f>
        <v>153779852.6801526</v>
      </c>
    </row>
    <row r="97" spans="1:13" s="274" customFormat="1">
      <c r="A97" s="173" t="s">
        <v>58</v>
      </c>
      <c r="B97" s="101">
        <f>D113</f>
        <v>0.03</v>
      </c>
      <c r="C97" s="143">
        <v>0</v>
      </c>
      <c r="D97" s="247">
        <f>C97</f>
        <v>0</v>
      </c>
      <c r="E97" s="238">
        <f t="shared" si="47"/>
        <v>0</v>
      </c>
      <c r="F97" s="248">
        <f t="shared" si="47"/>
        <v>0</v>
      </c>
      <c r="G97" s="247">
        <f t="shared" si="47"/>
        <v>0</v>
      </c>
      <c r="H97" s="238">
        <f t="shared" si="47"/>
        <v>0</v>
      </c>
      <c r="I97" s="248">
        <f t="shared" si="47"/>
        <v>0</v>
      </c>
      <c r="J97" s="247">
        <f t="shared" si="47"/>
        <v>0</v>
      </c>
      <c r="K97" s="238">
        <f t="shared" si="47"/>
        <v>0</v>
      </c>
      <c r="L97" s="238">
        <f t="shared" si="47"/>
        <v>0</v>
      </c>
      <c r="M97" s="248">
        <f>M96*-B97</f>
        <v>-4613395.5804045778</v>
      </c>
    </row>
    <row r="98" spans="1:13" s="274" customFormat="1">
      <c r="A98" s="234" t="s">
        <v>109</v>
      </c>
      <c r="B98" s="296"/>
      <c r="C98" s="262">
        <f>-C93</f>
        <v>0</v>
      </c>
      <c r="D98" s="263">
        <f t="shared" ref="D98:M98" si="48">-D93</f>
        <v>-22484624.833440002</v>
      </c>
      <c r="E98" s="232">
        <f t="shared" si="48"/>
        <v>0</v>
      </c>
      <c r="F98" s="235">
        <f t="shared" si="48"/>
        <v>0</v>
      </c>
      <c r="G98" s="263">
        <f t="shared" si="48"/>
        <v>0</v>
      </c>
      <c r="H98" s="232">
        <f t="shared" si="48"/>
        <v>-3105719.9514987711</v>
      </c>
      <c r="I98" s="235">
        <f t="shared" si="48"/>
        <v>0</v>
      </c>
      <c r="J98" s="263">
        <f t="shared" si="48"/>
        <v>0</v>
      </c>
      <c r="K98" s="232">
        <f t="shared" si="48"/>
        <v>0</v>
      </c>
      <c r="L98" s="232">
        <f t="shared" si="48"/>
        <v>0</v>
      </c>
      <c r="M98" s="235">
        <f t="shared" si="48"/>
        <v>0</v>
      </c>
    </row>
    <row r="99" spans="1:13" s="274" customFormat="1" ht="13.5" thickBot="1">
      <c r="A99" s="369" t="s">
        <v>6</v>
      </c>
      <c r="B99" s="112"/>
      <c r="C99" s="258">
        <f>SUM(C95:C98)</f>
        <v>0</v>
      </c>
      <c r="D99" s="259">
        <f t="shared" ref="D99:M99" si="49">SUM(D95:D98)</f>
        <v>-16494613.525927501</v>
      </c>
      <c r="E99" s="236">
        <f t="shared" si="49"/>
        <v>5869711.6467378754</v>
      </c>
      <c r="F99" s="237">
        <f t="shared" si="49"/>
        <v>6054802.9961400125</v>
      </c>
      <c r="G99" s="259">
        <f t="shared" si="49"/>
        <v>6245447.0860242117</v>
      </c>
      <c r="H99" s="236">
        <f t="shared" si="49"/>
        <v>3795619.9301543534</v>
      </c>
      <c r="I99" s="237">
        <f t="shared" si="49"/>
        <v>7117380.078102719</v>
      </c>
      <c r="J99" s="259">
        <f t="shared" si="49"/>
        <v>7339901.4804457994</v>
      </c>
      <c r="K99" s="236">
        <f t="shared" si="49"/>
        <v>8679914.3753503188</v>
      </c>
      <c r="L99" s="236">
        <f t="shared" si="49"/>
        <v>8949311.8066108301</v>
      </c>
      <c r="M99" s="237">
        <f t="shared" si="49"/>
        <v>158393248.26055717</v>
      </c>
    </row>
    <row r="100" spans="1:13" s="274" customFormat="1" ht="13.5" thickBot="1">
      <c r="A100" s="109" t="s">
        <v>26</v>
      </c>
      <c r="B100" s="98"/>
      <c r="C100" s="354">
        <f>C99+NPV(D114,D99:M99)</f>
        <v>85017216.002017021</v>
      </c>
      <c r="D100" s="351"/>
      <c r="E100" s="352"/>
      <c r="F100" s="353"/>
      <c r="G100" s="351"/>
      <c r="H100" s="352"/>
      <c r="I100" s="353"/>
      <c r="J100" s="100"/>
      <c r="K100" s="100"/>
      <c r="L100" s="100"/>
      <c r="M100" s="188"/>
    </row>
    <row r="101" spans="1:13" ht="13.5" thickBot="1">
      <c r="A101" s="80" t="s">
        <v>59</v>
      </c>
      <c r="B101" s="153"/>
      <c r="C101" s="269">
        <f>IRR(C99:M99,1)</f>
        <v>0.4849020974368099</v>
      </c>
      <c r="D101" s="251"/>
      <c r="E101" s="153"/>
      <c r="F101" s="172"/>
      <c r="G101" s="251"/>
      <c r="H101" s="153"/>
      <c r="I101" s="172"/>
      <c r="J101" s="153"/>
      <c r="K101" s="153"/>
      <c r="L101" s="153"/>
      <c r="M101" s="172"/>
    </row>
    <row r="102" spans="1:13" ht="13.5" thickBot="1">
      <c r="A102" s="80"/>
      <c r="B102" s="153"/>
      <c r="C102" s="371"/>
      <c r="D102" s="15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13.5" thickBot="1">
      <c r="A103" s="183" t="s">
        <v>101</v>
      </c>
      <c r="B103" s="158"/>
      <c r="C103" s="158"/>
      <c r="D103" s="182"/>
      <c r="E103" s="274"/>
      <c r="F103" s="274"/>
      <c r="G103" s="274"/>
      <c r="H103" s="274"/>
      <c r="I103" s="274"/>
      <c r="J103" s="274"/>
      <c r="K103" s="274"/>
      <c r="L103" s="274"/>
      <c r="M103" s="274"/>
    </row>
    <row r="104" spans="1:13" ht="13.5" thickBot="1">
      <c r="A104" s="78"/>
      <c r="B104" s="153"/>
      <c r="C104" s="83" t="s">
        <v>170</v>
      </c>
      <c r="D104" s="84" t="s">
        <v>100</v>
      </c>
      <c r="E104" s="274"/>
      <c r="F104" s="274"/>
      <c r="G104" s="274"/>
      <c r="H104" s="274"/>
      <c r="I104" s="274"/>
      <c r="J104" s="274"/>
      <c r="K104" s="274"/>
      <c r="L104" s="274"/>
      <c r="M104" s="274"/>
    </row>
    <row r="105" spans="1:13">
      <c r="A105" s="62" t="s">
        <v>543</v>
      </c>
      <c r="B105" s="63"/>
      <c r="C105" s="184">
        <f>D105/$D$111</f>
        <v>626.08218750000015</v>
      </c>
      <c r="D105" s="418">
        <f>'Development Schedule'!C11</f>
        <v>200346.30000000005</v>
      </c>
      <c r="E105" s="274"/>
      <c r="F105" s="274"/>
      <c r="G105" s="274"/>
      <c r="H105" s="274"/>
      <c r="I105" s="274"/>
      <c r="J105" s="274"/>
      <c r="K105" s="274"/>
      <c r="L105" s="274"/>
      <c r="M105" s="274"/>
    </row>
    <row r="106" spans="1:13">
      <c r="A106" s="62" t="s">
        <v>177</v>
      </c>
      <c r="B106" s="63"/>
      <c r="C106" s="184">
        <f>D106/$D$111</f>
        <v>47.620625000000004</v>
      </c>
      <c r="D106" s="227">
        <f>'Development Schedule'!C46</f>
        <v>15238.6</v>
      </c>
      <c r="E106" s="274"/>
      <c r="F106" s="274"/>
      <c r="G106" s="274"/>
      <c r="H106" s="274"/>
      <c r="I106" s="274"/>
      <c r="J106" s="274"/>
      <c r="K106" s="274"/>
      <c r="L106" s="274"/>
      <c r="M106" s="274"/>
    </row>
    <row r="107" spans="1:13">
      <c r="A107" s="62" t="s">
        <v>541</v>
      </c>
      <c r="B107" s="63"/>
      <c r="C107" s="184">
        <f>D107/$D$111</f>
        <v>244.7475</v>
      </c>
      <c r="D107" s="227">
        <f>'Development Schedule'!C10</f>
        <v>78319.199999999997</v>
      </c>
      <c r="E107" s="274"/>
      <c r="F107" s="274"/>
      <c r="G107" s="274"/>
      <c r="H107" s="274"/>
      <c r="I107" s="274"/>
      <c r="J107" s="274"/>
      <c r="K107" s="274"/>
      <c r="L107" s="274"/>
      <c r="M107" s="274"/>
    </row>
    <row r="108" spans="1:13" ht="13.5" thickBot="1">
      <c r="A108" s="65" t="s">
        <v>178</v>
      </c>
      <c r="B108" s="66"/>
      <c r="C108" s="272">
        <f>D108/$D$111</f>
        <v>103.8475</v>
      </c>
      <c r="D108" s="228">
        <f>'Development Schedule'!C28</f>
        <v>33231.199999999997</v>
      </c>
      <c r="E108" s="274"/>
      <c r="F108" s="274"/>
      <c r="G108" s="274"/>
      <c r="H108" s="274"/>
      <c r="I108" s="274"/>
      <c r="J108" s="274"/>
      <c r="K108" s="274"/>
      <c r="L108" s="274"/>
      <c r="M108" s="274"/>
    </row>
    <row r="109" spans="1:13" ht="13.5" thickBot="1">
      <c r="A109" s="38"/>
      <c r="B109" s="56"/>
      <c r="C109" s="56"/>
      <c r="D109" s="38"/>
      <c r="E109" s="274"/>
      <c r="F109" s="274"/>
      <c r="G109" s="274"/>
      <c r="H109" s="274"/>
      <c r="I109" s="274"/>
      <c r="J109" s="274"/>
      <c r="K109" s="274"/>
      <c r="L109" s="274"/>
      <c r="M109" s="274"/>
    </row>
    <row r="110" spans="1:13" ht="13.5" thickBot="1">
      <c r="A110" s="183" t="s">
        <v>110</v>
      </c>
      <c r="B110" s="253"/>
      <c r="C110" s="253"/>
      <c r="D110" s="254"/>
      <c r="E110" s="274"/>
      <c r="F110" s="274"/>
      <c r="G110" s="274"/>
      <c r="H110" s="274"/>
      <c r="I110" s="274"/>
      <c r="J110" s="274"/>
      <c r="K110" s="274"/>
      <c r="L110" s="274"/>
      <c r="M110" s="274"/>
    </row>
    <row r="111" spans="1:13">
      <c r="A111" s="62" t="s">
        <v>171</v>
      </c>
      <c r="B111" s="63"/>
      <c r="C111" s="63"/>
      <c r="D111" s="124">
        <v>320</v>
      </c>
      <c r="E111" s="274"/>
      <c r="F111" s="274"/>
      <c r="G111" s="274"/>
      <c r="H111" s="274"/>
      <c r="I111" s="274"/>
      <c r="J111" s="274"/>
      <c r="K111" s="274"/>
      <c r="L111" s="274"/>
      <c r="M111" s="274"/>
    </row>
    <row r="112" spans="1:13">
      <c r="A112" s="62" t="s">
        <v>111</v>
      </c>
      <c r="B112" s="63"/>
      <c r="C112" s="63"/>
      <c r="D112" s="345">
        <v>0.06</v>
      </c>
      <c r="E112" s="274"/>
      <c r="F112" s="274"/>
      <c r="G112" s="274"/>
      <c r="H112" s="274"/>
      <c r="I112" s="274"/>
      <c r="J112" s="274"/>
      <c r="K112" s="274"/>
      <c r="L112" s="274"/>
      <c r="M112" s="274"/>
    </row>
    <row r="113" spans="1:13">
      <c r="A113" s="62" t="s">
        <v>112</v>
      </c>
      <c r="B113" s="63"/>
      <c r="C113" s="63"/>
      <c r="D113" s="345">
        <v>0.03</v>
      </c>
      <c r="E113" s="274"/>
      <c r="F113" s="274"/>
      <c r="G113" s="274"/>
      <c r="H113" s="274"/>
      <c r="I113" s="274"/>
      <c r="J113" s="274"/>
      <c r="K113" s="274"/>
      <c r="L113" s="274"/>
      <c r="M113" s="274"/>
    </row>
    <row r="114" spans="1:13" ht="13.5" thickBot="1">
      <c r="A114" s="65" t="s">
        <v>97</v>
      </c>
      <c r="B114" s="66"/>
      <c r="C114" s="66"/>
      <c r="D114" s="125">
        <v>0.09</v>
      </c>
      <c r="E114" s="274"/>
      <c r="F114" s="274"/>
      <c r="G114" s="274"/>
      <c r="H114" s="274"/>
      <c r="I114" s="274"/>
      <c r="J114" s="274"/>
      <c r="K114" s="274"/>
      <c r="L114" s="274"/>
      <c r="M114" s="274"/>
    </row>
    <row r="115" spans="1:13">
      <c r="A115" s="274"/>
      <c r="B115" s="275"/>
      <c r="C115" s="275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</row>
    <row r="116" spans="1:13">
      <c r="A116" s="274"/>
    </row>
  </sheetData>
  <phoneticPr fontId="4" type="noConversion"/>
  <printOptions horizontalCentered="1"/>
  <pageMargins left="0.5" right="0.5" top="1" bottom="0.5" header="0.5" footer="0.5"/>
  <pageSetup scale="59" orientation="landscape" r:id="rId1"/>
  <headerFooter alignWithMargins="0">
    <oddHeader>&amp;L&amp;"Arial,Bold"8. Income Statement: Structured Parking</oddHeader>
  </headerFooter>
  <rowBreaks count="1" manualBreakCount="1">
    <brk id="59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A1"/>
  <sheetViews>
    <sheetView workbookViewId="0">
      <selection activeCell="B1" sqref="B1"/>
    </sheetView>
  </sheetViews>
  <sheetFormatPr defaultColWidth="9.1796875" defaultRowHeight="12.5"/>
  <cols>
    <col min="1" max="16384" width="9.1796875" style="37"/>
  </cols>
  <sheetData>
    <row r="1" spans="1:1">
      <c r="A1" s="3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78"/>
  <sheetViews>
    <sheetView view="pageBreakPreview" zoomScale="70" zoomScaleNormal="55" zoomScaleSheetLayoutView="70" workbookViewId="0">
      <selection activeCell="A9" sqref="A9"/>
    </sheetView>
  </sheetViews>
  <sheetFormatPr defaultColWidth="9.1796875" defaultRowHeight="12.5"/>
  <cols>
    <col min="1" max="1" width="42.26953125" style="37" customWidth="1"/>
    <col min="2" max="2" width="24.54296875" style="37" customWidth="1"/>
    <col min="3" max="3" width="12.81640625" style="37" customWidth="1"/>
    <col min="4" max="5" width="13.7265625" style="37" customWidth="1"/>
    <col min="6" max="14" width="13.7265625" style="474" customWidth="1"/>
    <col min="15" max="16384" width="9.1796875" style="474"/>
  </cols>
  <sheetData>
    <row r="1" spans="1:18" s="37" customFormat="1" ht="13">
      <c r="A1" s="49" t="s">
        <v>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8" s="37" customFormat="1" ht="13.5" thickBot="1">
      <c r="A2" s="1209" t="s">
        <v>79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873"/>
      <c r="P2" s="873"/>
      <c r="Q2" s="873"/>
      <c r="R2" s="873"/>
    </row>
    <row r="3" spans="1:18" s="37" customFormat="1" ht="13.5" thickBot="1">
      <c r="A3" s="46"/>
      <c r="B3" s="47"/>
      <c r="C3" s="47"/>
      <c r="D3" s="48" t="s">
        <v>55</v>
      </c>
      <c r="E3" s="1206" t="s">
        <v>36</v>
      </c>
      <c r="F3" s="1207"/>
      <c r="G3" s="1208"/>
      <c r="H3" s="1206" t="s">
        <v>77</v>
      </c>
      <c r="I3" s="1207"/>
      <c r="J3" s="1208"/>
      <c r="K3" s="1206" t="s">
        <v>78</v>
      </c>
      <c r="L3" s="1207"/>
      <c r="M3" s="1207"/>
      <c r="N3" s="1207"/>
      <c r="O3" s="69"/>
      <c r="P3" s="69"/>
      <c r="Q3" s="69"/>
      <c r="R3" s="69"/>
    </row>
    <row r="4" spans="1:18" s="37" customFormat="1" ht="13.5" thickBot="1">
      <c r="A4" s="42"/>
      <c r="B4" s="43" t="s">
        <v>82</v>
      </c>
      <c r="C4" s="43" t="s">
        <v>81</v>
      </c>
      <c r="D4" s="372" t="s">
        <v>379</v>
      </c>
      <c r="E4" s="286">
        <v>2022</v>
      </c>
      <c r="F4" s="43">
        <f>E4+1</f>
        <v>2023</v>
      </c>
      <c r="G4" s="43">
        <f t="shared" ref="G4:L4" si="0">F4+1</f>
        <v>2024</v>
      </c>
      <c r="H4" s="44">
        <f t="shared" si="0"/>
        <v>2025</v>
      </c>
      <c r="I4" s="43">
        <f t="shared" si="0"/>
        <v>2026</v>
      </c>
      <c r="J4" s="45">
        <f t="shared" si="0"/>
        <v>2027</v>
      </c>
      <c r="K4" s="44">
        <f t="shared" si="0"/>
        <v>2028</v>
      </c>
      <c r="L4" s="43">
        <f t="shared" si="0"/>
        <v>2029</v>
      </c>
      <c r="M4" s="43">
        <f>L4+1</f>
        <v>2030</v>
      </c>
      <c r="N4" s="45">
        <f>M4+1</f>
        <v>2031</v>
      </c>
    </row>
    <row r="5" spans="1:18" s="37" customFormat="1" ht="4.5" customHeight="1">
      <c r="A5" s="62"/>
      <c r="B5" s="59"/>
      <c r="C5" s="59"/>
      <c r="D5" s="59"/>
      <c r="E5" s="58"/>
      <c r="F5" s="59"/>
      <c r="G5" s="59"/>
      <c r="H5" s="58"/>
      <c r="I5" s="59"/>
      <c r="J5" s="60"/>
      <c r="K5" s="58"/>
      <c r="L5" s="59"/>
      <c r="M5" s="59"/>
      <c r="N5" s="60"/>
    </row>
    <row r="6" spans="1:18" ht="13">
      <c r="A6" s="61" t="s">
        <v>85</v>
      </c>
      <c r="B6" s="59"/>
      <c r="C6" s="59"/>
      <c r="D6" s="87"/>
      <c r="E6" s="88"/>
      <c r="F6" s="64"/>
      <c r="G6" s="64"/>
      <c r="H6" s="822"/>
      <c r="I6" s="64"/>
      <c r="J6" s="823"/>
      <c r="K6" s="822"/>
      <c r="L6" s="64"/>
      <c r="M6" s="64"/>
      <c r="N6" s="823"/>
    </row>
    <row r="7" spans="1:18">
      <c r="A7" s="62" t="s">
        <v>500</v>
      </c>
      <c r="B7" s="63" t="s">
        <v>499</v>
      </c>
      <c r="C7" s="57">
        <f>SUM('Development Notes'!E11:L11)</f>
        <v>158056</v>
      </c>
      <c r="D7" s="87"/>
      <c r="E7" s="822">
        <f>C7</f>
        <v>158056</v>
      </c>
      <c r="F7" s="64"/>
      <c r="G7" s="64"/>
      <c r="H7" s="822"/>
      <c r="I7" s="64"/>
      <c r="J7" s="823"/>
      <c r="K7" s="822"/>
      <c r="L7" s="64"/>
      <c r="M7" s="64"/>
      <c r="N7" s="823"/>
    </row>
    <row r="8" spans="1:18">
      <c r="A8" s="62" t="s">
        <v>527</v>
      </c>
      <c r="B8" s="63" t="s">
        <v>64</v>
      </c>
      <c r="C8" s="57">
        <f>SUM('Development Notes'!I9:N9)</f>
        <v>98408.700000000012</v>
      </c>
      <c r="D8" s="87"/>
      <c r="E8" s="822"/>
      <c r="F8" s="64">
        <f>C8</f>
        <v>98408.700000000012</v>
      </c>
      <c r="G8" s="64"/>
      <c r="H8" s="822"/>
      <c r="I8" s="64"/>
      <c r="J8" s="823"/>
      <c r="K8" s="822"/>
      <c r="L8" s="64"/>
      <c r="M8" s="64"/>
      <c r="N8" s="823"/>
    </row>
    <row r="9" spans="1:18">
      <c r="A9" s="62" t="s">
        <v>528</v>
      </c>
      <c r="B9" s="63" t="s">
        <v>64</v>
      </c>
      <c r="C9" s="57">
        <f>SUM('Development Notes'!E17:E18)</f>
        <v>14131.800000000001</v>
      </c>
      <c r="D9" s="87"/>
      <c r="E9" s="822">
        <f t="shared" ref="E9:E19" si="1">C9</f>
        <v>14131.800000000001</v>
      </c>
      <c r="F9" s="184"/>
      <c r="G9" s="64"/>
      <c r="H9" s="822"/>
      <c r="I9" s="64"/>
      <c r="J9" s="823"/>
      <c r="K9" s="822"/>
      <c r="L9" s="64"/>
      <c r="M9" s="64"/>
      <c r="N9" s="823"/>
    </row>
    <row r="10" spans="1:18">
      <c r="A10" s="62" t="s">
        <v>541</v>
      </c>
      <c r="B10" s="63" t="s">
        <v>184</v>
      </c>
      <c r="C10" s="57">
        <f>SUM('Development Notes'!E9:H9)</f>
        <v>78319.199999999997</v>
      </c>
      <c r="D10" s="87"/>
      <c r="E10" s="822">
        <f>C10</f>
        <v>78319.199999999997</v>
      </c>
      <c r="F10" s="184"/>
      <c r="G10" s="64"/>
      <c r="H10" s="822"/>
      <c r="I10" s="64"/>
      <c r="J10" s="823"/>
      <c r="K10" s="822"/>
      <c r="L10" s="64"/>
      <c r="M10" s="64"/>
      <c r="N10" s="823"/>
    </row>
    <row r="11" spans="1:18">
      <c r="A11" s="62" t="s">
        <v>83</v>
      </c>
      <c r="B11" s="63" t="s">
        <v>49</v>
      </c>
      <c r="C11" s="57">
        <f>SUM('Development Notes'!D12:L12)</f>
        <v>200346.30000000005</v>
      </c>
      <c r="D11" s="87"/>
      <c r="E11" s="822">
        <f t="shared" si="1"/>
        <v>200346.30000000005</v>
      </c>
      <c r="F11" s="64"/>
      <c r="G11" s="64"/>
      <c r="H11" s="822"/>
      <c r="I11" s="64"/>
      <c r="J11" s="823"/>
      <c r="K11" s="822"/>
      <c r="L11" s="64"/>
      <c r="M11" s="64"/>
      <c r="N11" s="823"/>
    </row>
    <row r="12" spans="1:18">
      <c r="A12" s="62" t="s">
        <v>494</v>
      </c>
      <c r="B12" s="63" t="s">
        <v>47</v>
      </c>
      <c r="C12" s="57">
        <f>'Development Notes'!D9</f>
        <v>28518.6</v>
      </c>
      <c r="D12" s="87"/>
      <c r="E12" s="822">
        <f>C12</f>
        <v>28518.6</v>
      </c>
      <c r="F12" s="64"/>
      <c r="G12" s="64"/>
      <c r="H12" s="822"/>
      <c r="I12" s="64"/>
      <c r="J12" s="823"/>
      <c r="K12" s="822"/>
      <c r="L12" s="64"/>
      <c r="M12" s="64"/>
      <c r="N12" s="823"/>
    </row>
    <row r="13" spans="1:18">
      <c r="A13" s="62" t="s">
        <v>529</v>
      </c>
      <c r="B13" s="63" t="s">
        <v>47</v>
      </c>
      <c r="C13" s="57">
        <f>SUM('Development Notes'!D16:F16)</f>
        <v>18000</v>
      </c>
      <c r="D13" s="87"/>
      <c r="E13" s="822">
        <f>C13</f>
        <v>18000</v>
      </c>
      <c r="F13" s="64"/>
      <c r="G13" s="64"/>
      <c r="H13" s="822"/>
      <c r="I13" s="64"/>
      <c r="J13" s="823"/>
      <c r="K13" s="822"/>
      <c r="L13" s="64"/>
      <c r="M13" s="64"/>
      <c r="N13" s="823"/>
    </row>
    <row r="14" spans="1:18">
      <c r="A14" s="62" t="s">
        <v>89</v>
      </c>
      <c r="B14" s="63" t="s">
        <v>47</v>
      </c>
      <c r="C14" s="57">
        <f>'Development Notes'!D11</f>
        <v>19757</v>
      </c>
      <c r="D14" s="87"/>
      <c r="E14" s="822"/>
      <c r="F14" s="64">
        <f>C14</f>
        <v>19757</v>
      </c>
      <c r="G14" s="64"/>
      <c r="H14" s="822"/>
      <c r="I14" s="64"/>
      <c r="J14" s="823"/>
      <c r="K14" s="822"/>
      <c r="L14" s="64"/>
      <c r="M14" s="64"/>
      <c r="N14" s="823"/>
    </row>
    <row r="15" spans="1:18">
      <c r="A15" s="62" t="s">
        <v>566</v>
      </c>
      <c r="B15" s="63" t="s">
        <v>47</v>
      </c>
      <c r="C15" s="57">
        <f>SUM('Development Notes'!D17:D18)</f>
        <v>33018.5</v>
      </c>
      <c r="D15" s="87"/>
      <c r="E15" s="822">
        <f>C15</f>
        <v>33018.5</v>
      </c>
      <c r="F15" s="64"/>
      <c r="G15" s="64"/>
      <c r="H15" s="822"/>
      <c r="I15" s="64"/>
      <c r="J15" s="823"/>
      <c r="K15" s="822"/>
      <c r="L15" s="64"/>
      <c r="M15" s="64"/>
      <c r="N15" s="823"/>
    </row>
    <row r="16" spans="1:18">
      <c r="A16" s="62" t="s">
        <v>547</v>
      </c>
      <c r="B16" s="63" t="s">
        <v>84</v>
      </c>
      <c r="C16" s="57">
        <v>110214</v>
      </c>
      <c r="D16" s="87"/>
      <c r="E16" s="822">
        <f t="shared" si="1"/>
        <v>110214</v>
      </c>
      <c r="F16" s="64"/>
      <c r="G16" s="64"/>
      <c r="H16" s="822"/>
      <c r="I16" s="64"/>
      <c r="J16" s="823"/>
      <c r="K16" s="822"/>
      <c r="L16" s="64"/>
      <c r="M16" s="64"/>
      <c r="N16" s="823"/>
    </row>
    <row r="17" spans="1:18">
      <c r="A17" s="62" t="s">
        <v>165</v>
      </c>
      <c r="B17" s="63" t="s">
        <v>84</v>
      </c>
      <c r="C17" s="57">
        <v>39453</v>
      </c>
      <c r="D17" s="87"/>
      <c r="E17" s="822">
        <f>C17</f>
        <v>39453</v>
      </c>
      <c r="F17" s="64"/>
      <c r="G17" s="64"/>
      <c r="H17" s="822"/>
      <c r="I17" s="64"/>
      <c r="J17" s="823"/>
      <c r="K17" s="822"/>
      <c r="L17" s="64"/>
      <c r="M17" s="64"/>
      <c r="N17" s="823"/>
    </row>
    <row r="18" spans="1:18">
      <c r="A18" s="62" t="s">
        <v>545</v>
      </c>
      <c r="B18" s="63" t="s">
        <v>84</v>
      </c>
      <c r="C18" s="57">
        <v>38078.699999999997</v>
      </c>
      <c r="D18" s="87"/>
      <c r="E18" s="822">
        <f t="shared" si="1"/>
        <v>38078.699999999997</v>
      </c>
      <c r="F18" s="64"/>
      <c r="G18" s="64"/>
      <c r="H18" s="822"/>
      <c r="I18" s="64"/>
      <c r="J18" s="823"/>
      <c r="K18" s="822"/>
      <c r="L18" s="64"/>
      <c r="M18" s="64"/>
      <c r="N18" s="823"/>
    </row>
    <row r="19" spans="1:18" ht="13" thickBot="1">
      <c r="A19" s="65" t="s">
        <v>546</v>
      </c>
      <c r="B19" s="66" t="s">
        <v>84</v>
      </c>
      <c r="C19" s="67">
        <v>17622.400000000001</v>
      </c>
      <c r="D19" s="849"/>
      <c r="E19" s="852">
        <f t="shared" si="1"/>
        <v>17622.400000000001</v>
      </c>
      <c r="F19" s="851"/>
      <c r="G19" s="851"/>
      <c r="H19" s="852"/>
      <c r="I19" s="851"/>
      <c r="J19" s="853"/>
      <c r="K19" s="852"/>
      <c r="L19" s="851"/>
      <c r="M19" s="851"/>
      <c r="N19" s="853"/>
    </row>
    <row r="20" spans="1:18" ht="4.5" customHeight="1">
      <c r="A20" s="854"/>
      <c r="B20" s="71"/>
      <c r="C20" s="855"/>
      <c r="D20" s="856"/>
      <c r="E20" s="857"/>
      <c r="F20" s="858"/>
      <c r="G20" s="859"/>
      <c r="H20" s="860"/>
      <c r="I20" s="858"/>
      <c r="J20" s="859"/>
      <c r="K20" s="860"/>
      <c r="L20" s="858"/>
      <c r="M20" s="858"/>
      <c r="N20" s="859"/>
    </row>
    <row r="21" spans="1:18" ht="13">
      <c r="A21" s="61" t="s">
        <v>77</v>
      </c>
      <c r="B21" s="69"/>
      <c r="C21" s="59"/>
      <c r="D21" s="87"/>
      <c r="E21" s="874"/>
      <c r="F21" s="873"/>
      <c r="G21" s="875"/>
      <c r="H21" s="874"/>
      <c r="I21" s="873"/>
      <c r="J21" s="875"/>
      <c r="K21" s="874"/>
      <c r="L21" s="873"/>
      <c r="M21" s="873"/>
      <c r="N21" s="875"/>
      <c r="O21" s="873"/>
      <c r="P21" s="873"/>
      <c r="Q21" s="873"/>
      <c r="R21" s="873"/>
    </row>
    <row r="22" spans="1:18" ht="13">
      <c r="A22" s="62" t="s">
        <v>532</v>
      </c>
      <c r="B22" s="63" t="s">
        <v>91</v>
      </c>
      <c r="C22" s="57">
        <f>SUM('Development Notes'!E13:N13)</f>
        <v>189874.2</v>
      </c>
      <c r="D22" s="64"/>
      <c r="E22" s="335"/>
      <c r="F22" s="870"/>
      <c r="G22" s="872"/>
      <c r="H22" s="876">
        <f>C22</f>
        <v>189874.2</v>
      </c>
      <c r="I22" s="69"/>
      <c r="J22" s="872"/>
      <c r="K22" s="335"/>
      <c r="L22" s="334"/>
      <c r="M22" s="871"/>
      <c r="N22" s="872"/>
      <c r="O22" s="69"/>
      <c r="P22" s="69"/>
      <c r="Q22" s="69"/>
      <c r="R22" s="69"/>
    </row>
    <row r="23" spans="1:18">
      <c r="A23" s="62" t="s">
        <v>500</v>
      </c>
      <c r="B23" s="63" t="s">
        <v>499</v>
      </c>
      <c r="C23" s="57">
        <f>SUM('Development Notes'!E8:J8)</f>
        <v>110868</v>
      </c>
      <c r="D23" s="64"/>
      <c r="E23" s="88"/>
      <c r="F23" s="64"/>
      <c r="G23" s="823"/>
      <c r="H23" s="822">
        <f>C23</f>
        <v>110868</v>
      </c>
      <c r="I23" s="64"/>
      <c r="J23" s="823"/>
      <c r="K23" s="822"/>
      <c r="L23" s="64"/>
      <c r="M23" s="64"/>
      <c r="N23" s="823"/>
    </row>
    <row r="24" spans="1:18">
      <c r="A24" s="62" t="s">
        <v>86</v>
      </c>
      <c r="B24" s="63" t="s">
        <v>499</v>
      </c>
      <c r="C24" s="57">
        <f>SUM('Development Notes'!G10:Q10)</f>
        <v>138323.5</v>
      </c>
      <c r="D24" s="64"/>
      <c r="E24" s="88"/>
      <c r="F24" s="64"/>
      <c r="G24" s="823"/>
      <c r="H24" s="822"/>
      <c r="I24" s="64">
        <f>C24</f>
        <v>138323.5</v>
      </c>
      <c r="J24" s="823"/>
      <c r="K24" s="822"/>
      <c r="L24" s="64"/>
      <c r="M24" s="64"/>
      <c r="N24" s="823"/>
    </row>
    <row r="25" spans="1:18">
      <c r="A25" s="62" t="s">
        <v>493</v>
      </c>
      <c r="B25" s="63" t="s">
        <v>501</v>
      </c>
      <c r="C25" s="57">
        <f>'Development Notes'!D10</f>
        <v>24587.200000000001</v>
      </c>
      <c r="D25" s="87"/>
      <c r="E25" s="88"/>
      <c r="F25" s="64"/>
      <c r="G25" s="823"/>
      <c r="H25" s="822"/>
      <c r="I25" s="64">
        <f>C25</f>
        <v>24587.200000000001</v>
      </c>
      <c r="J25" s="823"/>
      <c r="K25" s="822"/>
      <c r="L25" s="64"/>
      <c r="M25" s="64"/>
      <c r="N25" s="823"/>
    </row>
    <row r="26" spans="1:18">
      <c r="A26" s="62" t="s">
        <v>502</v>
      </c>
      <c r="B26" s="63" t="s">
        <v>47</v>
      </c>
      <c r="C26" s="57">
        <f>'Development Notes'!D13</f>
        <v>30224.1</v>
      </c>
      <c r="D26" s="87"/>
      <c r="E26" s="88"/>
      <c r="F26" s="64"/>
      <c r="G26" s="823"/>
      <c r="H26" s="822">
        <f>C26</f>
        <v>30224.1</v>
      </c>
      <c r="I26" s="64"/>
      <c r="J26" s="823"/>
      <c r="K26" s="822"/>
      <c r="L26" s="64"/>
      <c r="M26" s="64"/>
      <c r="N26" s="823"/>
    </row>
    <row r="27" spans="1:18">
      <c r="A27" s="62" t="s">
        <v>503</v>
      </c>
      <c r="B27" s="63" t="s">
        <v>531</v>
      </c>
      <c r="C27" s="57">
        <f>SUM('Development Notes'!D7:H7)</f>
        <v>39481</v>
      </c>
      <c r="D27" s="87"/>
      <c r="E27" s="88"/>
      <c r="F27" s="64"/>
      <c r="G27" s="823"/>
      <c r="H27" s="822"/>
      <c r="I27" s="64">
        <f>C27</f>
        <v>39481</v>
      </c>
      <c r="J27" s="823"/>
      <c r="K27" s="822"/>
      <c r="L27" s="64"/>
      <c r="M27" s="64"/>
      <c r="N27" s="823"/>
    </row>
    <row r="28" spans="1:18">
      <c r="A28" s="62" t="s">
        <v>542</v>
      </c>
      <c r="B28" s="63" t="s">
        <v>49</v>
      </c>
      <c r="C28" s="57">
        <f>SUM('Development Notes'!E10:F10)</f>
        <v>33231.199999999997</v>
      </c>
      <c r="D28" s="87"/>
      <c r="E28" s="88"/>
      <c r="F28" s="64"/>
      <c r="G28" s="823"/>
      <c r="H28" s="822"/>
      <c r="I28" s="64">
        <f>C28</f>
        <v>33231.199999999997</v>
      </c>
      <c r="J28" s="823"/>
      <c r="K28" s="822"/>
      <c r="L28" s="64"/>
      <c r="M28" s="64"/>
      <c r="N28" s="823"/>
    </row>
    <row r="29" spans="1:18">
      <c r="A29" s="62" t="s">
        <v>533</v>
      </c>
      <c r="B29" s="63" t="s">
        <v>47</v>
      </c>
      <c r="C29" s="57">
        <f>'Development Notes'!D8</f>
        <v>26406.799999999999</v>
      </c>
      <c r="D29" s="87"/>
      <c r="E29" s="88"/>
      <c r="F29" s="184"/>
      <c r="G29" s="823"/>
      <c r="H29" s="822">
        <f>C29</f>
        <v>26406.799999999999</v>
      </c>
      <c r="I29" s="64"/>
      <c r="J29" s="823"/>
      <c r="K29" s="822"/>
      <c r="L29" s="64"/>
      <c r="M29" s="64"/>
      <c r="N29" s="823"/>
      <c r="O29" s="64"/>
    </row>
    <row r="30" spans="1:18">
      <c r="A30" s="62" t="s">
        <v>519</v>
      </c>
      <c r="B30" s="63" t="s">
        <v>64</v>
      </c>
      <c r="C30" s="57">
        <f>'Development Notes'!D6</f>
        <v>14774.8</v>
      </c>
      <c r="D30" s="87"/>
      <c r="E30" s="88"/>
      <c r="F30" s="184"/>
      <c r="G30" s="823"/>
      <c r="H30" s="822">
        <f>C30</f>
        <v>14774.8</v>
      </c>
      <c r="I30" s="64"/>
      <c r="J30" s="823"/>
      <c r="K30" s="822"/>
      <c r="L30" s="64"/>
      <c r="M30" s="64"/>
      <c r="N30" s="823"/>
    </row>
    <row r="31" spans="1:18">
      <c r="A31" s="62" t="s">
        <v>544</v>
      </c>
      <c r="B31" s="63" t="s">
        <v>84</v>
      </c>
      <c r="C31" s="57">
        <v>10132.1</v>
      </c>
      <c r="D31" s="87"/>
      <c r="E31" s="88"/>
      <c r="F31" s="64"/>
      <c r="G31" s="823"/>
      <c r="H31" s="822">
        <f>C31</f>
        <v>10132.1</v>
      </c>
      <c r="I31" s="64"/>
      <c r="J31" s="823"/>
      <c r="K31" s="822"/>
      <c r="L31" s="64"/>
      <c r="M31" s="64"/>
      <c r="N31" s="823"/>
    </row>
    <row r="32" spans="1:18">
      <c r="A32" s="62" t="s">
        <v>548</v>
      </c>
      <c r="B32" s="63" t="s">
        <v>84</v>
      </c>
      <c r="C32" s="57">
        <v>303700</v>
      </c>
      <c r="D32" s="87"/>
      <c r="E32" s="88"/>
      <c r="F32" s="64"/>
      <c r="G32" s="823"/>
      <c r="H32" s="822">
        <f t="shared" ref="H32:H34" si="2">C32</f>
        <v>303700</v>
      </c>
      <c r="I32" s="64"/>
      <c r="J32" s="823"/>
      <c r="K32" s="822"/>
      <c r="L32" s="64"/>
      <c r="M32" s="64"/>
      <c r="N32" s="823"/>
    </row>
    <row r="33" spans="1:18" s="865" customFormat="1">
      <c r="A33" s="861" t="s">
        <v>549</v>
      </c>
      <c r="B33" s="862" t="s">
        <v>84</v>
      </c>
      <c r="C33" s="57">
        <v>6617.6</v>
      </c>
      <c r="D33" s="863"/>
      <c r="E33" s="864"/>
      <c r="F33" s="64"/>
      <c r="G33" s="823"/>
      <c r="H33" s="822"/>
      <c r="I33" s="64">
        <f>C33</f>
        <v>6617.6</v>
      </c>
      <c r="J33" s="823"/>
      <c r="K33" s="822"/>
      <c r="L33" s="64"/>
      <c r="M33" s="64"/>
      <c r="N33" s="823"/>
      <c r="O33" s="64"/>
      <c r="P33" s="474"/>
      <c r="Q33" s="474"/>
      <c r="R33" s="474"/>
    </row>
    <row r="34" spans="1:18" ht="13" thickBot="1">
      <c r="A34" s="65" t="s">
        <v>289</v>
      </c>
      <c r="B34" s="66" t="s">
        <v>84</v>
      </c>
      <c r="C34" s="67">
        <v>72234</v>
      </c>
      <c r="D34" s="849"/>
      <c r="E34" s="850"/>
      <c r="F34" s="851"/>
      <c r="G34" s="853"/>
      <c r="H34" s="852">
        <f t="shared" si="2"/>
        <v>72234</v>
      </c>
      <c r="I34" s="851"/>
      <c r="J34" s="853"/>
      <c r="K34" s="852"/>
      <c r="L34" s="851"/>
      <c r="M34" s="851"/>
      <c r="N34" s="853"/>
    </row>
    <row r="35" spans="1:18" ht="4.5" customHeight="1">
      <c r="A35" s="854"/>
      <c r="B35" s="71"/>
      <c r="C35" s="855"/>
      <c r="D35" s="856"/>
      <c r="E35" s="88"/>
      <c r="F35" s="64"/>
      <c r="G35" s="64"/>
      <c r="H35" s="822"/>
      <c r="I35" s="64"/>
      <c r="J35" s="823"/>
      <c r="K35" s="822"/>
      <c r="L35" s="64"/>
      <c r="M35" s="64"/>
      <c r="N35" s="823"/>
    </row>
    <row r="36" spans="1:18" ht="13">
      <c r="A36" s="61" t="s">
        <v>78</v>
      </c>
      <c r="B36" s="69"/>
      <c r="C36" s="59"/>
      <c r="D36" s="87"/>
      <c r="E36" s="88"/>
      <c r="F36" s="64"/>
      <c r="G36" s="64"/>
      <c r="H36" s="822"/>
      <c r="I36" s="64"/>
      <c r="J36" s="823"/>
      <c r="K36" s="822"/>
      <c r="L36" s="64"/>
      <c r="M36" s="64"/>
      <c r="N36" s="823"/>
    </row>
    <row r="37" spans="1:18">
      <c r="A37" s="62" t="s">
        <v>505</v>
      </c>
      <c r="B37" s="63" t="s">
        <v>87</v>
      </c>
      <c r="C37" s="57">
        <f>SUM('Development Notes'!E4:I4)</f>
        <v>147815.20000000001</v>
      </c>
      <c r="D37" s="87"/>
      <c r="E37" s="88"/>
      <c r="F37" s="64"/>
      <c r="G37" s="64"/>
      <c r="H37" s="822"/>
      <c r="I37" s="64"/>
      <c r="J37" s="823"/>
      <c r="K37" s="822">
        <f>C37</f>
        <v>147815.20000000001</v>
      </c>
      <c r="L37" s="64"/>
      <c r="M37" s="64"/>
      <c r="N37" s="823"/>
    </row>
    <row r="38" spans="1:18">
      <c r="A38" s="62" t="s">
        <v>504</v>
      </c>
      <c r="B38" s="63" t="s">
        <v>88</v>
      </c>
      <c r="C38" s="57">
        <f>SUM('Development Notes'!E3:F3)</f>
        <v>21600</v>
      </c>
      <c r="D38" s="87"/>
      <c r="E38" s="88"/>
      <c r="F38" s="64"/>
      <c r="G38" s="64"/>
      <c r="H38" s="822"/>
      <c r="I38" s="64"/>
      <c r="J38" s="823"/>
      <c r="K38" s="822">
        <f>C38</f>
        <v>21600</v>
      </c>
      <c r="L38" s="64"/>
      <c r="M38" s="64"/>
      <c r="N38" s="823"/>
    </row>
    <row r="39" spans="1:18">
      <c r="A39" s="62" t="s">
        <v>506</v>
      </c>
      <c r="B39" s="63" t="s">
        <v>47</v>
      </c>
      <c r="C39" s="57">
        <f>'Development Notes'!D3</f>
        <v>16000</v>
      </c>
      <c r="D39" s="87"/>
      <c r="E39" s="88"/>
      <c r="F39" s="64"/>
      <c r="G39" s="823"/>
      <c r="H39" s="822"/>
      <c r="I39" s="64"/>
      <c r="J39" s="823"/>
      <c r="K39" s="822">
        <f>C39</f>
        <v>16000</v>
      </c>
      <c r="L39" s="64"/>
      <c r="M39" s="64"/>
      <c r="N39" s="823"/>
    </row>
    <row r="40" spans="1:18">
      <c r="A40" s="62" t="s">
        <v>47</v>
      </c>
      <c r="B40" s="63" t="s">
        <v>47</v>
      </c>
      <c r="C40" s="57">
        <f>'Development Notes'!D4</f>
        <v>28503</v>
      </c>
      <c r="D40" s="87"/>
      <c r="E40" s="88"/>
      <c r="F40" s="64"/>
      <c r="G40" s="823"/>
      <c r="H40" s="822"/>
      <c r="I40" s="64"/>
      <c r="J40" s="823"/>
      <c r="K40" s="822">
        <f>C40</f>
        <v>28503</v>
      </c>
      <c r="L40" s="64"/>
      <c r="M40" s="64"/>
      <c r="N40" s="823"/>
    </row>
    <row r="41" spans="1:18">
      <c r="A41" s="62" t="s">
        <v>508</v>
      </c>
      <c r="B41" s="63" t="s">
        <v>87</v>
      </c>
      <c r="C41" s="57">
        <f>SUM('Development Notes'!E15:L15)</f>
        <v>89962.8</v>
      </c>
      <c r="D41" s="87"/>
      <c r="E41" s="88"/>
      <c r="F41" s="64"/>
      <c r="G41" s="823"/>
      <c r="H41" s="822"/>
      <c r="I41" s="64"/>
      <c r="J41" s="823"/>
      <c r="L41" s="64">
        <f>C41</f>
        <v>89962.8</v>
      </c>
      <c r="M41" s="64"/>
      <c r="N41" s="823"/>
    </row>
    <row r="42" spans="1:18">
      <c r="A42" s="62" t="s">
        <v>507</v>
      </c>
      <c r="B42" s="63" t="s">
        <v>88</v>
      </c>
      <c r="C42" s="57">
        <f>SUM('Development Notes'!E5:H5)</f>
        <v>96739.6</v>
      </c>
      <c r="D42" s="87"/>
      <c r="E42" s="88"/>
      <c r="F42" s="64"/>
      <c r="G42" s="823"/>
      <c r="H42" s="822"/>
      <c r="I42" s="64"/>
      <c r="J42" s="823"/>
      <c r="K42" s="822">
        <f>C42</f>
        <v>96739.6</v>
      </c>
      <c r="L42" s="64"/>
      <c r="M42" s="64"/>
      <c r="N42" s="823"/>
    </row>
    <row r="43" spans="1:18">
      <c r="A43" s="62" t="s">
        <v>90</v>
      </c>
      <c r="B43" s="63" t="s">
        <v>47</v>
      </c>
      <c r="C43" s="57">
        <f>'Development Notes'!D5</f>
        <v>34898.400000000001</v>
      </c>
      <c r="D43" s="87"/>
      <c r="E43" s="88"/>
      <c r="F43" s="64"/>
      <c r="G43" s="823"/>
      <c r="H43" s="822"/>
      <c r="I43" s="64"/>
      <c r="J43" s="823"/>
      <c r="K43" s="822">
        <f>C43</f>
        <v>34898.400000000001</v>
      </c>
      <c r="L43" s="64"/>
      <c r="M43" s="64"/>
      <c r="N43" s="823"/>
    </row>
    <row r="44" spans="1:18">
      <c r="A44" s="62" t="s">
        <v>530</v>
      </c>
      <c r="B44" s="63" t="s">
        <v>47</v>
      </c>
      <c r="C44" s="57">
        <f>'Development Notes'!D14</f>
        <v>34779.5</v>
      </c>
      <c r="D44" s="87"/>
      <c r="E44" s="88"/>
      <c r="F44" s="64"/>
      <c r="G44" s="823"/>
      <c r="H44" s="822"/>
      <c r="I44" s="64"/>
      <c r="J44" s="823"/>
      <c r="K44" s="822"/>
      <c r="L44" s="64">
        <f>C44</f>
        <v>34779.5</v>
      </c>
      <c r="M44" s="64"/>
      <c r="N44" s="823"/>
    </row>
    <row r="45" spans="1:18">
      <c r="A45" s="62" t="s">
        <v>48</v>
      </c>
      <c r="B45" s="63" t="s">
        <v>48</v>
      </c>
      <c r="C45" s="57">
        <f>SUM('Development Notes'!E14:P14)</f>
        <v>139887.59999999998</v>
      </c>
      <c r="D45" s="87"/>
      <c r="E45" s="88"/>
      <c r="F45" s="64"/>
      <c r="G45" s="823"/>
      <c r="H45" s="822"/>
      <c r="I45" s="64"/>
      <c r="J45" s="823"/>
      <c r="K45" s="822"/>
      <c r="L45" s="64">
        <f>C45*(2/3)</f>
        <v>93258.39999999998</v>
      </c>
      <c r="M45" s="64">
        <f>C45*(1/3)</f>
        <v>46629.19999999999</v>
      </c>
      <c r="N45" s="823"/>
    </row>
    <row r="46" spans="1:18">
      <c r="A46" s="62" t="s">
        <v>534</v>
      </c>
      <c r="B46" s="63" t="s">
        <v>49</v>
      </c>
      <c r="C46" s="57">
        <f>'Development Notes'!D15</f>
        <v>15238.6</v>
      </c>
      <c r="D46" s="87"/>
      <c r="E46" s="88"/>
      <c r="F46" s="64"/>
      <c r="G46" s="823"/>
      <c r="H46" s="822"/>
      <c r="I46" s="64"/>
      <c r="J46" s="823"/>
      <c r="K46" s="822"/>
      <c r="L46" s="64">
        <f>C46</f>
        <v>15238.6</v>
      </c>
      <c r="M46" s="64"/>
      <c r="N46" s="823"/>
    </row>
    <row r="47" spans="1:18">
      <c r="A47" s="62" t="s">
        <v>550</v>
      </c>
      <c r="B47" s="63" t="s">
        <v>84</v>
      </c>
      <c r="C47" s="57">
        <v>31466.7</v>
      </c>
      <c r="D47" s="87"/>
      <c r="E47" s="88"/>
      <c r="F47" s="64"/>
      <c r="G47" s="823"/>
      <c r="H47" s="822"/>
      <c r="I47" s="64"/>
      <c r="J47" s="823"/>
      <c r="K47" s="822">
        <f>C47</f>
        <v>31466.7</v>
      </c>
      <c r="L47" s="64"/>
      <c r="M47" s="64"/>
      <c r="N47" s="823"/>
    </row>
    <row r="48" spans="1:18">
      <c r="A48" s="62" t="s">
        <v>551</v>
      </c>
      <c r="B48" s="63" t="s">
        <v>84</v>
      </c>
      <c r="C48" s="57">
        <v>23672.1</v>
      </c>
      <c r="D48" s="87"/>
      <c r="E48" s="88"/>
      <c r="F48" s="64"/>
      <c r="G48" s="823"/>
      <c r="H48" s="822"/>
      <c r="I48" s="64"/>
      <c r="J48" s="823"/>
      <c r="K48" s="822"/>
      <c r="L48" s="64">
        <f>C48</f>
        <v>23672.1</v>
      </c>
      <c r="M48" s="64"/>
      <c r="N48" s="823"/>
    </row>
    <row r="49" spans="1:18" s="69" customFormat="1" ht="4.5" customHeight="1" thickBot="1">
      <c r="A49" s="58"/>
      <c r="B49" s="59"/>
      <c r="C49" s="59"/>
      <c r="D49" s="87"/>
      <c r="E49" s="88"/>
      <c r="F49" s="64"/>
      <c r="G49" s="823"/>
      <c r="H49" s="822"/>
      <c r="I49" s="64"/>
      <c r="J49" s="823"/>
      <c r="K49" s="64"/>
      <c r="L49" s="64"/>
      <c r="M49" s="64"/>
      <c r="N49" s="823"/>
    </row>
    <row r="50" spans="1:18" s="69" customFormat="1" ht="13">
      <c r="A50" s="313" t="s">
        <v>113</v>
      </c>
      <c r="B50" s="203"/>
      <c r="C50" s="877"/>
      <c r="D50" s="856"/>
      <c r="E50" s="857"/>
      <c r="F50" s="858"/>
      <c r="G50" s="859"/>
      <c r="H50" s="860"/>
      <c r="I50" s="858"/>
      <c r="J50" s="859"/>
      <c r="K50" s="858"/>
      <c r="L50" s="858"/>
      <c r="M50" s="858"/>
      <c r="N50" s="859"/>
    </row>
    <row r="51" spans="1:18">
      <c r="A51" s="62" t="s">
        <v>511</v>
      </c>
      <c r="B51" s="68"/>
      <c r="C51" s="68"/>
      <c r="D51" s="189">
        <f>SUM(D7,D10:D10,D27,D37,D41)</f>
        <v>0</v>
      </c>
      <c r="E51" s="211">
        <f t="shared" ref="E51:N51" si="3">SUM(E7,E23:E24,E37,E41)</f>
        <v>158056</v>
      </c>
      <c r="F51" s="184">
        <f t="shared" si="3"/>
        <v>0</v>
      </c>
      <c r="G51" s="189">
        <f t="shared" si="3"/>
        <v>0</v>
      </c>
      <c r="H51" s="211">
        <f t="shared" si="3"/>
        <v>110868</v>
      </c>
      <c r="I51" s="184">
        <f t="shared" si="3"/>
        <v>138323.5</v>
      </c>
      <c r="J51" s="189">
        <f t="shared" si="3"/>
        <v>0</v>
      </c>
      <c r="K51" s="211">
        <f t="shared" si="3"/>
        <v>147815.20000000001</v>
      </c>
      <c r="L51" s="184">
        <f t="shared" si="3"/>
        <v>89962.8</v>
      </c>
      <c r="M51" s="184">
        <f t="shared" si="3"/>
        <v>0</v>
      </c>
      <c r="N51" s="189">
        <f t="shared" si="3"/>
        <v>0</v>
      </c>
      <c r="P51" s="878">
        <f>SUM(D51:O51)</f>
        <v>645025.5</v>
      </c>
      <c r="Q51" s="878">
        <f>P51+P52+P54</f>
        <v>992720.3</v>
      </c>
      <c r="R51" s="474">
        <f>P51/$Q$51</f>
        <v>0.64975552529750824</v>
      </c>
    </row>
    <row r="52" spans="1:18">
      <c r="A52" s="62" t="s">
        <v>512</v>
      </c>
      <c r="B52" s="68"/>
      <c r="C52" s="68"/>
      <c r="D52" s="189">
        <f>SUM(D38,D42)</f>
        <v>0</v>
      </c>
      <c r="E52" s="211">
        <f>SUM(E27,E38,E42)</f>
        <v>0</v>
      </c>
      <c r="F52" s="184">
        <f t="shared" ref="F52:N52" si="4">SUM(F27,F38,F42)</f>
        <v>0</v>
      </c>
      <c r="G52" s="189">
        <f t="shared" si="4"/>
        <v>0</v>
      </c>
      <c r="H52" s="211">
        <f t="shared" si="4"/>
        <v>0</v>
      </c>
      <c r="I52" s="184">
        <f t="shared" si="4"/>
        <v>39481</v>
      </c>
      <c r="J52" s="189">
        <f t="shared" si="4"/>
        <v>0</v>
      </c>
      <c r="K52" s="211">
        <f t="shared" si="4"/>
        <v>118339.6</v>
      </c>
      <c r="L52" s="184">
        <f t="shared" si="4"/>
        <v>0</v>
      </c>
      <c r="M52" s="184">
        <f t="shared" si="4"/>
        <v>0</v>
      </c>
      <c r="N52" s="189">
        <f t="shared" si="4"/>
        <v>0</v>
      </c>
      <c r="P52" s="878">
        <f t="shared" ref="P52:P68" si="5">SUM(D52:O52)</f>
        <v>157820.6</v>
      </c>
      <c r="R52" s="474">
        <f t="shared" ref="R52:R54" si="6">P52/$Q$51</f>
        <v>0.15897791150236376</v>
      </c>
    </row>
    <row r="53" spans="1:18">
      <c r="A53" s="62" t="s">
        <v>92</v>
      </c>
      <c r="B53" s="68"/>
      <c r="C53" s="68"/>
      <c r="D53" s="189">
        <f>SUM(D13,D26,D28,D39:D40,D43:D44)</f>
        <v>0</v>
      </c>
      <c r="E53" s="211">
        <f>SUM(E12:E15,E26,E29,E39:E40,E43:E44)</f>
        <v>79537.100000000006</v>
      </c>
      <c r="F53" s="184">
        <f t="shared" ref="F53:N53" si="7">SUM(F12:F15,F26,F29,F39:F40,F43:F44)</f>
        <v>19757</v>
      </c>
      <c r="G53" s="189">
        <f t="shared" si="7"/>
        <v>0</v>
      </c>
      <c r="H53" s="211">
        <f t="shared" si="7"/>
        <v>56630.899999999994</v>
      </c>
      <c r="I53" s="184">
        <f t="shared" si="7"/>
        <v>0</v>
      </c>
      <c r="J53" s="189">
        <f t="shared" si="7"/>
        <v>0</v>
      </c>
      <c r="K53" s="211">
        <f t="shared" si="7"/>
        <v>79401.399999999994</v>
      </c>
      <c r="L53" s="184">
        <f t="shared" si="7"/>
        <v>34779.5</v>
      </c>
      <c r="M53" s="184">
        <f t="shared" si="7"/>
        <v>0</v>
      </c>
      <c r="N53" s="189">
        <f t="shared" si="7"/>
        <v>0</v>
      </c>
      <c r="P53" s="878">
        <f t="shared" si="5"/>
        <v>270105.90000000002</v>
      </c>
    </row>
    <row r="54" spans="1:18">
      <c r="A54" s="62" t="s">
        <v>93</v>
      </c>
      <c r="B54" s="68"/>
      <c r="C54" s="68"/>
      <c r="D54" s="189">
        <f>SUM(D22:D24)</f>
        <v>0</v>
      </c>
      <c r="E54" s="211">
        <f>SUM(E22)</f>
        <v>0</v>
      </c>
      <c r="F54" s="184">
        <f t="shared" ref="F54:N54" si="8">SUM(F22)</f>
        <v>0</v>
      </c>
      <c r="G54" s="189">
        <f t="shared" si="8"/>
        <v>0</v>
      </c>
      <c r="H54" s="211">
        <f t="shared" si="8"/>
        <v>189874.2</v>
      </c>
      <c r="I54" s="184">
        <f t="shared" si="8"/>
        <v>0</v>
      </c>
      <c r="J54" s="189">
        <f t="shared" si="8"/>
        <v>0</v>
      </c>
      <c r="K54" s="211">
        <f t="shared" si="8"/>
        <v>0</v>
      </c>
      <c r="L54" s="184">
        <f t="shared" si="8"/>
        <v>0</v>
      </c>
      <c r="M54" s="184">
        <f t="shared" si="8"/>
        <v>0</v>
      </c>
      <c r="N54" s="189">
        <f t="shared" si="8"/>
        <v>0</v>
      </c>
      <c r="P54" s="878">
        <f t="shared" si="5"/>
        <v>189874.2</v>
      </c>
      <c r="R54" s="474">
        <f t="shared" si="6"/>
        <v>0.19126656320012797</v>
      </c>
    </row>
    <row r="55" spans="1:18">
      <c r="A55" s="62" t="s">
        <v>95</v>
      </c>
      <c r="B55" s="68"/>
      <c r="C55" s="68"/>
      <c r="D55" s="189">
        <f>SUM(D8:D9)</f>
        <v>0</v>
      </c>
      <c r="E55" s="211">
        <f t="shared" ref="E55:N55" si="9">SUM(E8:E9, E30)</f>
        <v>14131.800000000001</v>
      </c>
      <c r="F55" s="184">
        <f t="shared" si="9"/>
        <v>98408.700000000012</v>
      </c>
      <c r="G55" s="189">
        <f t="shared" si="9"/>
        <v>0</v>
      </c>
      <c r="H55" s="211">
        <f t="shared" si="9"/>
        <v>14774.8</v>
      </c>
      <c r="I55" s="184">
        <f t="shared" si="9"/>
        <v>0</v>
      </c>
      <c r="J55" s="189">
        <f t="shared" si="9"/>
        <v>0</v>
      </c>
      <c r="K55" s="211">
        <f t="shared" si="9"/>
        <v>0</v>
      </c>
      <c r="L55" s="184">
        <f t="shared" si="9"/>
        <v>0</v>
      </c>
      <c r="M55" s="184">
        <f t="shared" si="9"/>
        <v>0</v>
      </c>
      <c r="N55" s="189">
        <f t="shared" si="9"/>
        <v>0</v>
      </c>
      <c r="P55" s="878">
        <f t="shared" si="5"/>
        <v>127315.30000000002</v>
      </c>
    </row>
    <row r="56" spans="1:18">
      <c r="A56" s="62" t="s">
        <v>94</v>
      </c>
      <c r="B56" s="68"/>
      <c r="C56" s="68"/>
      <c r="D56" s="189">
        <f>SUM(D11,D25)</f>
        <v>0</v>
      </c>
      <c r="E56" s="211">
        <f t="shared" ref="E56:N56" si="10">SUM(E10, E11, E46)</f>
        <v>278665.50000000006</v>
      </c>
      <c r="F56" s="184">
        <f t="shared" si="10"/>
        <v>0</v>
      </c>
      <c r="G56" s="189">
        <f t="shared" si="10"/>
        <v>0</v>
      </c>
      <c r="H56" s="211">
        <f t="shared" si="10"/>
        <v>0</v>
      </c>
      <c r="I56" s="184">
        <f t="shared" si="10"/>
        <v>0</v>
      </c>
      <c r="J56" s="189">
        <f t="shared" si="10"/>
        <v>0</v>
      </c>
      <c r="K56" s="211">
        <f t="shared" si="10"/>
        <v>0</v>
      </c>
      <c r="L56" s="184">
        <f t="shared" si="10"/>
        <v>15238.6</v>
      </c>
      <c r="M56" s="184">
        <f t="shared" si="10"/>
        <v>0</v>
      </c>
      <c r="N56" s="189">
        <f t="shared" si="10"/>
        <v>0</v>
      </c>
      <c r="P56" s="878">
        <f t="shared" si="5"/>
        <v>293904.10000000003</v>
      </c>
    </row>
    <row r="57" spans="1:18">
      <c r="A57" s="62" t="s">
        <v>510</v>
      </c>
      <c r="B57" s="68"/>
      <c r="C57" s="68"/>
      <c r="D57" s="189">
        <f>D12</f>
        <v>0</v>
      </c>
      <c r="E57" s="211">
        <f>E25</f>
        <v>0</v>
      </c>
      <c r="F57" s="184">
        <f t="shared" ref="F57:N57" si="11">F25</f>
        <v>0</v>
      </c>
      <c r="G57" s="189">
        <f t="shared" si="11"/>
        <v>0</v>
      </c>
      <c r="H57" s="211">
        <f t="shared" si="11"/>
        <v>0</v>
      </c>
      <c r="I57" s="184">
        <f t="shared" si="11"/>
        <v>24587.200000000001</v>
      </c>
      <c r="J57" s="189">
        <f t="shared" si="11"/>
        <v>0</v>
      </c>
      <c r="K57" s="211">
        <f t="shared" si="11"/>
        <v>0</v>
      </c>
      <c r="L57" s="184">
        <f t="shared" si="11"/>
        <v>0</v>
      </c>
      <c r="M57" s="184">
        <f t="shared" si="11"/>
        <v>0</v>
      </c>
      <c r="N57" s="189">
        <f t="shared" si="11"/>
        <v>0</v>
      </c>
      <c r="P57" s="878">
        <f t="shared" si="5"/>
        <v>24587.200000000001</v>
      </c>
    </row>
    <row r="58" spans="1:18">
      <c r="A58" s="62" t="s">
        <v>535</v>
      </c>
      <c r="B58" s="68"/>
      <c r="C58" s="68"/>
      <c r="D58" s="189">
        <f>D27</f>
        <v>0</v>
      </c>
      <c r="E58" s="211">
        <f t="shared" ref="E58" si="12">E45</f>
        <v>0</v>
      </c>
      <c r="F58" s="184">
        <f t="shared" ref="F58:N58" si="13">F45</f>
        <v>0</v>
      </c>
      <c r="G58" s="189">
        <f t="shared" si="13"/>
        <v>0</v>
      </c>
      <c r="H58" s="211">
        <f t="shared" si="13"/>
        <v>0</v>
      </c>
      <c r="I58" s="184">
        <f t="shared" si="13"/>
        <v>0</v>
      </c>
      <c r="J58" s="189">
        <f t="shared" si="13"/>
        <v>0</v>
      </c>
      <c r="K58" s="211">
        <f t="shared" si="13"/>
        <v>0</v>
      </c>
      <c r="L58" s="184">
        <f t="shared" si="13"/>
        <v>93258.39999999998</v>
      </c>
      <c r="M58" s="184">
        <f t="shared" si="13"/>
        <v>46629.19999999999</v>
      </c>
      <c r="N58" s="189">
        <f t="shared" si="13"/>
        <v>0</v>
      </c>
      <c r="P58" s="878">
        <f t="shared" si="5"/>
        <v>139887.59999999998</v>
      </c>
    </row>
    <row r="59" spans="1:18">
      <c r="A59" s="62" t="s">
        <v>552</v>
      </c>
      <c r="B59" s="68"/>
      <c r="C59" s="68"/>
      <c r="D59" s="270">
        <v>0</v>
      </c>
      <c r="E59" s="211">
        <f t="shared" ref="E59:N59" si="14">E32</f>
        <v>0</v>
      </c>
      <c r="F59" s="184">
        <f t="shared" si="14"/>
        <v>0</v>
      </c>
      <c r="G59" s="189">
        <f t="shared" si="14"/>
        <v>0</v>
      </c>
      <c r="H59" s="211">
        <f t="shared" si="14"/>
        <v>303700</v>
      </c>
      <c r="I59" s="184">
        <f t="shared" si="14"/>
        <v>0</v>
      </c>
      <c r="J59" s="189">
        <f t="shared" si="14"/>
        <v>0</v>
      </c>
      <c r="K59" s="211">
        <f t="shared" si="14"/>
        <v>0</v>
      </c>
      <c r="L59" s="184">
        <f t="shared" si="14"/>
        <v>0</v>
      </c>
      <c r="M59" s="184">
        <f t="shared" si="14"/>
        <v>0</v>
      </c>
      <c r="N59" s="189">
        <f t="shared" si="14"/>
        <v>0</v>
      </c>
      <c r="P59" s="878">
        <f t="shared" si="5"/>
        <v>303700</v>
      </c>
    </row>
    <row r="60" spans="1:18">
      <c r="A60" s="62" t="s">
        <v>290</v>
      </c>
      <c r="B60" s="68"/>
      <c r="C60" s="68"/>
      <c r="D60" s="189">
        <f>D19</f>
        <v>0</v>
      </c>
      <c r="E60" s="211">
        <f t="shared" ref="E60:N60" si="15">E17</f>
        <v>39453</v>
      </c>
      <c r="F60" s="184">
        <f t="shared" si="15"/>
        <v>0</v>
      </c>
      <c r="G60" s="189">
        <f t="shared" si="15"/>
        <v>0</v>
      </c>
      <c r="H60" s="211">
        <f t="shared" si="15"/>
        <v>0</v>
      </c>
      <c r="I60" s="184">
        <f t="shared" si="15"/>
        <v>0</v>
      </c>
      <c r="J60" s="189">
        <f t="shared" si="15"/>
        <v>0</v>
      </c>
      <c r="K60" s="211">
        <f t="shared" si="15"/>
        <v>0</v>
      </c>
      <c r="L60" s="184">
        <f t="shared" si="15"/>
        <v>0</v>
      </c>
      <c r="M60" s="184">
        <f t="shared" si="15"/>
        <v>0</v>
      </c>
      <c r="N60" s="189">
        <f t="shared" si="15"/>
        <v>0</v>
      </c>
      <c r="P60" s="878">
        <f t="shared" si="5"/>
        <v>39453</v>
      </c>
    </row>
    <row r="61" spans="1:18">
      <c r="A61" s="62" t="s">
        <v>553</v>
      </c>
      <c r="B61" s="68"/>
      <c r="C61" s="68"/>
      <c r="D61" s="189">
        <f t="shared" ref="D61:N61" si="16">D19</f>
        <v>0</v>
      </c>
      <c r="E61" s="211">
        <f t="shared" si="16"/>
        <v>17622.400000000001</v>
      </c>
      <c r="F61" s="184">
        <f t="shared" si="16"/>
        <v>0</v>
      </c>
      <c r="G61" s="189">
        <f t="shared" si="16"/>
        <v>0</v>
      </c>
      <c r="H61" s="211">
        <f t="shared" si="16"/>
        <v>0</v>
      </c>
      <c r="I61" s="184">
        <f t="shared" si="16"/>
        <v>0</v>
      </c>
      <c r="J61" s="189">
        <f t="shared" si="16"/>
        <v>0</v>
      </c>
      <c r="K61" s="211">
        <f t="shared" si="16"/>
        <v>0</v>
      </c>
      <c r="L61" s="184">
        <f t="shared" si="16"/>
        <v>0</v>
      </c>
      <c r="M61" s="184">
        <f t="shared" si="16"/>
        <v>0</v>
      </c>
      <c r="N61" s="189">
        <f t="shared" si="16"/>
        <v>0</v>
      </c>
      <c r="P61" s="878">
        <f t="shared" si="5"/>
        <v>17622.400000000001</v>
      </c>
    </row>
    <row r="62" spans="1:18">
      <c r="A62" s="62" t="s">
        <v>558</v>
      </c>
      <c r="B62" s="68"/>
      <c r="C62" s="68"/>
      <c r="D62" s="189">
        <f>D32</f>
        <v>0</v>
      </c>
      <c r="E62" s="211">
        <f t="shared" ref="E62:N62" si="17">E31</f>
        <v>0</v>
      </c>
      <c r="F62" s="184">
        <f t="shared" si="17"/>
        <v>0</v>
      </c>
      <c r="G62" s="189">
        <f t="shared" si="17"/>
        <v>0</v>
      </c>
      <c r="H62" s="211">
        <f t="shared" si="17"/>
        <v>10132.1</v>
      </c>
      <c r="I62" s="184">
        <f t="shared" si="17"/>
        <v>0</v>
      </c>
      <c r="J62" s="189">
        <f t="shared" si="17"/>
        <v>0</v>
      </c>
      <c r="K62" s="211">
        <f t="shared" si="17"/>
        <v>0</v>
      </c>
      <c r="L62" s="184">
        <f t="shared" si="17"/>
        <v>0</v>
      </c>
      <c r="M62" s="184">
        <f t="shared" si="17"/>
        <v>0</v>
      </c>
      <c r="N62" s="189">
        <f t="shared" si="17"/>
        <v>0</v>
      </c>
      <c r="P62" s="878">
        <f t="shared" si="5"/>
        <v>10132.1</v>
      </c>
    </row>
    <row r="63" spans="1:18">
      <c r="A63" s="62" t="s">
        <v>556</v>
      </c>
      <c r="B63" s="68"/>
      <c r="C63" s="68"/>
      <c r="D63" s="189">
        <f>D31</f>
        <v>0</v>
      </c>
      <c r="E63" s="211">
        <f>E47</f>
        <v>0</v>
      </c>
      <c r="F63" s="184">
        <f t="shared" ref="F63:N63" si="18">F47</f>
        <v>0</v>
      </c>
      <c r="G63" s="189">
        <f t="shared" si="18"/>
        <v>0</v>
      </c>
      <c r="H63" s="211">
        <f t="shared" si="18"/>
        <v>0</v>
      </c>
      <c r="I63" s="184">
        <f t="shared" si="18"/>
        <v>0</v>
      </c>
      <c r="J63" s="189">
        <f t="shared" si="18"/>
        <v>0</v>
      </c>
      <c r="K63" s="211">
        <f t="shared" si="18"/>
        <v>31466.7</v>
      </c>
      <c r="L63" s="184">
        <f t="shared" si="18"/>
        <v>0</v>
      </c>
      <c r="M63" s="184">
        <f t="shared" si="18"/>
        <v>0</v>
      </c>
      <c r="N63" s="189">
        <f t="shared" si="18"/>
        <v>0</v>
      </c>
      <c r="P63" s="878">
        <f t="shared" si="5"/>
        <v>31466.7</v>
      </c>
    </row>
    <row r="64" spans="1:18">
      <c r="A64" s="62" t="s">
        <v>557</v>
      </c>
      <c r="B64" s="68"/>
      <c r="C64" s="68"/>
      <c r="D64" s="189">
        <f>D48</f>
        <v>0</v>
      </c>
      <c r="E64" s="211">
        <f>E48</f>
        <v>0</v>
      </c>
      <c r="F64" s="184">
        <f t="shared" ref="F64:N64" si="19">F48</f>
        <v>0</v>
      </c>
      <c r="G64" s="189">
        <f t="shared" si="19"/>
        <v>0</v>
      </c>
      <c r="H64" s="211">
        <f t="shared" si="19"/>
        <v>0</v>
      </c>
      <c r="I64" s="184">
        <f t="shared" si="19"/>
        <v>0</v>
      </c>
      <c r="J64" s="189">
        <f t="shared" si="19"/>
        <v>0</v>
      </c>
      <c r="K64" s="211">
        <f t="shared" si="19"/>
        <v>0</v>
      </c>
      <c r="L64" s="184">
        <f t="shared" si="19"/>
        <v>23672.1</v>
      </c>
      <c r="M64" s="184">
        <f t="shared" si="19"/>
        <v>0</v>
      </c>
      <c r="N64" s="189">
        <f t="shared" si="19"/>
        <v>0</v>
      </c>
      <c r="P64" s="878">
        <f t="shared" si="5"/>
        <v>23672.1</v>
      </c>
    </row>
    <row r="65" spans="1:16">
      <c r="A65" s="62" t="s">
        <v>554</v>
      </c>
      <c r="B65" s="68"/>
      <c r="C65" s="68"/>
      <c r="D65" s="189">
        <f t="shared" ref="D65:N65" si="20">D34</f>
        <v>0</v>
      </c>
      <c r="E65" s="211">
        <f t="shared" si="20"/>
        <v>0</v>
      </c>
      <c r="F65" s="184">
        <f t="shared" si="20"/>
        <v>0</v>
      </c>
      <c r="G65" s="189">
        <f t="shared" si="20"/>
        <v>0</v>
      </c>
      <c r="H65" s="211">
        <f t="shared" si="20"/>
        <v>72234</v>
      </c>
      <c r="I65" s="184">
        <f t="shared" si="20"/>
        <v>0</v>
      </c>
      <c r="J65" s="189">
        <f t="shared" si="20"/>
        <v>0</v>
      </c>
      <c r="K65" s="211">
        <f t="shared" si="20"/>
        <v>0</v>
      </c>
      <c r="L65" s="184">
        <f t="shared" si="20"/>
        <v>0</v>
      </c>
      <c r="M65" s="184">
        <f t="shared" si="20"/>
        <v>0</v>
      </c>
      <c r="N65" s="189">
        <f t="shared" si="20"/>
        <v>0</v>
      </c>
      <c r="P65" s="878">
        <f t="shared" si="5"/>
        <v>72234</v>
      </c>
    </row>
    <row r="66" spans="1:16">
      <c r="A66" s="62" t="s">
        <v>559</v>
      </c>
      <c r="B66" s="68"/>
      <c r="C66" s="68"/>
      <c r="D66" s="189">
        <f t="shared" ref="D66:N66" si="21">D16</f>
        <v>0</v>
      </c>
      <c r="E66" s="211">
        <f t="shared" si="21"/>
        <v>110214</v>
      </c>
      <c r="F66" s="184">
        <f t="shared" si="21"/>
        <v>0</v>
      </c>
      <c r="G66" s="189">
        <f t="shared" si="21"/>
        <v>0</v>
      </c>
      <c r="H66" s="211">
        <f t="shared" si="21"/>
        <v>0</v>
      </c>
      <c r="I66" s="184">
        <f t="shared" si="21"/>
        <v>0</v>
      </c>
      <c r="J66" s="189">
        <f t="shared" si="21"/>
        <v>0</v>
      </c>
      <c r="K66" s="211">
        <f t="shared" si="21"/>
        <v>0</v>
      </c>
      <c r="L66" s="184">
        <f t="shared" si="21"/>
        <v>0</v>
      </c>
      <c r="M66" s="184">
        <f t="shared" si="21"/>
        <v>0</v>
      </c>
      <c r="N66" s="189">
        <f t="shared" si="21"/>
        <v>0</v>
      </c>
      <c r="P66" s="878">
        <f t="shared" si="5"/>
        <v>110214</v>
      </c>
    </row>
    <row r="67" spans="1:16">
      <c r="A67" s="62" t="s">
        <v>560</v>
      </c>
      <c r="B67" s="68"/>
      <c r="C67" s="68"/>
      <c r="D67" s="189">
        <f t="shared" ref="D67:N67" si="22">D33</f>
        <v>0</v>
      </c>
      <c r="E67" s="211">
        <f t="shared" si="22"/>
        <v>0</v>
      </c>
      <c r="F67" s="184">
        <f t="shared" si="22"/>
        <v>0</v>
      </c>
      <c r="G67" s="189">
        <f t="shared" si="22"/>
        <v>0</v>
      </c>
      <c r="H67" s="211">
        <f t="shared" si="22"/>
        <v>0</v>
      </c>
      <c r="I67" s="184">
        <f t="shared" si="22"/>
        <v>6617.6</v>
      </c>
      <c r="J67" s="189">
        <f t="shared" si="22"/>
        <v>0</v>
      </c>
      <c r="K67" s="211">
        <f t="shared" si="22"/>
        <v>0</v>
      </c>
      <c r="L67" s="184">
        <f t="shared" si="22"/>
        <v>0</v>
      </c>
      <c r="M67" s="184">
        <f t="shared" si="22"/>
        <v>0</v>
      </c>
      <c r="N67" s="189">
        <f t="shared" si="22"/>
        <v>0</v>
      </c>
      <c r="P67" s="878">
        <f t="shared" si="5"/>
        <v>6617.6</v>
      </c>
    </row>
    <row r="68" spans="1:16" ht="13" thickBot="1">
      <c r="A68" s="62" t="s">
        <v>555</v>
      </c>
      <c r="B68" s="68"/>
      <c r="C68" s="68"/>
      <c r="D68" s="189">
        <f t="shared" ref="D68:N68" si="23">D18</f>
        <v>0</v>
      </c>
      <c r="E68" s="211">
        <f t="shared" si="23"/>
        <v>38078.699999999997</v>
      </c>
      <c r="F68" s="184">
        <f t="shared" si="23"/>
        <v>0</v>
      </c>
      <c r="G68" s="189">
        <f t="shared" si="23"/>
        <v>0</v>
      </c>
      <c r="H68" s="211">
        <f t="shared" si="23"/>
        <v>0</v>
      </c>
      <c r="I68" s="184">
        <f t="shared" si="23"/>
        <v>0</v>
      </c>
      <c r="J68" s="189">
        <f t="shared" si="23"/>
        <v>0</v>
      </c>
      <c r="K68" s="211">
        <f t="shared" si="23"/>
        <v>0</v>
      </c>
      <c r="L68" s="184">
        <f t="shared" si="23"/>
        <v>0</v>
      </c>
      <c r="M68" s="184">
        <f t="shared" si="23"/>
        <v>0</v>
      </c>
      <c r="N68" s="189">
        <f t="shared" si="23"/>
        <v>0</v>
      </c>
      <c r="P68" s="878">
        <f t="shared" si="5"/>
        <v>38078.699999999997</v>
      </c>
    </row>
    <row r="69" spans="1:16" ht="13.5" thickBot="1">
      <c r="A69" s="80" t="s">
        <v>31</v>
      </c>
      <c r="B69" s="79"/>
      <c r="C69" s="79"/>
      <c r="D69" s="82">
        <f t="shared" ref="D69:N69" si="24">SUM(D51:D68)</f>
        <v>0</v>
      </c>
      <c r="E69" s="85">
        <f t="shared" si="24"/>
        <v>735758.5</v>
      </c>
      <c r="F69" s="82">
        <f t="shared" si="24"/>
        <v>118165.70000000001</v>
      </c>
      <c r="G69" s="86">
        <f t="shared" si="24"/>
        <v>0</v>
      </c>
      <c r="H69" s="85">
        <f t="shared" si="24"/>
        <v>758213.99999999988</v>
      </c>
      <c r="I69" s="82">
        <f t="shared" si="24"/>
        <v>209009.30000000002</v>
      </c>
      <c r="J69" s="86">
        <f t="shared" si="24"/>
        <v>0</v>
      </c>
      <c r="K69" s="85">
        <f t="shared" si="24"/>
        <v>377022.90000000008</v>
      </c>
      <c r="L69" s="82">
        <f t="shared" si="24"/>
        <v>256911.4</v>
      </c>
      <c r="M69" s="82">
        <f t="shared" si="24"/>
        <v>46629.19999999999</v>
      </c>
      <c r="N69" s="86">
        <f t="shared" si="24"/>
        <v>0</v>
      </c>
    </row>
    <row r="70" spans="1:16">
      <c r="A70" s="38" t="s">
        <v>73</v>
      </c>
      <c r="E70" s="830">
        <f t="shared" ref="E70:N70" si="25">E69/SUM($D$69:$N$69)</f>
        <v>0.29410211651145957</v>
      </c>
      <c r="F70" s="830">
        <f t="shared" si="25"/>
        <v>4.7233953082510334E-2</v>
      </c>
      <c r="G70" s="830">
        <f t="shared" si="25"/>
        <v>0</v>
      </c>
      <c r="H70" s="830">
        <f t="shared" si="25"/>
        <v>0.30307817329819464</v>
      </c>
      <c r="I70" s="830">
        <f t="shared" si="25"/>
        <v>8.3546540747512416E-2</v>
      </c>
      <c r="J70" s="830">
        <f t="shared" si="25"/>
        <v>0</v>
      </c>
      <c r="K70" s="830">
        <f t="shared" si="25"/>
        <v>0.15070601680210066</v>
      </c>
      <c r="L70" s="830">
        <f t="shared" si="25"/>
        <v>0.10269427603747995</v>
      </c>
      <c r="M70" s="830">
        <f t="shared" si="25"/>
        <v>1.8638923520742399E-2</v>
      </c>
      <c r="N70" s="830">
        <f t="shared" si="25"/>
        <v>0</v>
      </c>
    </row>
    <row r="71" spans="1:16">
      <c r="E71" s="832">
        <f>SUM(E69:G69)/SUM($E$69:$N$69)</f>
        <v>0.34133606959396989</v>
      </c>
      <c r="F71" s="825"/>
      <c r="G71" s="825"/>
      <c r="H71" s="832">
        <f>SUM(H69:J69)/SUM($E$69:$N$69)</f>
        <v>0.38662471404570709</v>
      </c>
      <c r="I71" s="825"/>
      <c r="J71" s="825"/>
      <c r="K71" s="832">
        <f>SUM(K69:M69)/SUM($E$69:$N$69)</f>
        <v>0.27203921636032302</v>
      </c>
      <c r="L71" s="825"/>
      <c r="M71" s="825"/>
      <c r="N71" s="825"/>
    </row>
    <row r="72" spans="1:16">
      <c r="A72" s="474"/>
      <c r="B72" s="474"/>
      <c r="C72" s="474"/>
      <c r="D72" s="474"/>
      <c r="E72" s="474"/>
    </row>
    <row r="73" spans="1:16">
      <c r="E73" s="168"/>
      <c r="F73" s="824"/>
      <c r="G73" s="824"/>
      <c r="H73" s="824"/>
      <c r="I73" s="824"/>
      <c r="J73" s="824"/>
      <c r="K73" s="824"/>
      <c r="L73" s="824"/>
      <c r="M73" s="824"/>
      <c r="N73" s="824"/>
    </row>
    <row r="74" spans="1:16">
      <c r="A74" s="474"/>
      <c r="B74" s="474"/>
      <c r="C74" s="474"/>
      <c r="D74" s="474"/>
      <c r="E74" s="474"/>
    </row>
    <row r="75" spans="1:16">
      <c r="A75" s="474"/>
      <c r="B75" s="474"/>
      <c r="C75" s="474"/>
      <c r="D75" s="474"/>
      <c r="E75" s="474"/>
    </row>
    <row r="76" spans="1:16">
      <c r="E76" s="170"/>
      <c r="F76" s="826"/>
      <c r="G76" s="826"/>
      <c r="H76" s="826"/>
      <c r="I76" s="826"/>
      <c r="J76" s="826"/>
      <c r="K76" s="826"/>
      <c r="L76" s="826"/>
      <c r="M76" s="826"/>
      <c r="N76" s="826"/>
      <c r="O76" s="69"/>
    </row>
    <row r="77" spans="1:16">
      <c r="E77" s="171"/>
      <c r="F77" s="827"/>
      <c r="G77" s="827"/>
      <c r="H77" s="827"/>
      <c r="I77" s="827"/>
      <c r="J77" s="827"/>
      <c r="K77" s="827"/>
      <c r="L77" s="827"/>
      <c r="M77" s="827"/>
      <c r="N77" s="827"/>
      <c r="O77" s="69"/>
    </row>
    <row r="78" spans="1:16">
      <c r="E78" s="168"/>
      <c r="F78" s="824"/>
      <c r="G78" s="824"/>
      <c r="H78" s="824"/>
      <c r="I78" s="824"/>
      <c r="J78" s="824"/>
      <c r="K78" s="824"/>
      <c r="L78" s="824"/>
      <c r="M78" s="824"/>
      <c r="N78" s="824"/>
    </row>
  </sheetData>
  <mergeCells count="4">
    <mergeCell ref="E3:G3"/>
    <mergeCell ref="H3:J3"/>
    <mergeCell ref="K3:N3"/>
    <mergeCell ref="A2:N2"/>
  </mergeCells>
  <printOptions horizontalCentered="1"/>
  <pageMargins left="0.2" right="0.2" top="0.25" bottom="0.25" header="0.3" footer="0.3"/>
  <pageSetup scale="48" orientation="landscape" r:id="rId1"/>
  <ignoredErrors>
    <ignoredError sqref="D67:N67 L45" formula="1"/>
    <ignoredError sqref="C1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C967D-BDE0-47CD-ABC1-672A5E286DC6}">
  <dimension ref="A1:AC38"/>
  <sheetViews>
    <sheetView zoomScale="70" zoomScaleNormal="70" workbookViewId="0">
      <selection activeCell="I18" sqref="I18"/>
    </sheetView>
  </sheetViews>
  <sheetFormatPr defaultRowHeight="12.5"/>
  <cols>
    <col min="1" max="1" width="8.7265625" style="38" bestFit="1" customWidth="1"/>
    <col min="2" max="2" width="6.453125" style="38" bestFit="1" customWidth="1"/>
    <col min="3" max="3" width="6.453125" style="89" bestFit="1" customWidth="1"/>
    <col min="4" max="17" width="11" style="89" bestFit="1" customWidth="1"/>
    <col min="18" max="18" width="5.6328125" style="38" bestFit="1" customWidth="1"/>
    <col min="19" max="19" width="3.1796875" style="38" customWidth="1"/>
    <col min="20" max="20" width="11.7265625" style="38" bestFit="1" customWidth="1"/>
    <col min="21" max="21" width="2.453125" style="38" customWidth="1"/>
    <col min="22" max="22" width="6.08984375" style="38" bestFit="1" customWidth="1"/>
    <col min="23" max="23" width="11.7265625" style="38" bestFit="1" customWidth="1"/>
    <col min="24" max="24" width="7.1796875" style="38" bestFit="1" customWidth="1"/>
    <col min="25" max="25" width="8.7265625" style="38"/>
    <col min="26" max="26" width="6.7265625" style="38" bestFit="1" customWidth="1"/>
    <col min="27" max="27" width="7.7265625" style="38" bestFit="1" customWidth="1"/>
    <col min="28" max="28" width="10.1796875" style="38" bestFit="1" customWidth="1"/>
    <col min="29" max="29" width="11.26953125" style="38" bestFit="1" customWidth="1"/>
    <col min="30" max="16384" width="8.7265625" style="38"/>
  </cols>
  <sheetData>
    <row r="1" spans="1:29" ht="13.5" thickBot="1">
      <c r="A1" s="919" t="s">
        <v>196</v>
      </c>
      <c r="B1" s="920"/>
      <c r="C1" s="921"/>
      <c r="D1" s="1211" t="s">
        <v>480</v>
      </c>
      <c r="E1" s="1212"/>
      <c r="F1" s="1212"/>
      <c r="G1" s="1212"/>
      <c r="H1" s="1212"/>
      <c r="I1" s="1212"/>
      <c r="J1" s="1212"/>
      <c r="K1" s="1212"/>
      <c r="L1" s="1212"/>
      <c r="M1" s="1212"/>
      <c r="N1" s="1212"/>
      <c r="O1" s="1212"/>
      <c r="P1" s="1212"/>
      <c r="Q1" s="1213"/>
      <c r="R1" s="339"/>
      <c r="S1" s="339"/>
      <c r="T1" s="922" t="s">
        <v>31</v>
      </c>
    </row>
    <row r="2" spans="1:29" ht="13.5" thickBot="1">
      <c r="A2" s="923" t="s">
        <v>595</v>
      </c>
      <c r="B2" s="924" t="s">
        <v>201</v>
      </c>
      <c r="C2" s="925" t="s">
        <v>479</v>
      </c>
      <c r="D2" s="926">
        <v>1</v>
      </c>
      <c r="E2" s="927">
        <v>2</v>
      </c>
      <c r="F2" s="928">
        <v>3</v>
      </c>
      <c r="G2" s="927">
        <v>4</v>
      </c>
      <c r="H2" s="928">
        <v>5</v>
      </c>
      <c r="I2" s="927">
        <v>6</v>
      </c>
      <c r="J2" s="928">
        <v>7</v>
      </c>
      <c r="K2" s="927">
        <v>8</v>
      </c>
      <c r="L2" s="928">
        <v>9</v>
      </c>
      <c r="M2" s="927">
        <v>10</v>
      </c>
      <c r="N2" s="928">
        <v>11</v>
      </c>
      <c r="O2" s="927">
        <v>12</v>
      </c>
      <c r="P2" s="928">
        <v>13</v>
      </c>
      <c r="Q2" s="927">
        <v>14</v>
      </c>
      <c r="R2" s="55"/>
      <c r="S2" s="55"/>
    </row>
    <row r="3" spans="1:29">
      <c r="A3" s="38" t="s">
        <v>481</v>
      </c>
      <c r="B3" s="38" t="s">
        <v>376</v>
      </c>
      <c r="C3" s="929">
        <v>3</v>
      </c>
      <c r="D3" s="930">
        <v>16000</v>
      </c>
      <c r="E3" s="931">
        <v>10800</v>
      </c>
      <c r="F3" s="931">
        <f>E3</f>
        <v>10800</v>
      </c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  <c r="R3" s="932">
        <v>3</v>
      </c>
      <c r="S3" s="932"/>
      <c r="T3" s="933">
        <f>SUM(D3:P3)</f>
        <v>37600</v>
      </c>
      <c r="V3" s="38" t="s">
        <v>479</v>
      </c>
      <c r="W3" s="38" t="s">
        <v>498</v>
      </c>
    </row>
    <row r="4" spans="1:29">
      <c r="A4" s="38" t="s">
        <v>482</v>
      </c>
      <c r="B4" s="38" t="s">
        <v>376</v>
      </c>
      <c r="C4" s="929">
        <v>3</v>
      </c>
      <c r="D4" s="930">
        <v>28503</v>
      </c>
      <c r="E4" s="931">
        <v>28503</v>
      </c>
      <c r="F4" s="931">
        <v>31153.1</v>
      </c>
      <c r="G4" s="931">
        <f t="shared" ref="G4:I5" si="0">F4</f>
        <v>31153.1</v>
      </c>
      <c r="H4" s="931">
        <v>28503</v>
      </c>
      <c r="I4" s="931">
        <f t="shared" si="0"/>
        <v>28503</v>
      </c>
      <c r="J4" s="932"/>
      <c r="K4" s="932"/>
      <c r="L4" s="932"/>
      <c r="M4" s="932"/>
      <c r="N4" s="932"/>
      <c r="O4" s="932"/>
      <c r="P4" s="932"/>
      <c r="Q4" s="932"/>
      <c r="R4" s="932">
        <v>6</v>
      </c>
      <c r="S4" s="932"/>
      <c r="T4" s="933">
        <f t="shared" ref="T4:T18" si="1">SUM(D4:P4)</f>
        <v>176318.2</v>
      </c>
      <c r="V4" s="38">
        <v>1</v>
      </c>
      <c r="W4" s="932">
        <f>SUMPRODUCT(($C$3:$C$18=1)*$D$3:$P$18)</f>
        <v>648556.09999999986</v>
      </c>
      <c r="X4" s="934">
        <f>W4/$W$7</f>
        <v>0.3463306729143551</v>
      </c>
    </row>
    <row r="5" spans="1:29">
      <c r="A5" s="38" t="s">
        <v>483</v>
      </c>
      <c r="B5" s="38" t="s">
        <v>376</v>
      </c>
      <c r="C5" s="929">
        <v>3</v>
      </c>
      <c r="D5" s="930">
        <v>34898.400000000001</v>
      </c>
      <c r="E5" s="931">
        <v>24184.9</v>
      </c>
      <c r="F5" s="931">
        <f>E5</f>
        <v>24184.9</v>
      </c>
      <c r="G5" s="931">
        <f t="shared" si="0"/>
        <v>24184.9</v>
      </c>
      <c r="H5" s="931">
        <f t="shared" si="0"/>
        <v>24184.9</v>
      </c>
      <c r="I5" s="932"/>
      <c r="J5" s="932"/>
      <c r="K5" s="932"/>
      <c r="L5" s="932"/>
      <c r="M5" s="932"/>
      <c r="N5" s="932"/>
      <c r="O5" s="932"/>
      <c r="P5" s="932"/>
      <c r="Q5" s="932"/>
      <c r="R5" s="932">
        <v>5</v>
      </c>
      <c r="S5" s="932"/>
      <c r="T5" s="933">
        <f t="shared" si="1"/>
        <v>131638</v>
      </c>
      <c r="V5" s="38">
        <v>2</v>
      </c>
      <c r="W5" s="932">
        <f>SUMPRODUCT(($C$3:$C$18=2)*$D$3:$P$18)</f>
        <v>598669.09999999986</v>
      </c>
      <c r="X5" s="934">
        <f t="shared" ref="X5:X6" si="2">W5/$W$7</f>
        <v>0.31969088295681952</v>
      </c>
    </row>
    <row r="6" spans="1:29">
      <c r="A6" s="38" t="s">
        <v>484</v>
      </c>
      <c r="B6" s="38" t="s">
        <v>377</v>
      </c>
      <c r="C6" s="935">
        <v>2</v>
      </c>
      <c r="D6" s="936">
        <v>14774.8</v>
      </c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>
        <v>1</v>
      </c>
      <c r="S6" s="932"/>
      <c r="T6" s="933">
        <f t="shared" si="1"/>
        <v>14774.8</v>
      </c>
      <c r="V6" s="38">
        <v>3</v>
      </c>
      <c r="W6" s="932">
        <f>SUMPRODUCT(($C$3:$C$18=3)*$D$3:$P$18)</f>
        <v>625424.70000000042</v>
      </c>
      <c r="X6" s="934">
        <f t="shared" si="2"/>
        <v>0.33397844412882532</v>
      </c>
    </row>
    <row r="7" spans="1:29">
      <c r="A7" s="38" t="s">
        <v>485</v>
      </c>
      <c r="B7" s="38" t="s">
        <v>377</v>
      </c>
      <c r="C7" s="935">
        <v>2</v>
      </c>
      <c r="D7" s="931">
        <v>10558.6</v>
      </c>
      <c r="E7" s="931">
        <f>D7</f>
        <v>10558.6</v>
      </c>
      <c r="F7" s="931">
        <f t="shared" ref="F7:I10" si="3">E7</f>
        <v>10558.6</v>
      </c>
      <c r="G7" s="931">
        <v>3902.6</v>
      </c>
      <c r="H7" s="931">
        <f t="shared" si="3"/>
        <v>3902.6</v>
      </c>
      <c r="I7" s="932"/>
      <c r="J7" s="932"/>
      <c r="K7" s="932"/>
      <c r="L7" s="932"/>
      <c r="M7" s="932"/>
      <c r="N7" s="932"/>
      <c r="O7" s="932"/>
      <c r="P7" s="932"/>
      <c r="Q7" s="932"/>
      <c r="R7" s="932">
        <v>5</v>
      </c>
      <c r="S7" s="932"/>
      <c r="T7" s="933">
        <f t="shared" si="1"/>
        <v>39481</v>
      </c>
      <c r="W7" s="932">
        <f>SUM(W4:W6)</f>
        <v>1872649.9000000001</v>
      </c>
      <c r="X7" s="934">
        <f>SUM(X4:X6)</f>
        <v>1</v>
      </c>
    </row>
    <row r="8" spans="1:29">
      <c r="A8" s="38" t="s">
        <v>486</v>
      </c>
      <c r="B8" s="38" t="s">
        <v>377</v>
      </c>
      <c r="C8" s="935">
        <v>2</v>
      </c>
      <c r="D8" s="930">
        <v>26406.799999999999</v>
      </c>
      <c r="E8" s="931">
        <v>23209.1</v>
      </c>
      <c r="F8" s="931">
        <f t="shared" si="3"/>
        <v>23209.1</v>
      </c>
      <c r="G8" s="931">
        <f t="shared" si="3"/>
        <v>23209.1</v>
      </c>
      <c r="H8" s="931">
        <v>16234.6</v>
      </c>
      <c r="I8" s="931">
        <f t="shared" si="3"/>
        <v>16234.6</v>
      </c>
      <c r="J8" s="931">
        <v>8771.5</v>
      </c>
      <c r="K8" s="932"/>
      <c r="L8" s="932"/>
      <c r="M8" s="932"/>
      <c r="N8" s="932"/>
      <c r="O8" s="932"/>
      <c r="P8" s="932"/>
      <c r="Q8" s="932"/>
      <c r="R8" s="932">
        <v>7</v>
      </c>
      <c r="S8" s="932"/>
      <c r="T8" s="933">
        <f t="shared" si="1"/>
        <v>137274.80000000002</v>
      </c>
    </row>
    <row r="9" spans="1:29">
      <c r="A9" s="38" t="s">
        <v>487</v>
      </c>
      <c r="B9" s="38" t="s">
        <v>378</v>
      </c>
      <c r="C9" s="937">
        <v>1</v>
      </c>
      <c r="D9" s="938">
        <v>28518.6</v>
      </c>
      <c r="E9" s="939">
        <v>19579.8</v>
      </c>
      <c r="F9" s="939">
        <f>E9</f>
        <v>19579.8</v>
      </c>
      <c r="G9" s="939">
        <f t="shared" si="3"/>
        <v>19579.8</v>
      </c>
      <c r="H9" s="939">
        <f>G9</f>
        <v>19579.8</v>
      </c>
      <c r="I9" s="940">
        <v>19579.8</v>
      </c>
      <c r="J9" s="940">
        <f t="shared" ref="J9" si="4">I9</f>
        <v>19579.8</v>
      </c>
      <c r="K9" s="940">
        <f t="shared" ref="K9" si="5">J9</f>
        <v>19579.8</v>
      </c>
      <c r="L9" s="940">
        <v>13223.1</v>
      </c>
      <c r="M9" s="940">
        <f t="shared" ref="M9" si="6">L9</f>
        <v>13223.1</v>
      </c>
      <c r="N9" s="940">
        <f t="shared" ref="N9" si="7">M9</f>
        <v>13223.1</v>
      </c>
      <c r="O9" s="932"/>
      <c r="P9" s="932"/>
      <c r="Q9" s="932"/>
      <c r="R9" s="932">
        <v>11</v>
      </c>
      <c r="S9" s="932"/>
      <c r="T9" s="933">
        <f t="shared" si="1"/>
        <v>205246.5</v>
      </c>
      <c r="Z9" s="933">
        <f>SUM(E9:J9)/1000</f>
        <v>117.47880000000001</v>
      </c>
      <c r="AA9" s="941">
        <f>Z9*2</f>
        <v>234.95760000000001</v>
      </c>
      <c r="AB9" s="941">
        <f>AA9*320</f>
        <v>75186.432000000001</v>
      </c>
      <c r="AC9" s="38">
        <f>AB9/E9</f>
        <v>3.8400000000000003</v>
      </c>
    </row>
    <row r="10" spans="1:29">
      <c r="A10" s="38" t="s">
        <v>488</v>
      </c>
      <c r="B10" s="38" t="s">
        <v>373</v>
      </c>
      <c r="C10" s="935">
        <v>2</v>
      </c>
      <c r="D10" s="942">
        <v>24587.200000000001</v>
      </c>
      <c r="E10" s="939">
        <v>16615.599999999999</v>
      </c>
      <c r="F10" s="939">
        <f t="shared" si="3"/>
        <v>16615.599999999999</v>
      </c>
      <c r="G10" s="931">
        <f t="shared" si="3"/>
        <v>16615.599999999999</v>
      </c>
      <c r="H10" s="931">
        <f t="shared" si="3"/>
        <v>16615.599999999999</v>
      </c>
      <c r="I10" s="931">
        <f t="shared" ref="F10:I13" si="8">H10</f>
        <v>16615.599999999999</v>
      </c>
      <c r="J10" s="931">
        <f t="shared" ref="J10" si="9">I10</f>
        <v>16615.599999999999</v>
      </c>
      <c r="K10" s="931">
        <v>11139</v>
      </c>
      <c r="L10" s="931">
        <f t="shared" ref="L10" si="10">K10</f>
        <v>11139</v>
      </c>
      <c r="M10" s="931">
        <f t="shared" ref="M10" si="11">L10</f>
        <v>11139</v>
      </c>
      <c r="N10" s="931">
        <f t="shared" ref="N10" si="12">M10</f>
        <v>11139</v>
      </c>
      <c r="O10" s="931">
        <v>9101.7000000000007</v>
      </c>
      <c r="P10" s="931">
        <f t="shared" ref="P10" si="13">O10</f>
        <v>9101.7000000000007</v>
      </c>
      <c r="Q10" s="931">
        <f t="shared" ref="Q10" si="14">P10</f>
        <v>9101.7000000000007</v>
      </c>
      <c r="R10" s="932">
        <v>14</v>
      </c>
      <c r="S10" s="932"/>
      <c r="T10" s="933">
        <f t="shared" si="1"/>
        <v>187040.20000000004</v>
      </c>
      <c r="V10" s="933"/>
      <c r="Z10" s="933">
        <f>SUM(E10:O10)/1000</f>
        <v>153.35130000000001</v>
      </c>
      <c r="AB10" s="941">
        <f>Z10*320</f>
        <v>49072.416000000005</v>
      </c>
      <c r="AC10" s="38">
        <f>AB10/E10</f>
        <v>2.9533941597053377</v>
      </c>
    </row>
    <row r="11" spans="1:29">
      <c r="A11" s="38" t="s">
        <v>489</v>
      </c>
      <c r="B11" s="38" t="s">
        <v>496</v>
      </c>
      <c r="C11" s="937">
        <v>1</v>
      </c>
      <c r="D11" s="930">
        <v>19757</v>
      </c>
      <c r="E11" s="931">
        <v>19757</v>
      </c>
      <c r="F11" s="931">
        <f t="shared" si="8"/>
        <v>19757</v>
      </c>
      <c r="G11" s="931">
        <f t="shared" si="8"/>
        <v>19757</v>
      </c>
      <c r="H11" s="931">
        <f t="shared" si="8"/>
        <v>19757</v>
      </c>
      <c r="I11" s="931">
        <f t="shared" si="8"/>
        <v>19757</v>
      </c>
      <c r="J11" s="931">
        <v>19757</v>
      </c>
      <c r="K11" s="931">
        <v>19757</v>
      </c>
      <c r="L11" s="931">
        <v>19757</v>
      </c>
      <c r="M11" s="932"/>
      <c r="N11" s="932"/>
      <c r="O11" s="932"/>
      <c r="P11" s="932"/>
      <c r="Q11" s="932"/>
      <c r="R11" s="932">
        <v>9</v>
      </c>
      <c r="S11" s="932"/>
      <c r="T11" s="933">
        <f t="shared" si="1"/>
        <v>177813</v>
      </c>
    </row>
    <row r="12" spans="1:29">
      <c r="A12" s="38" t="s">
        <v>490</v>
      </c>
      <c r="B12" s="38" t="s">
        <v>496</v>
      </c>
      <c r="C12" s="937">
        <v>1</v>
      </c>
      <c r="D12" s="939">
        <v>22260.7</v>
      </c>
      <c r="E12" s="939">
        <v>22260.7</v>
      </c>
      <c r="F12" s="939">
        <f t="shared" si="8"/>
        <v>22260.7</v>
      </c>
      <c r="G12" s="939">
        <f t="shared" si="8"/>
        <v>22260.7</v>
      </c>
      <c r="H12" s="939">
        <f t="shared" si="8"/>
        <v>22260.7</v>
      </c>
      <c r="I12" s="939">
        <f t="shared" si="8"/>
        <v>22260.7</v>
      </c>
      <c r="J12" s="939">
        <f t="shared" ref="J12" si="15">I12</f>
        <v>22260.7</v>
      </c>
      <c r="K12" s="939">
        <f t="shared" ref="K12" si="16">J12</f>
        <v>22260.7</v>
      </c>
      <c r="L12" s="939">
        <f t="shared" ref="L12" si="17">K12</f>
        <v>22260.7</v>
      </c>
      <c r="M12" s="943"/>
      <c r="N12" s="944"/>
      <c r="O12" s="932"/>
      <c r="P12" s="932"/>
      <c r="Q12" s="932"/>
      <c r="R12" s="932">
        <v>9</v>
      </c>
      <c r="S12" s="932"/>
      <c r="T12" s="933">
        <f t="shared" si="1"/>
        <v>200346.30000000005</v>
      </c>
    </row>
    <row r="13" spans="1:29">
      <c r="A13" s="38" t="s">
        <v>524</v>
      </c>
      <c r="B13" s="38" t="s">
        <v>375</v>
      </c>
      <c r="C13" s="935">
        <v>2</v>
      </c>
      <c r="D13" s="930">
        <v>30224.1</v>
      </c>
      <c r="E13" s="931">
        <f>D13</f>
        <v>30224.1</v>
      </c>
      <c r="F13" s="931">
        <f>E13</f>
        <v>30224.1</v>
      </c>
      <c r="G13" s="931">
        <f t="shared" si="8"/>
        <v>30224.1</v>
      </c>
      <c r="H13" s="931">
        <v>23778.400000000001</v>
      </c>
      <c r="I13" s="931">
        <v>20903.7</v>
      </c>
      <c r="J13" s="931">
        <v>16156</v>
      </c>
      <c r="K13" s="931">
        <v>16156</v>
      </c>
      <c r="L13" s="931">
        <v>7402.6</v>
      </c>
      <c r="M13" s="931">
        <v>7402.6</v>
      </c>
      <c r="N13" s="931">
        <v>7402.6</v>
      </c>
      <c r="O13" s="932"/>
      <c r="P13" s="932"/>
      <c r="Q13" s="932"/>
      <c r="R13" s="932">
        <v>11</v>
      </c>
      <c r="S13" s="932"/>
      <c r="T13" s="933">
        <f t="shared" si="1"/>
        <v>220098.30000000002</v>
      </c>
    </row>
    <row r="14" spans="1:29">
      <c r="A14" s="38" t="s">
        <v>491</v>
      </c>
      <c r="B14" s="38" t="s">
        <v>373</v>
      </c>
      <c r="C14" s="929">
        <v>3</v>
      </c>
      <c r="D14" s="930">
        <v>34779.5</v>
      </c>
      <c r="E14" s="945">
        <v>15021.6</v>
      </c>
      <c r="F14" s="945">
        <f t="shared" ref="F14:H15" si="18">E14</f>
        <v>15021.6</v>
      </c>
      <c r="G14" s="945">
        <f t="shared" si="18"/>
        <v>15021.6</v>
      </c>
      <c r="H14" s="945">
        <f t="shared" si="18"/>
        <v>15021.6</v>
      </c>
      <c r="I14" s="945">
        <v>10796.9</v>
      </c>
      <c r="J14" s="945">
        <f>I14</f>
        <v>10796.9</v>
      </c>
      <c r="K14" s="945">
        <f>J14</f>
        <v>10796.9</v>
      </c>
      <c r="L14" s="945">
        <f>K14</f>
        <v>10796.9</v>
      </c>
      <c r="M14" s="945">
        <v>9153.4</v>
      </c>
      <c r="N14" s="945">
        <f t="shared" ref="N14:O14" si="19">M14</f>
        <v>9153.4</v>
      </c>
      <c r="O14" s="945">
        <f t="shared" si="19"/>
        <v>9153.4</v>
      </c>
      <c r="P14" s="945">
        <f>O14</f>
        <v>9153.4</v>
      </c>
      <c r="Q14" s="946"/>
      <c r="R14" s="933">
        <v>13</v>
      </c>
      <c r="S14" s="933"/>
      <c r="T14" s="933">
        <f t="shared" si="1"/>
        <v>174667.09999999998</v>
      </c>
    </row>
    <row r="15" spans="1:29">
      <c r="A15" s="38" t="s">
        <v>492</v>
      </c>
      <c r="B15" s="38" t="s">
        <v>373</v>
      </c>
      <c r="C15" s="929">
        <v>3</v>
      </c>
      <c r="D15" s="939">
        <v>15238.6</v>
      </c>
      <c r="E15" s="931">
        <v>12028.4</v>
      </c>
      <c r="F15" s="931">
        <f>E15</f>
        <v>12028.4</v>
      </c>
      <c r="G15" s="931">
        <f t="shared" si="18"/>
        <v>12028.4</v>
      </c>
      <c r="H15" s="931">
        <f t="shared" si="18"/>
        <v>12028.4</v>
      </c>
      <c r="I15" s="931">
        <v>10462.299999999999</v>
      </c>
      <c r="J15" s="931">
        <f>I15</f>
        <v>10462.299999999999</v>
      </c>
      <c r="K15" s="931">
        <f t="shared" ref="K15:L15" si="20">J15</f>
        <v>10462.299999999999</v>
      </c>
      <c r="L15" s="931">
        <f t="shared" si="20"/>
        <v>10462.299999999999</v>
      </c>
      <c r="M15" s="932"/>
      <c r="N15" s="932"/>
      <c r="O15" s="932"/>
      <c r="P15" s="933"/>
      <c r="Q15" s="933"/>
      <c r="R15" s="933">
        <v>9</v>
      </c>
      <c r="S15" s="933"/>
      <c r="T15" s="933">
        <f t="shared" si="1"/>
        <v>105201.40000000001</v>
      </c>
      <c r="W15" s="38" t="s">
        <v>539</v>
      </c>
    </row>
    <row r="16" spans="1:29">
      <c r="A16" s="38" t="s">
        <v>521</v>
      </c>
      <c r="B16" s="38" t="s">
        <v>376</v>
      </c>
      <c r="C16" s="937">
        <v>1</v>
      </c>
      <c r="D16" s="930">
        <v>6000</v>
      </c>
      <c r="E16" s="930">
        <f>D16</f>
        <v>6000</v>
      </c>
      <c r="F16" s="930">
        <f>E16</f>
        <v>6000</v>
      </c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>
        <v>3</v>
      </c>
      <c r="S16" s="933"/>
      <c r="T16" s="933">
        <f t="shared" si="1"/>
        <v>18000</v>
      </c>
    </row>
    <row r="17" spans="1:20">
      <c r="A17" s="38" t="s">
        <v>522</v>
      </c>
      <c r="B17" s="38" t="s">
        <v>496</v>
      </c>
      <c r="C17" s="937">
        <v>1</v>
      </c>
      <c r="D17" s="930">
        <v>17705.900000000001</v>
      </c>
      <c r="E17" s="940">
        <v>5811.6</v>
      </c>
      <c r="F17" s="933"/>
      <c r="G17" s="933"/>
      <c r="H17" s="933"/>
      <c r="I17" s="933"/>
      <c r="J17" s="933"/>
      <c r="K17" s="933"/>
      <c r="L17" s="933"/>
      <c r="M17" s="933"/>
      <c r="N17" s="933"/>
      <c r="O17" s="933"/>
      <c r="P17" s="933"/>
      <c r="Q17" s="933"/>
      <c r="R17" s="933">
        <v>2</v>
      </c>
      <c r="S17" s="933"/>
      <c r="T17" s="933">
        <f t="shared" si="1"/>
        <v>23517.5</v>
      </c>
    </row>
    <row r="18" spans="1:20">
      <c r="A18" s="38" t="s">
        <v>523</v>
      </c>
      <c r="B18" s="38" t="s">
        <v>375</v>
      </c>
      <c r="C18" s="937">
        <v>1</v>
      </c>
      <c r="D18" s="930">
        <v>15312.6</v>
      </c>
      <c r="E18" s="940">
        <v>8320.2000000000007</v>
      </c>
      <c r="F18" s="933"/>
      <c r="G18" s="933"/>
      <c r="H18" s="933"/>
      <c r="I18" s="933"/>
      <c r="J18" s="933"/>
      <c r="K18" s="933"/>
      <c r="L18" s="933"/>
      <c r="M18" s="933"/>
      <c r="N18" s="933"/>
      <c r="O18" s="933"/>
      <c r="P18" s="933"/>
      <c r="Q18" s="933"/>
      <c r="R18" s="933">
        <v>2</v>
      </c>
      <c r="S18" s="933"/>
      <c r="T18" s="933">
        <f t="shared" si="1"/>
        <v>23632.800000000003</v>
      </c>
    </row>
    <row r="19" spans="1:20" ht="13">
      <c r="C19" s="38"/>
      <c r="D19" s="932"/>
      <c r="E19" s="933"/>
      <c r="F19" s="933"/>
      <c r="G19" s="933"/>
      <c r="H19" s="933"/>
      <c r="I19" s="933"/>
      <c r="J19" s="933"/>
      <c r="K19" s="933"/>
      <c r="L19" s="933"/>
      <c r="M19" s="933"/>
      <c r="N19" s="933"/>
      <c r="O19" s="933"/>
      <c r="P19" s="933"/>
      <c r="Q19" s="933"/>
      <c r="R19" s="933"/>
      <c r="S19" s="933"/>
      <c r="T19" s="947">
        <f>SUM(T3:T18)</f>
        <v>1872649.9000000001</v>
      </c>
    </row>
    <row r="20" spans="1:20" ht="13.5" thickBot="1">
      <c r="C20" s="38"/>
      <c r="D20" s="932"/>
      <c r="E20" s="933"/>
      <c r="F20" s="933"/>
      <c r="G20" s="933"/>
      <c r="H20" s="933"/>
      <c r="I20" s="933"/>
      <c r="J20" s="933"/>
      <c r="K20" s="933"/>
      <c r="L20" s="933"/>
      <c r="M20" s="933"/>
      <c r="N20" s="933"/>
      <c r="O20" s="933"/>
      <c r="P20" s="933"/>
      <c r="Q20" s="933"/>
      <c r="R20" s="933"/>
      <c r="S20" s="933"/>
      <c r="T20" s="947"/>
    </row>
    <row r="21" spans="1:20" ht="13.5" thickBot="1">
      <c r="A21" s="919" t="s">
        <v>196</v>
      </c>
      <c r="B21" s="920"/>
      <c r="C21" s="921"/>
      <c r="D21" s="1211" t="s">
        <v>480</v>
      </c>
      <c r="E21" s="1212"/>
      <c r="F21" s="1212"/>
      <c r="G21" s="1212"/>
      <c r="H21" s="1212"/>
      <c r="I21" s="1212"/>
      <c r="J21" s="1212"/>
      <c r="K21" s="1212"/>
      <c r="L21" s="1212"/>
      <c r="M21" s="1212"/>
      <c r="N21" s="1212"/>
      <c r="O21" s="1212"/>
      <c r="P21" s="1212"/>
      <c r="Q21" s="1213"/>
      <c r="R21" s="339"/>
      <c r="S21" s="339"/>
    </row>
    <row r="22" spans="1:20" ht="13.5" thickBot="1">
      <c r="A22" s="923" t="s">
        <v>595</v>
      </c>
      <c r="B22" s="924" t="s">
        <v>201</v>
      </c>
      <c r="C22" s="925" t="s">
        <v>479</v>
      </c>
      <c r="D22" s="926">
        <v>1</v>
      </c>
      <c r="E22" s="927">
        <v>2</v>
      </c>
      <c r="F22" s="928">
        <v>3</v>
      </c>
      <c r="G22" s="927">
        <v>4</v>
      </c>
      <c r="H22" s="928">
        <v>5</v>
      </c>
      <c r="I22" s="927">
        <v>6</v>
      </c>
      <c r="J22" s="928">
        <v>7</v>
      </c>
      <c r="K22" s="927">
        <v>8</v>
      </c>
      <c r="L22" s="928">
        <v>9</v>
      </c>
      <c r="M22" s="927">
        <v>10</v>
      </c>
      <c r="N22" s="928">
        <v>11</v>
      </c>
      <c r="O22" s="927">
        <v>12</v>
      </c>
      <c r="P22" s="928">
        <v>13</v>
      </c>
      <c r="Q22" s="927">
        <v>14</v>
      </c>
      <c r="R22" s="55"/>
      <c r="S22" s="55"/>
    </row>
    <row r="23" spans="1:20">
      <c r="A23" s="38" t="s">
        <v>481</v>
      </c>
      <c r="B23" s="38" t="s">
        <v>376</v>
      </c>
      <c r="C23" s="929">
        <v>3</v>
      </c>
      <c r="D23" s="930" t="s">
        <v>47</v>
      </c>
      <c r="E23" s="931" t="s">
        <v>476</v>
      </c>
      <c r="F23" s="931" t="str">
        <f>E23</f>
        <v>Residential</v>
      </c>
      <c r="G23" s="932"/>
      <c r="H23" s="932"/>
      <c r="I23" s="932"/>
      <c r="J23" s="932"/>
      <c r="K23" s="932"/>
      <c r="L23" s="932"/>
      <c r="M23" s="932"/>
      <c r="N23" s="932"/>
      <c r="O23" s="932"/>
      <c r="P23" s="932"/>
      <c r="Q23" s="932"/>
      <c r="R23" s="932"/>
      <c r="S23" s="932"/>
    </row>
    <row r="24" spans="1:20">
      <c r="A24" s="38" t="s">
        <v>482</v>
      </c>
      <c r="B24" s="38" t="s">
        <v>376</v>
      </c>
      <c r="C24" s="929">
        <v>3</v>
      </c>
      <c r="D24" s="930" t="s">
        <v>47</v>
      </c>
      <c r="E24" s="931" t="s">
        <v>476</v>
      </c>
      <c r="F24" s="931" t="str">
        <f>E24</f>
        <v>Residential</v>
      </c>
      <c r="G24" s="931" t="str">
        <f t="shared" ref="G24:I24" si="21">F24</f>
        <v>Residential</v>
      </c>
      <c r="H24" s="931" t="str">
        <f t="shared" si="21"/>
        <v>Residential</v>
      </c>
      <c r="I24" s="931" t="str">
        <f t="shared" si="21"/>
        <v>Residential</v>
      </c>
      <c r="J24" s="932"/>
      <c r="K24" s="932"/>
      <c r="L24" s="932"/>
      <c r="M24" s="932"/>
      <c r="N24" s="932"/>
      <c r="O24" s="932"/>
      <c r="P24" s="932"/>
      <c r="Q24" s="932"/>
      <c r="R24" s="932"/>
      <c r="S24" s="932"/>
    </row>
    <row r="25" spans="1:20">
      <c r="A25" s="38" t="s">
        <v>483</v>
      </c>
      <c r="B25" s="38" t="s">
        <v>377</v>
      </c>
      <c r="C25" s="929">
        <v>3</v>
      </c>
      <c r="D25" s="930" t="s">
        <v>47</v>
      </c>
      <c r="E25" s="931" t="s">
        <v>476</v>
      </c>
      <c r="F25" s="931" t="str">
        <f>E25</f>
        <v>Residential</v>
      </c>
      <c r="G25" s="931" t="str">
        <f t="shared" ref="G25:H25" si="22">F25</f>
        <v>Residential</v>
      </c>
      <c r="H25" s="931" t="str">
        <f t="shared" si="22"/>
        <v>Residential</v>
      </c>
      <c r="I25" s="932"/>
      <c r="J25" s="932"/>
      <c r="K25" s="932"/>
      <c r="L25" s="932"/>
      <c r="M25" s="932"/>
      <c r="N25" s="932"/>
      <c r="O25" s="932"/>
      <c r="P25" s="932"/>
      <c r="Q25" s="932"/>
      <c r="R25" s="932"/>
      <c r="S25" s="932"/>
    </row>
    <row r="26" spans="1:20">
      <c r="A26" s="38" t="s">
        <v>484</v>
      </c>
      <c r="B26" s="38" t="s">
        <v>377</v>
      </c>
      <c r="C26" s="935">
        <v>2</v>
      </c>
      <c r="D26" s="936" t="s">
        <v>519</v>
      </c>
      <c r="E26" s="932"/>
      <c r="F26" s="932"/>
      <c r="G26" s="932"/>
      <c r="H26" s="932"/>
      <c r="I26" s="932"/>
      <c r="J26" s="932"/>
      <c r="K26" s="932"/>
      <c r="L26" s="932"/>
      <c r="M26" s="932"/>
      <c r="N26" s="932"/>
      <c r="O26" s="932"/>
      <c r="P26" s="932"/>
      <c r="Q26" s="932"/>
      <c r="R26" s="932"/>
      <c r="S26" s="932"/>
    </row>
    <row r="27" spans="1:20">
      <c r="A27" s="38" t="s">
        <v>485</v>
      </c>
      <c r="B27" s="38" t="s">
        <v>377</v>
      </c>
      <c r="C27" s="935">
        <v>2</v>
      </c>
      <c r="D27" s="931" t="s">
        <v>476</v>
      </c>
      <c r="E27" s="931" t="str">
        <f>D27</f>
        <v>Residential</v>
      </c>
      <c r="F27" s="931" t="str">
        <f t="shared" ref="F27:H27" si="23">E27</f>
        <v>Residential</v>
      </c>
      <c r="G27" s="931" t="str">
        <f t="shared" si="23"/>
        <v>Residential</v>
      </c>
      <c r="H27" s="931" t="str">
        <f t="shared" si="23"/>
        <v>Residential</v>
      </c>
      <c r="I27" s="932"/>
      <c r="J27" s="932"/>
      <c r="K27" s="932"/>
      <c r="L27" s="932"/>
      <c r="M27" s="932"/>
      <c r="N27" s="932"/>
      <c r="O27" s="932"/>
      <c r="P27" s="932"/>
      <c r="Q27" s="932"/>
      <c r="R27" s="932"/>
      <c r="S27" s="932"/>
    </row>
    <row r="28" spans="1:20">
      <c r="A28" s="38" t="s">
        <v>486</v>
      </c>
      <c r="B28" s="38" t="s">
        <v>378</v>
      </c>
      <c r="C28" s="935">
        <v>2</v>
      </c>
      <c r="D28" s="930" t="s">
        <v>47</v>
      </c>
      <c r="E28" s="931" t="str">
        <f>D28</f>
        <v>Retail</v>
      </c>
      <c r="F28" s="931" t="str">
        <f t="shared" ref="F28" si="24">E28</f>
        <v>Retail</v>
      </c>
      <c r="G28" s="931" t="str">
        <f t="shared" ref="G28" si="25">F28</f>
        <v>Retail</v>
      </c>
      <c r="H28" s="931" t="str">
        <f t="shared" ref="H28" si="26">G28</f>
        <v>Retail</v>
      </c>
      <c r="I28" s="931" t="str">
        <f t="shared" ref="I28" si="27">H28</f>
        <v>Retail</v>
      </c>
      <c r="J28" s="931" t="str">
        <f t="shared" ref="F28:J29" si="28">I28</f>
        <v>Retail</v>
      </c>
      <c r="K28" s="932"/>
      <c r="L28" s="932"/>
      <c r="M28" s="932"/>
      <c r="N28" s="932"/>
      <c r="O28" s="932"/>
      <c r="P28" s="932"/>
      <c r="Q28" s="932"/>
      <c r="R28" s="932"/>
      <c r="S28" s="932"/>
    </row>
    <row r="29" spans="1:20">
      <c r="A29" s="38" t="s">
        <v>487</v>
      </c>
      <c r="B29" s="38" t="s">
        <v>375</v>
      </c>
      <c r="C29" s="937">
        <v>1</v>
      </c>
      <c r="D29" s="938" t="s">
        <v>494</v>
      </c>
      <c r="E29" s="939" t="s">
        <v>64</v>
      </c>
      <c r="F29" s="939" t="str">
        <f t="shared" si="28"/>
        <v>Office</v>
      </c>
      <c r="G29" s="939" t="str">
        <f t="shared" si="28"/>
        <v>Office</v>
      </c>
      <c r="H29" s="939" t="str">
        <f t="shared" si="28"/>
        <v>Office</v>
      </c>
      <c r="I29" s="940" t="str">
        <f t="shared" si="28"/>
        <v>Office</v>
      </c>
      <c r="J29" s="940" t="str">
        <f t="shared" si="28"/>
        <v>Office</v>
      </c>
      <c r="K29" s="940" t="str">
        <f t="shared" ref="K29" si="29">J29</f>
        <v>Office</v>
      </c>
      <c r="L29" s="940" t="str">
        <f t="shared" ref="L29" si="30">K29</f>
        <v>Office</v>
      </c>
      <c r="M29" s="940" t="str">
        <f t="shared" ref="M29" si="31">L29</f>
        <v>Office</v>
      </c>
      <c r="N29" s="940" t="str">
        <f t="shared" ref="N29" si="32">M29</f>
        <v>Office</v>
      </c>
      <c r="O29" s="932"/>
      <c r="P29" s="932"/>
      <c r="Q29" s="932"/>
      <c r="R29" s="932"/>
      <c r="S29" s="932"/>
    </row>
    <row r="30" spans="1:20">
      <c r="A30" s="38" t="s">
        <v>488</v>
      </c>
      <c r="B30" s="38" t="s">
        <v>375</v>
      </c>
      <c r="C30" s="935">
        <v>2</v>
      </c>
      <c r="D30" s="942" t="s">
        <v>520</v>
      </c>
      <c r="E30" s="939" t="s">
        <v>476</v>
      </c>
      <c r="F30" s="939" t="str">
        <f t="shared" ref="F30:O30" si="33">E30</f>
        <v>Residential</v>
      </c>
      <c r="G30" s="931" t="str">
        <f t="shared" si="33"/>
        <v>Residential</v>
      </c>
      <c r="H30" s="931" t="str">
        <f t="shared" si="33"/>
        <v>Residential</v>
      </c>
      <c r="I30" s="931" t="str">
        <f t="shared" si="33"/>
        <v>Residential</v>
      </c>
      <c r="J30" s="931" t="str">
        <f t="shared" si="33"/>
        <v>Residential</v>
      </c>
      <c r="K30" s="931" t="str">
        <f t="shared" si="33"/>
        <v>Residential</v>
      </c>
      <c r="L30" s="931" t="str">
        <f t="shared" si="33"/>
        <v>Residential</v>
      </c>
      <c r="M30" s="931" t="str">
        <f t="shared" si="33"/>
        <v>Residential</v>
      </c>
      <c r="N30" s="931" t="str">
        <f t="shared" si="33"/>
        <v>Residential</v>
      </c>
      <c r="O30" s="931" t="str">
        <f t="shared" si="33"/>
        <v>Residential</v>
      </c>
      <c r="P30" s="931" t="str">
        <f t="shared" ref="P30" si="34">O30</f>
        <v>Residential</v>
      </c>
      <c r="Q30" s="931" t="str">
        <f t="shared" ref="Q30" si="35">P30</f>
        <v>Residential</v>
      </c>
      <c r="R30" s="932"/>
      <c r="S30" s="932"/>
    </row>
    <row r="31" spans="1:20">
      <c r="A31" s="38" t="s">
        <v>489</v>
      </c>
      <c r="B31" s="38" t="s">
        <v>496</v>
      </c>
      <c r="C31" s="937">
        <v>1</v>
      </c>
      <c r="D31" s="930" t="s">
        <v>47</v>
      </c>
      <c r="E31" s="931" t="s">
        <v>476</v>
      </c>
      <c r="F31" s="931" t="str">
        <f t="shared" ref="F31:I31" si="36">E31</f>
        <v>Residential</v>
      </c>
      <c r="G31" s="931" t="str">
        <f t="shared" si="36"/>
        <v>Residential</v>
      </c>
      <c r="H31" s="931" t="str">
        <f t="shared" si="36"/>
        <v>Residential</v>
      </c>
      <c r="I31" s="931" t="str">
        <f t="shared" si="36"/>
        <v>Residential</v>
      </c>
      <c r="J31" s="931" t="s">
        <v>476</v>
      </c>
      <c r="K31" s="931" t="s">
        <v>476</v>
      </c>
      <c r="L31" s="931" t="s">
        <v>476</v>
      </c>
      <c r="M31" s="932"/>
      <c r="N31" s="932"/>
      <c r="O31" s="932"/>
      <c r="P31" s="932"/>
      <c r="Q31" s="932"/>
      <c r="R31" s="932"/>
      <c r="S31" s="932"/>
    </row>
    <row r="32" spans="1:20">
      <c r="A32" s="38" t="s">
        <v>490</v>
      </c>
      <c r="B32" s="38" t="s">
        <v>496</v>
      </c>
      <c r="C32" s="937">
        <v>1</v>
      </c>
      <c r="D32" s="939" t="s">
        <v>184</v>
      </c>
      <c r="E32" s="939" t="str">
        <f>D32</f>
        <v>Parking</v>
      </c>
      <c r="F32" s="939" t="str">
        <f t="shared" ref="F32:I32" si="37">E32</f>
        <v>Parking</v>
      </c>
      <c r="G32" s="939" t="str">
        <f t="shared" si="37"/>
        <v>Parking</v>
      </c>
      <c r="H32" s="939" t="str">
        <f t="shared" si="37"/>
        <v>Parking</v>
      </c>
      <c r="I32" s="939" t="str">
        <f t="shared" si="37"/>
        <v>Parking</v>
      </c>
      <c r="J32" s="939" t="str">
        <f t="shared" ref="J32" si="38">I32</f>
        <v>Parking</v>
      </c>
      <c r="K32" s="939" t="str">
        <f t="shared" ref="K32" si="39">J32</f>
        <v>Parking</v>
      </c>
      <c r="L32" s="939" t="str">
        <f t="shared" ref="L32" si="40">K32</f>
        <v>Parking</v>
      </c>
      <c r="M32" s="943"/>
      <c r="N32" s="944"/>
      <c r="O32" s="932"/>
      <c r="P32" s="932"/>
      <c r="Q32" s="932"/>
      <c r="R32" s="932"/>
      <c r="S32" s="932"/>
    </row>
    <row r="33" spans="1:19">
      <c r="A33" s="38" t="s">
        <v>524</v>
      </c>
      <c r="B33" s="38" t="s">
        <v>497</v>
      </c>
      <c r="C33" s="935">
        <v>2</v>
      </c>
      <c r="D33" s="930" t="s">
        <v>47</v>
      </c>
      <c r="E33" s="931" t="s">
        <v>476</v>
      </c>
      <c r="F33" s="931" t="s">
        <v>476</v>
      </c>
      <c r="G33" s="931" t="s">
        <v>476</v>
      </c>
      <c r="H33" s="931" t="s">
        <v>476</v>
      </c>
      <c r="I33" s="931" t="s">
        <v>476</v>
      </c>
      <c r="J33" s="931" t="s">
        <v>476</v>
      </c>
      <c r="K33" s="931" t="s">
        <v>476</v>
      </c>
      <c r="L33" s="931" t="s">
        <v>476</v>
      </c>
      <c r="M33" s="931" t="s">
        <v>476</v>
      </c>
      <c r="N33" s="931" t="s">
        <v>476</v>
      </c>
      <c r="O33" s="932"/>
      <c r="P33" s="932"/>
      <c r="Q33" s="932"/>
      <c r="R33" s="932"/>
      <c r="S33" s="932"/>
    </row>
    <row r="34" spans="1:19">
      <c r="A34" s="38" t="s">
        <v>491</v>
      </c>
      <c r="B34" s="38" t="s">
        <v>374</v>
      </c>
      <c r="C34" s="929">
        <v>3</v>
      </c>
      <c r="D34" s="930" t="s">
        <v>47</v>
      </c>
      <c r="E34" s="945" t="s">
        <v>48</v>
      </c>
      <c r="F34" s="945" t="str">
        <f t="shared" ref="F34:I34" si="41">E34</f>
        <v>Hotel</v>
      </c>
      <c r="G34" s="945" t="str">
        <f t="shared" si="41"/>
        <v>Hotel</v>
      </c>
      <c r="H34" s="945" t="str">
        <f t="shared" si="41"/>
        <v>Hotel</v>
      </c>
      <c r="I34" s="945" t="str">
        <f t="shared" si="41"/>
        <v>Hotel</v>
      </c>
      <c r="J34" s="945" t="str">
        <f>I34</f>
        <v>Hotel</v>
      </c>
      <c r="K34" s="945" t="str">
        <f>J34</f>
        <v>Hotel</v>
      </c>
      <c r="L34" s="945" t="str">
        <f t="shared" ref="L34:P34" si="42">K34</f>
        <v>Hotel</v>
      </c>
      <c r="M34" s="945" t="str">
        <f t="shared" si="42"/>
        <v>Hotel</v>
      </c>
      <c r="N34" s="945" t="str">
        <f t="shared" si="42"/>
        <v>Hotel</v>
      </c>
      <c r="O34" s="945" t="str">
        <f t="shared" si="42"/>
        <v>Hotel</v>
      </c>
      <c r="P34" s="945" t="str">
        <f t="shared" si="42"/>
        <v>Hotel</v>
      </c>
      <c r="Q34" s="946"/>
      <c r="R34" s="946"/>
      <c r="S34" s="946"/>
    </row>
    <row r="35" spans="1:19">
      <c r="A35" s="38" t="s">
        <v>492</v>
      </c>
      <c r="B35" s="38" t="s">
        <v>374</v>
      </c>
      <c r="C35" s="929">
        <v>3</v>
      </c>
      <c r="D35" s="939" t="s">
        <v>184</v>
      </c>
      <c r="E35" s="931" t="s">
        <v>476</v>
      </c>
      <c r="F35" s="931" t="s">
        <v>476</v>
      </c>
      <c r="G35" s="931" t="s">
        <v>476</v>
      </c>
      <c r="H35" s="931" t="s">
        <v>476</v>
      </c>
      <c r="I35" s="931" t="s">
        <v>476</v>
      </c>
      <c r="J35" s="931" t="s">
        <v>476</v>
      </c>
      <c r="K35" s="931" t="s">
        <v>476</v>
      </c>
      <c r="L35" s="931" t="s">
        <v>476</v>
      </c>
      <c r="M35" s="932"/>
      <c r="N35" s="932"/>
      <c r="O35" s="932"/>
      <c r="P35" s="933"/>
      <c r="Q35" s="933"/>
      <c r="R35" s="933"/>
      <c r="S35" s="933"/>
    </row>
    <row r="36" spans="1:19">
      <c r="A36" s="38" t="s">
        <v>521</v>
      </c>
      <c r="C36" s="937">
        <v>1</v>
      </c>
      <c r="D36" s="930" t="s">
        <v>47</v>
      </c>
      <c r="E36" s="930" t="s">
        <v>47</v>
      </c>
      <c r="F36" s="930" t="s">
        <v>47</v>
      </c>
      <c r="G36" s="933"/>
      <c r="H36" s="933"/>
      <c r="I36" s="933"/>
      <c r="J36" s="933"/>
      <c r="K36" s="933"/>
      <c r="L36" s="933"/>
      <c r="M36" s="933"/>
      <c r="N36" s="933"/>
      <c r="O36" s="933"/>
      <c r="P36" s="933"/>
      <c r="Q36" s="933"/>
    </row>
    <row r="37" spans="1:19">
      <c r="A37" s="38" t="s">
        <v>525</v>
      </c>
      <c r="C37" s="937">
        <v>1</v>
      </c>
      <c r="D37" s="930" t="s">
        <v>47</v>
      </c>
      <c r="E37" s="940" t="s">
        <v>64</v>
      </c>
      <c r="F37" s="933"/>
      <c r="G37" s="933"/>
      <c r="H37" s="933"/>
      <c r="I37" s="933"/>
      <c r="J37" s="933"/>
      <c r="K37" s="933"/>
      <c r="L37" s="933"/>
      <c r="M37" s="933"/>
      <c r="N37" s="933"/>
      <c r="O37" s="933"/>
      <c r="P37" s="933"/>
      <c r="Q37" s="933"/>
    </row>
    <row r="38" spans="1:19">
      <c r="A38" s="38" t="s">
        <v>526</v>
      </c>
      <c r="C38" s="937">
        <v>1</v>
      </c>
      <c r="D38" s="930" t="s">
        <v>47</v>
      </c>
      <c r="E38" s="940" t="s">
        <v>64</v>
      </c>
      <c r="F38" s="933"/>
      <c r="G38" s="933"/>
      <c r="H38" s="933"/>
      <c r="I38" s="933"/>
      <c r="J38" s="933"/>
      <c r="K38" s="933"/>
      <c r="L38" s="933"/>
      <c r="M38" s="933"/>
      <c r="N38" s="933"/>
      <c r="O38" s="933"/>
      <c r="P38" s="933"/>
      <c r="Q38" s="933"/>
    </row>
  </sheetData>
  <mergeCells count="2">
    <mergeCell ref="D1:Q1"/>
    <mergeCell ref="D21:Q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20"/>
  <sheetViews>
    <sheetView zoomScale="70" zoomScaleNormal="70" workbookViewId="0">
      <selection activeCell="C13" sqref="C13"/>
    </sheetView>
  </sheetViews>
  <sheetFormatPr defaultColWidth="9.1796875" defaultRowHeight="12.5"/>
  <cols>
    <col min="1" max="1" width="6.1796875" style="37" customWidth="1"/>
    <col min="2" max="2" width="14.7265625" style="37" customWidth="1"/>
    <col min="3" max="3" width="13.453125" style="37" customWidth="1"/>
    <col min="4" max="4" width="10" style="37" customWidth="1"/>
    <col min="5" max="5" width="12.1796875" style="37" bestFit="1" customWidth="1"/>
    <col min="6" max="6" width="13.26953125" style="37" bestFit="1" customWidth="1"/>
    <col min="7" max="9" width="12.7265625" style="37" customWidth="1"/>
    <col min="10" max="10" width="13.26953125" style="37" bestFit="1" customWidth="1"/>
    <col min="11" max="16384" width="9.1796875" style="37"/>
  </cols>
  <sheetData>
    <row r="1" spans="1:11" ht="13">
      <c r="A1" s="49" t="s">
        <v>80</v>
      </c>
      <c r="B1" s="479"/>
      <c r="C1" s="479"/>
      <c r="D1" s="479"/>
      <c r="E1" s="479"/>
      <c r="F1" s="479"/>
      <c r="G1" s="480"/>
    </row>
    <row r="2" spans="1:11" ht="13.5" thickBot="1">
      <c r="A2" s="52" t="s">
        <v>212</v>
      </c>
      <c r="B2" s="487"/>
      <c r="C2" s="487"/>
      <c r="D2" s="487"/>
      <c r="E2" s="487"/>
      <c r="F2" s="487"/>
      <c r="G2" s="488"/>
    </row>
    <row r="3" spans="1:11" ht="13">
      <c r="A3" s="475"/>
      <c r="B3" s="373" t="s">
        <v>202</v>
      </c>
      <c r="C3" s="373" t="s">
        <v>204</v>
      </c>
      <c r="D3" s="443" t="s">
        <v>205</v>
      </c>
      <c r="E3" s="443" t="s">
        <v>185</v>
      </c>
      <c r="F3" s="374" t="s">
        <v>31</v>
      </c>
      <c r="G3" s="374" t="s">
        <v>186</v>
      </c>
    </row>
    <row r="4" spans="1:11" ht="13.5" thickBot="1">
      <c r="A4" s="110" t="s">
        <v>201</v>
      </c>
      <c r="B4" s="136" t="s">
        <v>203</v>
      </c>
      <c r="C4" s="136" t="s">
        <v>186</v>
      </c>
      <c r="D4" s="180" t="s">
        <v>100</v>
      </c>
      <c r="E4" s="180" t="s">
        <v>186</v>
      </c>
      <c r="F4" s="375" t="s">
        <v>186</v>
      </c>
      <c r="G4" s="375" t="s">
        <v>190</v>
      </c>
    </row>
    <row r="5" spans="1:11">
      <c r="A5" s="123" t="s">
        <v>374</v>
      </c>
      <c r="B5" s="203" t="str">
        <f>IF(C12=0, "8-11, 15", "All")</f>
        <v>8-11, 15</v>
      </c>
      <c r="C5" s="797">
        <f>IF(C12=0, SUM('Land Values'!H17:H20, 'Land Values'!H24), 'Land Values'!H25)</f>
        <v>7473750</v>
      </c>
      <c r="D5" s="800">
        <f>SUM('Land Values'!I17:I20, 'Land Values'!I24)</f>
        <v>35175</v>
      </c>
      <c r="E5" s="949">
        <f>IF(C12=0, SUM('Land Values'!J17:J20, 'Land Values'!J24), 'Land Values'!J25)</f>
        <v>84758</v>
      </c>
      <c r="F5" s="798">
        <f>SUM(E5:E5, C5)</f>
        <v>7558508</v>
      </c>
      <c r="G5" s="799">
        <f t="shared" ref="G5:G10" si="0">F5/D5</f>
        <v>214.88295664534471</v>
      </c>
    </row>
    <row r="6" spans="1:11">
      <c r="A6" s="62" t="s">
        <v>375</v>
      </c>
      <c r="B6" s="63" t="str">
        <f>IF(C12=0, "21-23, 31-32", "All")</f>
        <v>21-23, 31-32</v>
      </c>
      <c r="C6" s="165">
        <f>IF(C12=0, SUM('Land Values'!H33:H35, 'Land Values'!H43:H44), 'Land Values'!H45)</f>
        <v>11440000</v>
      </c>
      <c r="D6" s="800">
        <f>SUM('Land Values'!I33:I35, 'Land Values'!I43:I44)</f>
        <v>51753.4</v>
      </c>
      <c r="E6" s="163">
        <f>IF(C12=0, SUM('Land Values'!J33:J35, 'Land Values'!J43:J44), 'Land Values'!J45)</f>
        <v>562126</v>
      </c>
      <c r="F6" s="485">
        <f>SUM(E6:E6, C6)</f>
        <v>12002126</v>
      </c>
      <c r="G6" s="483">
        <f t="shared" si="0"/>
        <v>231.90990350392437</v>
      </c>
    </row>
    <row r="7" spans="1:11">
      <c r="A7" s="62" t="s">
        <v>376</v>
      </c>
      <c r="B7" s="63" t="str">
        <f>IF(C12=0, "1-3, 11-17", "All")</f>
        <v>1-3, 11-17</v>
      </c>
      <c r="C7" s="165">
        <f>IF(C12=0, SUM('Land Values'!H48:H50, 'Land Values'!H58:H64), 'Land Values'!H73)</f>
        <v>11879137</v>
      </c>
      <c r="D7" s="800">
        <f>SUM('Land Values'!I48:I50, 'Land Values'!I58:I64)</f>
        <v>46031</v>
      </c>
      <c r="E7" s="163">
        <f>IF(C12=0, SUM('Land Values'!J48:J50, 'Land Values'!J58:J64), 'Land Values'!J73)</f>
        <v>508420</v>
      </c>
      <c r="F7" s="485">
        <f>SUM(E7:E7, C7)</f>
        <v>12387557</v>
      </c>
      <c r="G7" s="483">
        <f t="shared" si="0"/>
        <v>269.11335838891182</v>
      </c>
    </row>
    <row r="8" spans="1:11">
      <c r="A8" s="62" t="s">
        <v>377</v>
      </c>
      <c r="B8" s="63" t="str">
        <f>IF(C12=0, "26-30, 38", "All")</f>
        <v>26-30, 38</v>
      </c>
      <c r="C8" s="165">
        <f>IF(C12=0, SUM('Land Values'!H76:H80, 'Land Values'!H88), 'Land Values'!H92)</f>
        <v>12328225</v>
      </c>
      <c r="D8" s="800">
        <f>SUM('Land Values'!I76:I80, 'Land Values'!I88)</f>
        <v>51058</v>
      </c>
      <c r="E8" s="163">
        <f>IF(C12=0, SUM('Land Values'!J76:J80, 'Land Values'!J88), 'Land Values'!J92)</f>
        <v>1250693</v>
      </c>
      <c r="F8" s="485">
        <f>SUM(E8:E8, C8)</f>
        <v>13578918</v>
      </c>
      <c r="G8" s="483">
        <f t="shared" si="0"/>
        <v>265.95084022092522</v>
      </c>
    </row>
    <row r="9" spans="1:11" ht="13" thickBot="1">
      <c r="A9" s="65" t="s">
        <v>378</v>
      </c>
      <c r="B9" s="66" t="str">
        <f>IF(C12=0, "43-44, 48-51", "All")</f>
        <v>43-44, 48-51</v>
      </c>
      <c r="C9" s="482">
        <f>IF(C12=0, SUM('Land Values'!H96:H97, 'Land Values'!H101:H104), 'Land Values'!H105)</f>
        <v>11669250</v>
      </c>
      <c r="D9" s="801">
        <f>SUM('Land Values'!I96:I97, 'Land Values'!I101:I104)</f>
        <v>70660</v>
      </c>
      <c r="E9" s="950">
        <f>IF(C12=0, SUM('Land Values'!J96:J97, 'Land Values'!J101:J104), 'Land Values'!J105)</f>
        <v>528012</v>
      </c>
      <c r="F9" s="486">
        <f>SUM(E9:E9, C9)</f>
        <v>12197262</v>
      </c>
      <c r="G9" s="484">
        <f t="shared" si="0"/>
        <v>172.61904896688367</v>
      </c>
    </row>
    <row r="10" spans="1:11" ht="13.5" thickBot="1">
      <c r="A10" s="110" t="s">
        <v>31</v>
      </c>
      <c r="B10" s="481"/>
      <c r="C10" s="147">
        <f t="shared" ref="C10:F10" si="1">SUM(C5:C9)</f>
        <v>54790362</v>
      </c>
      <c r="D10" s="948">
        <f t="shared" si="1"/>
        <v>254677.4</v>
      </c>
      <c r="E10" s="459">
        <f t="shared" si="1"/>
        <v>2934009</v>
      </c>
      <c r="F10" s="459">
        <f t="shared" si="1"/>
        <v>57724371</v>
      </c>
      <c r="G10" s="489">
        <f t="shared" si="0"/>
        <v>226.65682545840346</v>
      </c>
    </row>
    <row r="11" spans="1:11">
      <c r="A11" s="38"/>
      <c r="B11" s="474"/>
      <c r="C11" s="477"/>
      <c r="D11" s="476"/>
      <c r="E11" s="476"/>
      <c r="F11" s="477"/>
      <c r="G11" s="477"/>
      <c r="H11" s="477"/>
      <c r="I11" s="477"/>
      <c r="J11" s="169"/>
      <c r="K11" s="478"/>
    </row>
    <row r="12" spans="1:11">
      <c r="A12" s="38" t="s">
        <v>475</v>
      </c>
      <c r="B12" s="56"/>
      <c r="C12" s="817">
        <v>0</v>
      </c>
      <c r="D12" s="476"/>
      <c r="E12" s="476"/>
      <c r="F12" s="477"/>
      <c r="G12" s="477"/>
      <c r="H12" s="477"/>
      <c r="I12" s="477"/>
      <c r="J12" s="169"/>
      <c r="K12" s="478"/>
    </row>
    <row r="13" spans="1:11" ht="13" thickBot="1">
      <c r="A13" s="38"/>
      <c r="B13" s="474"/>
      <c r="C13" s="477"/>
      <c r="D13" s="476"/>
      <c r="E13" s="476"/>
      <c r="F13" s="477"/>
      <c r="G13" s="477"/>
      <c r="H13" s="477"/>
      <c r="I13" s="477"/>
      <c r="J13" s="169"/>
      <c r="K13" s="478"/>
    </row>
    <row r="14" spans="1:11" ht="13.5" thickBot="1">
      <c r="A14" s="183" t="s">
        <v>207</v>
      </c>
      <c r="B14" s="253"/>
      <c r="C14" s="494"/>
      <c r="D14" s="495"/>
      <c r="E14" s="495"/>
      <c r="F14" s="496"/>
      <c r="G14" s="477"/>
      <c r="H14" s="477"/>
      <c r="I14" s="477"/>
      <c r="J14" s="169"/>
      <c r="K14" s="478"/>
    </row>
    <row r="15" spans="1:11">
      <c r="A15" s="123" t="s">
        <v>455</v>
      </c>
      <c r="B15" s="71"/>
      <c r="C15" s="491"/>
      <c r="D15" s="492"/>
      <c r="E15" s="492"/>
      <c r="F15" s="790">
        <f>D10</f>
        <v>254677.4</v>
      </c>
      <c r="G15" s="477"/>
      <c r="H15" s="477"/>
      <c r="I15" s="477"/>
      <c r="J15" s="169"/>
      <c r="K15" s="478"/>
    </row>
    <row r="16" spans="1:11">
      <c r="A16" s="433" t="s">
        <v>454</v>
      </c>
      <c r="B16" s="884"/>
      <c r="C16" s="885"/>
      <c r="D16" s="886"/>
      <c r="E16" s="886"/>
      <c r="F16" s="152">
        <f>SUM('Land Values'!I13:I16,'Land Values'!I21:I23,'Land Values'!I28:I32, 'Land Values'!I36:I42, 'Land Values'!I51:I57, 'Land Values'!I65:I72, 'Land Values'!I81:I87, 'Land Values'!I89:I91, 'Land Values'!I95, 'Land Values'!I98:I100)</f>
        <v>484862</v>
      </c>
      <c r="G16" s="477"/>
      <c r="H16" s="477"/>
      <c r="I16" s="477"/>
      <c r="J16" s="169"/>
      <c r="K16" s="478"/>
    </row>
    <row r="17" spans="1:6" ht="13">
      <c r="A17" s="109" t="s">
        <v>208</v>
      </c>
      <c r="B17" s="59"/>
      <c r="C17" s="59"/>
      <c r="D17" s="59"/>
      <c r="E17" s="59"/>
      <c r="F17" s="493">
        <f>SUM(F15:F16)</f>
        <v>739539.4</v>
      </c>
    </row>
    <row r="18" spans="1:6">
      <c r="A18" s="433" t="s">
        <v>206</v>
      </c>
      <c r="B18" s="490"/>
      <c r="C18" s="490"/>
      <c r="D18" s="490"/>
      <c r="E18" s="92" t="s">
        <v>209</v>
      </c>
      <c r="F18" s="791">
        <v>4</v>
      </c>
    </row>
    <row r="19" spans="1:6" ht="15.5" thickBot="1">
      <c r="A19" s="110" t="s">
        <v>210</v>
      </c>
      <c r="B19" s="111"/>
      <c r="C19" s="111"/>
      <c r="D19" s="111"/>
      <c r="E19" s="111"/>
      <c r="F19" s="148">
        <f>F17*F18</f>
        <v>2958157.6</v>
      </c>
    </row>
    <row r="20" spans="1:6">
      <c r="A20" s="38" t="s">
        <v>211</v>
      </c>
    </row>
  </sheetData>
  <printOptions horizontalCentered="1"/>
  <pageMargins left="0.45" right="0.45" top="0.5" bottom="0.5" header="0.3" footer="0.3"/>
  <pageSetup orientation="landscape" r:id="rId1"/>
  <ignoredErrors>
    <ignoredError sqref="B5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09"/>
  <sheetViews>
    <sheetView topLeftCell="D1" zoomScale="70" zoomScaleNormal="70" workbookViewId="0">
      <selection activeCell="D108" sqref="D108"/>
    </sheetView>
  </sheetViews>
  <sheetFormatPr defaultColWidth="9.1796875" defaultRowHeight="12.5"/>
  <cols>
    <col min="1" max="3" width="9.1796875" style="38" hidden="1" customWidth="1"/>
    <col min="4" max="4" width="16" style="38" customWidth="1"/>
    <col min="5" max="5" width="10.08984375" style="56" bestFit="1" customWidth="1"/>
    <col min="6" max="6" width="13.1796875" style="38" bestFit="1" customWidth="1"/>
    <col min="7" max="7" width="22.1796875" style="38" bestFit="1" customWidth="1"/>
    <col min="8" max="8" width="16.26953125" style="38" bestFit="1" customWidth="1"/>
    <col min="9" max="9" width="10.81640625" style="38" bestFit="1" customWidth="1"/>
    <col min="10" max="10" width="16.26953125" style="38" bestFit="1" customWidth="1"/>
    <col min="11" max="11" width="16.54296875" style="38" bestFit="1" customWidth="1"/>
    <col min="12" max="12" width="11.54296875" style="38" bestFit="1" customWidth="1"/>
    <col min="13" max="16384" width="9.1796875" style="38"/>
  </cols>
  <sheetData>
    <row r="1" spans="1:12" ht="13">
      <c r="A1" s="370"/>
      <c r="B1" s="370"/>
      <c r="C1" s="370"/>
      <c r="D1" s="49" t="s">
        <v>80</v>
      </c>
      <c r="E1" s="50"/>
      <c r="F1" s="50"/>
      <c r="G1" s="50"/>
      <c r="H1" s="50"/>
      <c r="I1" s="440"/>
      <c r="J1" s="440"/>
      <c r="K1" s="440"/>
      <c r="L1" s="388"/>
    </row>
    <row r="2" spans="1:12" ht="13.5" thickBot="1">
      <c r="A2" s="370"/>
      <c r="B2" s="370"/>
      <c r="C2" s="370"/>
      <c r="D2" s="52" t="s">
        <v>180</v>
      </c>
      <c r="E2" s="53"/>
      <c r="F2" s="53"/>
      <c r="G2" s="53"/>
      <c r="H2" s="53"/>
      <c r="I2" s="441"/>
      <c r="J2" s="441"/>
      <c r="K2" s="441"/>
      <c r="L2" s="389"/>
    </row>
    <row r="3" spans="1:12" ht="13">
      <c r="A3" s="370"/>
      <c r="B3" s="370"/>
      <c r="C3" s="370"/>
      <c r="D3" s="442"/>
      <c r="E3" s="373" t="s">
        <v>309</v>
      </c>
      <c r="F3" s="373" t="s">
        <v>181</v>
      </c>
      <c r="G3" s="373" t="s">
        <v>182</v>
      </c>
      <c r="H3" s="462" t="s">
        <v>183</v>
      </c>
      <c r="I3" s="443" t="s">
        <v>31</v>
      </c>
      <c r="J3" s="443" t="s">
        <v>196</v>
      </c>
      <c r="K3" s="374" t="s">
        <v>31</v>
      </c>
      <c r="L3" s="443" t="s">
        <v>186</v>
      </c>
    </row>
    <row r="4" spans="1:12" ht="13.5" thickBot="1">
      <c r="A4" s="370"/>
      <c r="B4" s="370"/>
      <c r="C4" s="370"/>
      <c r="D4" s="434" t="s">
        <v>187</v>
      </c>
      <c r="E4" s="136" t="s">
        <v>188</v>
      </c>
      <c r="F4" s="136" t="s">
        <v>188</v>
      </c>
      <c r="G4" s="136" t="s">
        <v>189</v>
      </c>
      <c r="H4" s="463" t="s">
        <v>186</v>
      </c>
      <c r="I4" s="180" t="s">
        <v>100</v>
      </c>
      <c r="J4" s="180" t="s">
        <v>186</v>
      </c>
      <c r="K4" s="375" t="s">
        <v>186</v>
      </c>
      <c r="L4" s="180" t="s">
        <v>190</v>
      </c>
    </row>
    <row r="5" spans="1:12" ht="4.5" customHeight="1">
      <c r="A5" s="370"/>
      <c r="B5" s="370"/>
      <c r="C5" s="370"/>
      <c r="D5" s="62"/>
      <c r="E5" s="63"/>
      <c r="F5" s="68"/>
      <c r="G5" s="68"/>
      <c r="H5" s="62"/>
      <c r="I5" s="105"/>
      <c r="J5" s="105"/>
      <c r="K5" s="455"/>
      <c r="L5" s="105"/>
    </row>
    <row r="6" spans="1:12" ht="13">
      <c r="A6" s="370" t="s">
        <v>373</v>
      </c>
      <c r="B6" s="370"/>
      <c r="C6" s="370">
        <v>100</v>
      </c>
      <c r="D6" s="61" t="s">
        <v>293</v>
      </c>
      <c r="E6" s="793"/>
      <c r="F6" s="444"/>
      <c r="G6" s="444"/>
      <c r="H6" s="61"/>
      <c r="I6" s="105"/>
      <c r="J6" s="105"/>
      <c r="K6" s="455"/>
      <c r="L6" s="105"/>
    </row>
    <row r="7" spans="1:12">
      <c r="A7" s="370">
        <v>1</v>
      </c>
      <c r="B7" s="370" t="str">
        <f>$A$6&amp;" - "&amp;A7</f>
        <v>E1 - 1</v>
      </c>
      <c r="C7" s="370">
        <f>$C$6+A7</f>
        <v>101</v>
      </c>
      <c r="D7" s="62" t="s">
        <v>294</v>
      </c>
      <c r="E7" s="63" t="s">
        <v>310</v>
      </c>
      <c r="F7" s="63" t="s">
        <v>191</v>
      </c>
      <c r="G7" s="63" t="s">
        <v>297</v>
      </c>
      <c r="H7" s="468">
        <v>13007050</v>
      </c>
      <c r="I7" s="270">
        <v>74326</v>
      </c>
      <c r="J7" s="162">
        <f>IFERROR(VLOOKUP(C7, 'Existing Building Market Values'!$B$5:$F$41, 5, 0), 0)</f>
        <v>70512950</v>
      </c>
      <c r="K7" s="456">
        <f>SUM(J7:J7)+H7</f>
        <v>83520000</v>
      </c>
      <c r="L7" s="390">
        <f>K7/I7</f>
        <v>1123.6983020746441</v>
      </c>
    </row>
    <row r="8" spans="1:12">
      <c r="A8" s="370">
        <v>2</v>
      </c>
      <c r="B8" s="370" t="str">
        <f>$A$6&amp;" - "&amp;A8</f>
        <v>E1 - 2</v>
      </c>
      <c r="C8" s="370">
        <f>$C$6+A8</f>
        <v>102</v>
      </c>
      <c r="D8" s="62" t="s">
        <v>295</v>
      </c>
      <c r="E8" s="63" t="s">
        <v>310</v>
      </c>
      <c r="F8" s="63" t="s">
        <v>191</v>
      </c>
      <c r="G8" s="63" t="s">
        <v>298</v>
      </c>
      <c r="H8" s="469">
        <v>1260000</v>
      </c>
      <c r="I8" s="270">
        <v>5600</v>
      </c>
      <c r="J8" s="166">
        <f>IFERROR(VLOOKUP(C8, 'Existing Building Market Values'!$B$5:$F$41, 5, 0), 0)</f>
        <v>0</v>
      </c>
      <c r="K8" s="457">
        <f>SUM(J8:J8)+H8</f>
        <v>1260000</v>
      </c>
      <c r="L8" s="445">
        <f>K8/I8</f>
        <v>225</v>
      </c>
    </row>
    <row r="9" spans="1:12">
      <c r="A9" s="370">
        <v>3</v>
      </c>
      <c r="B9" s="370" t="str">
        <f>$A$6&amp;" - "&amp;A9</f>
        <v>E1 - 3</v>
      </c>
      <c r="C9" s="370">
        <f>$C$6+A9</f>
        <v>103</v>
      </c>
      <c r="D9" s="433" t="s">
        <v>296</v>
      </c>
      <c r="E9" s="239" t="s">
        <v>310</v>
      </c>
      <c r="F9" s="239" t="s">
        <v>191</v>
      </c>
      <c r="G9" s="239" t="s">
        <v>47</v>
      </c>
      <c r="H9" s="470">
        <v>2362500</v>
      </c>
      <c r="I9" s="471">
        <v>10500</v>
      </c>
      <c r="J9" s="465">
        <f>IFERROR(VLOOKUP(C9, 'Existing Building Market Values'!$B$5:$F$41, 5, 0), 0)</f>
        <v>0</v>
      </c>
      <c r="K9" s="458">
        <f>SUM(J9:J9)+H9</f>
        <v>2362500</v>
      </c>
      <c r="L9" s="446">
        <f>K9/I9</f>
        <v>225</v>
      </c>
    </row>
    <row r="10" spans="1:12" ht="13.5" thickBot="1">
      <c r="A10" s="370"/>
      <c r="B10" s="370"/>
      <c r="C10" s="370"/>
      <c r="D10" s="447" t="s">
        <v>318</v>
      </c>
      <c r="E10" s="794"/>
      <c r="F10" s="113"/>
      <c r="G10" s="113"/>
      <c r="H10" s="146">
        <f t="shared" ref="H10:K10" si="0">SUM(H7:H9)</f>
        <v>16629550</v>
      </c>
      <c r="I10" s="472">
        <f t="shared" si="0"/>
        <v>90426</v>
      </c>
      <c r="J10" s="148">
        <f t="shared" si="0"/>
        <v>70512950</v>
      </c>
      <c r="K10" s="459">
        <f t="shared" si="0"/>
        <v>87142500</v>
      </c>
      <c r="L10" s="448">
        <f>K10/I10</f>
        <v>963.68854090637649</v>
      </c>
    </row>
    <row r="11" spans="1:12" ht="4.5" customHeight="1">
      <c r="A11" s="370"/>
      <c r="B11" s="370"/>
      <c r="C11" s="370"/>
      <c r="D11" s="62"/>
      <c r="E11" s="63"/>
      <c r="F11" s="68"/>
      <c r="G11" s="68"/>
      <c r="H11" s="62"/>
      <c r="I11" s="105"/>
      <c r="J11" s="105"/>
      <c r="K11" s="455"/>
      <c r="L11" s="105"/>
    </row>
    <row r="12" spans="1:12" ht="13">
      <c r="A12" s="370" t="s">
        <v>374</v>
      </c>
      <c r="B12" s="370"/>
      <c r="C12" s="370">
        <v>200</v>
      </c>
      <c r="D12" s="61" t="s">
        <v>299</v>
      </c>
      <c r="E12" s="793"/>
      <c r="F12" s="444"/>
      <c r="G12" s="444"/>
      <c r="H12" s="61"/>
      <c r="I12" s="105"/>
      <c r="J12" s="105"/>
      <c r="K12" s="455"/>
      <c r="L12" s="105"/>
    </row>
    <row r="13" spans="1:12">
      <c r="A13" s="370">
        <v>4</v>
      </c>
      <c r="B13" s="370" t="str">
        <f>$A$12&amp;" - "&amp;A13</f>
        <v>E2 - 4</v>
      </c>
      <c r="C13" s="370">
        <f>$C$12+A13</f>
        <v>204</v>
      </c>
      <c r="D13" s="62" t="s">
        <v>300</v>
      </c>
      <c r="E13" s="63" t="s">
        <v>314</v>
      </c>
      <c r="F13" s="63" t="s">
        <v>181</v>
      </c>
      <c r="G13" s="63" t="s">
        <v>159</v>
      </c>
      <c r="H13" s="468">
        <v>2388945</v>
      </c>
      <c r="I13" s="270">
        <v>36753</v>
      </c>
      <c r="J13" s="162">
        <f>IFERROR(VLOOKUP(C13, 'Existing Building Market Values'!$B$5:$F$41, 5, 0), 0)</f>
        <v>347609</v>
      </c>
      <c r="K13" s="456">
        <f t="shared" ref="K13:K24" si="1">SUM(J13:J13)+H13</f>
        <v>2736554</v>
      </c>
      <c r="L13" s="390">
        <f t="shared" ref="L13:L25" si="2">K13/I13</f>
        <v>74.457976219628335</v>
      </c>
    </row>
    <row r="14" spans="1:12">
      <c r="A14" s="370">
        <v>5</v>
      </c>
      <c r="B14" s="370" t="str">
        <f t="shared" ref="B14:B24" si="3">$A$12&amp;" - "&amp;A14</f>
        <v>E2 - 5</v>
      </c>
      <c r="C14" s="370">
        <f t="shared" ref="C14:C24" si="4">$C$12+A14</f>
        <v>205</v>
      </c>
      <c r="D14" s="62" t="s">
        <v>301</v>
      </c>
      <c r="E14" s="63" t="s">
        <v>314</v>
      </c>
      <c r="F14" s="63" t="s">
        <v>181</v>
      </c>
      <c r="G14" s="63" t="s">
        <v>315</v>
      </c>
      <c r="H14" s="469">
        <v>284440</v>
      </c>
      <c r="I14" s="270">
        <v>2188</v>
      </c>
      <c r="J14" s="166">
        <f>IFERROR(VLOOKUP(C14, 'Existing Building Market Values'!$B$5:$F$41, 5, 0), 0)</f>
        <v>0</v>
      </c>
      <c r="K14" s="457">
        <f t="shared" si="1"/>
        <v>284440</v>
      </c>
      <c r="L14" s="445">
        <f t="shared" si="2"/>
        <v>130</v>
      </c>
    </row>
    <row r="15" spans="1:12">
      <c r="A15" s="370">
        <v>6</v>
      </c>
      <c r="B15" s="370" t="str">
        <f t="shared" si="3"/>
        <v>E2 - 6</v>
      </c>
      <c r="C15" s="370">
        <f t="shared" si="4"/>
        <v>206</v>
      </c>
      <c r="D15" s="62" t="s">
        <v>302</v>
      </c>
      <c r="E15" s="63" t="s">
        <v>314</v>
      </c>
      <c r="F15" s="63" t="s">
        <v>181</v>
      </c>
      <c r="G15" s="63" t="s">
        <v>315</v>
      </c>
      <c r="H15" s="469">
        <v>306800</v>
      </c>
      <c r="I15" s="270">
        <v>2360</v>
      </c>
      <c r="J15" s="166">
        <f>IFERROR(VLOOKUP(C15, 'Existing Building Market Values'!$B$5:$F$41, 5, 0), 0)</f>
        <v>0</v>
      </c>
      <c r="K15" s="457">
        <f t="shared" si="1"/>
        <v>306800</v>
      </c>
      <c r="L15" s="445">
        <f t="shared" si="2"/>
        <v>130</v>
      </c>
    </row>
    <row r="16" spans="1:12">
      <c r="A16" s="370">
        <v>7</v>
      </c>
      <c r="B16" s="370" t="str">
        <f t="shared" si="3"/>
        <v>E2 - 7</v>
      </c>
      <c r="C16" s="370">
        <f t="shared" si="4"/>
        <v>207</v>
      </c>
      <c r="D16" s="62" t="s">
        <v>303</v>
      </c>
      <c r="E16" s="63" t="s">
        <v>314</v>
      </c>
      <c r="F16" s="63" t="s">
        <v>181</v>
      </c>
      <c r="G16" s="63" t="s">
        <v>159</v>
      </c>
      <c r="H16" s="469">
        <v>304720</v>
      </c>
      <c r="I16" s="270">
        <v>4688</v>
      </c>
      <c r="J16" s="166">
        <f>IFERROR(VLOOKUP(C16, 'Existing Building Market Values'!$B$5:$F$41, 5, 0), 0)</f>
        <v>73287</v>
      </c>
      <c r="K16" s="457">
        <f t="shared" si="1"/>
        <v>378007</v>
      </c>
      <c r="L16" s="445">
        <f t="shared" si="2"/>
        <v>80.632892491467572</v>
      </c>
    </row>
    <row r="17" spans="1:12">
      <c r="A17" s="370">
        <v>8</v>
      </c>
      <c r="B17" s="370" t="str">
        <f t="shared" si="3"/>
        <v>E2 - 8</v>
      </c>
      <c r="C17" s="370">
        <f t="shared" si="4"/>
        <v>208</v>
      </c>
      <c r="D17" s="62" t="s">
        <v>304</v>
      </c>
      <c r="E17" s="63" t="s">
        <v>310</v>
      </c>
      <c r="F17" s="63" t="s">
        <v>181</v>
      </c>
      <c r="G17" s="63" t="s">
        <v>316</v>
      </c>
      <c r="H17" s="469">
        <v>243750</v>
      </c>
      <c r="I17" s="270">
        <v>1875</v>
      </c>
      <c r="J17" s="166">
        <f>IFERROR(VLOOKUP(C17, 'Existing Building Market Values'!$B$5:$F$41, 5, 0), 0)</f>
        <v>0</v>
      </c>
      <c r="K17" s="457">
        <f t="shared" si="1"/>
        <v>243750</v>
      </c>
      <c r="L17" s="445">
        <f t="shared" si="2"/>
        <v>130</v>
      </c>
    </row>
    <row r="18" spans="1:12">
      <c r="A18" s="370">
        <v>9</v>
      </c>
      <c r="B18" s="370" t="str">
        <f t="shared" si="3"/>
        <v>E2 - 9</v>
      </c>
      <c r="C18" s="370">
        <f t="shared" si="4"/>
        <v>209</v>
      </c>
      <c r="D18" s="62" t="s">
        <v>305</v>
      </c>
      <c r="E18" s="63" t="s">
        <v>310</v>
      </c>
      <c r="F18" s="63" t="s">
        <v>181</v>
      </c>
      <c r="G18" s="63" t="s">
        <v>317</v>
      </c>
      <c r="H18" s="469">
        <v>306250</v>
      </c>
      <c r="I18" s="270">
        <v>1750</v>
      </c>
      <c r="J18" s="166">
        <f>IFERROR(VLOOKUP(C18, 'Existing Building Market Values'!$B$5:$F$41, 5, 0), 0)</f>
        <v>38419</v>
      </c>
      <c r="K18" s="457">
        <f t="shared" si="1"/>
        <v>344669</v>
      </c>
      <c r="L18" s="445">
        <f t="shared" si="2"/>
        <v>196.95371428571428</v>
      </c>
    </row>
    <row r="19" spans="1:12">
      <c r="A19" s="370">
        <v>10</v>
      </c>
      <c r="B19" s="370" t="str">
        <f t="shared" si="3"/>
        <v>E2 - 10</v>
      </c>
      <c r="C19" s="370">
        <f t="shared" si="4"/>
        <v>210</v>
      </c>
      <c r="D19" s="62" t="s">
        <v>306</v>
      </c>
      <c r="E19" s="63" t="s">
        <v>310</v>
      </c>
      <c r="F19" s="63" t="s">
        <v>181</v>
      </c>
      <c r="G19" s="63" t="s">
        <v>316</v>
      </c>
      <c r="H19" s="469">
        <v>612500</v>
      </c>
      <c r="I19" s="270">
        <v>3500</v>
      </c>
      <c r="J19" s="166">
        <f>IFERROR(VLOOKUP(C19, 'Existing Building Market Values'!$B$5:$F$41, 5, 0), 0)</f>
        <v>0</v>
      </c>
      <c r="K19" s="457">
        <f t="shared" si="1"/>
        <v>612500</v>
      </c>
      <c r="L19" s="445">
        <f t="shared" si="2"/>
        <v>175</v>
      </c>
    </row>
    <row r="20" spans="1:12">
      <c r="A20" s="370">
        <v>11</v>
      </c>
      <c r="B20" s="370" t="str">
        <f t="shared" si="3"/>
        <v>E2 - 11</v>
      </c>
      <c r="C20" s="370">
        <f t="shared" si="4"/>
        <v>211</v>
      </c>
      <c r="D20" s="62" t="s">
        <v>307</v>
      </c>
      <c r="E20" s="63" t="s">
        <v>310</v>
      </c>
      <c r="F20" s="63" t="s">
        <v>181</v>
      </c>
      <c r="G20" s="63" t="s">
        <v>366</v>
      </c>
      <c r="H20" s="469">
        <v>2362500</v>
      </c>
      <c r="I20" s="270">
        <v>10500</v>
      </c>
      <c r="J20" s="166">
        <f>IFERROR(VLOOKUP(C20, 'Existing Building Market Values'!$B$5:$F$41, 5, 0), 0)</f>
        <v>31831</v>
      </c>
      <c r="K20" s="457">
        <f t="shared" si="1"/>
        <v>2394331</v>
      </c>
      <c r="L20" s="445">
        <f t="shared" si="2"/>
        <v>228.0315238095238</v>
      </c>
    </row>
    <row r="21" spans="1:12">
      <c r="A21" s="370">
        <v>12</v>
      </c>
      <c r="B21" s="370" t="str">
        <f t="shared" si="3"/>
        <v>E2 - 12</v>
      </c>
      <c r="C21" s="370">
        <f t="shared" si="4"/>
        <v>212</v>
      </c>
      <c r="D21" s="62" t="s">
        <v>308</v>
      </c>
      <c r="E21" s="63" t="s">
        <v>314</v>
      </c>
      <c r="F21" s="63" t="s">
        <v>181</v>
      </c>
      <c r="G21" s="63" t="s">
        <v>316</v>
      </c>
      <c r="H21" s="469">
        <v>910000</v>
      </c>
      <c r="I21" s="270">
        <v>14000</v>
      </c>
      <c r="J21" s="166">
        <f>IFERROR(VLOOKUP(C21, 'Existing Building Market Values'!$B$5:$F$41, 5, 0), 0)</f>
        <v>0</v>
      </c>
      <c r="K21" s="457">
        <f t="shared" si="1"/>
        <v>910000</v>
      </c>
      <c r="L21" s="445">
        <f t="shared" si="2"/>
        <v>65</v>
      </c>
    </row>
    <row r="22" spans="1:12">
      <c r="A22" s="370">
        <v>13</v>
      </c>
      <c r="B22" s="370" t="str">
        <f t="shared" si="3"/>
        <v>E2 - 13</v>
      </c>
      <c r="C22" s="370">
        <f t="shared" si="4"/>
        <v>213</v>
      </c>
      <c r="D22" s="62" t="s">
        <v>311</v>
      </c>
      <c r="E22" s="63" t="s">
        <v>314</v>
      </c>
      <c r="F22" s="63" t="s">
        <v>181</v>
      </c>
      <c r="G22" s="63" t="s">
        <v>316</v>
      </c>
      <c r="H22" s="469">
        <v>612500</v>
      </c>
      <c r="I22" s="270">
        <v>7000</v>
      </c>
      <c r="J22" s="166">
        <f>IFERROR(VLOOKUP(C22, 'Existing Building Market Values'!$B$5:$F$41, 5, 0), 0)</f>
        <v>0</v>
      </c>
      <c r="K22" s="457">
        <f t="shared" si="1"/>
        <v>612500</v>
      </c>
      <c r="L22" s="445">
        <f t="shared" si="2"/>
        <v>87.5</v>
      </c>
    </row>
    <row r="23" spans="1:12">
      <c r="A23" s="370">
        <v>14</v>
      </c>
      <c r="B23" s="370" t="str">
        <f t="shared" si="3"/>
        <v>E2 - 14</v>
      </c>
      <c r="C23" s="370">
        <f t="shared" si="4"/>
        <v>214</v>
      </c>
      <c r="D23" s="62" t="s">
        <v>312</v>
      </c>
      <c r="E23" s="63" t="s">
        <v>314</v>
      </c>
      <c r="F23" s="63" t="s">
        <v>181</v>
      </c>
      <c r="G23" s="63" t="s">
        <v>316</v>
      </c>
      <c r="H23" s="469">
        <v>612500</v>
      </c>
      <c r="I23" s="270">
        <v>7000</v>
      </c>
      <c r="J23" s="166">
        <f>IFERROR(VLOOKUP(C23, 'Existing Building Market Values'!$B$5:$F$41, 5, 0), 0)</f>
        <v>0</v>
      </c>
      <c r="K23" s="457">
        <f t="shared" si="1"/>
        <v>612500</v>
      </c>
      <c r="L23" s="445">
        <f t="shared" si="2"/>
        <v>87.5</v>
      </c>
    </row>
    <row r="24" spans="1:12">
      <c r="A24" s="370">
        <v>15</v>
      </c>
      <c r="B24" s="370" t="str">
        <f t="shared" si="3"/>
        <v>E2 - 15</v>
      </c>
      <c r="C24" s="370">
        <f t="shared" si="4"/>
        <v>215</v>
      </c>
      <c r="D24" s="433" t="s">
        <v>313</v>
      </c>
      <c r="E24" s="239" t="s">
        <v>310</v>
      </c>
      <c r="F24" s="239" t="s">
        <v>181</v>
      </c>
      <c r="G24" s="298" t="s">
        <v>366</v>
      </c>
      <c r="H24" s="470">
        <v>3948750</v>
      </c>
      <c r="I24" s="471">
        <v>17550</v>
      </c>
      <c r="J24" s="167">
        <f>IFERROR(VLOOKUP(C24, 'Existing Building Market Values'!$B$5:$F$41, 5, 0), 0)</f>
        <v>14508</v>
      </c>
      <c r="K24" s="458">
        <f t="shared" si="1"/>
        <v>3963258</v>
      </c>
      <c r="L24" s="446">
        <f t="shared" si="2"/>
        <v>225.82666666666665</v>
      </c>
    </row>
    <row r="25" spans="1:12" ht="13.5" thickBot="1">
      <c r="A25" s="370"/>
      <c r="B25" s="370"/>
      <c r="C25" s="370"/>
      <c r="D25" s="447" t="s">
        <v>319</v>
      </c>
      <c r="E25" s="794"/>
      <c r="F25" s="113"/>
      <c r="G25" s="113"/>
      <c r="H25" s="146">
        <f t="shared" ref="H25:K25" si="5">SUM(H13:H24)</f>
        <v>12893655</v>
      </c>
      <c r="I25" s="472">
        <f t="shared" si="5"/>
        <v>109164</v>
      </c>
      <c r="J25" s="148">
        <f t="shared" si="5"/>
        <v>505654</v>
      </c>
      <c r="K25" s="459">
        <f t="shared" si="5"/>
        <v>13399309</v>
      </c>
      <c r="L25" s="448">
        <f t="shared" si="2"/>
        <v>122.74476017734784</v>
      </c>
    </row>
    <row r="26" spans="1:12" ht="4.5" customHeight="1">
      <c r="A26" s="370"/>
      <c r="B26" s="370"/>
      <c r="C26" s="370"/>
      <c r="D26" s="62"/>
      <c r="E26" s="63"/>
      <c r="F26" s="68"/>
      <c r="G26" s="68"/>
      <c r="H26" s="62"/>
      <c r="I26" s="105"/>
      <c r="J26" s="105"/>
      <c r="K26" s="455"/>
      <c r="L26" s="105"/>
    </row>
    <row r="27" spans="1:12" ht="13">
      <c r="A27" s="370" t="s">
        <v>375</v>
      </c>
      <c r="B27" s="370"/>
      <c r="C27" s="370">
        <v>300</v>
      </c>
      <c r="D27" s="61" t="s">
        <v>320</v>
      </c>
      <c r="E27" s="793"/>
      <c r="F27" s="444"/>
      <c r="G27" s="444"/>
      <c r="H27" s="61"/>
      <c r="I27" s="105"/>
      <c r="J27" s="105"/>
      <c r="K27" s="455"/>
      <c r="L27" s="105"/>
    </row>
    <row r="28" spans="1:12">
      <c r="A28" s="370">
        <v>16</v>
      </c>
      <c r="B28" s="370" t="str">
        <f>$A$27&amp;" - "&amp;A28</f>
        <v>E3 - 16</v>
      </c>
      <c r="C28" s="370">
        <f>$C$27+A28</f>
        <v>316</v>
      </c>
      <c r="D28" s="62" t="s">
        <v>321</v>
      </c>
      <c r="E28" s="63" t="s">
        <v>314</v>
      </c>
      <c r="F28" s="63" t="s">
        <v>181</v>
      </c>
      <c r="G28" s="63" t="s">
        <v>159</v>
      </c>
      <c r="H28" s="468">
        <v>5773625</v>
      </c>
      <c r="I28" s="270">
        <v>52250</v>
      </c>
      <c r="J28" s="162">
        <f>IFERROR(VLOOKUP(C28, 'Existing Building Market Values'!$B$5:$F$41, 5, 0), 0)</f>
        <v>2408421</v>
      </c>
      <c r="K28" s="456">
        <f t="shared" ref="K28:K44" si="6">SUM(J28:J28)+H28</f>
        <v>8182046</v>
      </c>
      <c r="L28" s="390">
        <f t="shared" ref="L28:L45" si="7">K28/I28</f>
        <v>156.59418181818182</v>
      </c>
    </row>
    <row r="29" spans="1:12">
      <c r="A29" s="370">
        <v>17</v>
      </c>
      <c r="B29" s="370" t="str">
        <f t="shared" ref="B29:B44" si="8">$A$27&amp;" - "&amp;A29</f>
        <v>E3 - 17</v>
      </c>
      <c r="C29" s="370">
        <f t="shared" ref="C29:C44" si="9">$C$27+A29</f>
        <v>317</v>
      </c>
      <c r="D29" s="62" t="s">
        <v>322</v>
      </c>
      <c r="E29" s="63" t="s">
        <v>314</v>
      </c>
      <c r="F29" s="63" t="s">
        <v>181</v>
      </c>
      <c r="G29" s="63" t="s">
        <v>159</v>
      </c>
      <c r="H29" s="469">
        <v>1820000</v>
      </c>
      <c r="I29" s="270">
        <v>14000</v>
      </c>
      <c r="J29" s="166">
        <f>IFERROR(VLOOKUP(C29, 'Existing Building Market Values'!$B$5:$F$41, 5, 0), 0)</f>
        <v>24017</v>
      </c>
      <c r="K29" s="457">
        <f t="shared" si="6"/>
        <v>1844017</v>
      </c>
      <c r="L29" s="445">
        <f t="shared" si="7"/>
        <v>131.71549999999999</v>
      </c>
    </row>
    <row r="30" spans="1:12">
      <c r="A30" s="370">
        <v>18</v>
      </c>
      <c r="B30" s="370" t="str">
        <f t="shared" si="8"/>
        <v>E3 - 18</v>
      </c>
      <c r="C30" s="370">
        <f t="shared" si="9"/>
        <v>318</v>
      </c>
      <c r="D30" s="62" t="s">
        <v>323</v>
      </c>
      <c r="E30" s="63" t="s">
        <v>314</v>
      </c>
      <c r="F30" s="63" t="s">
        <v>181</v>
      </c>
      <c r="G30" s="63" t="s">
        <v>316</v>
      </c>
      <c r="H30" s="469">
        <v>910000</v>
      </c>
      <c r="I30" s="270">
        <v>7000</v>
      </c>
      <c r="J30" s="166">
        <f>IFERROR(VLOOKUP(C30, 'Existing Building Market Values'!$B$5:$F$41, 5, 0), 0)</f>
        <v>0</v>
      </c>
      <c r="K30" s="457">
        <f t="shared" si="6"/>
        <v>910000</v>
      </c>
      <c r="L30" s="445">
        <f t="shared" si="7"/>
        <v>130</v>
      </c>
    </row>
    <row r="31" spans="1:12">
      <c r="A31" s="370">
        <v>19</v>
      </c>
      <c r="B31" s="370" t="str">
        <f t="shared" si="8"/>
        <v>E3 - 19</v>
      </c>
      <c r="C31" s="370">
        <f t="shared" si="9"/>
        <v>319</v>
      </c>
      <c r="D31" s="62" t="s">
        <v>324</v>
      </c>
      <c r="E31" s="63" t="s">
        <v>314</v>
      </c>
      <c r="F31" s="63" t="s">
        <v>181</v>
      </c>
      <c r="G31" s="63" t="s">
        <v>297</v>
      </c>
      <c r="H31" s="469">
        <v>910000</v>
      </c>
      <c r="I31" s="270">
        <v>7000</v>
      </c>
      <c r="J31" s="166">
        <f>IFERROR(VLOOKUP(C31, 'Existing Building Market Values'!$B$5:$F$41, 5, 0), 0)</f>
        <v>0</v>
      </c>
      <c r="K31" s="457">
        <f t="shared" si="6"/>
        <v>910000</v>
      </c>
      <c r="L31" s="445">
        <f t="shared" si="7"/>
        <v>130</v>
      </c>
    </row>
    <row r="32" spans="1:12">
      <c r="A32" s="370">
        <v>20</v>
      </c>
      <c r="B32" s="370" t="str">
        <f t="shared" si="8"/>
        <v>E3 - 20</v>
      </c>
      <c r="C32" s="370">
        <f t="shared" si="9"/>
        <v>320</v>
      </c>
      <c r="D32" s="62" t="s">
        <v>325</v>
      </c>
      <c r="E32" s="63" t="s">
        <v>314</v>
      </c>
      <c r="F32" s="63" t="s">
        <v>181</v>
      </c>
      <c r="G32" s="63" t="s">
        <v>297</v>
      </c>
      <c r="H32" s="469">
        <v>1225000</v>
      </c>
      <c r="I32" s="270">
        <v>7000</v>
      </c>
      <c r="J32" s="166">
        <f>IFERROR(VLOOKUP(C32, 'Existing Building Market Values'!$B$5:$F$41, 5, 0), 0)</f>
        <v>18403</v>
      </c>
      <c r="K32" s="457">
        <f t="shared" si="6"/>
        <v>1243403</v>
      </c>
      <c r="L32" s="445">
        <f t="shared" si="7"/>
        <v>177.62899999999999</v>
      </c>
    </row>
    <row r="33" spans="1:12">
      <c r="A33" s="370">
        <v>21</v>
      </c>
      <c r="B33" s="370" t="str">
        <f t="shared" si="8"/>
        <v>E3 - 21</v>
      </c>
      <c r="C33" s="370">
        <f t="shared" si="9"/>
        <v>321</v>
      </c>
      <c r="D33" s="62" t="s">
        <v>326</v>
      </c>
      <c r="E33" s="63" t="s">
        <v>310</v>
      </c>
      <c r="F33" s="63" t="s">
        <v>181</v>
      </c>
      <c r="G33" s="63" t="s">
        <v>297</v>
      </c>
      <c r="H33" s="469">
        <v>1225000</v>
      </c>
      <c r="I33" s="270">
        <v>7000</v>
      </c>
      <c r="J33" s="166">
        <f>IFERROR(VLOOKUP(C33, 'Existing Building Market Values'!$B$5:$F$41, 5, 0), 0)</f>
        <v>0</v>
      </c>
      <c r="K33" s="457">
        <f t="shared" si="6"/>
        <v>1225000</v>
      </c>
      <c r="L33" s="445">
        <f t="shared" si="7"/>
        <v>175</v>
      </c>
    </row>
    <row r="34" spans="1:12">
      <c r="A34" s="370">
        <v>22</v>
      </c>
      <c r="B34" s="370" t="str">
        <f t="shared" si="8"/>
        <v>E3 - 22</v>
      </c>
      <c r="C34" s="370">
        <f t="shared" si="9"/>
        <v>322</v>
      </c>
      <c r="D34" s="62" t="s">
        <v>327</v>
      </c>
      <c r="E34" s="63" t="s">
        <v>310</v>
      </c>
      <c r="F34" s="63" t="s">
        <v>181</v>
      </c>
      <c r="G34" s="63" t="s">
        <v>47</v>
      </c>
      <c r="H34" s="469">
        <v>2638350</v>
      </c>
      <c r="I34" s="270">
        <v>11726</v>
      </c>
      <c r="J34" s="166">
        <f>IFERROR(VLOOKUP(C34, 'Existing Building Market Values'!$B$5:$F$41, 5, 0), 0)</f>
        <v>286947</v>
      </c>
      <c r="K34" s="457">
        <f t="shared" si="6"/>
        <v>2925297</v>
      </c>
      <c r="L34" s="445">
        <f t="shared" si="7"/>
        <v>249.47100460515094</v>
      </c>
    </row>
    <row r="35" spans="1:12">
      <c r="A35" s="370">
        <v>23</v>
      </c>
      <c r="B35" s="370" t="str">
        <f t="shared" si="8"/>
        <v>E3 - 23</v>
      </c>
      <c r="C35" s="370">
        <f t="shared" si="9"/>
        <v>323</v>
      </c>
      <c r="D35" s="62" t="s">
        <v>328</v>
      </c>
      <c r="E35" s="63" t="s">
        <v>310</v>
      </c>
      <c r="F35" s="63" t="s">
        <v>181</v>
      </c>
      <c r="G35" s="63" t="s">
        <v>316</v>
      </c>
      <c r="H35" s="469">
        <v>1455750</v>
      </c>
      <c r="I35" s="270">
        <v>5823</v>
      </c>
      <c r="J35" s="166">
        <f>IFERROR(VLOOKUP(C35, 'Existing Building Market Values'!$B$5:$F$41, 5, 0), 0)</f>
        <v>0</v>
      </c>
      <c r="K35" s="457">
        <f t="shared" si="6"/>
        <v>1455750</v>
      </c>
      <c r="L35" s="445">
        <f t="shared" si="7"/>
        <v>250</v>
      </c>
    </row>
    <row r="36" spans="1:12">
      <c r="A36" s="370">
        <v>24</v>
      </c>
      <c r="B36" s="370" t="str">
        <f t="shared" si="8"/>
        <v>E3 - 24</v>
      </c>
      <c r="C36" s="370">
        <f t="shared" si="9"/>
        <v>324</v>
      </c>
      <c r="D36" s="62" t="s">
        <v>329</v>
      </c>
      <c r="E36" s="63" t="s">
        <v>314</v>
      </c>
      <c r="F36" s="63" t="s">
        <v>181</v>
      </c>
      <c r="G36" s="63" t="s">
        <v>316</v>
      </c>
      <c r="H36" s="469">
        <v>884000</v>
      </c>
      <c r="I36" s="270">
        <v>6800</v>
      </c>
      <c r="J36" s="166">
        <f>IFERROR(VLOOKUP(C36, 'Existing Building Market Values'!$B$5:$F$41, 5, 0), 0)</f>
        <v>0</v>
      </c>
      <c r="K36" s="457">
        <f t="shared" si="6"/>
        <v>884000</v>
      </c>
      <c r="L36" s="445">
        <f t="shared" si="7"/>
        <v>130</v>
      </c>
    </row>
    <row r="37" spans="1:12">
      <c r="A37" s="370">
        <v>25</v>
      </c>
      <c r="B37" s="370" t="str">
        <f t="shared" si="8"/>
        <v>E3 - 25</v>
      </c>
      <c r="C37" s="370">
        <f t="shared" si="9"/>
        <v>325</v>
      </c>
      <c r="D37" s="62" t="s">
        <v>330</v>
      </c>
      <c r="E37" s="63" t="s">
        <v>314</v>
      </c>
      <c r="F37" s="63" t="s">
        <v>181</v>
      </c>
      <c r="G37" s="63" t="s">
        <v>316</v>
      </c>
      <c r="H37" s="469">
        <v>719940</v>
      </c>
      <c r="I37" s="270">
        <v>5538</v>
      </c>
      <c r="J37" s="166">
        <f>IFERROR(VLOOKUP(C37, 'Existing Building Market Values'!$B$5:$F$41, 5, 0), 0)</f>
        <v>0</v>
      </c>
      <c r="K37" s="457">
        <f t="shared" si="6"/>
        <v>719940</v>
      </c>
      <c r="L37" s="445">
        <f t="shared" si="7"/>
        <v>130</v>
      </c>
    </row>
    <row r="38" spans="1:12">
      <c r="A38" s="370">
        <v>26</v>
      </c>
      <c r="B38" s="370" t="str">
        <f t="shared" si="8"/>
        <v>E3 - 26</v>
      </c>
      <c r="C38" s="370">
        <f t="shared" si="9"/>
        <v>326</v>
      </c>
      <c r="D38" s="62" t="s">
        <v>331</v>
      </c>
      <c r="E38" s="63" t="s">
        <v>314</v>
      </c>
      <c r="F38" s="63" t="s">
        <v>181</v>
      </c>
      <c r="G38" s="63" t="s">
        <v>316</v>
      </c>
      <c r="H38" s="469">
        <v>210600</v>
      </c>
      <c r="I38" s="270">
        <v>1620</v>
      </c>
      <c r="J38" s="166">
        <f>IFERROR(VLOOKUP(C38, 'Existing Building Market Values'!$B$5:$F$41, 5, 0), 0)</f>
        <v>0</v>
      </c>
      <c r="K38" s="457">
        <f t="shared" si="6"/>
        <v>210600</v>
      </c>
      <c r="L38" s="445">
        <f t="shared" si="7"/>
        <v>130</v>
      </c>
    </row>
    <row r="39" spans="1:12">
      <c r="A39" s="370">
        <v>27</v>
      </c>
      <c r="B39" s="370" t="str">
        <f t="shared" si="8"/>
        <v>E3 - 27</v>
      </c>
      <c r="C39" s="370">
        <f t="shared" si="9"/>
        <v>327</v>
      </c>
      <c r="D39" s="62" t="s">
        <v>332</v>
      </c>
      <c r="E39" s="63" t="s">
        <v>314</v>
      </c>
      <c r="F39" s="63" t="s">
        <v>181</v>
      </c>
      <c r="G39" s="63" t="s">
        <v>317</v>
      </c>
      <c r="H39" s="469">
        <v>386620</v>
      </c>
      <c r="I39" s="270">
        <v>2974</v>
      </c>
      <c r="J39" s="166">
        <f>IFERROR(VLOOKUP(C39, 'Existing Building Market Values'!$B$5:$F$41, 5, 0), 0)</f>
        <v>11404</v>
      </c>
      <c r="K39" s="457">
        <f t="shared" si="6"/>
        <v>398024</v>
      </c>
      <c r="L39" s="445">
        <f t="shared" si="7"/>
        <v>133.83456624075319</v>
      </c>
    </row>
    <row r="40" spans="1:12">
      <c r="A40" s="370">
        <v>28</v>
      </c>
      <c r="B40" s="370" t="str">
        <f t="shared" si="8"/>
        <v>E3 - 28</v>
      </c>
      <c r="C40" s="370">
        <f t="shared" si="9"/>
        <v>328</v>
      </c>
      <c r="D40" s="62" t="s">
        <v>333</v>
      </c>
      <c r="E40" s="63" t="s">
        <v>314</v>
      </c>
      <c r="F40" s="63" t="s">
        <v>181</v>
      </c>
      <c r="G40" s="63" t="s">
        <v>317</v>
      </c>
      <c r="H40" s="469">
        <v>585130</v>
      </c>
      <c r="I40" s="270">
        <v>4501</v>
      </c>
      <c r="J40" s="166">
        <f>IFERROR(VLOOKUP(C40, 'Existing Building Market Values'!$B$5:$F$41, 5, 0), 0)</f>
        <v>37913</v>
      </c>
      <c r="K40" s="457">
        <f t="shared" si="6"/>
        <v>623043</v>
      </c>
      <c r="L40" s="445">
        <f t="shared" si="7"/>
        <v>138.42323928015998</v>
      </c>
    </row>
    <row r="41" spans="1:12">
      <c r="A41" s="370">
        <v>29</v>
      </c>
      <c r="B41" s="370" t="str">
        <f t="shared" si="8"/>
        <v>E3 - 29</v>
      </c>
      <c r="C41" s="370">
        <f t="shared" si="9"/>
        <v>329</v>
      </c>
      <c r="D41" s="62" t="s">
        <v>334</v>
      </c>
      <c r="E41" s="63" t="s">
        <v>314</v>
      </c>
      <c r="F41" s="63" t="s">
        <v>181</v>
      </c>
      <c r="G41" s="63" t="s">
        <v>159</v>
      </c>
      <c r="H41" s="469">
        <v>1415750</v>
      </c>
      <c r="I41" s="270">
        <v>8090</v>
      </c>
      <c r="J41" s="166">
        <f>IFERROR(VLOOKUP(C41, 'Existing Building Market Values'!$B$5:$F$41, 5, 0), 0)</f>
        <v>144925</v>
      </c>
      <c r="K41" s="457">
        <f t="shared" si="6"/>
        <v>1560675</v>
      </c>
      <c r="L41" s="445">
        <f t="shared" si="7"/>
        <v>192.9140914709518</v>
      </c>
    </row>
    <row r="42" spans="1:12">
      <c r="A42" s="370">
        <v>30</v>
      </c>
      <c r="B42" s="370" t="str">
        <f t="shared" si="8"/>
        <v>E3 - 30</v>
      </c>
      <c r="C42" s="370">
        <f t="shared" si="9"/>
        <v>330</v>
      </c>
      <c r="D42" s="62" t="s">
        <v>335</v>
      </c>
      <c r="E42" s="63" t="s">
        <v>314</v>
      </c>
      <c r="F42" s="63" t="s">
        <v>181</v>
      </c>
      <c r="G42" s="63" t="s">
        <v>297</v>
      </c>
      <c r="H42" s="469">
        <v>1737750</v>
      </c>
      <c r="I42" s="270">
        <v>9930</v>
      </c>
      <c r="J42" s="166">
        <f>IFERROR(VLOOKUP(C42, 'Existing Building Market Values'!$B$5:$F$41, 5, 0), 0)</f>
        <v>0</v>
      </c>
      <c r="K42" s="457">
        <f t="shared" si="6"/>
        <v>1737750</v>
      </c>
      <c r="L42" s="445">
        <f t="shared" si="7"/>
        <v>175</v>
      </c>
    </row>
    <row r="43" spans="1:12">
      <c r="A43" s="370">
        <v>31</v>
      </c>
      <c r="B43" s="370" t="str">
        <f t="shared" si="8"/>
        <v>E3 - 31</v>
      </c>
      <c r="C43" s="370">
        <f t="shared" si="9"/>
        <v>331</v>
      </c>
      <c r="D43" s="62" t="s">
        <v>336</v>
      </c>
      <c r="E43" s="63" t="s">
        <v>310</v>
      </c>
      <c r="F43" s="63" t="s">
        <v>181</v>
      </c>
      <c r="G43" s="63" t="s">
        <v>47</v>
      </c>
      <c r="H43" s="469">
        <v>2936250</v>
      </c>
      <c r="I43" s="270">
        <v>13050</v>
      </c>
      <c r="J43" s="166">
        <f>IFERROR(VLOOKUP(C43, 'Existing Building Market Values'!$B$5:$F$41, 5, 0), 0)</f>
        <v>275179</v>
      </c>
      <c r="K43" s="457">
        <f t="shared" si="6"/>
        <v>3211429</v>
      </c>
      <c r="L43" s="445">
        <f t="shared" si="7"/>
        <v>246.0865134099617</v>
      </c>
    </row>
    <row r="44" spans="1:12">
      <c r="A44" s="370">
        <v>32</v>
      </c>
      <c r="B44" s="370" t="str">
        <f t="shared" si="8"/>
        <v>E3 - 32</v>
      </c>
      <c r="C44" s="370">
        <f t="shared" si="9"/>
        <v>332</v>
      </c>
      <c r="D44" s="433" t="s">
        <v>337</v>
      </c>
      <c r="E44" s="239" t="s">
        <v>310</v>
      </c>
      <c r="F44" s="239" t="s">
        <v>181</v>
      </c>
      <c r="G44" s="239" t="s">
        <v>316</v>
      </c>
      <c r="H44" s="470">
        <v>3184650</v>
      </c>
      <c r="I44" s="471">
        <v>14154.4</v>
      </c>
      <c r="J44" s="167">
        <f>IFERROR(VLOOKUP(C44, 'Existing Building Market Values'!$B$5:$F$41, 5, 0), 0)</f>
        <v>0</v>
      </c>
      <c r="K44" s="458">
        <f t="shared" si="6"/>
        <v>3184650</v>
      </c>
      <c r="L44" s="446">
        <f t="shared" si="7"/>
        <v>224.99364155315664</v>
      </c>
    </row>
    <row r="45" spans="1:12" ht="13.5" thickBot="1">
      <c r="A45" s="370"/>
      <c r="B45" s="370"/>
      <c r="C45" s="370"/>
      <c r="D45" s="447" t="s">
        <v>338</v>
      </c>
      <c r="E45" s="794"/>
      <c r="F45" s="113"/>
      <c r="G45" s="113"/>
      <c r="H45" s="146">
        <f t="shared" ref="H45:K45" si="10">SUM(H28:H44)</f>
        <v>28018415</v>
      </c>
      <c r="I45" s="472">
        <f t="shared" si="10"/>
        <v>178456.4</v>
      </c>
      <c r="J45" s="148">
        <f t="shared" si="10"/>
        <v>3207209</v>
      </c>
      <c r="K45" s="459">
        <f t="shared" si="10"/>
        <v>31225624</v>
      </c>
      <c r="L45" s="448">
        <f t="shared" si="7"/>
        <v>174.97620707354849</v>
      </c>
    </row>
    <row r="46" spans="1:12" ht="4.5" customHeight="1">
      <c r="A46" s="370"/>
      <c r="B46" s="370"/>
      <c r="C46" s="370"/>
      <c r="D46" s="62"/>
      <c r="E46" s="63"/>
      <c r="F46" s="68"/>
      <c r="G46" s="68"/>
      <c r="H46" s="62"/>
      <c r="I46" s="105"/>
      <c r="J46" s="105"/>
      <c r="K46" s="455"/>
      <c r="L46" s="105"/>
    </row>
    <row r="47" spans="1:12" ht="13">
      <c r="A47" s="370" t="s">
        <v>376</v>
      </c>
      <c r="B47" s="370"/>
      <c r="C47" s="370">
        <v>400</v>
      </c>
      <c r="D47" s="61" t="s">
        <v>339</v>
      </c>
      <c r="E47" s="793"/>
      <c r="F47" s="444"/>
      <c r="G47" s="444"/>
      <c r="H47" s="61"/>
      <c r="I47" s="105"/>
      <c r="J47" s="105"/>
      <c r="K47" s="455"/>
      <c r="L47" s="105"/>
    </row>
    <row r="48" spans="1:12">
      <c r="A48" s="370">
        <v>1</v>
      </c>
      <c r="B48" s="370" t="str">
        <f>$A$47&amp;" - "&amp;A48</f>
        <v>W1 - 1</v>
      </c>
      <c r="C48" s="370">
        <f>$C$47+A48</f>
        <v>401</v>
      </c>
      <c r="D48" s="62" t="s">
        <v>294</v>
      </c>
      <c r="E48" s="63" t="s">
        <v>310</v>
      </c>
      <c r="F48" s="63" t="s">
        <v>181</v>
      </c>
      <c r="G48" s="63" t="s">
        <v>367</v>
      </c>
      <c r="H48" s="468">
        <v>1056250</v>
      </c>
      <c r="I48" s="270">
        <v>3250</v>
      </c>
      <c r="J48" s="162">
        <f>IFERROR(VLOOKUP(C48, 'Existing Building Market Values'!$B$5:$F$41, 5, 0), 0)</f>
        <v>0</v>
      </c>
      <c r="K48" s="456">
        <f t="shared" ref="K48:K72" si="11">SUM(J48:J48)+H48</f>
        <v>1056250</v>
      </c>
      <c r="L48" s="390">
        <f t="shared" ref="L48:L73" si="12">K48/I48</f>
        <v>325</v>
      </c>
    </row>
    <row r="49" spans="1:12">
      <c r="A49" s="370">
        <v>2</v>
      </c>
      <c r="B49" s="370" t="str">
        <f t="shared" ref="B49:B72" si="13">$A$47&amp;" - "&amp;A49</f>
        <v>W1 - 2</v>
      </c>
      <c r="C49" s="370">
        <f t="shared" ref="C49:C72" si="14">$C$47+A49</f>
        <v>402</v>
      </c>
      <c r="D49" s="62" t="s">
        <v>295</v>
      </c>
      <c r="E49" s="63" t="s">
        <v>310</v>
      </c>
      <c r="F49" s="63" t="s">
        <v>181</v>
      </c>
      <c r="G49" s="63" t="s">
        <v>316</v>
      </c>
      <c r="H49" s="469">
        <v>1035000</v>
      </c>
      <c r="I49" s="270">
        <v>3450</v>
      </c>
      <c r="J49" s="166">
        <f>IFERROR(VLOOKUP(C49, 'Existing Building Market Values'!$B$5:$F$41, 5, 0), 0)</f>
        <v>0</v>
      </c>
      <c r="K49" s="457">
        <f t="shared" si="11"/>
        <v>1035000</v>
      </c>
      <c r="L49" s="445">
        <f t="shared" si="12"/>
        <v>300</v>
      </c>
    </row>
    <row r="50" spans="1:12">
      <c r="A50" s="370">
        <v>3</v>
      </c>
      <c r="B50" s="370" t="str">
        <f t="shared" si="13"/>
        <v>W1 - 3</v>
      </c>
      <c r="C50" s="370">
        <f t="shared" si="14"/>
        <v>403</v>
      </c>
      <c r="D50" s="62" t="s">
        <v>296</v>
      </c>
      <c r="E50" s="63" t="s">
        <v>310</v>
      </c>
      <c r="F50" s="63" t="s">
        <v>181</v>
      </c>
      <c r="G50" s="63" t="s">
        <v>364</v>
      </c>
      <c r="H50" s="469">
        <v>2070000</v>
      </c>
      <c r="I50" s="270">
        <v>6900</v>
      </c>
      <c r="J50" s="166">
        <f>IFERROR(VLOOKUP(C50, 'Existing Building Market Values'!$B$5:$F$41, 5, 0), 0)</f>
        <v>0</v>
      </c>
      <c r="K50" s="457">
        <f t="shared" si="11"/>
        <v>2070000</v>
      </c>
      <c r="L50" s="445">
        <f t="shared" si="12"/>
        <v>300</v>
      </c>
    </row>
    <row r="51" spans="1:12">
      <c r="A51" s="370">
        <v>4</v>
      </c>
      <c r="B51" s="370" t="str">
        <f t="shared" si="13"/>
        <v>W1 - 4</v>
      </c>
      <c r="C51" s="370">
        <f t="shared" si="14"/>
        <v>404</v>
      </c>
      <c r="D51" s="62" t="s">
        <v>300</v>
      </c>
      <c r="E51" s="63" t="s">
        <v>314</v>
      </c>
      <c r="F51" s="63" t="s">
        <v>181</v>
      </c>
      <c r="G51" s="63" t="s">
        <v>156</v>
      </c>
      <c r="H51" s="469">
        <v>2070000</v>
      </c>
      <c r="I51" s="270">
        <v>6900</v>
      </c>
      <c r="J51" s="166">
        <f>IFERROR(VLOOKUP(C51, 'Existing Building Market Values'!$B$5:$F$41, 5, 0), 0)</f>
        <v>118613</v>
      </c>
      <c r="K51" s="457">
        <f t="shared" si="11"/>
        <v>2188613</v>
      </c>
      <c r="L51" s="445">
        <f t="shared" si="12"/>
        <v>317.19028985507248</v>
      </c>
    </row>
    <row r="52" spans="1:12">
      <c r="A52" s="370">
        <v>5</v>
      </c>
      <c r="B52" s="370" t="str">
        <f t="shared" si="13"/>
        <v>W1 - 5</v>
      </c>
      <c r="C52" s="370">
        <f t="shared" si="14"/>
        <v>405</v>
      </c>
      <c r="D52" s="62" t="s">
        <v>301</v>
      </c>
      <c r="E52" s="63" t="s">
        <v>314</v>
      </c>
      <c r="F52" s="63" t="s">
        <v>181</v>
      </c>
      <c r="G52" s="63" t="s">
        <v>365</v>
      </c>
      <c r="H52" s="469">
        <v>4140000</v>
      </c>
      <c r="I52" s="270">
        <v>13800</v>
      </c>
      <c r="J52" s="166">
        <f>IFERROR(VLOOKUP(C52, 'Existing Building Market Values'!$B$5:$F$41, 5, 0), 0)</f>
        <v>0</v>
      </c>
      <c r="K52" s="457">
        <f t="shared" si="11"/>
        <v>4140000</v>
      </c>
      <c r="L52" s="445">
        <f t="shared" si="12"/>
        <v>300</v>
      </c>
    </row>
    <row r="53" spans="1:12">
      <c r="A53" s="370">
        <v>6</v>
      </c>
      <c r="B53" s="370" t="str">
        <f t="shared" si="13"/>
        <v>W1 - 6</v>
      </c>
      <c r="C53" s="370">
        <f t="shared" si="14"/>
        <v>406</v>
      </c>
      <c r="D53" s="62" t="s">
        <v>302</v>
      </c>
      <c r="E53" s="63" t="s">
        <v>314</v>
      </c>
      <c r="F53" s="63" t="s">
        <v>181</v>
      </c>
      <c r="G53" s="63" t="s">
        <v>316</v>
      </c>
      <c r="H53" s="469">
        <v>2070000</v>
      </c>
      <c r="I53" s="270">
        <v>6900</v>
      </c>
      <c r="J53" s="166">
        <f>IFERROR(VLOOKUP(C53, 'Existing Building Market Values'!$B$5:$F$41, 5, 0), 0)</f>
        <v>0</v>
      </c>
      <c r="K53" s="457">
        <f t="shared" si="11"/>
        <v>2070000</v>
      </c>
      <c r="L53" s="445">
        <f t="shared" si="12"/>
        <v>300</v>
      </c>
    </row>
    <row r="54" spans="1:12">
      <c r="A54" s="370">
        <v>7</v>
      </c>
      <c r="B54" s="370" t="str">
        <f t="shared" si="13"/>
        <v>W1 - 7</v>
      </c>
      <c r="C54" s="370">
        <f t="shared" si="14"/>
        <v>407</v>
      </c>
      <c r="D54" s="62" t="s">
        <v>303</v>
      </c>
      <c r="E54" s="63" t="s">
        <v>314</v>
      </c>
      <c r="F54" s="63" t="s">
        <v>181</v>
      </c>
      <c r="G54" s="63" t="s">
        <v>159</v>
      </c>
      <c r="H54" s="469">
        <v>4140000</v>
      </c>
      <c r="I54" s="270">
        <v>13800</v>
      </c>
      <c r="J54" s="166">
        <f>IFERROR(VLOOKUP(C54, 'Existing Building Market Values'!$B$5:$F$41, 5, 0), 0)</f>
        <v>207853</v>
      </c>
      <c r="K54" s="457">
        <f t="shared" si="11"/>
        <v>4347853</v>
      </c>
      <c r="L54" s="445">
        <f t="shared" si="12"/>
        <v>315.06181159420288</v>
      </c>
    </row>
    <row r="55" spans="1:12">
      <c r="A55" s="370">
        <v>8</v>
      </c>
      <c r="B55" s="370" t="str">
        <f t="shared" si="13"/>
        <v>W1 - 8</v>
      </c>
      <c r="C55" s="370">
        <f t="shared" si="14"/>
        <v>408</v>
      </c>
      <c r="D55" s="62" t="s">
        <v>304</v>
      </c>
      <c r="E55" s="63" t="s">
        <v>314</v>
      </c>
      <c r="F55" s="63" t="s">
        <v>181</v>
      </c>
      <c r="G55" s="63" t="s">
        <v>159</v>
      </c>
      <c r="H55" s="469">
        <v>2070000</v>
      </c>
      <c r="I55" s="270">
        <v>6900</v>
      </c>
      <c r="J55" s="166">
        <f>IFERROR(VLOOKUP(C55, 'Existing Building Market Values'!$B$5:$F$41, 5, 0), 0)</f>
        <v>136446</v>
      </c>
      <c r="K55" s="457">
        <f t="shared" si="11"/>
        <v>2206446</v>
      </c>
      <c r="L55" s="445">
        <f t="shared" si="12"/>
        <v>319.77478260869566</v>
      </c>
    </row>
    <row r="56" spans="1:12">
      <c r="A56" s="370">
        <v>9</v>
      </c>
      <c r="B56" s="370" t="str">
        <f t="shared" si="13"/>
        <v>W1 - 9</v>
      </c>
      <c r="C56" s="370">
        <f t="shared" si="14"/>
        <v>409</v>
      </c>
      <c r="D56" s="62" t="s">
        <v>305</v>
      </c>
      <c r="E56" s="63" t="s">
        <v>314</v>
      </c>
      <c r="F56" s="63" t="s">
        <v>181</v>
      </c>
      <c r="G56" s="63" t="s">
        <v>365</v>
      </c>
      <c r="H56" s="469">
        <v>2070000</v>
      </c>
      <c r="I56" s="270">
        <v>6900</v>
      </c>
      <c r="J56" s="166">
        <f>IFERROR(VLOOKUP(C56, 'Existing Building Market Values'!$B$5:$F$41, 5, 0), 0)</f>
        <v>0</v>
      </c>
      <c r="K56" s="457">
        <f t="shared" si="11"/>
        <v>2070000</v>
      </c>
      <c r="L56" s="445">
        <f t="shared" si="12"/>
        <v>300</v>
      </c>
    </row>
    <row r="57" spans="1:12">
      <c r="A57" s="370">
        <v>10</v>
      </c>
      <c r="B57" s="370" t="str">
        <f t="shared" si="13"/>
        <v>W1 - 10</v>
      </c>
      <c r="C57" s="370">
        <f t="shared" si="14"/>
        <v>410</v>
      </c>
      <c r="D57" s="62" t="s">
        <v>306</v>
      </c>
      <c r="E57" s="63" t="s">
        <v>314</v>
      </c>
      <c r="F57" s="63" t="s">
        <v>181</v>
      </c>
      <c r="G57" s="63" t="s">
        <v>316</v>
      </c>
      <c r="H57" s="469">
        <v>6557760</v>
      </c>
      <c r="I57" s="270">
        <v>24288</v>
      </c>
      <c r="J57" s="166">
        <f>IFERROR(VLOOKUP(C57, 'Existing Building Market Values'!$B$5:$F$41, 5, 0), 0)</f>
        <v>0</v>
      </c>
      <c r="K57" s="457">
        <f t="shared" si="11"/>
        <v>6557760</v>
      </c>
      <c r="L57" s="445">
        <f t="shared" si="12"/>
        <v>270</v>
      </c>
    </row>
    <row r="58" spans="1:12">
      <c r="A58" s="370">
        <v>11</v>
      </c>
      <c r="B58" s="370" t="str">
        <f t="shared" si="13"/>
        <v>W1 - 11</v>
      </c>
      <c r="C58" s="370">
        <f t="shared" si="14"/>
        <v>411</v>
      </c>
      <c r="D58" s="62" t="s">
        <v>307</v>
      </c>
      <c r="E58" s="63" t="s">
        <v>310</v>
      </c>
      <c r="F58" s="63" t="s">
        <v>181</v>
      </c>
      <c r="G58" s="63" t="s">
        <v>368</v>
      </c>
      <c r="H58" s="469">
        <v>2309450</v>
      </c>
      <c r="I58" s="270">
        <v>7106</v>
      </c>
      <c r="J58" s="166">
        <f>IFERROR(VLOOKUP(C58, 'Existing Building Market Values'!$B$5:$F$41, 5, 0), 0)</f>
        <v>0</v>
      </c>
      <c r="K58" s="457">
        <f t="shared" si="11"/>
        <v>2309450</v>
      </c>
      <c r="L58" s="445">
        <f t="shared" si="12"/>
        <v>325</v>
      </c>
    </row>
    <row r="59" spans="1:12">
      <c r="A59" s="370">
        <v>12</v>
      </c>
      <c r="B59" s="370" t="str">
        <f t="shared" si="13"/>
        <v>W1 - 12</v>
      </c>
      <c r="C59" s="370">
        <f t="shared" si="14"/>
        <v>412</v>
      </c>
      <c r="D59" s="62" t="s">
        <v>308</v>
      </c>
      <c r="E59" s="63" t="s">
        <v>310</v>
      </c>
      <c r="F59" s="63" t="s">
        <v>181</v>
      </c>
      <c r="G59" s="63" t="s">
        <v>368</v>
      </c>
      <c r="H59" s="469">
        <v>1706250</v>
      </c>
      <c r="I59" s="270">
        <v>5250</v>
      </c>
      <c r="J59" s="166">
        <f>IFERROR(VLOOKUP(C59, 'Existing Building Market Values'!$B$5:$F$41, 5, 0), 0)</f>
        <v>381477</v>
      </c>
      <c r="K59" s="457">
        <f t="shared" si="11"/>
        <v>2087727</v>
      </c>
      <c r="L59" s="445">
        <f t="shared" si="12"/>
        <v>397.6622857142857</v>
      </c>
    </row>
    <row r="60" spans="1:12">
      <c r="A60" s="370">
        <v>13</v>
      </c>
      <c r="B60" s="370" t="str">
        <f t="shared" si="13"/>
        <v>W1 - 13</v>
      </c>
      <c r="C60" s="370">
        <f t="shared" si="14"/>
        <v>413</v>
      </c>
      <c r="D60" s="62" t="s">
        <v>311</v>
      </c>
      <c r="E60" s="63" t="s">
        <v>310</v>
      </c>
      <c r="F60" s="63" t="s">
        <v>181</v>
      </c>
      <c r="G60" s="63" t="s">
        <v>368</v>
      </c>
      <c r="H60" s="469">
        <v>1575000</v>
      </c>
      <c r="I60" s="270">
        <v>5250</v>
      </c>
      <c r="J60" s="166">
        <f>IFERROR(VLOOKUP(C60, 'Existing Building Market Values'!$B$5:$F$41, 5, 0), 0)</f>
        <v>0</v>
      </c>
      <c r="K60" s="457">
        <f t="shared" si="11"/>
        <v>1575000</v>
      </c>
      <c r="L60" s="445">
        <f t="shared" si="12"/>
        <v>300</v>
      </c>
    </row>
    <row r="61" spans="1:12">
      <c r="A61" s="370">
        <v>14</v>
      </c>
      <c r="B61" s="370" t="str">
        <f t="shared" si="13"/>
        <v>W1 - 14</v>
      </c>
      <c r="C61" s="370">
        <f t="shared" si="14"/>
        <v>414</v>
      </c>
      <c r="D61" s="62" t="s">
        <v>312</v>
      </c>
      <c r="E61" s="63" t="s">
        <v>310</v>
      </c>
      <c r="F61" s="63" t="s">
        <v>181</v>
      </c>
      <c r="G61" s="63" t="s">
        <v>364</v>
      </c>
      <c r="H61" s="469">
        <v>92812</v>
      </c>
      <c r="I61" s="270">
        <v>825</v>
      </c>
      <c r="J61" s="166">
        <f>IFERROR(VLOOKUP(C61, 'Existing Building Market Values'!$B$5:$F$41, 5, 0), 0)</f>
        <v>0</v>
      </c>
      <c r="K61" s="457">
        <f t="shared" si="11"/>
        <v>92812</v>
      </c>
      <c r="L61" s="445">
        <f t="shared" si="12"/>
        <v>112.49939393939394</v>
      </c>
    </row>
    <row r="62" spans="1:12">
      <c r="A62" s="370">
        <v>15</v>
      </c>
      <c r="B62" s="370" t="str">
        <f t="shared" si="13"/>
        <v>W1 - 15</v>
      </c>
      <c r="C62" s="370">
        <f t="shared" si="14"/>
        <v>415</v>
      </c>
      <c r="D62" s="62" t="s">
        <v>313</v>
      </c>
      <c r="E62" s="63" t="s">
        <v>310</v>
      </c>
      <c r="F62" s="63" t="s">
        <v>181</v>
      </c>
      <c r="G62" s="63" t="s">
        <v>317</v>
      </c>
      <c r="H62" s="469">
        <v>196875</v>
      </c>
      <c r="I62" s="270">
        <v>1750</v>
      </c>
      <c r="J62" s="166">
        <f>IFERROR(VLOOKUP(C62, 'Existing Building Market Values'!$B$5:$F$41, 5, 0), 0)</f>
        <v>13787</v>
      </c>
      <c r="K62" s="457">
        <f t="shared" si="11"/>
        <v>210662</v>
      </c>
      <c r="L62" s="445">
        <f t="shared" si="12"/>
        <v>120.37828571428571</v>
      </c>
    </row>
    <row r="63" spans="1:12">
      <c r="A63" s="370">
        <v>16</v>
      </c>
      <c r="B63" s="370" t="str">
        <f t="shared" si="13"/>
        <v>W1 - 16</v>
      </c>
      <c r="C63" s="370">
        <f t="shared" si="14"/>
        <v>416</v>
      </c>
      <c r="D63" s="62" t="s">
        <v>321</v>
      </c>
      <c r="E63" s="63" t="s">
        <v>310</v>
      </c>
      <c r="F63" s="63" t="s">
        <v>181</v>
      </c>
      <c r="G63" s="63" t="s">
        <v>64</v>
      </c>
      <c r="H63" s="469">
        <v>1050000</v>
      </c>
      <c r="I63" s="270">
        <v>7000</v>
      </c>
      <c r="J63" s="166">
        <f>IFERROR(VLOOKUP(C63, 'Existing Building Market Values'!$B$5:$F$41, 5, 0), 0)</f>
        <v>83340</v>
      </c>
      <c r="K63" s="457">
        <f t="shared" si="11"/>
        <v>1133340</v>
      </c>
      <c r="L63" s="445">
        <f t="shared" si="12"/>
        <v>161.90571428571428</v>
      </c>
    </row>
    <row r="64" spans="1:12">
      <c r="A64" s="370">
        <v>17</v>
      </c>
      <c r="B64" s="370" t="str">
        <f t="shared" si="13"/>
        <v>W1 - 17</v>
      </c>
      <c r="C64" s="370">
        <f t="shared" si="14"/>
        <v>417</v>
      </c>
      <c r="D64" s="62" t="s">
        <v>322</v>
      </c>
      <c r="E64" s="63" t="s">
        <v>310</v>
      </c>
      <c r="F64" s="63" t="s">
        <v>181</v>
      </c>
      <c r="G64" s="63" t="s">
        <v>47</v>
      </c>
      <c r="H64" s="469">
        <v>787500</v>
      </c>
      <c r="I64" s="270">
        <v>5250</v>
      </c>
      <c r="J64" s="166">
        <f>IFERROR(VLOOKUP(C64, 'Existing Building Market Values'!$B$5:$F$41, 5, 0), 0)</f>
        <v>29816</v>
      </c>
      <c r="K64" s="457">
        <f t="shared" si="11"/>
        <v>817316</v>
      </c>
      <c r="L64" s="445">
        <f t="shared" si="12"/>
        <v>155.67923809523811</v>
      </c>
    </row>
    <row r="65" spans="1:12">
      <c r="A65" s="370">
        <v>18</v>
      </c>
      <c r="B65" s="370" t="str">
        <f t="shared" si="13"/>
        <v>W1 - 18</v>
      </c>
      <c r="C65" s="370">
        <f t="shared" si="14"/>
        <v>418</v>
      </c>
      <c r="D65" s="62" t="s">
        <v>323</v>
      </c>
      <c r="E65" s="63" t="s">
        <v>314</v>
      </c>
      <c r="F65" s="63" t="s">
        <v>181</v>
      </c>
      <c r="G65" s="63" t="s">
        <v>192</v>
      </c>
      <c r="H65" s="469">
        <v>262500</v>
      </c>
      <c r="I65" s="270">
        <v>1750</v>
      </c>
      <c r="J65" s="166">
        <f>IFERROR(VLOOKUP(C65, 'Existing Building Market Values'!$B$5:$F$41, 5, 0), 0)</f>
        <v>0</v>
      </c>
      <c r="K65" s="457">
        <f t="shared" si="11"/>
        <v>262500</v>
      </c>
      <c r="L65" s="445">
        <f t="shared" si="12"/>
        <v>150</v>
      </c>
    </row>
    <row r="66" spans="1:12">
      <c r="A66" s="370">
        <v>19</v>
      </c>
      <c r="B66" s="370" t="str">
        <f t="shared" si="13"/>
        <v>W1 - 19</v>
      </c>
      <c r="C66" s="370">
        <f t="shared" si="14"/>
        <v>419</v>
      </c>
      <c r="D66" s="62" t="s">
        <v>324</v>
      </c>
      <c r="E66" s="63" t="s">
        <v>314</v>
      </c>
      <c r="F66" s="63" t="s">
        <v>181</v>
      </c>
      <c r="G66" s="63" t="s">
        <v>192</v>
      </c>
      <c r="H66" s="469">
        <v>262500</v>
      </c>
      <c r="I66" s="270">
        <v>1750</v>
      </c>
      <c r="J66" s="166">
        <f>IFERROR(VLOOKUP(C66, 'Existing Building Market Values'!$B$5:$F$41, 5, 0), 0)</f>
        <v>0</v>
      </c>
      <c r="K66" s="457">
        <f t="shared" si="11"/>
        <v>262500</v>
      </c>
      <c r="L66" s="445">
        <f t="shared" si="12"/>
        <v>150</v>
      </c>
    </row>
    <row r="67" spans="1:12">
      <c r="A67" s="370">
        <v>20</v>
      </c>
      <c r="B67" s="370" t="str">
        <f t="shared" si="13"/>
        <v>W1 - 20</v>
      </c>
      <c r="C67" s="370">
        <f t="shared" si="14"/>
        <v>420</v>
      </c>
      <c r="D67" s="62" t="s">
        <v>325</v>
      </c>
      <c r="E67" s="63" t="s">
        <v>314</v>
      </c>
      <c r="F67" s="63" t="s">
        <v>181</v>
      </c>
      <c r="G67" s="63" t="s">
        <v>192</v>
      </c>
      <c r="H67" s="469">
        <v>525000</v>
      </c>
      <c r="I67" s="270">
        <v>3500</v>
      </c>
      <c r="J67" s="166">
        <f>IFERROR(VLOOKUP(C67, 'Existing Building Market Values'!$B$5:$F$41, 5, 0), 0)</f>
        <v>0</v>
      </c>
      <c r="K67" s="457">
        <f t="shared" si="11"/>
        <v>525000</v>
      </c>
      <c r="L67" s="445">
        <f t="shared" si="12"/>
        <v>150</v>
      </c>
    </row>
    <row r="68" spans="1:12">
      <c r="A68" s="370">
        <v>21</v>
      </c>
      <c r="B68" s="370" t="str">
        <f t="shared" si="13"/>
        <v>W1 - 21</v>
      </c>
      <c r="C68" s="370">
        <f t="shared" si="14"/>
        <v>421</v>
      </c>
      <c r="D68" s="62" t="s">
        <v>326</v>
      </c>
      <c r="E68" s="63" t="s">
        <v>314</v>
      </c>
      <c r="F68" s="63" t="s">
        <v>181</v>
      </c>
      <c r="G68" s="63" t="s">
        <v>192</v>
      </c>
      <c r="H68" s="469">
        <v>525000</v>
      </c>
      <c r="I68" s="270">
        <v>3500</v>
      </c>
      <c r="J68" s="166">
        <f>IFERROR(VLOOKUP(C68, 'Existing Building Market Values'!$B$5:$F$41, 5, 0), 0)</f>
        <v>0</v>
      </c>
      <c r="K68" s="457">
        <f t="shared" si="11"/>
        <v>525000</v>
      </c>
      <c r="L68" s="445">
        <f t="shared" si="12"/>
        <v>150</v>
      </c>
    </row>
    <row r="69" spans="1:12">
      <c r="A69" s="370">
        <v>22</v>
      </c>
      <c r="B69" s="370" t="str">
        <f t="shared" si="13"/>
        <v>W1 - 22</v>
      </c>
      <c r="C69" s="370">
        <f t="shared" si="14"/>
        <v>422</v>
      </c>
      <c r="D69" s="62" t="s">
        <v>327</v>
      </c>
      <c r="E69" s="63" t="s">
        <v>314</v>
      </c>
      <c r="F69" s="63" t="s">
        <v>181</v>
      </c>
      <c r="G69" s="63" t="s">
        <v>369</v>
      </c>
      <c r="H69" s="469">
        <v>262500</v>
      </c>
      <c r="I69" s="270">
        <v>1750</v>
      </c>
      <c r="J69" s="166">
        <f>IFERROR(VLOOKUP(C69, 'Existing Building Market Values'!$B$5:$F$41, 5, 0), 0)</f>
        <v>0</v>
      </c>
      <c r="K69" s="457">
        <f t="shared" si="11"/>
        <v>262500</v>
      </c>
      <c r="L69" s="445">
        <f t="shared" si="12"/>
        <v>150</v>
      </c>
    </row>
    <row r="70" spans="1:12">
      <c r="A70" s="370">
        <v>23</v>
      </c>
      <c r="B70" s="370" t="str">
        <f t="shared" si="13"/>
        <v>W1 - 23</v>
      </c>
      <c r="C70" s="370">
        <f t="shared" si="14"/>
        <v>423</v>
      </c>
      <c r="D70" s="62" t="s">
        <v>328</v>
      </c>
      <c r="E70" s="63" t="s">
        <v>314</v>
      </c>
      <c r="F70" s="63" t="s">
        <v>181</v>
      </c>
      <c r="G70" s="63" t="s">
        <v>369</v>
      </c>
      <c r="H70" s="469">
        <v>262500</v>
      </c>
      <c r="I70" s="270">
        <v>1750</v>
      </c>
      <c r="J70" s="166">
        <f>IFERROR(VLOOKUP(C70, 'Existing Building Market Values'!$B$5:$F$41, 5, 0), 0)</f>
        <v>0</v>
      </c>
      <c r="K70" s="457">
        <f t="shared" si="11"/>
        <v>262500</v>
      </c>
      <c r="L70" s="445">
        <f t="shared" si="12"/>
        <v>150</v>
      </c>
    </row>
    <row r="71" spans="1:12">
      <c r="A71" s="370">
        <v>24</v>
      </c>
      <c r="B71" s="370" t="str">
        <f t="shared" si="13"/>
        <v>W1 - 24</v>
      </c>
      <c r="C71" s="370">
        <f t="shared" si="14"/>
        <v>424</v>
      </c>
      <c r="D71" s="62" t="s">
        <v>329</v>
      </c>
      <c r="E71" s="63" t="s">
        <v>314</v>
      </c>
      <c r="F71" s="63" t="s">
        <v>181</v>
      </c>
      <c r="G71" s="63" t="s">
        <v>369</v>
      </c>
      <c r="H71" s="469">
        <v>525000</v>
      </c>
      <c r="I71" s="270">
        <v>3500</v>
      </c>
      <c r="J71" s="166">
        <f>IFERROR(VLOOKUP(C71, 'Existing Building Market Values'!$B$5:$F$41, 5, 0), 0)</f>
        <v>0</v>
      </c>
      <c r="K71" s="457">
        <f t="shared" si="11"/>
        <v>525000</v>
      </c>
      <c r="L71" s="445">
        <f t="shared" si="12"/>
        <v>150</v>
      </c>
    </row>
    <row r="72" spans="1:12">
      <c r="A72" s="370">
        <v>25</v>
      </c>
      <c r="B72" s="370" t="str">
        <f t="shared" si="13"/>
        <v>W1 - 25</v>
      </c>
      <c r="C72" s="370">
        <f t="shared" si="14"/>
        <v>425</v>
      </c>
      <c r="D72" s="433" t="s">
        <v>330</v>
      </c>
      <c r="E72" s="239" t="s">
        <v>314</v>
      </c>
      <c r="F72" s="239" t="s">
        <v>181</v>
      </c>
      <c r="G72" s="239" t="s">
        <v>159</v>
      </c>
      <c r="H72" s="470">
        <v>1060500</v>
      </c>
      <c r="I72" s="471">
        <v>7070</v>
      </c>
      <c r="J72" s="167">
        <f>IFERROR(VLOOKUP(C72, 'Existing Building Market Values'!$B$5:$F$41, 5, 0), 0)</f>
        <v>179737</v>
      </c>
      <c r="K72" s="458">
        <f t="shared" si="11"/>
        <v>1240237</v>
      </c>
      <c r="L72" s="446">
        <f t="shared" si="12"/>
        <v>175.42248939179632</v>
      </c>
    </row>
    <row r="73" spans="1:12" ht="13.5" thickBot="1">
      <c r="A73" s="370"/>
      <c r="B73" s="370"/>
      <c r="C73" s="370"/>
      <c r="D73" s="447" t="s">
        <v>340</v>
      </c>
      <c r="E73" s="794"/>
      <c r="F73" s="113"/>
      <c r="G73" s="113"/>
      <c r="H73" s="146">
        <f t="shared" ref="H73:K73" si="15">SUM(H48:H72)</f>
        <v>38682397</v>
      </c>
      <c r="I73" s="472">
        <f t="shared" si="15"/>
        <v>150089</v>
      </c>
      <c r="J73" s="148">
        <f t="shared" si="15"/>
        <v>1151069</v>
      </c>
      <c r="K73" s="459">
        <f t="shared" si="15"/>
        <v>39833466</v>
      </c>
      <c r="L73" s="448">
        <f t="shared" si="12"/>
        <v>265.39896994449958</v>
      </c>
    </row>
    <row r="74" spans="1:12" ht="4.5" customHeight="1">
      <c r="A74" s="370"/>
      <c r="B74" s="370"/>
      <c r="C74" s="370"/>
      <c r="D74" s="449"/>
      <c r="E74" s="795"/>
      <c r="F74" s="450"/>
      <c r="G74" s="450"/>
      <c r="H74" s="449"/>
      <c r="I74" s="451"/>
      <c r="J74" s="451"/>
      <c r="K74" s="460"/>
      <c r="L74" s="451"/>
    </row>
    <row r="75" spans="1:12" ht="13">
      <c r="A75" s="370" t="s">
        <v>377</v>
      </c>
      <c r="B75" s="370"/>
      <c r="C75" s="370">
        <v>500</v>
      </c>
      <c r="D75" s="61" t="s">
        <v>360</v>
      </c>
      <c r="E75" s="793"/>
      <c r="F75" s="444"/>
      <c r="G75" s="444"/>
      <c r="H75" s="61"/>
      <c r="I75" s="105"/>
      <c r="J75" s="105"/>
      <c r="K75" s="455"/>
      <c r="L75" s="105"/>
    </row>
    <row r="76" spans="1:12">
      <c r="A76" s="370">
        <v>26</v>
      </c>
      <c r="B76" s="370" t="str">
        <f>$A$75&amp;" - "&amp;A76</f>
        <v>W2 - 26</v>
      </c>
      <c r="C76" s="370">
        <f>$C$75+A76</f>
        <v>526</v>
      </c>
      <c r="D76" s="62" t="s">
        <v>331</v>
      </c>
      <c r="E76" s="63" t="s">
        <v>310</v>
      </c>
      <c r="F76" s="63" t="s">
        <v>181</v>
      </c>
      <c r="G76" s="63" t="s">
        <v>47</v>
      </c>
      <c r="H76" s="468">
        <v>8062600</v>
      </c>
      <c r="I76" s="270">
        <v>24808</v>
      </c>
      <c r="J76" s="162">
        <f>IFERROR(VLOOKUP(C76, 'Existing Building Market Values'!$B$5:$F$41, 5, 0), 0)</f>
        <v>1029523</v>
      </c>
      <c r="K76" s="456">
        <f t="shared" ref="K76:K91" si="16">SUM(J76:J76)+H76</f>
        <v>9092123</v>
      </c>
      <c r="L76" s="390">
        <f t="shared" ref="L76:L92" si="17">K76/I76</f>
        <v>366.49963721380198</v>
      </c>
    </row>
    <row r="77" spans="1:12">
      <c r="A77" s="370">
        <v>27</v>
      </c>
      <c r="B77" s="370" t="str">
        <f t="shared" ref="B77:B91" si="18">$A$75&amp;" - "&amp;A77</f>
        <v>W2 - 27</v>
      </c>
      <c r="C77" s="370">
        <f t="shared" ref="C77:C91" si="19">$C$75+A77</f>
        <v>527</v>
      </c>
      <c r="D77" s="62" t="s">
        <v>332</v>
      </c>
      <c r="E77" s="63" t="s">
        <v>310</v>
      </c>
      <c r="F77" s="63" t="s">
        <v>181</v>
      </c>
      <c r="G77" s="63" t="s">
        <v>371</v>
      </c>
      <c r="H77" s="469">
        <v>1050000</v>
      </c>
      <c r="I77" s="270">
        <v>3500</v>
      </c>
      <c r="J77" s="166">
        <f>IFERROR(VLOOKUP(C77, 'Existing Building Market Values'!$B$5:$F$41, 5, 0), 0)</f>
        <v>0</v>
      </c>
      <c r="K77" s="457">
        <f t="shared" si="16"/>
        <v>1050000</v>
      </c>
      <c r="L77" s="445">
        <f t="shared" si="17"/>
        <v>300</v>
      </c>
    </row>
    <row r="78" spans="1:12">
      <c r="A78" s="370">
        <v>28</v>
      </c>
      <c r="B78" s="370" t="str">
        <f t="shared" si="18"/>
        <v>W2 - 28</v>
      </c>
      <c r="C78" s="370">
        <f t="shared" si="19"/>
        <v>528</v>
      </c>
      <c r="D78" s="62" t="s">
        <v>333</v>
      </c>
      <c r="E78" s="63" t="s">
        <v>310</v>
      </c>
      <c r="F78" s="63" t="s">
        <v>181</v>
      </c>
      <c r="G78" s="63" t="s">
        <v>371</v>
      </c>
      <c r="H78" s="469">
        <v>525000</v>
      </c>
      <c r="I78" s="270">
        <v>3500</v>
      </c>
      <c r="J78" s="166">
        <f>IFERROR(VLOOKUP(C78, 'Existing Building Market Values'!$B$5:$F$41, 5, 0), 0)</f>
        <v>0</v>
      </c>
      <c r="K78" s="457">
        <f t="shared" si="16"/>
        <v>525000</v>
      </c>
      <c r="L78" s="445">
        <f t="shared" si="17"/>
        <v>150</v>
      </c>
    </row>
    <row r="79" spans="1:12">
      <c r="A79" s="370">
        <v>29</v>
      </c>
      <c r="B79" s="370" t="str">
        <f t="shared" si="18"/>
        <v>W2 - 29</v>
      </c>
      <c r="C79" s="370">
        <f t="shared" si="19"/>
        <v>529</v>
      </c>
      <c r="D79" s="62" t="s">
        <v>334</v>
      </c>
      <c r="E79" s="63" t="s">
        <v>310</v>
      </c>
      <c r="F79" s="63" t="s">
        <v>181</v>
      </c>
      <c r="G79" s="63" t="s">
        <v>297</v>
      </c>
      <c r="H79" s="469">
        <v>393750</v>
      </c>
      <c r="I79" s="270">
        <v>3500</v>
      </c>
      <c r="J79" s="166">
        <f>IFERROR(VLOOKUP(C79, 'Existing Building Market Values'!$B$5:$F$41, 5, 0), 0)</f>
        <v>77211</v>
      </c>
      <c r="K79" s="457">
        <f t="shared" si="16"/>
        <v>470961</v>
      </c>
      <c r="L79" s="445">
        <f t="shared" si="17"/>
        <v>134.56028571428573</v>
      </c>
    </row>
    <row r="80" spans="1:12">
      <c r="A80" s="370">
        <v>30</v>
      </c>
      <c r="B80" s="370" t="str">
        <f t="shared" si="18"/>
        <v>W2 - 30</v>
      </c>
      <c r="C80" s="370">
        <f t="shared" si="19"/>
        <v>530</v>
      </c>
      <c r="D80" s="62" t="s">
        <v>335</v>
      </c>
      <c r="E80" s="63" t="s">
        <v>310</v>
      </c>
      <c r="F80" s="63" t="s">
        <v>181</v>
      </c>
      <c r="G80" s="63" t="s">
        <v>370</v>
      </c>
      <c r="H80" s="469">
        <v>196875</v>
      </c>
      <c r="I80" s="270">
        <v>1750</v>
      </c>
      <c r="J80" s="166">
        <f>IFERROR(VLOOKUP(C80, 'Existing Building Market Values'!$B$5:$F$41, 5, 0), 0)</f>
        <v>0</v>
      </c>
      <c r="K80" s="457">
        <f t="shared" si="16"/>
        <v>196875</v>
      </c>
      <c r="L80" s="445">
        <f t="shared" si="17"/>
        <v>112.5</v>
      </c>
    </row>
    <row r="81" spans="1:12">
      <c r="A81" s="370">
        <v>31</v>
      </c>
      <c r="B81" s="370" t="str">
        <f t="shared" si="18"/>
        <v>W2 - 31</v>
      </c>
      <c r="C81" s="370">
        <f t="shared" si="19"/>
        <v>531</v>
      </c>
      <c r="D81" s="62" t="s">
        <v>336</v>
      </c>
      <c r="E81" s="63" t="s">
        <v>314</v>
      </c>
      <c r="F81" s="63" t="s">
        <v>181</v>
      </c>
      <c r="G81" s="63" t="s">
        <v>159</v>
      </c>
      <c r="H81" s="469">
        <v>787500</v>
      </c>
      <c r="I81" s="270">
        <v>5250</v>
      </c>
      <c r="J81" s="166">
        <f>IFERROR(VLOOKUP(C81, 'Existing Building Market Values'!$B$5:$F$41, 5, 0), 0)</f>
        <v>43377</v>
      </c>
      <c r="K81" s="457">
        <f t="shared" si="16"/>
        <v>830877</v>
      </c>
      <c r="L81" s="445">
        <f t="shared" si="17"/>
        <v>158.26228571428572</v>
      </c>
    </row>
    <row r="82" spans="1:12">
      <c r="A82" s="370">
        <v>32</v>
      </c>
      <c r="B82" s="370" t="str">
        <f t="shared" si="18"/>
        <v>W2 - 32</v>
      </c>
      <c r="C82" s="370">
        <f t="shared" si="19"/>
        <v>532</v>
      </c>
      <c r="D82" s="62" t="s">
        <v>337</v>
      </c>
      <c r="E82" s="63" t="s">
        <v>314</v>
      </c>
      <c r="F82" s="63" t="s">
        <v>181</v>
      </c>
      <c r="G82" s="63" t="s">
        <v>159</v>
      </c>
      <c r="H82" s="469">
        <v>262500</v>
      </c>
      <c r="I82" s="270">
        <v>1750</v>
      </c>
      <c r="J82" s="166">
        <f>IFERROR(VLOOKUP(C82, 'Existing Building Market Values'!$B$5:$F$41, 5, 0), 0)</f>
        <v>0</v>
      </c>
      <c r="K82" s="457">
        <f t="shared" si="16"/>
        <v>262500</v>
      </c>
      <c r="L82" s="445">
        <f t="shared" si="17"/>
        <v>150</v>
      </c>
    </row>
    <row r="83" spans="1:12">
      <c r="A83" s="370">
        <v>33</v>
      </c>
      <c r="B83" s="370" t="str">
        <f t="shared" si="18"/>
        <v>W2 - 33</v>
      </c>
      <c r="C83" s="370">
        <f t="shared" si="19"/>
        <v>533</v>
      </c>
      <c r="D83" s="62" t="s">
        <v>351</v>
      </c>
      <c r="E83" s="63" t="s">
        <v>314</v>
      </c>
      <c r="F83" s="63" t="s">
        <v>181</v>
      </c>
      <c r="G83" s="63" t="s">
        <v>159</v>
      </c>
      <c r="H83" s="469">
        <v>262500</v>
      </c>
      <c r="I83" s="270">
        <v>1750</v>
      </c>
      <c r="J83" s="166">
        <f>IFERROR(VLOOKUP(C83, 'Existing Building Market Values'!$B$5:$F$41, 5, 0), 0)</f>
        <v>0</v>
      </c>
      <c r="K83" s="457">
        <f t="shared" si="16"/>
        <v>262500</v>
      </c>
      <c r="L83" s="445">
        <f t="shared" si="17"/>
        <v>150</v>
      </c>
    </row>
    <row r="84" spans="1:12">
      <c r="A84" s="370">
        <v>34</v>
      </c>
      <c r="B84" s="370" t="str">
        <f t="shared" si="18"/>
        <v>W2 - 34</v>
      </c>
      <c r="C84" s="370">
        <f t="shared" si="19"/>
        <v>534</v>
      </c>
      <c r="D84" s="62" t="s">
        <v>352</v>
      </c>
      <c r="E84" s="63" t="s">
        <v>314</v>
      </c>
      <c r="F84" s="63" t="s">
        <v>181</v>
      </c>
      <c r="G84" s="63" t="s">
        <v>159</v>
      </c>
      <c r="H84" s="469">
        <v>525000</v>
      </c>
      <c r="I84" s="270">
        <v>3500</v>
      </c>
      <c r="J84" s="166">
        <f>IFERROR(VLOOKUP(C84, 'Existing Building Market Values'!$B$5:$F$41, 5, 0), 0)</f>
        <v>0</v>
      </c>
      <c r="K84" s="457">
        <f t="shared" si="16"/>
        <v>525000</v>
      </c>
      <c r="L84" s="445">
        <f t="shared" si="17"/>
        <v>150</v>
      </c>
    </row>
    <row r="85" spans="1:12">
      <c r="A85" s="370">
        <v>35</v>
      </c>
      <c r="B85" s="370" t="str">
        <f t="shared" si="18"/>
        <v>W2 - 35</v>
      </c>
      <c r="C85" s="370">
        <f t="shared" si="19"/>
        <v>535</v>
      </c>
      <c r="D85" s="62" t="s">
        <v>353</v>
      </c>
      <c r="E85" s="63" t="s">
        <v>314</v>
      </c>
      <c r="F85" s="63" t="s">
        <v>181</v>
      </c>
      <c r="G85" s="63" t="s">
        <v>159</v>
      </c>
      <c r="H85" s="469">
        <v>525000</v>
      </c>
      <c r="I85" s="270">
        <v>3500</v>
      </c>
      <c r="J85" s="166">
        <f>IFERROR(VLOOKUP(C85, 'Existing Building Market Values'!$B$5:$F$41, 5, 0), 0)</f>
        <v>0</v>
      </c>
      <c r="K85" s="457">
        <f t="shared" si="16"/>
        <v>525000</v>
      </c>
      <c r="L85" s="445">
        <f t="shared" si="17"/>
        <v>150</v>
      </c>
    </row>
    <row r="86" spans="1:12">
      <c r="A86" s="370">
        <v>36</v>
      </c>
      <c r="B86" s="370" t="str">
        <f t="shared" si="18"/>
        <v>W2 - 36</v>
      </c>
      <c r="C86" s="370">
        <f t="shared" si="19"/>
        <v>536</v>
      </c>
      <c r="D86" s="62" t="s">
        <v>354</v>
      </c>
      <c r="E86" s="63" t="s">
        <v>314</v>
      </c>
      <c r="F86" s="63" t="s">
        <v>181</v>
      </c>
      <c r="G86" s="63" t="s">
        <v>159</v>
      </c>
      <c r="H86" s="469">
        <v>525000</v>
      </c>
      <c r="I86" s="270">
        <v>3500</v>
      </c>
      <c r="J86" s="166">
        <f>IFERROR(VLOOKUP(C86, 'Existing Building Market Values'!$B$5:$F$41, 5, 0), 0)</f>
        <v>0</v>
      </c>
      <c r="K86" s="457">
        <f t="shared" si="16"/>
        <v>525000</v>
      </c>
      <c r="L86" s="445">
        <f t="shared" si="17"/>
        <v>150</v>
      </c>
    </row>
    <row r="87" spans="1:12">
      <c r="A87" s="370">
        <v>37</v>
      </c>
      <c r="B87" s="370" t="str">
        <f t="shared" si="18"/>
        <v>W2 - 37</v>
      </c>
      <c r="C87" s="370">
        <f t="shared" si="19"/>
        <v>537</v>
      </c>
      <c r="D87" s="62" t="s">
        <v>355</v>
      </c>
      <c r="E87" s="63" t="s">
        <v>314</v>
      </c>
      <c r="F87" s="63" t="s">
        <v>181</v>
      </c>
      <c r="G87" s="63" t="s">
        <v>159</v>
      </c>
      <c r="H87" s="469">
        <v>1585500</v>
      </c>
      <c r="I87" s="270">
        <v>10570</v>
      </c>
      <c r="J87" s="166">
        <f>IFERROR(VLOOKUP(C87, 'Existing Building Market Values'!$B$5:$F$41, 5, 0), 0)</f>
        <v>180271</v>
      </c>
      <c r="K87" s="457">
        <f t="shared" si="16"/>
        <v>1765771</v>
      </c>
      <c r="L87" s="445">
        <f t="shared" si="17"/>
        <v>167.05496688741721</v>
      </c>
    </row>
    <row r="88" spans="1:12">
      <c r="A88" s="370">
        <v>38</v>
      </c>
      <c r="B88" s="370" t="str">
        <f t="shared" si="18"/>
        <v>W2 - 38</v>
      </c>
      <c r="C88" s="370">
        <f t="shared" si="19"/>
        <v>538</v>
      </c>
      <c r="D88" s="62" t="s">
        <v>356</v>
      </c>
      <c r="E88" s="63" t="s">
        <v>310</v>
      </c>
      <c r="F88" s="63" t="s">
        <v>181</v>
      </c>
      <c r="G88" s="63" t="s">
        <v>159</v>
      </c>
      <c r="H88" s="469">
        <v>2100000</v>
      </c>
      <c r="I88" s="270">
        <v>14000</v>
      </c>
      <c r="J88" s="166">
        <f>IFERROR(VLOOKUP(C88, 'Existing Building Market Values'!$B$5:$F$41, 5, 0), 0)</f>
        <v>143959</v>
      </c>
      <c r="K88" s="457">
        <f t="shared" si="16"/>
        <v>2243959</v>
      </c>
      <c r="L88" s="445">
        <f t="shared" si="17"/>
        <v>160.28278571428572</v>
      </c>
    </row>
    <row r="89" spans="1:12">
      <c r="A89" s="370">
        <v>39</v>
      </c>
      <c r="B89" s="370" t="str">
        <f t="shared" si="18"/>
        <v>W2 - 39</v>
      </c>
      <c r="C89" s="370">
        <f t="shared" si="19"/>
        <v>539</v>
      </c>
      <c r="D89" s="62" t="s">
        <v>357</v>
      </c>
      <c r="E89" s="63" t="s">
        <v>314</v>
      </c>
      <c r="F89" s="63" t="s">
        <v>181</v>
      </c>
      <c r="G89" s="63" t="s">
        <v>159</v>
      </c>
      <c r="H89" s="469">
        <v>1050000</v>
      </c>
      <c r="I89" s="270">
        <v>7000</v>
      </c>
      <c r="J89" s="166">
        <f>IFERROR(VLOOKUP(C89, 'Existing Building Market Values'!$B$5:$F$41, 5, 0), 0)</f>
        <v>0</v>
      </c>
      <c r="K89" s="457">
        <f t="shared" si="16"/>
        <v>1050000</v>
      </c>
      <c r="L89" s="445">
        <f t="shared" si="17"/>
        <v>150</v>
      </c>
    </row>
    <row r="90" spans="1:12">
      <c r="A90" s="370">
        <v>40</v>
      </c>
      <c r="B90" s="370" t="str">
        <f t="shared" si="18"/>
        <v>W2 - 40</v>
      </c>
      <c r="C90" s="370">
        <f t="shared" si="19"/>
        <v>540</v>
      </c>
      <c r="D90" s="62" t="s">
        <v>358</v>
      </c>
      <c r="E90" s="63" t="s">
        <v>314</v>
      </c>
      <c r="F90" s="63" t="s">
        <v>181</v>
      </c>
      <c r="G90" s="63" t="s">
        <v>159</v>
      </c>
      <c r="H90" s="469">
        <v>4987500</v>
      </c>
      <c r="I90" s="270">
        <v>35000</v>
      </c>
      <c r="J90" s="166">
        <f>IFERROR(VLOOKUP(C90, 'Existing Building Market Values'!$B$5:$F$41, 5, 0), 0)</f>
        <v>312750</v>
      </c>
      <c r="K90" s="457">
        <f t="shared" si="16"/>
        <v>5300250</v>
      </c>
      <c r="L90" s="445">
        <f t="shared" si="17"/>
        <v>151.43571428571428</v>
      </c>
    </row>
    <row r="91" spans="1:12">
      <c r="A91" s="370">
        <v>41</v>
      </c>
      <c r="B91" s="370" t="str">
        <f t="shared" si="18"/>
        <v>W2 - 41</v>
      </c>
      <c r="C91" s="370">
        <f t="shared" si="19"/>
        <v>541</v>
      </c>
      <c r="D91" s="433" t="s">
        <v>359</v>
      </c>
      <c r="E91" s="239" t="s">
        <v>314</v>
      </c>
      <c r="F91" s="239" t="s">
        <v>181</v>
      </c>
      <c r="G91" s="239" t="s">
        <v>159</v>
      </c>
      <c r="H91" s="470">
        <v>2126250</v>
      </c>
      <c r="I91" s="471">
        <v>15750</v>
      </c>
      <c r="J91" s="167">
        <f>IFERROR(VLOOKUP(C91, 'Existing Building Market Values'!$B$5:$F$41, 5, 0), 0)</f>
        <v>226881</v>
      </c>
      <c r="K91" s="458">
        <f t="shared" si="16"/>
        <v>2353131</v>
      </c>
      <c r="L91" s="446">
        <f t="shared" si="17"/>
        <v>149.40514285714286</v>
      </c>
    </row>
    <row r="92" spans="1:12" ht="13.5" thickBot="1">
      <c r="A92" s="370"/>
      <c r="B92" s="370"/>
      <c r="C92" s="370"/>
      <c r="D92" s="447" t="s">
        <v>361</v>
      </c>
      <c r="E92" s="794"/>
      <c r="F92" s="113"/>
      <c r="G92" s="113"/>
      <c r="H92" s="146">
        <f t="shared" ref="H92:K92" si="20">SUM(H76:H91)</f>
        <v>24964975</v>
      </c>
      <c r="I92" s="472">
        <f t="shared" si="20"/>
        <v>138628</v>
      </c>
      <c r="J92" s="148">
        <f t="shared" si="20"/>
        <v>2013972</v>
      </c>
      <c r="K92" s="459">
        <f t="shared" si="20"/>
        <v>26978947</v>
      </c>
      <c r="L92" s="448">
        <f t="shared" si="17"/>
        <v>194.61398130247858</v>
      </c>
    </row>
    <row r="93" spans="1:12" ht="4.5" customHeight="1">
      <c r="A93" s="370"/>
      <c r="B93" s="370"/>
      <c r="C93" s="370"/>
      <c r="D93" s="62"/>
      <c r="E93" s="63"/>
      <c r="F93" s="68"/>
      <c r="G93" s="68"/>
      <c r="H93" s="62"/>
      <c r="I93" s="105"/>
      <c r="J93" s="105"/>
      <c r="K93" s="455"/>
      <c r="L93" s="105"/>
    </row>
    <row r="94" spans="1:12" ht="13">
      <c r="A94" s="370" t="s">
        <v>378</v>
      </c>
      <c r="B94" s="370"/>
      <c r="C94" s="370">
        <v>600</v>
      </c>
      <c r="D94" s="61" t="s">
        <v>362</v>
      </c>
      <c r="E94" s="793"/>
      <c r="F94" s="444"/>
      <c r="G94" s="444"/>
      <c r="H94" s="61"/>
      <c r="I94" s="105"/>
      <c r="J94" s="105"/>
      <c r="K94" s="455"/>
      <c r="L94" s="105"/>
    </row>
    <row r="95" spans="1:12">
      <c r="A95" s="370">
        <v>42</v>
      </c>
      <c r="B95" s="370" t="str">
        <f>$A$94&amp;" - "&amp;A95</f>
        <v>W3 - 42</v>
      </c>
      <c r="C95" s="370">
        <f>$C$94+A95</f>
        <v>642</v>
      </c>
      <c r="D95" s="62" t="s">
        <v>341</v>
      </c>
      <c r="E95" s="63" t="s">
        <v>314</v>
      </c>
      <c r="F95" s="63" t="s">
        <v>181</v>
      </c>
      <c r="G95" s="63" t="s">
        <v>47</v>
      </c>
      <c r="H95" s="468">
        <v>4970225</v>
      </c>
      <c r="I95" s="270">
        <v>15293</v>
      </c>
      <c r="J95" s="162">
        <f>IFERROR(VLOOKUP(C95, 'Existing Building Market Values'!$B$5:$F$41, 5, 0), 0)</f>
        <v>687915</v>
      </c>
      <c r="K95" s="456">
        <f t="shared" ref="K95:K104" si="21">SUM(J95:J95)+H95</f>
        <v>5658140</v>
      </c>
      <c r="L95" s="390">
        <f t="shared" ref="L95:L105" si="22">K95/I95</f>
        <v>369.98234486366312</v>
      </c>
    </row>
    <row r="96" spans="1:12">
      <c r="A96" s="370">
        <v>43</v>
      </c>
      <c r="B96" s="370" t="str">
        <f t="shared" ref="B96:B104" si="23">$A$94&amp;" - "&amp;A96</f>
        <v>W3 - 43</v>
      </c>
      <c r="C96" s="370">
        <f t="shared" ref="C96:C104" si="24">$C$94+A96</f>
        <v>643</v>
      </c>
      <c r="D96" s="62" t="s">
        <v>342</v>
      </c>
      <c r="E96" s="63" t="s">
        <v>310</v>
      </c>
      <c r="F96" s="63" t="s">
        <v>181</v>
      </c>
      <c r="G96" s="63" t="s">
        <v>192</v>
      </c>
      <c r="H96" s="469">
        <v>4200000</v>
      </c>
      <c r="I96" s="270">
        <v>28000</v>
      </c>
      <c r="J96" s="166">
        <f>IFERROR(VLOOKUP(C96, 'Existing Building Market Values'!$B$5:$F$41, 5, 0), 0)</f>
        <v>87370</v>
      </c>
      <c r="K96" s="457">
        <f t="shared" si="21"/>
        <v>4287370</v>
      </c>
      <c r="L96" s="445">
        <f t="shared" si="22"/>
        <v>153.12035714285713</v>
      </c>
    </row>
    <row r="97" spans="1:12">
      <c r="A97" s="370">
        <v>44</v>
      </c>
      <c r="B97" s="370" t="str">
        <f t="shared" si="23"/>
        <v>W3 - 44</v>
      </c>
      <c r="C97" s="370">
        <f t="shared" si="24"/>
        <v>644</v>
      </c>
      <c r="D97" s="62" t="s">
        <v>343</v>
      </c>
      <c r="E97" s="63" t="s">
        <v>310</v>
      </c>
      <c r="F97" s="63" t="s">
        <v>181</v>
      </c>
      <c r="G97" s="63" t="s">
        <v>371</v>
      </c>
      <c r="H97" s="469">
        <v>1047750</v>
      </c>
      <c r="I97" s="270">
        <v>6985</v>
      </c>
      <c r="J97" s="166">
        <f>IFERROR(VLOOKUP(C97, 'Existing Building Market Values'!$B$5:$F$41, 5, 0), 0)</f>
        <v>197543</v>
      </c>
      <c r="K97" s="457">
        <f t="shared" si="21"/>
        <v>1245293</v>
      </c>
      <c r="L97" s="445">
        <f t="shared" si="22"/>
        <v>178.28103078024338</v>
      </c>
    </row>
    <row r="98" spans="1:12">
      <c r="A98" s="370">
        <v>45</v>
      </c>
      <c r="B98" s="370" t="str">
        <f t="shared" si="23"/>
        <v>W3 - 45</v>
      </c>
      <c r="C98" s="370">
        <f t="shared" si="24"/>
        <v>645</v>
      </c>
      <c r="D98" s="62" t="s">
        <v>344</v>
      </c>
      <c r="E98" s="63" t="s">
        <v>314</v>
      </c>
      <c r="F98" s="63" t="s">
        <v>181</v>
      </c>
      <c r="G98" s="63" t="s">
        <v>159</v>
      </c>
      <c r="H98" s="469">
        <v>7746600</v>
      </c>
      <c r="I98" s="270">
        <v>51644</v>
      </c>
      <c r="J98" s="166">
        <f>IFERROR(VLOOKUP(C98, 'Existing Building Market Values'!$B$5:$F$41, 5, 0), 0)</f>
        <v>1362341</v>
      </c>
      <c r="K98" s="457">
        <f t="shared" si="21"/>
        <v>9108941</v>
      </c>
      <c r="L98" s="445">
        <f t="shared" si="22"/>
        <v>176.37946324839285</v>
      </c>
    </row>
    <row r="99" spans="1:12">
      <c r="A99" s="370">
        <v>46</v>
      </c>
      <c r="B99" s="370" t="str">
        <f t="shared" si="23"/>
        <v>W3 - 46</v>
      </c>
      <c r="C99" s="370">
        <f t="shared" si="24"/>
        <v>646</v>
      </c>
      <c r="D99" s="62" t="s">
        <v>345</v>
      </c>
      <c r="E99" s="63" t="s">
        <v>314</v>
      </c>
      <c r="F99" s="63" t="s">
        <v>181</v>
      </c>
      <c r="G99" s="63" t="s">
        <v>47</v>
      </c>
      <c r="H99" s="469">
        <v>5997875</v>
      </c>
      <c r="I99" s="270">
        <v>18455</v>
      </c>
      <c r="J99" s="166">
        <f>IFERROR(VLOOKUP(C99, 'Existing Building Market Values'!$B$5:$F$41, 5, 0), 0)</f>
        <v>217081</v>
      </c>
      <c r="K99" s="457">
        <f t="shared" si="21"/>
        <v>6214956</v>
      </c>
      <c r="L99" s="445">
        <f t="shared" si="22"/>
        <v>336.76272013004603</v>
      </c>
    </row>
    <row r="100" spans="1:12">
      <c r="A100" s="370">
        <v>47</v>
      </c>
      <c r="B100" s="370" t="str">
        <f t="shared" si="23"/>
        <v>W3 - 47</v>
      </c>
      <c r="C100" s="370">
        <f t="shared" si="24"/>
        <v>647</v>
      </c>
      <c r="D100" s="62" t="s">
        <v>346</v>
      </c>
      <c r="E100" s="63" t="s">
        <v>314</v>
      </c>
      <c r="F100" s="63" t="s">
        <v>181</v>
      </c>
      <c r="G100" s="63" t="s">
        <v>159</v>
      </c>
      <c r="H100" s="469">
        <v>2145000</v>
      </c>
      <c r="I100" s="270">
        <v>7150</v>
      </c>
      <c r="J100" s="166">
        <f>IFERROR(VLOOKUP(C100, 'Existing Building Market Values'!$B$5:$F$41, 5, 0), 0)</f>
        <v>1890000</v>
      </c>
      <c r="K100" s="457">
        <f t="shared" si="21"/>
        <v>4035000</v>
      </c>
      <c r="L100" s="445">
        <f t="shared" si="22"/>
        <v>564.33566433566432</v>
      </c>
    </row>
    <row r="101" spans="1:12">
      <c r="A101" s="370">
        <v>48</v>
      </c>
      <c r="B101" s="370" t="str">
        <f t="shared" si="23"/>
        <v>W3 - 48</v>
      </c>
      <c r="C101" s="370">
        <f t="shared" si="24"/>
        <v>648</v>
      </c>
      <c r="D101" s="62" t="s">
        <v>347</v>
      </c>
      <c r="E101" s="63" t="s">
        <v>310</v>
      </c>
      <c r="F101" s="63" t="s">
        <v>181</v>
      </c>
      <c r="G101" s="63" t="s">
        <v>159</v>
      </c>
      <c r="H101" s="469">
        <v>2140500</v>
      </c>
      <c r="I101" s="270">
        <v>7135</v>
      </c>
      <c r="J101" s="166">
        <f>IFERROR(VLOOKUP(C101, 'Existing Building Market Values'!$B$5:$F$41, 5, 0), 0)</f>
        <v>0</v>
      </c>
      <c r="K101" s="457">
        <f t="shared" si="21"/>
        <v>2140500</v>
      </c>
      <c r="L101" s="445">
        <f t="shared" si="22"/>
        <v>300</v>
      </c>
    </row>
    <row r="102" spans="1:12">
      <c r="A102" s="370">
        <v>49</v>
      </c>
      <c r="B102" s="370" t="str">
        <f t="shared" si="23"/>
        <v>W3 - 49</v>
      </c>
      <c r="C102" s="370">
        <f t="shared" si="24"/>
        <v>649</v>
      </c>
      <c r="D102" s="62" t="s">
        <v>348</v>
      </c>
      <c r="E102" s="63" t="s">
        <v>310</v>
      </c>
      <c r="F102" s="63" t="s">
        <v>181</v>
      </c>
      <c r="G102" s="63" t="s">
        <v>159</v>
      </c>
      <c r="H102" s="469">
        <v>1070250</v>
      </c>
      <c r="I102" s="270">
        <v>7135</v>
      </c>
      <c r="J102" s="166">
        <f>IFERROR(VLOOKUP(C102, 'Existing Building Market Values'!$B$5:$F$41, 5, 0), 0)</f>
        <v>68550</v>
      </c>
      <c r="K102" s="457">
        <f t="shared" si="21"/>
        <v>1138800</v>
      </c>
      <c r="L102" s="445">
        <f t="shared" si="22"/>
        <v>159.60756832515767</v>
      </c>
    </row>
    <row r="103" spans="1:12">
      <c r="A103" s="370">
        <v>50</v>
      </c>
      <c r="B103" s="370" t="str">
        <f t="shared" si="23"/>
        <v>W3 - 50</v>
      </c>
      <c r="C103" s="370">
        <f t="shared" si="24"/>
        <v>650</v>
      </c>
      <c r="D103" s="62" t="s">
        <v>349</v>
      </c>
      <c r="E103" s="63" t="s">
        <v>310</v>
      </c>
      <c r="F103" s="63" t="s">
        <v>181</v>
      </c>
      <c r="G103" s="63" t="s">
        <v>159</v>
      </c>
      <c r="H103" s="469">
        <v>1070250</v>
      </c>
      <c r="I103" s="270">
        <v>7135</v>
      </c>
      <c r="J103" s="166">
        <f>IFERROR(VLOOKUP(C103, 'Existing Building Market Values'!$B$5:$F$41, 5, 0), 0)</f>
        <v>174549</v>
      </c>
      <c r="K103" s="457">
        <f t="shared" si="21"/>
        <v>1244799</v>
      </c>
      <c r="L103" s="445">
        <f t="shared" si="22"/>
        <v>174.46377014716188</v>
      </c>
    </row>
    <row r="104" spans="1:12">
      <c r="A104" s="370">
        <v>51</v>
      </c>
      <c r="B104" s="370" t="str">
        <f t="shared" si="23"/>
        <v>W3 - 51</v>
      </c>
      <c r="C104" s="370">
        <f t="shared" si="24"/>
        <v>651</v>
      </c>
      <c r="D104" s="433" t="s">
        <v>350</v>
      </c>
      <c r="E104" s="239" t="s">
        <v>310</v>
      </c>
      <c r="F104" s="239" t="s">
        <v>181</v>
      </c>
      <c r="G104" s="239" t="s">
        <v>192</v>
      </c>
      <c r="H104" s="470">
        <v>2140500</v>
      </c>
      <c r="I104" s="471">
        <v>14270</v>
      </c>
      <c r="J104" s="167">
        <f>IFERROR(VLOOKUP(C104, 'Existing Building Market Values'!$B$5:$F$41, 5, 0), 0)</f>
        <v>0</v>
      </c>
      <c r="K104" s="458">
        <f t="shared" si="21"/>
        <v>2140500</v>
      </c>
      <c r="L104" s="446">
        <f t="shared" si="22"/>
        <v>150</v>
      </c>
    </row>
    <row r="105" spans="1:12" ht="13.5" thickBot="1">
      <c r="A105" s="370"/>
      <c r="B105" s="370"/>
      <c r="C105" s="370"/>
      <c r="D105" s="447" t="s">
        <v>363</v>
      </c>
      <c r="E105" s="794"/>
      <c r="F105" s="113"/>
      <c r="G105" s="113"/>
      <c r="H105" s="146">
        <f t="shared" ref="H105:K105" si="25">SUM(H95:H104)</f>
        <v>32528950</v>
      </c>
      <c r="I105" s="472">
        <f t="shared" si="25"/>
        <v>163202</v>
      </c>
      <c r="J105" s="148">
        <f t="shared" si="25"/>
        <v>4685349</v>
      </c>
      <c r="K105" s="459">
        <f t="shared" si="25"/>
        <v>37214299</v>
      </c>
      <c r="L105" s="448">
        <f t="shared" si="22"/>
        <v>228.02599845590129</v>
      </c>
    </row>
    <row r="106" spans="1:12" ht="4.5" customHeight="1" thickBot="1">
      <c r="A106" s="370"/>
      <c r="B106" s="370"/>
      <c r="C106" s="370"/>
      <c r="D106" s="62"/>
      <c r="E106" s="63"/>
      <c r="F106" s="68"/>
      <c r="G106" s="68"/>
      <c r="H106" s="62"/>
      <c r="I106" s="105"/>
      <c r="J106" s="105"/>
      <c r="K106" s="455"/>
      <c r="L106" s="105"/>
    </row>
    <row r="107" spans="1:12" ht="4.5" customHeight="1">
      <c r="A107" s="370"/>
      <c r="B107" s="370"/>
      <c r="C107" s="370"/>
      <c r="D107" s="452"/>
      <c r="E107" s="796"/>
      <c r="F107" s="315"/>
      <c r="G107" s="315"/>
      <c r="H107" s="466"/>
      <c r="I107" s="473"/>
      <c r="J107" s="467"/>
      <c r="K107" s="461"/>
      <c r="L107" s="453"/>
    </row>
    <row r="108" spans="1:12" ht="13.5" thickBot="1">
      <c r="A108" s="370"/>
      <c r="B108" s="370"/>
      <c r="C108" s="370"/>
      <c r="D108" s="447" t="s">
        <v>193</v>
      </c>
      <c r="E108" s="794"/>
      <c r="F108" s="113"/>
      <c r="G108" s="113"/>
      <c r="H108" s="146">
        <f t="shared" ref="H108:K108" si="26">SUM(H10,H25,H45,H73,H92,H105)</f>
        <v>153717942</v>
      </c>
      <c r="I108" s="472">
        <f t="shared" si="26"/>
        <v>829965.4</v>
      </c>
      <c r="J108" s="148">
        <f t="shared" si="26"/>
        <v>82076203</v>
      </c>
      <c r="K108" s="459">
        <f t="shared" si="26"/>
        <v>235794145</v>
      </c>
      <c r="L108" s="448">
        <f>K108/I108</f>
        <v>284.10117457908484</v>
      </c>
    </row>
    <row r="109" spans="1:12">
      <c r="A109" s="370"/>
      <c r="B109" s="370"/>
      <c r="C109" s="370"/>
    </row>
  </sheetData>
  <printOptions horizontalCentered="1"/>
  <pageMargins left="0.45" right="0.45" top="0.5" bottom="0.5" header="0.3" footer="0.3"/>
  <pageSetup scale="67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0"/>
  <sheetViews>
    <sheetView zoomScale="70" zoomScaleNormal="70" workbookViewId="0">
      <selection activeCell="I19" sqref="I19"/>
    </sheetView>
  </sheetViews>
  <sheetFormatPr defaultColWidth="9.1796875" defaultRowHeight="12.5"/>
  <cols>
    <col min="1" max="1" width="24.1796875" style="38" customWidth="1"/>
    <col min="2" max="2" width="3.81640625" style="38" bestFit="1" customWidth="1"/>
    <col min="3" max="4" width="13.7265625" style="38" customWidth="1"/>
    <col min="5" max="5" width="20.81640625" style="38" bestFit="1" customWidth="1"/>
    <col min="6" max="6" width="15.54296875" style="38" customWidth="1"/>
    <col min="7" max="7" width="9" style="38" customWidth="1"/>
    <col min="8" max="8" width="11.1796875" style="38" customWidth="1"/>
    <col min="9" max="16384" width="9.1796875" style="38"/>
  </cols>
  <sheetData>
    <row r="1" spans="1:6" ht="13">
      <c r="A1" s="49" t="s">
        <v>80</v>
      </c>
      <c r="B1" s="50"/>
      <c r="C1" s="440"/>
      <c r="D1" s="440"/>
      <c r="E1" s="440"/>
      <c r="F1" s="388"/>
    </row>
    <row r="2" spans="1:6" ht="13.5" thickBot="1">
      <c r="A2" s="52" t="s">
        <v>194</v>
      </c>
      <c r="B2" s="53"/>
      <c r="C2" s="441"/>
      <c r="D2" s="441"/>
      <c r="E2" s="441"/>
      <c r="F2" s="389"/>
    </row>
    <row r="3" spans="1:6" ht="13">
      <c r="A3" s="123"/>
      <c r="B3" s="315"/>
      <c r="C3" s="315"/>
      <c r="D3" s="315"/>
      <c r="E3" s="373" t="s">
        <v>195</v>
      </c>
      <c r="F3" s="443" t="s">
        <v>195</v>
      </c>
    </row>
    <row r="4" spans="1:6" ht="13.5" thickBot="1">
      <c r="A4" s="110" t="s">
        <v>196</v>
      </c>
      <c r="B4" s="111" t="s">
        <v>453</v>
      </c>
      <c r="C4" s="136" t="s">
        <v>187</v>
      </c>
      <c r="D4" s="136" t="s">
        <v>188</v>
      </c>
      <c r="E4" s="136" t="s">
        <v>197</v>
      </c>
      <c r="F4" s="180" t="s">
        <v>198</v>
      </c>
    </row>
    <row r="5" spans="1:6">
      <c r="A5" s="123" t="s">
        <v>372</v>
      </c>
      <c r="B5" s="315">
        <v>101</v>
      </c>
      <c r="C5" s="203" t="s">
        <v>452</v>
      </c>
      <c r="D5" s="203" t="str">
        <f>VLOOKUP($B5, 'Land Values'!$C$7:$I$104, 3, 1)</f>
        <v>Not Owned</v>
      </c>
      <c r="E5" s="203" t="str">
        <f>VLOOKUP($B5, 'Land Values'!$C$7:$I$104, 5, 1)</f>
        <v>Multifamily</v>
      </c>
      <c r="F5" s="804">
        <v>70512950</v>
      </c>
    </row>
    <row r="6" spans="1:6">
      <c r="A6" s="62" t="s">
        <v>386</v>
      </c>
      <c r="B6" s="68">
        <v>204</v>
      </c>
      <c r="C6" s="63" t="s">
        <v>416</v>
      </c>
      <c r="D6" s="63" t="str">
        <f>VLOOKUP(B6, 'Land Values'!$C$7:$I$104, 3, 1)</f>
        <v>Owned</v>
      </c>
      <c r="E6" s="63" t="str">
        <f>VLOOKUP($B6, 'Land Values'!$C$7:$I$104, 5, 1)</f>
        <v>Warehouse</v>
      </c>
      <c r="F6" s="464">
        <v>347609</v>
      </c>
    </row>
    <row r="7" spans="1:6">
      <c r="A7" s="62" t="s">
        <v>380</v>
      </c>
      <c r="B7" s="68">
        <v>207</v>
      </c>
      <c r="C7" s="63" t="s">
        <v>417</v>
      </c>
      <c r="D7" s="63" t="str">
        <f>VLOOKUP(B7, 'Land Values'!$C$7:$I$104, 3, 1)</f>
        <v>Owned</v>
      </c>
      <c r="E7" s="63" t="str">
        <f>VLOOKUP($B7, 'Land Values'!$C$7:$I$104, 5, 1)</f>
        <v>Warehouse</v>
      </c>
      <c r="F7" s="464">
        <v>73287</v>
      </c>
    </row>
    <row r="8" spans="1:6">
      <c r="A8" s="62" t="s">
        <v>381</v>
      </c>
      <c r="B8" s="68">
        <v>209</v>
      </c>
      <c r="C8" s="63" t="s">
        <v>418</v>
      </c>
      <c r="D8" s="63" t="str">
        <f>VLOOKUP(B8, 'Land Values'!$C$7:$I$104, 3, 1)</f>
        <v>Not Owned</v>
      </c>
      <c r="E8" s="63" t="str">
        <f>VLOOKUP($B8, 'Land Values'!$C$7:$I$104, 5, 1)</f>
        <v>Single Family Residential</v>
      </c>
      <c r="F8" s="464">
        <v>38419</v>
      </c>
    </row>
    <row r="9" spans="1:6">
      <c r="A9" s="62" t="s">
        <v>382</v>
      </c>
      <c r="B9" s="68">
        <v>211</v>
      </c>
      <c r="C9" s="63" t="s">
        <v>419</v>
      </c>
      <c r="D9" s="63" t="str">
        <f>VLOOKUP(B9, 'Land Values'!$C$7:$I$104, 3, 1)</f>
        <v>Not Owned</v>
      </c>
      <c r="E9" s="63" t="str">
        <f>VLOOKUP($B9, 'Land Values'!$C$7:$I$104, 5, 1)</f>
        <v>Municipal Park</v>
      </c>
      <c r="F9" s="464">
        <v>31831</v>
      </c>
    </row>
    <row r="10" spans="1:6">
      <c r="A10" s="62" t="s">
        <v>387</v>
      </c>
      <c r="B10" s="68">
        <v>215</v>
      </c>
      <c r="C10" s="63" t="s">
        <v>420</v>
      </c>
      <c r="D10" s="63" t="str">
        <f>VLOOKUP(B10, 'Land Values'!$C$7:$I$104, 3, 1)</f>
        <v>Not Owned</v>
      </c>
      <c r="E10" s="63" t="str">
        <f>VLOOKUP($B10, 'Land Values'!$C$7:$I$104, 5, 1)</f>
        <v>Municipal Park</v>
      </c>
      <c r="F10" s="464">
        <v>14508</v>
      </c>
    </row>
    <row r="11" spans="1:6">
      <c r="A11" s="62" t="s">
        <v>383</v>
      </c>
      <c r="B11" s="68">
        <v>316</v>
      </c>
      <c r="C11" s="63" t="s">
        <v>421</v>
      </c>
      <c r="D11" s="63" t="str">
        <f>VLOOKUP(B11, 'Land Values'!$C$7:$I$104, 3, 1)</f>
        <v>Owned</v>
      </c>
      <c r="E11" s="63" t="str">
        <f>VLOOKUP($B11, 'Land Values'!$C$7:$I$104, 5, 1)</f>
        <v>Warehouse</v>
      </c>
      <c r="F11" s="464">
        <v>2408421</v>
      </c>
    </row>
    <row r="12" spans="1:6">
      <c r="A12" s="62" t="s">
        <v>384</v>
      </c>
      <c r="B12" s="68">
        <v>317</v>
      </c>
      <c r="C12" s="63" t="s">
        <v>422</v>
      </c>
      <c r="D12" s="63" t="str">
        <f>VLOOKUP(B12, 'Land Values'!$C$7:$I$104, 3, 1)</f>
        <v>Owned</v>
      </c>
      <c r="E12" s="63" t="str">
        <f>VLOOKUP($B12, 'Land Values'!$C$7:$I$104, 5, 1)</f>
        <v>Warehouse</v>
      </c>
      <c r="F12" s="464">
        <v>24017</v>
      </c>
    </row>
    <row r="13" spans="1:6">
      <c r="A13" s="62" t="s">
        <v>385</v>
      </c>
      <c r="B13" s="68">
        <v>320</v>
      </c>
      <c r="C13" s="63" t="s">
        <v>423</v>
      </c>
      <c r="D13" s="63" t="str">
        <f>VLOOKUP(B13, 'Land Values'!$C$7:$I$104, 3, 1)</f>
        <v>Owned</v>
      </c>
      <c r="E13" s="63" t="str">
        <f>VLOOKUP($B13, 'Land Values'!$C$7:$I$104, 5, 1)</f>
        <v>Multifamily</v>
      </c>
      <c r="F13" s="464">
        <v>18403</v>
      </c>
    </row>
    <row r="14" spans="1:6">
      <c r="A14" s="62" t="s">
        <v>388</v>
      </c>
      <c r="B14" s="68">
        <v>322</v>
      </c>
      <c r="C14" s="63" t="s">
        <v>424</v>
      </c>
      <c r="D14" s="63" t="str">
        <f>VLOOKUP(B14, 'Land Values'!$C$7:$I$104, 3, 1)</f>
        <v>Not Owned</v>
      </c>
      <c r="E14" s="63" t="str">
        <f>VLOOKUP($B14, 'Land Values'!$C$7:$I$104, 5, 1)</f>
        <v>Retail</v>
      </c>
      <c r="F14" s="464">
        <v>286947</v>
      </c>
    </row>
    <row r="15" spans="1:6">
      <c r="A15" s="62" t="s">
        <v>389</v>
      </c>
      <c r="B15" s="68">
        <v>327</v>
      </c>
      <c r="C15" s="63" t="s">
        <v>425</v>
      </c>
      <c r="D15" s="63" t="str">
        <f>VLOOKUP(B15, 'Land Values'!$C$7:$I$104, 3, 1)</f>
        <v>Owned</v>
      </c>
      <c r="E15" s="63" t="str">
        <f>VLOOKUP($B15, 'Land Values'!$C$7:$I$104, 5, 1)</f>
        <v>Single Family Residential</v>
      </c>
      <c r="F15" s="464">
        <v>11404</v>
      </c>
    </row>
    <row r="16" spans="1:6">
      <c r="A16" s="62" t="s">
        <v>390</v>
      </c>
      <c r="B16" s="68">
        <v>328</v>
      </c>
      <c r="C16" s="63" t="s">
        <v>426</v>
      </c>
      <c r="D16" s="63" t="str">
        <f>VLOOKUP(B16, 'Land Values'!$C$7:$I$104, 3, 1)</f>
        <v>Owned</v>
      </c>
      <c r="E16" s="63" t="str">
        <f>VLOOKUP($B16, 'Land Values'!$C$7:$I$104, 5, 1)</f>
        <v>Single Family Residential</v>
      </c>
      <c r="F16" s="464">
        <v>37913</v>
      </c>
    </row>
    <row r="17" spans="1:6">
      <c r="A17" s="62" t="s">
        <v>391</v>
      </c>
      <c r="B17" s="68">
        <v>329</v>
      </c>
      <c r="C17" s="63" t="s">
        <v>427</v>
      </c>
      <c r="D17" s="63" t="str">
        <f>VLOOKUP(B17, 'Land Values'!$C$7:$I$104, 3, 1)</f>
        <v>Owned</v>
      </c>
      <c r="E17" s="63" t="str">
        <f>VLOOKUP($B17, 'Land Values'!$C$7:$I$104, 5, 1)</f>
        <v>Warehouse</v>
      </c>
      <c r="F17" s="464">
        <v>144925</v>
      </c>
    </row>
    <row r="18" spans="1:6">
      <c r="A18" s="62" t="s">
        <v>392</v>
      </c>
      <c r="B18" s="68">
        <v>331</v>
      </c>
      <c r="C18" s="63" t="s">
        <v>428</v>
      </c>
      <c r="D18" s="63" t="str">
        <f>VLOOKUP(B18, 'Land Values'!$C$7:$I$104, 3, 1)</f>
        <v>Not Owned</v>
      </c>
      <c r="E18" s="63" t="str">
        <f>VLOOKUP($B18, 'Land Values'!$C$7:$I$104, 5, 1)</f>
        <v>Retail</v>
      </c>
      <c r="F18" s="464">
        <v>275179</v>
      </c>
    </row>
    <row r="19" spans="1:6">
      <c r="A19" s="62" t="s">
        <v>393</v>
      </c>
      <c r="B19" s="68">
        <v>404</v>
      </c>
      <c r="C19" s="63" t="s">
        <v>429</v>
      </c>
      <c r="D19" s="63" t="str">
        <f>VLOOKUP(B19, 'Land Values'!$C$7:$I$104, 3, 1)</f>
        <v>Owned</v>
      </c>
      <c r="E19" s="63" t="str">
        <f>VLOOKUP($B19, 'Land Values'!$C$7:$I$104, 5, 1)</f>
        <v>Restaurant</v>
      </c>
      <c r="F19" s="464">
        <v>118613</v>
      </c>
    </row>
    <row r="20" spans="1:6">
      <c r="A20" s="62" t="s">
        <v>394</v>
      </c>
      <c r="B20" s="68">
        <v>407</v>
      </c>
      <c r="C20" s="63" t="s">
        <v>430</v>
      </c>
      <c r="D20" s="63" t="str">
        <f>VLOOKUP(B20, 'Land Values'!$C$7:$I$104, 3, 1)</f>
        <v>Owned</v>
      </c>
      <c r="E20" s="63" t="str">
        <f>VLOOKUP($B20, 'Land Values'!$C$7:$I$104, 5, 1)</f>
        <v>Warehouse</v>
      </c>
      <c r="F20" s="464">
        <v>207853</v>
      </c>
    </row>
    <row r="21" spans="1:6">
      <c r="A21" s="62" t="s">
        <v>395</v>
      </c>
      <c r="B21" s="68">
        <v>408</v>
      </c>
      <c r="C21" s="63" t="s">
        <v>431</v>
      </c>
      <c r="D21" s="63" t="str">
        <f>VLOOKUP(B21, 'Land Values'!$C$7:$I$104, 3, 1)</f>
        <v>Owned</v>
      </c>
      <c r="E21" s="63" t="str">
        <f>VLOOKUP($B21, 'Land Values'!$C$7:$I$104, 5, 1)</f>
        <v>Warehouse</v>
      </c>
      <c r="F21" s="464">
        <v>136446</v>
      </c>
    </row>
    <row r="22" spans="1:6">
      <c r="A22" s="62" t="s">
        <v>396</v>
      </c>
      <c r="B22" s="68">
        <v>412</v>
      </c>
      <c r="C22" s="63" t="s">
        <v>432</v>
      </c>
      <c r="D22" s="63" t="str">
        <f>VLOOKUP(B22, 'Land Values'!$C$7:$I$104, 3, 1)</f>
        <v>Not Owned</v>
      </c>
      <c r="E22" s="63" t="str">
        <f>VLOOKUP($B22, 'Land Values'!$C$7:$I$104, 5, 1)</f>
        <v>School</v>
      </c>
      <c r="F22" s="464">
        <v>381477</v>
      </c>
    </row>
    <row r="23" spans="1:6">
      <c r="A23" s="62" t="s">
        <v>397</v>
      </c>
      <c r="B23" s="68">
        <v>415</v>
      </c>
      <c r="C23" s="63" t="s">
        <v>433</v>
      </c>
      <c r="D23" s="63" t="str">
        <f>VLOOKUP(B23, 'Land Values'!$C$7:$I$104, 3, 1)</f>
        <v>Not Owned</v>
      </c>
      <c r="E23" s="63" t="str">
        <f>VLOOKUP($B23, 'Land Values'!$C$7:$I$104, 5, 1)</f>
        <v>Single Family Residential</v>
      </c>
      <c r="F23" s="464">
        <v>13787</v>
      </c>
    </row>
    <row r="24" spans="1:6">
      <c r="A24" s="62" t="s">
        <v>398</v>
      </c>
      <c r="B24" s="68">
        <v>416</v>
      </c>
      <c r="C24" s="63" t="s">
        <v>434</v>
      </c>
      <c r="D24" s="63" t="str">
        <f>VLOOKUP(B24, 'Land Values'!$C$7:$I$104, 3, 1)</f>
        <v>Not Owned</v>
      </c>
      <c r="E24" s="63" t="str">
        <f>VLOOKUP($B24, 'Land Values'!$C$7:$I$104, 5, 1)</f>
        <v>Office</v>
      </c>
      <c r="F24" s="464">
        <v>83340</v>
      </c>
    </row>
    <row r="25" spans="1:6">
      <c r="A25" s="62" t="s">
        <v>399</v>
      </c>
      <c r="B25" s="68">
        <v>417</v>
      </c>
      <c r="C25" s="63" t="s">
        <v>435</v>
      </c>
      <c r="D25" s="63" t="str">
        <f>VLOOKUP(B25, 'Land Values'!$C$7:$I$104, 3, 1)</f>
        <v>Not Owned</v>
      </c>
      <c r="E25" s="63" t="str">
        <f>VLOOKUP($B25, 'Land Values'!$C$7:$I$104, 5, 1)</f>
        <v>Retail</v>
      </c>
      <c r="F25" s="464">
        <v>29816</v>
      </c>
    </row>
    <row r="26" spans="1:6">
      <c r="A26" s="62" t="s">
        <v>400</v>
      </c>
      <c r="B26" s="68">
        <v>425</v>
      </c>
      <c r="C26" s="63" t="s">
        <v>436</v>
      </c>
      <c r="D26" s="63" t="str">
        <f>VLOOKUP(B26, 'Land Values'!$C$7:$I$104, 3, 1)</f>
        <v>Owned</v>
      </c>
      <c r="E26" s="63" t="str">
        <f>VLOOKUP($B26, 'Land Values'!$C$7:$I$104, 5, 1)</f>
        <v>Warehouse</v>
      </c>
      <c r="F26" s="464">
        <v>179737</v>
      </c>
    </row>
    <row r="27" spans="1:6">
      <c r="A27" s="62" t="s">
        <v>401</v>
      </c>
      <c r="B27" s="68">
        <v>526</v>
      </c>
      <c r="C27" s="63" t="s">
        <v>437</v>
      </c>
      <c r="D27" s="63" t="str">
        <f>VLOOKUP(B27, 'Land Values'!$C$7:$I$104, 3, 1)</f>
        <v>Not Owned</v>
      </c>
      <c r="E27" s="63" t="str">
        <f>VLOOKUP($B27, 'Land Values'!$C$7:$I$104, 5, 1)</f>
        <v>Retail</v>
      </c>
      <c r="F27" s="464">
        <v>1029523</v>
      </c>
    </row>
    <row r="28" spans="1:6">
      <c r="A28" s="62" t="s">
        <v>402</v>
      </c>
      <c r="B28" s="68">
        <v>529</v>
      </c>
      <c r="C28" s="63" t="s">
        <v>438</v>
      </c>
      <c r="D28" s="63" t="str">
        <f>VLOOKUP(B28, 'Land Values'!$C$7:$I$104, 3, 1)</f>
        <v>Not Owned</v>
      </c>
      <c r="E28" s="63" t="str">
        <f>VLOOKUP($B28, 'Land Values'!$C$7:$I$104, 5, 1)</f>
        <v>Multifamily</v>
      </c>
      <c r="F28" s="464">
        <v>77211</v>
      </c>
    </row>
    <row r="29" spans="1:6">
      <c r="A29" s="62" t="s">
        <v>403</v>
      </c>
      <c r="B29" s="68">
        <v>531</v>
      </c>
      <c r="C29" s="63" t="s">
        <v>439</v>
      </c>
      <c r="D29" s="63" t="str">
        <f>VLOOKUP(B29, 'Land Values'!$C$7:$I$104, 3, 1)</f>
        <v>Owned</v>
      </c>
      <c r="E29" s="63" t="str">
        <f>VLOOKUP($B29, 'Land Values'!$C$7:$I$104, 5, 1)</f>
        <v>Warehouse</v>
      </c>
      <c r="F29" s="464">
        <v>43377</v>
      </c>
    </row>
    <row r="30" spans="1:6">
      <c r="A30" s="62" t="s">
        <v>404</v>
      </c>
      <c r="B30" s="68">
        <v>537</v>
      </c>
      <c r="C30" s="63" t="s">
        <v>440</v>
      </c>
      <c r="D30" s="63" t="str">
        <f>VLOOKUP(B30, 'Land Values'!$C$7:$I$104, 3, 1)</f>
        <v>Owned</v>
      </c>
      <c r="E30" s="63" t="str">
        <f>VLOOKUP($B30, 'Land Values'!$C$7:$I$104, 5, 1)</f>
        <v>Warehouse</v>
      </c>
      <c r="F30" s="464">
        <v>180271</v>
      </c>
    </row>
    <row r="31" spans="1:6">
      <c r="A31" s="62" t="s">
        <v>405</v>
      </c>
      <c r="B31" s="68">
        <v>538</v>
      </c>
      <c r="C31" s="63" t="s">
        <v>441</v>
      </c>
      <c r="D31" s="63" t="str">
        <f>VLOOKUP(B31, 'Land Values'!$C$7:$I$104, 3, 1)</f>
        <v>Not Owned</v>
      </c>
      <c r="E31" s="63" t="str">
        <f>VLOOKUP($B31, 'Land Values'!$C$7:$I$104, 5, 1)</f>
        <v>Warehouse</v>
      </c>
      <c r="F31" s="464">
        <v>143959</v>
      </c>
    </row>
    <row r="32" spans="1:6">
      <c r="A32" s="62" t="s">
        <v>406</v>
      </c>
      <c r="B32" s="68">
        <v>540</v>
      </c>
      <c r="C32" s="63" t="s">
        <v>442</v>
      </c>
      <c r="D32" s="63" t="str">
        <f>VLOOKUP(B32, 'Land Values'!$C$7:$I$104, 3, 1)</f>
        <v>Owned</v>
      </c>
      <c r="E32" s="63" t="str">
        <f>VLOOKUP($B32, 'Land Values'!$C$7:$I$104, 5, 1)</f>
        <v>Warehouse</v>
      </c>
      <c r="F32" s="464">
        <v>312750</v>
      </c>
    </row>
    <row r="33" spans="1:7">
      <c r="A33" s="62" t="s">
        <v>407</v>
      </c>
      <c r="B33" s="68">
        <v>541</v>
      </c>
      <c r="C33" s="63" t="s">
        <v>443</v>
      </c>
      <c r="D33" s="63" t="str">
        <f>VLOOKUP(B33, 'Land Values'!$C$7:$I$104, 3, 1)</f>
        <v>Owned</v>
      </c>
      <c r="E33" s="63" t="str">
        <f>VLOOKUP($B33, 'Land Values'!$C$7:$I$104, 5, 1)</f>
        <v>Warehouse</v>
      </c>
      <c r="F33" s="464">
        <v>226881</v>
      </c>
    </row>
    <row r="34" spans="1:7">
      <c r="A34" s="62" t="s">
        <v>408</v>
      </c>
      <c r="B34" s="68">
        <v>642</v>
      </c>
      <c r="C34" s="63" t="s">
        <v>444</v>
      </c>
      <c r="D34" s="63" t="str">
        <f>VLOOKUP(B34, 'Land Values'!$C$7:$I$104, 3, 1)</f>
        <v>Owned</v>
      </c>
      <c r="E34" s="63" t="str">
        <f>VLOOKUP($B34, 'Land Values'!$C$7:$I$104, 5, 1)</f>
        <v>Retail</v>
      </c>
      <c r="F34" s="464">
        <v>687915</v>
      </c>
    </row>
    <row r="35" spans="1:7">
      <c r="A35" s="62" t="s">
        <v>409</v>
      </c>
      <c r="B35" s="68">
        <v>643</v>
      </c>
      <c r="C35" s="63" t="s">
        <v>445</v>
      </c>
      <c r="D35" s="63" t="str">
        <f>VLOOKUP(B35, 'Land Values'!$C$7:$I$104, 3, 1)</f>
        <v>Not Owned</v>
      </c>
      <c r="E35" s="63" t="str">
        <f>VLOOKUP($B35, 'Land Values'!$C$7:$I$104, 5, 1)</f>
        <v>Vacant</v>
      </c>
      <c r="F35" s="464">
        <v>87370</v>
      </c>
    </row>
    <row r="36" spans="1:7">
      <c r="A36" s="62" t="s">
        <v>410</v>
      </c>
      <c r="B36" s="68">
        <v>644</v>
      </c>
      <c r="C36" s="63" t="s">
        <v>446</v>
      </c>
      <c r="D36" s="63" t="str">
        <f>VLOOKUP(B36, 'Land Values'!$C$7:$I$104, 3, 1)</f>
        <v>Not Owned</v>
      </c>
      <c r="E36" s="63" t="str">
        <f>VLOOKUP($B36, 'Land Values'!$C$7:$I$104, 5, 1)</f>
        <v>Parking - Non-Retail</v>
      </c>
      <c r="F36" s="464">
        <v>197543</v>
      </c>
    </row>
    <row r="37" spans="1:7">
      <c r="A37" s="62" t="s">
        <v>411</v>
      </c>
      <c r="B37" s="68">
        <v>645</v>
      </c>
      <c r="C37" s="63" t="s">
        <v>447</v>
      </c>
      <c r="D37" s="63" t="str">
        <f>VLOOKUP(B37, 'Land Values'!$C$7:$I$104, 3, 1)</f>
        <v>Owned</v>
      </c>
      <c r="E37" s="63" t="str">
        <f>VLOOKUP($B37, 'Land Values'!$C$7:$I$104, 5, 1)</f>
        <v>Warehouse</v>
      </c>
      <c r="F37" s="464">
        <v>1362341</v>
      </c>
    </row>
    <row r="38" spans="1:7">
      <c r="A38" s="62" t="s">
        <v>412</v>
      </c>
      <c r="B38" s="68">
        <v>646</v>
      </c>
      <c r="C38" s="63" t="s">
        <v>448</v>
      </c>
      <c r="D38" s="63" t="str">
        <f>VLOOKUP(B38, 'Land Values'!$C$7:$I$104, 3, 1)</f>
        <v>Owned</v>
      </c>
      <c r="E38" s="63" t="str">
        <f>VLOOKUP($B38, 'Land Values'!$C$7:$I$104, 5, 1)</f>
        <v>Retail</v>
      </c>
      <c r="F38" s="464">
        <v>217081</v>
      </c>
    </row>
    <row r="39" spans="1:7" ht="12" customHeight="1">
      <c r="A39" s="62" t="s">
        <v>413</v>
      </c>
      <c r="B39" s="68">
        <v>647</v>
      </c>
      <c r="C39" s="63" t="s">
        <v>449</v>
      </c>
      <c r="D39" s="63" t="str">
        <f>VLOOKUP(B39, 'Land Values'!$C$7:$I$104, 3, 1)</f>
        <v>Owned</v>
      </c>
      <c r="E39" s="63" t="str">
        <f>VLOOKUP($B39, 'Land Values'!$C$7:$I$104, 5, 1)</f>
        <v>Warehouse</v>
      </c>
      <c r="F39" s="464">
        <v>1890000</v>
      </c>
    </row>
    <row r="40" spans="1:7" ht="12" customHeight="1">
      <c r="A40" s="62" t="s">
        <v>414</v>
      </c>
      <c r="B40" s="68">
        <v>649</v>
      </c>
      <c r="C40" s="63" t="s">
        <v>450</v>
      </c>
      <c r="D40" s="63" t="str">
        <f>VLOOKUP(B40, 'Land Values'!$C$7:$I$104, 3, 1)</f>
        <v>Not Owned</v>
      </c>
      <c r="E40" s="63" t="str">
        <f>VLOOKUP($B40, 'Land Values'!$C$7:$I$104, 5, 1)</f>
        <v>Warehouse</v>
      </c>
      <c r="F40" s="464">
        <v>68550</v>
      </c>
      <c r="G40" s="454"/>
    </row>
    <row r="41" spans="1:7" ht="12" customHeight="1" thickBot="1">
      <c r="A41" s="65" t="s">
        <v>415</v>
      </c>
      <c r="B41" s="113">
        <v>650</v>
      </c>
      <c r="C41" s="66" t="s">
        <v>451</v>
      </c>
      <c r="D41" s="66" t="str">
        <f>VLOOKUP(B41, 'Land Values'!$C$7:$I$104, 3, 1)</f>
        <v>Not Owned</v>
      </c>
      <c r="E41" s="66" t="str">
        <f>VLOOKUP($B41, 'Land Values'!$C$7:$I$104, 5, 1)</f>
        <v>Warehouse</v>
      </c>
      <c r="F41" s="803">
        <v>174549</v>
      </c>
    </row>
    <row r="43" spans="1:7" ht="13">
      <c r="A43" s="821"/>
      <c r="B43" s="821"/>
      <c r="C43" s="821"/>
      <c r="D43" s="821"/>
      <c r="E43" s="821"/>
    </row>
    <row r="44" spans="1:7" ht="13">
      <c r="A44" s="444"/>
      <c r="B44" s="444"/>
      <c r="C44" s="68"/>
      <c r="D44" s="68"/>
      <c r="E44" s="68"/>
    </row>
    <row r="45" spans="1:7">
      <c r="A45" s="68"/>
      <c r="B45" s="68"/>
      <c r="C45" s="68"/>
      <c r="D45" s="68"/>
      <c r="E45" s="818"/>
    </row>
    <row r="46" spans="1:7">
      <c r="A46" s="68"/>
      <c r="B46" s="68"/>
      <c r="C46" s="68"/>
      <c r="D46" s="68"/>
      <c r="E46" s="819"/>
    </row>
    <row r="47" spans="1:7">
      <c r="A47" s="68"/>
      <c r="B47" s="68"/>
      <c r="C47" s="68"/>
      <c r="D47" s="68"/>
      <c r="E47" s="819"/>
    </row>
    <row r="48" spans="1:7">
      <c r="A48" s="68"/>
      <c r="B48" s="68"/>
      <c r="C48" s="68"/>
      <c r="D48" s="68"/>
      <c r="E48" s="820"/>
    </row>
    <row r="49" spans="1:5" ht="4.5" customHeight="1">
      <c r="A49" s="68"/>
      <c r="B49" s="68"/>
      <c r="C49" s="68"/>
      <c r="D49" s="68"/>
      <c r="E49" s="68"/>
    </row>
    <row r="50" spans="1:5" ht="13">
      <c r="A50" s="444"/>
      <c r="B50" s="444"/>
      <c r="C50" s="68"/>
      <c r="D50" s="68"/>
      <c r="E50" s="68"/>
    </row>
    <row r="51" spans="1:5">
      <c r="A51" s="68"/>
      <c r="B51" s="68"/>
      <c r="C51" s="68"/>
      <c r="D51" s="68"/>
      <c r="E51" s="818"/>
    </row>
    <row r="52" spans="1:5">
      <c r="A52" s="68"/>
      <c r="B52" s="68"/>
      <c r="C52" s="68"/>
      <c r="D52" s="68"/>
      <c r="E52" s="819"/>
    </row>
    <row r="53" spans="1:5">
      <c r="A53" s="68"/>
      <c r="B53" s="68"/>
      <c r="C53" s="68"/>
      <c r="D53" s="68"/>
      <c r="E53" s="819"/>
    </row>
    <row r="54" spans="1:5">
      <c r="A54" s="68"/>
      <c r="B54" s="68"/>
      <c r="C54" s="68"/>
      <c r="D54" s="68"/>
      <c r="E54" s="820"/>
    </row>
    <row r="55" spans="1:5" ht="4.5" customHeight="1">
      <c r="A55" s="68"/>
      <c r="B55" s="68"/>
      <c r="C55" s="68"/>
      <c r="D55" s="68"/>
      <c r="E55" s="68"/>
    </row>
    <row r="56" spans="1:5" ht="13">
      <c r="A56" s="444"/>
      <c r="B56" s="444"/>
      <c r="C56" s="68"/>
      <c r="D56" s="68"/>
      <c r="E56" s="68"/>
    </row>
    <row r="57" spans="1:5">
      <c r="A57" s="68"/>
      <c r="B57" s="68"/>
      <c r="C57" s="68"/>
      <c r="D57" s="68"/>
      <c r="E57" s="818"/>
    </row>
    <row r="58" spans="1:5">
      <c r="A58" s="68"/>
      <c r="B58" s="68"/>
      <c r="C58" s="68"/>
      <c r="D58" s="68"/>
      <c r="E58" s="819"/>
    </row>
    <row r="59" spans="1:5" s="68" customFormat="1">
      <c r="E59" s="819"/>
    </row>
    <row r="60" spans="1:5">
      <c r="A60" s="68"/>
      <c r="B60" s="68"/>
      <c r="C60" s="68"/>
      <c r="D60" s="68"/>
      <c r="E60" s="820"/>
    </row>
  </sheetData>
  <printOptions horizontalCentered="1"/>
  <pageMargins left="0.45" right="0.45" top="0.5" bottom="0.5" header="0.3" footer="0.3"/>
  <pageSetup scale="11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48"/>
  <sheetViews>
    <sheetView view="pageBreakPreview" zoomScale="70" zoomScaleNormal="85" zoomScaleSheetLayoutView="70" workbookViewId="0">
      <selection activeCell="E44" sqref="E44:E47"/>
    </sheetView>
  </sheetViews>
  <sheetFormatPr defaultColWidth="10" defaultRowHeight="12.5"/>
  <cols>
    <col min="1" max="1" width="37.81640625" style="370" customWidth="1"/>
    <col min="2" max="2" width="19" style="370" customWidth="1"/>
    <col min="3" max="3" width="19" style="392" customWidth="1"/>
    <col min="4" max="5" width="19" style="370" customWidth="1"/>
    <col min="6" max="16384" width="10" style="370"/>
  </cols>
  <sheetData>
    <row r="1" spans="1:5" s="38" customFormat="1" ht="13">
      <c r="A1" s="49" t="s">
        <v>80</v>
      </c>
      <c r="B1" s="50"/>
      <c r="C1" s="50"/>
      <c r="D1" s="50"/>
      <c r="E1" s="51"/>
    </row>
    <row r="2" spans="1:5" s="38" customFormat="1" ht="13.5" thickBot="1">
      <c r="A2" s="52" t="s">
        <v>135</v>
      </c>
      <c r="B2" s="53"/>
      <c r="C2" s="53"/>
      <c r="D2" s="53"/>
      <c r="E2" s="54"/>
    </row>
    <row r="3" spans="1:5" s="38" customFormat="1" ht="12.75" customHeight="1">
      <c r="A3" s="123"/>
      <c r="B3" s="373" t="s">
        <v>136</v>
      </c>
      <c r="C3" s="373" t="s">
        <v>137</v>
      </c>
      <c r="D3" s="373" t="s">
        <v>138</v>
      </c>
      <c r="E3" s="374" t="s">
        <v>31</v>
      </c>
    </row>
    <row r="4" spans="1:5" s="38" customFormat="1" ht="15.5" thickBot="1">
      <c r="A4" s="110" t="s">
        <v>139</v>
      </c>
      <c r="B4" s="136" t="s">
        <v>574</v>
      </c>
      <c r="C4" s="136" t="s">
        <v>140</v>
      </c>
      <c r="D4" s="136" t="s">
        <v>141</v>
      </c>
      <c r="E4" s="375" t="s">
        <v>140</v>
      </c>
    </row>
    <row r="5" spans="1:5" s="38" customFormat="1" ht="13">
      <c r="A5" s="62" t="s">
        <v>142</v>
      </c>
      <c r="B5" s="806">
        <v>130.94999999999999</v>
      </c>
      <c r="C5" s="376">
        <f t="shared" ref="C5:C29" si="0">B5*$B$38</f>
        <v>26.189999999999998</v>
      </c>
      <c r="D5" s="377">
        <f t="shared" ref="D5:D29" si="1">B5*$B$39</f>
        <v>5.2379999999999995</v>
      </c>
      <c r="E5" s="378">
        <f>SUM(B5:D5)</f>
        <v>162.37799999999999</v>
      </c>
    </row>
    <row r="6" spans="1:5" s="38" customFormat="1" ht="13">
      <c r="A6" s="62" t="s">
        <v>143</v>
      </c>
      <c r="B6" s="379">
        <v>175</v>
      </c>
      <c r="C6" s="380">
        <f t="shared" si="0"/>
        <v>35</v>
      </c>
      <c r="D6" s="381">
        <f t="shared" si="1"/>
        <v>7</v>
      </c>
      <c r="E6" s="382">
        <f t="shared" ref="E6:E33" si="2">SUM(B6:D6)</f>
        <v>217</v>
      </c>
    </row>
    <row r="7" spans="1:5" s="38" customFormat="1" ht="13">
      <c r="A7" s="62" t="s">
        <v>144</v>
      </c>
      <c r="B7" s="379">
        <v>225</v>
      </c>
      <c r="C7" s="380">
        <f t="shared" si="0"/>
        <v>45</v>
      </c>
      <c r="D7" s="381">
        <f t="shared" si="1"/>
        <v>9</v>
      </c>
      <c r="E7" s="382">
        <f t="shared" si="2"/>
        <v>279</v>
      </c>
    </row>
    <row r="8" spans="1:5" s="38" customFormat="1" ht="13">
      <c r="A8" s="62" t="s">
        <v>494</v>
      </c>
      <c r="B8" s="379">
        <v>80</v>
      </c>
      <c r="C8" s="380">
        <f t="shared" si="0"/>
        <v>16</v>
      </c>
      <c r="D8" s="381">
        <f t="shared" si="1"/>
        <v>3.2</v>
      </c>
      <c r="E8" s="382">
        <f t="shared" ref="E8" si="3">SUM(B8:D8)</f>
        <v>99.2</v>
      </c>
    </row>
    <row r="9" spans="1:5" s="38" customFormat="1" ht="13">
      <c r="A9" s="62" t="s">
        <v>145</v>
      </c>
      <c r="B9" s="379">
        <v>170.36</v>
      </c>
      <c r="C9" s="380">
        <f t="shared" si="0"/>
        <v>34.072000000000003</v>
      </c>
      <c r="D9" s="381">
        <f t="shared" si="1"/>
        <v>6.8144000000000009</v>
      </c>
      <c r="E9" s="382">
        <f t="shared" si="2"/>
        <v>211.24640000000002</v>
      </c>
    </row>
    <row r="10" spans="1:5" s="38" customFormat="1" ht="13">
      <c r="A10" s="62" t="s">
        <v>166</v>
      </c>
      <c r="B10" s="379">
        <v>195.21</v>
      </c>
      <c r="C10" s="380">
        <f t="shared" si="0"/>
        <v>39.042000000000002</v>
      </c>
      <c r="D10" s="381">
        <f t="shared" si="1"/>
        <v>7.8084000000000007</v>
      </c>
      <c r="E10" s="382">
        <f t="shared" si="2"/>
        <v>242.06040000000002</v>
      </c>
    </row>
    <row r="11" spans="1:5" s="38" customFormat="1" ht="13">
      <c r="A11" s="62" t="s">
        <v>146</v>
      </c>
      <c r="B11" s="379">
        <v>127.06</v>
      </c>
      <c r="C11" s="380">
        <f t="shared" si="0"/>
        <v>25.412000000000003</v>
      </c>
      <c r="D11" s="381">
        <f t="shared" si="1"/>
        <v>5.0823999999999998</v>
      </c>
      <c r="E11" s="382">
        <f t="shared" si="2"/>
        <v>157.55440000000002</v>
      </c>
    </row>
    <row r="12" spans="1:5" s="38" customFormat="1" ht="13">
      <c r="A12" s="62" t="s">
        <v>147</v>
      </c>
      <c r="B12" s="379">
        <v>105.75</v>
      </c>
      <c r="C12" s="380">
        <f t="shared" si="0"/>
        <v>21.150000000000002</v>
      </c>
      <c r="D12" s="381">
        <f t="shared" si="1"/>
        <v>4.2300000000000004</v>
      </c>
      <c r="E12" s="382">
        <f t="shared" si="2"/>
        <v>131.13</v>
      </c>
    </row>
    <row r="13" spans="1:5" s="38" customFormat="1" ht="13">
      <c r="A13" s="62" t="s">
        <v>148</v>
      </c>
      <c r="B13" s="379">
        <v>135.04</v>
      </c>
      <c r="C13" s="380">
        <f t="shared" si="0"/>
        <v>27.007999999999999</v>
      </c>
      <c r="D13" s="381">
        <f t="shared" si="1"/>
        <v>5.4016000000000002</v>
      </c>
      <c r="E13" s="382">
        <f t="shared" si="2"/>
        <v>167.4496</v>
      </c>
    </row>
    <row r="14" spans="1:5" s="38" customFormat="1" ht="13">
      <c r="A14" s="62" t="s">
        <v>149</v>
      </c>
      <c r="B14" s="379">
        <v>82.9</v>
      </c>
      <c r="C14" s="380">
        <f t="shared" si="0"/>
        <v>16.580000000000002</v>
      </c>
      <c r="D14" s="381">
        <f t="shared" si="1"/>
        <v>3.3160000000000003</v>
      </c>
      <c r="E14" s="382">
        <f t="shared" si="2"/>
        <v>102.79600000000001</v>
      </c>
    </row>
    <row r="15" spans="1:5" s="38" customFormat="1" ht="13">
      <c r="A15" s="62" t="s">
        <v>167</v>
      </c>
      <c r="B15" s="379">
        <v>125.27</v>
      </c>
      <c r="C15" s="380">
        <f t="shared" si="0"/>
        <v>25.054000000000002</v>
      </c>
      <c r="D15" s="381">
        <f t="shared" si="1"/>
        <v>5.0107999999999997</v>
      </c>
      <c r="E15" s="382">
        <f t="shared" si="2"/>
        <v>155.3348</v>
      </c>
    </row>
    <row r="16" spans="1:5" s="38" customFormat="1" ht="13">
      <c r="A16" s="62" t="s">
        <v>540</v>
      </c>
      <c r="B16" s="379">
        <v>47.91</v>
      </c>
      <c r="C16" s="380">
        <f t="shared" si="0"/>
        <v>9.581999999999999</v>
      </c>
      <c r="D16" s="381">
        <f t="shared" si="1"/>
        <v>1.9163999999999999</v>
      </c>
      <c r="E16" s="382">
        <f t="shared" si="2"/>
        <v>59.4084</v>
      </c>
    </row>
    <row r="17" spans="1:6" s="38" customFormat="1" ht="13">
      <c r="A17" s="62" t="s">
        <v>456</v>
      </c>
      <c r="B17" s="379">
        <v>134.99</v>
      </c>
      <c r="C17" s="380">
        <f t="shared" si="0"/>
        <v>26.998000000000005</v>
      </c>
      <c r="D17" s="381">
        <f t="shared" si="1"/>
        <v>5.3996000000000004</v>
      </c>
      <c r="E17" s="382">
        <f t="shared" si="2"/>
        <v>167.38759999999999</v>
      </c>
    </row>
    <row r="18" spans="1:6" s="38" customFormat="1" ht="13">
      <c r="A18" s="62" t="s">
        <v>150</v>
      </c>
      <c r="B18" s="379">
        <v>404</v>
      </c>
      <c r="C18" s="380">
        <f t="shared" si="0"/>
        <v>80.800000000000011</v>
      </c>
      <c r="D18" s="381">
        <f t="shared" si="1"/>
        <v>16.16</v>
      </c>
      <c r="E18" s="382">
        <f t="shared" si="2"/>
        <v>500.96000000000004</v>
      </c>
      <c r="F18" s="951"/>
    </row>
    <row r="19" spans="1:6" s="38" customFormat="1" ht="13">
      <c r="A19" s="62" t="s">
        <v>151</v>
      </c>
      <c r="B19" s="379">
        <v>140.52000000000001</v>
      </c>
      <c r="C19" s="380">
        <f t="shared" si="0"/>
        <v>28.104000000000003</v>
      </c>
      <c r="D19" s="381">
        <f t="shared" si="1"/>
        <v>5.6208000000000009</v>
      </c>
      <c r="E19" s="382">
        <f t="shared" si="2"/>
        <v>174.24480000000003</v>
      </c>
    </row>
    <row r="20" spans="1:6" s="38" customFormat="1" ht="13">
      <c r="A20" s="62" t="s">
        <v>457</v>
      </c>
      <c r="B20" s="379">
        <v>163.61000000000001</v>
      </c>
      <c r="C20" s="380">
        <f t="shared" si="0"/>
        <v>32.722000000000001</v>
      </c>
      <c r="D20" s="381">
        <f t="shared" si="1"/>
        <v>6.5444000000000004</v>
      </c>
      <c r="E20" s="382">
        <f t="shared" si="2"/>
        <v>202.87640000000002</v>
      </c>
    </row>
    <row r="21" spans="1:6" s="38" customFormat="1" ht="13">
      <c r="A21" s="62" t="s">
        <v>458</v>
      </c>
      <c r="B21" s="379">
        <v>188.44</v>
      </c>
      <c r="C21" s="380">
        <f t="shared" si="0"/>
        <v>37.688000000000002</v>
      </c>
      <c r="D21" s="381">
        <f t="shared" si="1"/>
        <v>7.5376000000000003</v>
      </c>
      <c r="E21" s="382">
        <f t="shared" si="2"/>
        <v>233.66559999999998</v>
      </c>
    </row>
    <row r="22" spans="1:6" s="38" customFormat="1" ht="13">
      <c r="A22" s="62" t="s">
        <v>152</v>
      </c>
      <c r="B22" s="379">
        <v>136.16999999999999</v>
      </c>
      <c r="C22" s="380">
        <f t="shared" si="0"/>
        <v>27.233999999999998</v>
      </c>
      <c r="D22" s="381">
        <f t="shared" si="1"/>
        <v>5.4467999999999996</v>
      </c>
      <c r="E22" s="382">
        <f t="shared" si="2"/>
        <v>168.85079999999999</v>
      </c>
      <c r="F22" s="383"/>
    </row>
    <row r="23" spans="1:6" s="38" customFormat="1" ht="13">
      <c r="A23" s="62" t="s">
        <v>153</v>
      </c>
      <c r="B23" s="379">
        <v>169.95</v>
      </c>
      <c r="C23" s="380">
        <f t="shared" si="0"/>
        <v>33.99</v>
      </c>
      <c r="D23" s="381">
        <f t="shared" si="1"/>
        <v>6.798</v>
      </c>
      <c r="E23" s="382">
        <f t="shared" si="2"/>
        <v>210.738</v>
      </c>
    </row>
    <row r="24" spans="1:6" s="38" customFormat="1" ht="13">
      <c r="A24" s="62" t="s">
        <v>154</v>
      </c>
      <c r="B24" s="379">
        <v>150.94999999999999</v>
      </c>
      <c r="C24" s="380">
        <f t="shared" si="0"/>
        <v>30.189999999999998</v>
      </c>
      <c r="D24" s="381">
        <f t="shared" si="1"/>
        <v>6.0379999999999994</v>
      </c>
      <c r="E24" s="382">
        <f t="shared" si="2"/>
        <v>187.178</v>
      </c>
    </row>
    <row r="25" spans="1:6" s="38" customFormat="1" ht="13">
      <c r="A25" s="62" t="s">
        <v>155</v>
      </c>
      <c r="B25" s="379">
        <v>155</v>
      </c>
      <c r="C25" s="380">
        <f t="shared" si="0"/>
        <v>31</v>
      </c>
      <c r="D25" s="381">
        <f t="shared" si="1"/>
        <v>6.2</v>
      </c>
      <c r="E25" s="382">
        <f t="shared" si="2"/>
        <v>192.2</v>
      </c>
    </row>
    <row r="26" spans="1:6" s="38" customFormat="1" ht="13">
      <c r="A26" s="62" t="s">
        <v>156</v>
      </c>
      <c r="B26" s="379">
        <v>200</v>
      </c>
      <c r="C26" s="380">
        <f t="shared" si="0"/>
        <v>40</v>
      </c>
      <c r="D26" s="381">
        <f t="shared" si="1"/>
        <v>8</v>
      </c>
      <c r="E26" s="382">
        <f t="shared" si="2"/>
        <v>248</v>
      </c>
    </row>
    <row r="27" spans="1:6" s="38" customFormat="1" ht="13">
      <c r="A27" s="62" t="s">
        <v>157</v>
      </c>
      <c r="B27" s="379">
        <v>177.44</v>
      </c>
      <c r="C27" s="380">
        <f t="shared" si="0"/>
        <v>35.488</v>
      </c>
      <c r="D27" s="381">
        <f t="shared" si="1"/>
        <v>7.0975999999999999</v>
      </c>
      <c r="E27" s="382">
        <f t="shared" si="2"/>
        <v>220.0256</v>
      </c>
    </row>
    <row r="28" spans="1:6" s="38" customFormat="1" ht="13">
      <c r="A28" s="62" t="s">
        <v>459</v>
      </c>
      <c r="B28" s="379">
        <v>160</v>
      </c>
      <c r="C28" s="380">
        <f t="shared" si="0"/>
        <v>32</v>
      </c>
      <c r="D28" s="381">
        <f t="shared" si="1"/>
        <v>6.4</v>
      </c>
      <c r="E28" s="382">
        <f t="shared" si="2"/>
        <v>198.4</v>
      </c>
    </row>
    <row r="29" spans="1:6" s="38" customFormat="1" ht="13">
      <c r="A29" s="62" t="s">
        <v>460</v>
      </c>
      <c r="B29" s="379">
        <v>105.02</v>
      </c>
      <c r="C29" s="380">
        <f t="shared" si="0"/>
        <v>21.004000000000001</v>
      </c>
      <c r="D29" s="381">
        <f t="shared" si="1"/>
        <v>4.2008000000000001</v>
      </c>
      <c r="E29" s="382">
        <f t="shared" si="2"/>
        <v>130.22479999999999</v>
      </c>
    </row>
    <row r="30" spans="1:6" s="38" customFormat="1" ht="13">
      <c r="A30" s="62" t="s">
        <v>49</v>
      </c>
      <c r="B30" s="379">
        <v>87.87</v>
      </c>
      <c r="C30" s="380">
        <f t="shared" ref="C30" si="4">B30*$B$38</f>
        <v>17.574000000000002</v>
      </c>
      <c r="D30" s="381">
        <f t="shared" ref="D30" si="5">B30*$B$39</f>
        <v>3.5148000000000001</v>
      </c>
      <c r="E30" s="382">
        <f t="shared" ref="E30" si="6">SUM(B30:D30)</f>
        <v>108.9588</v>
      </c>
    </row>
    <row r="31" spans="1:6" s="68" customFormat="1" ht="13">
      <c r="A31" s="62" t="s">
        <v>158</v>
      </c>
      <c r="B31" s="379">
        <v>130</v>
      </c>
      <c r="C31" s="380">
        <f>B31*$B$38</f>
        <v>26</v>
      </c>
      <c r="D31" s="381">
        <f>B31*$B$39</f>
        <v>5.2</v>
      </c>
      <c r="E31" s="382">
        <f t="shared" ref="E31:E32" si="7">SUM(B31:D31)</f>
        <v>161.19999999999999</v>
      </c>
    </row>
    <row r="32" spans="1:6" s="68" customFormat="1" ht="13">
      <c r="A32" s="62" t="s">
        <v>493</v>
      </c>
      <c r="B32" s="379">
        <v>127.94</v>
      </c>
      <c r="C32" s="380">
        <f>B32*$B$38</f>
        <v>25.588000000000001</v>
      </c>
      <c r="D32" s="381">
        <f>B32*$B$39</f>
        <v>5.1176000000000004</v>
      </c>
      <c r="E32" s="382">
        <f t="shared" si="7"/>
        <v>158.6456</v>
      </c>
    </row>
    <row r="33" spans="1:6" ht="13.5" thickBot="1">
      <c r="A33" s="65" t="s">
        <v>159</v>
      </c>
      <c r="B33" s="384">
        <v>77.62</v>
      </c>
      <c r="C33" s="385">
        <f>B33*$B$38</f>
        <v>15.524000000000001</v>
      </c>
      <c r="D33" s="386">
        <f>B33*$B$39</f>
        <v>3.1048000000000004</v>
      </c>
      <c r="E33" s="387">
        <f t="shared" si="2"/>
        <v>96.248800000000003</v>
      </c>
      <c r="F33" s="38"/>
    </row>
    <row r="34" spans="1:6">
      <c r="A34" s="38" t="s">
        <v>461</v>
      </c>
      <c r="B34" s="38"/>
      <c r="C34" s="56"/>
      <c r="D34" s="38"/>
      <c r="E34" s="38"/>
      <c r="F34" s="38"/>
    </row>
    <row r="35" spans="1:6">
      <c r="A35" s="38" t="s">
        <v>575</v>
      </c>
      <c r="B35" s="38"/>
      <c r="C35" s="56"/>
      <c r="D35" s="38"/>
      <c r="E35" s="38"/>
      <c r="F35" s="38"/>
    </row>
    <row r="36" spans="1:6" ht="13" thickBot="1">
      <c r="A36" s="38"/>
      <c r="B36" s="38"/>
      <c r="C36" s="56"/>
      <c r="D36" s="38"/>
      <c r="E36" s="38"/>
      <c r="F36" s="38"/>
    </row>
    <row r="37" spans="1:6" ht="13.5" thickBot="1">
      <c r="A37" s="126" t="s">
        <v>14</v>
      </c>
      <c r="B37" s="128"/>
      <c r="C37" s="63"/>
      <c r="D37" s="38"/>
      <c r="E37" s="807"/>
      <c r="F37" s="38"/>
    </row>
    <row r="38" spans="1:6">
      <c r="A38" s="62" t="s">
        <v>160</v>
      </c>
      <c r="B38" s="393">
        <v>0.2</v>
      </c>
      <c r="C38" s="63"/>
      <c r="D38" s="68"/>
      <c r="E38" s="68"/>
      <c r="F38" s="38"/>
    </row>
    <row r="39" spans="1:6" ht="13" thickBot="1">
      <c r="A39" s="65" t="s">
        <v>161</v>
      </c>
      <c r="B39" s="394">
        <v>0.04</v>
      </c>
      <c r="C39" s="63"/>
      <c r="D39" s="68"/>
      <c r="E39" s="68"/>
      <c r="F39" s="38"/>
    </row>
    <row r="40" spans="1:6" ht="13.5" thickBot="1">
      <c r="A40" s="55"/>
      <c r="B40" s="38"/>
      <c r="C40" s="56"/>
      <c r="D40" s="38"/>
      <c r="E40" s="38"/>
      <c r="F40" s="38"/>
    </row>
    <row r="41" spans="1:6" ht="13">
      <c r="A41" s="49" t="s">
        <v>80</v>
      </c>
      <c r="B41" s="388"/>
      <c r="C41" s="56"/>
      <c r="D41" s="38"/>
      <c r="E41" s="38"/>
      <c r="F41" s="38"/>
    </row>
    <row r="42" spans="1:6" ht="13.5" thickBot="1">
      <c r="A42" s="52" t="s">
        <v>162</v>
      </c>
      <c r="B42" s="389"/>
      <c r="C42" s="56"/>
      <c r="D42" s="38"/>
      <c r="E42" s="38"/>
      <c r="F42" s="38"/>
    </row>
    <row r="43" spans="1:6" ht="13.5" thickBot="1">
      <c r="A43" s="80" t="s">
        <v>163</v>
      </c>
      <c r="B43" s="84" t="s">
        <v>164</v>
      </c>
      <c r="C43" s="56"/>
      <c r="D43" s="38"/>
      <c r="E43" s="38"/>
      <c r="F43" s="38"/>
    </row>
    <row r="44" spans="1:6">
      <c r="A44" s="62" t="s">
        <v>576</v>
      </c>
      <c r="B44" s="395">
        <v>65</v>
      </c>
      <c r="C44" s="56"/>
      <c r="D44" s="38"/>
      <c r="E44" s="38"/>
      <c r="F44" s="38"/>
    </row>
    <row r="45" spans="1:6">
      <c r="A45" s="62" t="s">
        <v>132</v>
      </c>
      <c r="B45" s="396">
        <v>30</v>
      </c>
      <c r="C45" s="56"/>
      <c r="D45" s="38"/>
      <c r="E45" s="38"/>
      <c r="F45" s="38"/>
    </row>
    <row r="46" spans="1:6">
      <c r="A46" s="62" t="s">
        <v>596</v>
      </c>
      <c r="B46" s="396">
        <v>35</v>
      </c>
      <c r="C46" s="56"/>
      <c r="D46" s="38"/>
      <c r="E46" s="38"/>
      <c r="F46" s="38"/>
    </row>
    <row r="47" spans="1:6" ht="13" thickBot="1">
      <c r="A47" s="65" t="s">
        <v>577</v>
      </c>
      <c r="B47" s="397">
        <v>30</v>
      </c>
      <c r="C47" s="56"/>
      <c r="D47" s="38"/>
      <c r="E47" s="38"/>
      <c r="F47" s="38"/>
    </row>
    <row r="48" spans="1:6">
      <c r="A48" s="38"/>
      <c r="B48" s="38"/>
      <c r="C48" s="56"/>
      <c r="D48" s="38"/>
      <c r="E48" s="38"/>
      <c r="F48" s="38"/>
    </row>
  </sheetData>
  <printOptions horizontalCentered="1"/>
  <pageMargins left="0.45" right="0.45" top="0.5" bottom="0.5" header="0.3" footer="0.3"/>
  <pageSetup scale="8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7"/>
  <sheetViews>
    <sheetView workbookViewId="0">
      <selection activeCell="A14" sqref="A14"/>
    </sheetView>
  </sheetViews>
  <sheetFormatPr defaultColWidth="9.1796875" defaultRowHeight="12.5"/>
  <cols>
    <col min="1" max="1" width="34.54296875" style="503" customWidth="1"/>
    <col min="2" max="2" width="21.453125" style="503" customWidth="1"/>
    <col min="3" max="3" width="16" style="503" customWidth="1"/>
    <col min="4" max="4" width="19.54296875" style="503" bestFit="1" customWidth="1"/>
    <col min="5" max="5" width="15.7265625" style="503" bestFit="1" customWidth="1"/>
    <col min="6" max="6" width="10.1796875" style="503" bestFit="1" customWidth="1"/>
    <col min="7" max="7" width="12.1796875" style="503" bestFit="1" customWidth="1"/>
    <col min="8" max="16384" width="9.1796875" style="503"/>
  </cols>
  <sheetData>
    <row r="1" spans="1:7" ht="13">
      <c r="A1" s="49" t="s">
        <v>80</v>
      </c>
      <c r="B1" s="510"/>
      <c r="C1" s="511"/>
    </row>
    <row r="2" spans="1:7" ht="13.5" thickBot="1">
      <c r="A2" s="52" t="s">
        <v>221</v>
      </c>
      <c r="B2" s="512"/>
      <c r="C2" s="513"/>
    </row>
    <row r="3" spans="1:7" ht="3" customHeight="1">
      <c r="A3" s="507"/>
      <c r="B3" s="505"/>
      <c r="C3" s="336"/>
    </row>
    <row r="4" spans="1:7">
      <c r="A4" s="507" t="s">
        <v>66</v>
      </c>
      <c r="B4" s="505"/>
      <c r="C4" s="516">
        <f>'Summary Board'!F72</f>
        <v>57724371</v>
      </c>
    </row>
    <row r="5" spans="1:7">
      <c r="A5" s="507" t="s">
        <v>213</v>
      </c>
      <c r="B5" s="505"/>
      <c r="C5" s="539">
        <f>'Summary Board'!F73</f>
        <v>2958157.6</v>
      </c>
    </row>
    <row r="6" spans="1:7">
      <c r="A6" s="507" t="s">
        <v>220</v>
      </c>
      <c r="B6" s="505"/>
      <c r="C6" s="539">
        <f>SUM('Summary Board'!F64:F71,'Summary Board'!F82)</f>
        <v>513393139.09989309</v>
      </c>
      <c r="D6" s="831"/>
    </row>
    <row r="7" spans="1:7">
      <c r="A7" s="518" t="s">
        <v>224</v>
      </c>
      <c r="B7" s="514"/>
      <c r="C7" s="789">
        <v>5750000</v>
      </c>
      <c r="D7" s="515"/>
    </row>
    <row r="8" spans="1:7" ht="13.5" thickBot="1">
      <c r="A8" s="520" t="s">
        <v>3</v>
      </c>
      <c r="B8" s="509"/>
      <c r="C8" s="523">
        <f>SUM(C4:C7)</f>
        <v>579825667.69989312</v>
      </c>
    </row>
    <row r="9" spans="1:7" ht="3.75" customHeight="1">
      <c r="A9" s="552"/>
      <c r="B9" s="1006"/>
      <c r="C9" s="1007"/>
      <c r="D9" s="505"/>
      <c r="E9" s="505"/>
      <c r="F9" s="505"/>
      <c r="G9" s="505"/>
    </row>
    <row r="10" spans="1:7" ht="13">
      <c r="A10" s="522" t="s">
        <v>225</v>
      </c>
      <c r="B10" s="505"/>
      <c r="C10" s="508"/>
      <c r="D10" s="505"/>
      <c r="E10" s="505"/>
      <c r="F10" s="505"/>
      <c r="G10" s="505"/>
    </row>
    <row r="11" spans="1:7">
      <c r="A11" s="507" t="s">
        <v>462</v>
      </c>
      <c r="B11" s="809">
        <v>0.65</v>
      </c>
      <c r="C11" s="808">
        <f>C8*0.65</f>
        <v>376886684.00493056</v>
      </c>
      <c r="D11" s="504"/>
      <c r="E11" s="505"/>
      <c r="F11" s="505"/>
      <c r="G11" s="505"/>
    </row>
    <row r="12" spans="1:7" ht="13">
      <c r="A12" s="507" t="s">
        <v>222</v>
      </c>
      <c r="B12" s="505"/>
      <c r="C12" s="517">
        <f>C8-C11-C13</f>
        <v>197938983.69496256</v>
      </c>
      <c r="D12" s="334"/>
      <c r="E12" s="334"/>
      <c r="F12" s="334"/>
      <c r="G12" s="334"/>
    </row>
    <row r="13" spans="1:7" ht="13">
      <c r="A13" s="507" t="s">
        <v>603</v>
      </c>
      <c r="B13" s="505"/>
      <c r="C13" s="517">
        <f>'Summary Board'!M71</f>
        <v>5000000</v>
      </c>
      <c r="D13" s="334"/>
      <c r="E13" s="334"/>
      <c r="F13" s="334"/>
      <c r="G13" s="334"/>
    </row>
    <row r="14" spans="1:7" ht="13">
      <c r="A14" s="507"/>
      <c r="B14" s="505"/>
      <c r="C14" s="517"/>
      <c r="D14" s="334"/>
      <c r="E14" s="334"/>
      <c r="F14" s="334"/>
      <c r="G14" s="334"/>
    </row>
    <row r="15" spans="1:7" ht="13">
      <c r="A15" s="507"/>
      <c r="B15" s="505"/>
      <c r="C15" s="517"/>
      <c r="D15" s="334"/>
      <c r="E15" s="334"/>
      <c r="F15" s="334"/>
      <c r="G15" s="334"/>
    </row>
    <row r="16" spans="1:7" ht="13.5" thickBot="1">
      <c r="A16" s="520" t="s">
        <v>223</v>
      </c>
      <c r="B16" s="521"/>
      <c r="C16" s="523">
        <f>SUM(C11:C12)</f>
        <v>574825667.69989312</v>
      </c>
      <c r="D16" s="504"/>
      <c r="E16" s="504"/>
      <c r="F16" s="504"/>
      <c r="G16" s="504"/>
    </row>
    <row r="17" spans="1:7">
      <c r="A17" s="505"/>
      <c r="B17" s="505"/>
      <c r="C17" s="504"/>
      <c r="D17" s="506"/>
      <c r="E17" s="506"/>
      <c r="F17" s="506"/>
      <c r="G17" s="506"/>
    </row>
    <row r="18" spans="1:7">
      <c r="A18" s="505"/>
      <c r="B18" s="505"/>
      <c r="C18" s="504"/>
      <c r="D18" s="505"/>
      <c r="E18" s="505"/>
      <c r="F18" s="505"/>
      <c r="G18" s="505"/>
    </row>
    <row r="19" spans="1:7">
      <c r="A19" s="505"/>
      <c r="B19" s="505"/>
      <c r="C19" s="504"/>
      <c r="D19" s="505"/>
      <c r="E19" s="505"/>
      <c r="F19" s="505"/>
      <c r="G19" s="505"/>
    </row>
    <row r="20" spans="1:7">
      <c r="A20" s="505"/>
      <c r="B20" s="505"/>
      <c r="C20" s="504"/>
      <c r="D20" s="505"/>
      <c r="E20" s="505"/>
      <c r="F20" s="505"/>
      <c r="G20" s="505"/>
    </row>
    <row r="21" spans="1:7">
      <c r="A21" s="505"/>
      <c r="B21" s="505"/>
      <c r="C21" s="504"/>
      <c r="D21" s="505"/>
      <c r="E21" s="505"/>
      <c r="F21" s="505"/>
      <c r="G21" s="505"/>
    </row>
    <row r="22" spans="1:7">
      <c r="A22" s="505"/>
      <c r="B22" s="505"/>
      <c r="C22" s="504"/>
      <c r="D22" s="505"/>
      <c r="E22" s="505"/>
      <c r="F22" s="505"/>
      <c r="G22" s="505"/>
    </row>
    <row r="23" spans="1:7">
      <c r="A23" s="505"/>
      <c r="B23" s="505"/>
      <c r="C23" s="504"/>
      <c r="D23" s="505"/>
      <c r="E23" s="505"/>
      <c r="F23" s="505"/>
      <c r="G23" s="505"/>
    </row>
    <row r="24" spans="1:7">
      <c r="A24" s="505"/>
      <c r="B24" s="505"/>
      <c r="C24" s="504"/>
      <c r="D24" s="505"/>
      <c r="E24" s="505"/>
      <c r="F24" s="505"/>
      <c r="G24" s="505"/>
    </row>
    <row r="25" spans="1:7">
      <c r="A25" s="505"/>
      <c r="B25" s="505"/>
      <c r="C25" s="504"/>
      <c r="D25" s="505"/>
      <c r="E25" s="505"/>
      <c r="F25" s="505"/>
      <c r="G25" s="505"/>
    </row>
    <row r="26" spans="1:7">
      <c r="A26" s="505"/>
      <c r="B26" s="505"/>
      <c r="C26" s="505"/>
      <c r="D26" s="505"/>
      <c r="E26" s="505"/>
      <c r="F26" s="505"/>
      <c r="G26" s="505"/>
    </row>
    <row r="27" spans="1:7">
      <c r="A27" s="505"/>
      <c r="B27" s="505"/>
      <c r="C27" s="505"/>
      <c r="D27" s="505"/>
      <c r="E27" s="505"/>
      <c r="F27" s="505"/>
      <c r="G27" s="505"/>
    </row>
  </sheetData>
  <dataConsolidate link="1"/>
  <printOptions horizontalCentered="1"/>
  <pageMargins left="0.45" right="0.45" top="0.5" bottom="0.5" header="0.3" footer="0.3"/>
  <pageSetup scale="1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4"/>
  <sheetViews>
    <sheetView showGridLines="0" view="pageBreakPreview" topLeftCell="D59" zoomScale="70" zoomScaleNormal="100" zoomScaleSheetLayoutView="70" workbookViewId="0">
      <selection activeCell="A48" sqref="A48"/>
    </sheetView>
  </sheetViews>
  <sheetFormatPr defaultColWidth="9.1796875" defaultRowHeight="15.5"/>
  <cols>
    <col min="1" max="1" width="19.26953125" style="21" customWidth="1"/>
    <col min="2" max="2" width="29.453125" style="21" customWidth="1"/>
    <col min="3" max="3" width="21.81640625" style="21" customWidth="1"/>
    <col min="4" max="4" width="20.54296875" style="12" customWidth="1"/>
    <col min="5" max="5" width="20.54296875" style="21" customWidth="1"/>
    <col min="6" max="6" width="22.7265625" style="21" bestFit="1" customWidth="1"/>
    <col min="7" max="11" width="20.54296875" style="21" customWidth="1"/>
    <col min="12" max="12" width="21" style="21" customWidth="1"/>
    <col min="13" max="13" width="21.54296875" style="21" customWidth="1"/>
    <col min="14" max="14" width="27" style="21" customWidth="1"/>
    <col min="15" max="15" width="9.1796875" style="21"/>
    <col min="16" max="16" width="19.26953125" style="21" customWidth="1"/>
    <col min="17" max="16384" width="9.1796875" style="21"/>
  </cols>
  <sheetData>
    <row r="1" spans="1:14" ht="18.5" thickBot="1">
      <c r="A1" s="784" t="s">
        <v>60</v>
      </c>
      <c r="B1" s="76"/>
      <c r="C1" s="76"/>
      <c r="D1" s="785"/>
      <c r="E1" s="786"/>
      <c r="F1" s="786"/>
      <c r="G1" s="786"/>
      <c r="H1" s="786"/>
      <c r="I1" s="786"/>
      <c r="J1" s="786"/>
      <c r="K1" s="786"/>
      <c r="L1" s="786"/>
      <c r="M1" s="786"/>
      <c r="N1" s="74"/>
    </row>
    <row r="2" spans="1:14" ht="16" thickBot="1">
      <c r="A2" s="700"/>
      <c r="B2" s="701"/>
      <c r="C2" s="701"/>
      <c r="D2" s="702" t="s">
        <v>55</v>
      </c>
      <c r="E2" s="327" t="s">
        <v>36</v>
      </c>
      <c r="F2" s="328"/>
      <c r="G2" s="329"/>
      <c r="H2" s="327" t="s">
        <v>77</v>
      </c>
      <c r="I2" s="330"/>
      <c r="J2" s="329"/>
      <c r="K2" s="331" t="s">
        <v>78</v>
      </c>
      <c r="L2" s="331"/>
      <c r="M2" s="332"/>
      <c r="N2" s="329"/>
    </row>
    <row r="3" spans="1:14" ht="16" thickBot="1">
      <c r="A3" s="4"/>
      <c r="B3" s="5"/>
      <c r="C3" s="5"/>
      <c r="D3" s="6" t="s">
        <v>379</v>
      </c>
      <c r="E3" s="33">
        <v>2022</v>
      </c>
      <c r="F3" s="6">
        <f>E3+1</f>
        <v>2023</v>
      </c>
      <c r="G3" s="7">
        <f t="shared" ref="G3:L3" si="0">F3+1</f>
        <v>2024</v>
      </c>
      <c r="H3" s="33">
        <f t="shared" si="0"/>
        <v>2025</v>
      </c>
      <c r="I3" s="6">
        <f t="shared" si="0"/>
        <v>2026</v>
      </c>
      <c r="J3" s="7">
        <f t="shared" si="0"/>
        <v>2027</v>
      </c>
      <c r="K3" s="6">
        <f t="shared" si="0"/>
        <v>2028</v>
      </c>
      <c r="L3" s="6">
        <f t="shared" si="0"/>
        <v>2029</v>
      </c>
      <c r="M3" s="6">
        <f>L3+1</f>
        <v>2030</v>
      </c>
      <c r="N3" s="7">
        <f>M3+1</f>
        <v>2031</v>
      </c>
    </row>
    <row r="4" spans="1:14" ht="16" thickBot="1">
      <c r="A4" s="27" t="s">
        <v>0</v>
      </c>
      <c r="B4" s="28"/>
      <c r="C4" s="28"/>
      <c r="D4" s="17"/>
      <c r="E4" s="413"/>
      <c r="F4" s="18"/>
      <c r="G4" s="23"/>
      <c r="H4" s="413"/>
      <c r="I4" s="18"/>
      <c r="J4" s="23"/>
      <c r="K4" s="18"/>
      <c r="L4" s="18"/>
      <c r="M4" s="18"/>
      <c r="N4" s="23"/>
    </row>
    <row r="5" spans="1:14">
      <c r="A5" s="615" t="s">
        <v>61</v>
      </c>
      <c r="B5" s="647"/>
      <c r="C5" s="647"/>
      <c r="D5" s="669">
        <f>'2.Market-Rate Rental Housing'!C70</f>
        <v>0</v>
      </c>
      <c r="E5" s="600">
        <f>'2.Market-Rate Rental Housing'!D70</f>
        <v>0</v>
      </c>
      <c r="F5" s="678">
        <f>'2.Market-Rate Rental Housing'!E70</f>
        <v>1016834.4576000001</v>
      </c>
      <c r="G5" s="679">
        <f>'2.Market-Rate Rental Housing'!F70</f>
        <v>2644532.2156032003</v>
      </c>
      <c r="H5" s="600">
        <f>'2.Market-Rate Rental Housing'!G70</f>
        <v>3371123.987712</v>
      </c>
      <c r="I5" s="678">
        <f>'2.Market-Rate Rental Housing'!H70</f>
        <v>4444489.8653995004</v>
      </c>
      <c r="J5" s="679">
        <f>'2.Market-Rate Rental Housing'!I70</f>
        <v>7353130.7016868871</v>
      </c>
      <c r="K5" s="678">
        <f>'2.Market-Rate Rental Housing'!J70</f>
        <v>10137592.49113501</v>
      </c>
      <c r="L5" s="678">
        <f>'2.Market-Rate Rental Housing'!K70</f>
        <v>12748611.952514552</v>
      </c>
      <c r="M5" s="678">
        <f>'2.Market-Rate Rental Housing'!L70</f>
        <v>15726019.920186343</v>
      </c>
      <c r="N5" s="679">
        <f>'2.Market-Rate Rental Housing'!M70</f>
        <v>18001134.17384829</v>
      </c>
    </row>
    <row r="6" spans="1:14">
      <c r="A6" s="615" t="s">
        <v>62</v>
      </c>
      <c r="B6" s="647"/>
      <c r="C6" s="647"/>
      <c r="D6" s="672">
        <f>'3.Market-Rate For-Sale Housing'!C20</f>
        <v>0</v>
      </c>
      <c r="E6" s="680">
        <f>'3.Market-Rate For-Sale Housing'!D20</f>
        <v>0</v>
      </c>
      <c r="F6" s="672">
        <f>'3.Market-Rate For-Sale Housing'!E20</f>
        <v>0</v>
      </c>
      <c r="G6" s="681">
        <f>'3.Market-Rate For-Sale Housing'!F20</f>
        <v>0</v>
      </c>
      <c r="H6" s="680">
        <f>'3.Market-Rate For-Sale Housing'!G20</f>
        <v>0</v>
      </c>
      <c r="I6" s="672">
        <f>'3.Market-Rate For-Sale Housing'!H20</f>
        <v>23475300.004574995</v>
      </c>
      <c r="J6" s="681">
        <f>'3.Market-Rate For-Sale Housing'!I20</f>
        <v>24179559.004712246</v>
      </c>
      <c r="K6" s="672">
        <f>'3.Market-Rate For-Sale Housing'!J20</f>
        <v>25851014.930992156</v>
      </c>
      <c r="L6" s="672">
        <f>'3.Market-Rate For-Sale Housing'!K20</f>
        <v>0</v>
      </c>
      <c r="M6" s="672">
        <f>'3.Market-Rate For-Sale Housing'!L20</f>
        <v>0</v>
      </c>
      <c r="N6" s="681">
        <f>'3.Market-Rate For-Sale Housing'!M20</f>
        <v>0</v>
      </c>
    </row>
    <row r="7" spans="1:14">
      <c r="A7" s="615" t="s">
        <v>63</v>
      </c>
      <c r="B7" s="647"/>
      <c r="C7" s="647"/>
      <c r="D7" s="672">
        <f>'4.Affordable Rental Housing'!C39</f>
        <v>0</v>
      </c>
      <c r="E7" s="602">
        <f>'4.Affordable Rental Housing'!D39</f>
        <v>0</v>
      </c>
      <c r="F7" s="673">
        <f>'4.Affordable Rental Housing'!E39</f>
        <v>0</v>
      </c>
      <c r="G7" s="658">
        <f>'4.Affordable Rental Housing'!F39</f>
        <v>0</v>
      </c>
      <c r="H7" s="602">
        <f>'4.Affordable Rental Housing'!G39</f>
        <v>0</v>
      </c>
      <c r="I7" s="673">
        <f>'4.Affordable Rental Housing'!H39</f>
        <v>0</v>
      </c>
      <c r="J7" s="658">
        <f>'4.Affordable Rental Housing'!I39</f>
        <v>0</v>
      </c>
      <c r="K7" s="673">
        <f>'4.Affordable Rental Housing'!J39</f>
        <v>172674.29070565174</v>
      </c>
      <c r="L7" s="673">
        <f>'4.Affordable Rental Housing'!K39</f>
        <v>1422836.1554145701</v>
      </c>
      <c r="M7" s="673">
        <f>'4.Affordable Rental Housing'!L39</f>
        <v>2674576.2631405382</v>
      </c>
      <c r="N7" s="658">
        <f>'4.Affordable Rental Housing'!M39</f>
        <v>3283133.9580825167</v>
      </c>
    </row>
    <row r="8" spans="1:14">
      <c r="A8" s="615" t="s">
        <v>64</v>
      </c>
      <c r="B8" s="647"/>
      <c r="C8" s="647"/>
      <c r="D8" s="672">
        <f>'5.Office'!C38</f>
        <v>0</v>
      </c>
      <c r="E8" s="602">
        <f>'5.Office'!D38</f>
        <v>-144101.96460000001</v>
      </c>
      <c r="F8" s="673">
        <f>'5.Office'!E38</f>
        <v>4122890.7385896007</v>
      </c>
      <c r="G8" s="658">
        <f>'5.Office'!F38</f>
        <v>4441215.2025433518</v>
      </c>
      <c r="H8" s="602">
        <f>'5.Office'!G38</f>
        <v>4829016.0371669717</v>
      </c>
      <c r="I8" s="673">
        <f>'5.Office'!H38</f>
        <v>5026452.4809997976</v>
      </c>
      <c r="J8" s="658">
        <f>'5.Office'!I38</f>
        <v>5177246.055429792</v>
      </c>
      <c r="K8" s="673">
        <f>'5.Office'!J38</f>
        <v>5332563.4370926851</v>
      </c>
      <c r="L8" s="673">
        <f>'5.Office'!K38</f>
        <v>5492540.3402054664</v>
      </c>
      <c r="M8" s="673">
        <f>'5.Office'!L38</f>
        <v>5657316.5504116304</v>
      </c>
      <c r="N8" s="658">
        <f>'5.Office'!M38</f>
        <v>5827036.0469239801</v>
      </c>
    </row>
    <row r="9" spans="1:14">
      <c r="A9" s="615" t="s">
        <v>65</v>
      </c>
      <c r="B9" s="647"/>
      <c r="C9" s="647"/>
      <c r="D9" s="672">
        <f>'6.Market-Rate Retail'!C101</f>
        <v>0</v>
      </c>
      <c r="E9" s="602">
        <f>'6.Market-Rate Retail'!D101</f>
        <v>-693302.83649999998</v>
      </c>
      <c r="F9" s="673">
        <f>'6.Market-Rate Retail'!E101</f>
        <v>1271235.3229934997</v>
      </c>
      <c r="G9" s="658">
        <f>'6.Market-Rate Retail'!F101</f>
        <v>1836309.2638442433</v>
      </c>
      <c r="H9" s="602">
        <f>'6.Market-Rate Retail'!G101</f>
        <v>2328996.367087571</v>
      </c>
      <c r="I9" s="673">
        <f>'6.Market-Rate Retail'!H101</f>
        <v>3589382.8411572124</v>
      </c>
      <c r="J9" s="658">
        <f>'6.Market-Rate Retail'!I101</f>
        <v>3600176.2961365134</v>
      </c>
      <c r="K9" s="673">
        <f>'6.Market-Rate Retail'!J101</f>
        <v>5065153.788773058</v>
      </c>
      <c r="L9" s="673">
        <f>'6.Market-Rate Retail'!K101</f>
        <v>7710581.2046776414</v>
      </c>
      <c r="M9" s="673">
        <f>'6.Market-Rate Retail'!L101</f>
        <v>9929587.0844687242</v>
      </c>
      <c r="N9" s="658">
        <f>'6.Market-Rate Retail'!M101</f>
        <v>12135158.122551315</v>
      </c>
    </row>
    <row r="10" spans="1:14">
      <c r="A10" s="615" t="s">
        <v>48</v>
      </c>
      <c r="B10" s="647"/>
      <c r="C10" s="647"/>
      <c r="D10" s="672">
        <f>'7.Hotel'!C15</f>
        <v>0</v>
      </c>
      <c r="E10" s="602">
        <f>'7.Hotel'!D15</f>
        <v>0</v>
      </c>
      <c r="F10" s="673">
        <f>'7.Hotel'!E15</f>
        <v>0</v>
      </c>
      <c r="G10" s="658">
        <f>'7.Hotel'!F15</f>
        <v>0</v>
      </c>
      <c r="H10" s="602">
        <f>'7.Hotel'!G15</f>
        <v>0</v>
      </c>
      <c r="I10" s="673">
        <f>'7.Hotel'!H15</f>
        <v>0</v>
      </c>
      <c r="J10" s="658">
        <f>'7.Hotel'!I15</f>
        <v>0</v>
      </c>
      <c r="K10" s="673">
        <f>'7.Hotel'!J15</f>
        <v>0</v>
      </c>
      <c r="L10" s="673">
        <f>'7.Hotel'!K15</f>
        <v>0</v>
      </c>
      <c r="M10" s="673">
        <f>'7.Hotel'!L15</f>
        <v>0</v>
      </c>
      <c r="N10" s="658">
        <f>'7.Hotel'!M15</f>
        <v>6754681.9729369618</v>
      </c>
    </row>
    <row r="11" spans="1:14">
      <c r="A11" s="615" t="s">
        <v>493</v>
      </c>
      <c r="B11" s="647"/>
      <c r="C11" s="647"/>
      <c r="D11" s="672">
        <f>'8.Vocational School'!C17</f>
        <v>0</v>
      </c>
      <c r="E11" s="602">
        <f>'8.Vocational School'!D17</f>
        <v>0</v>
      </c>
      <c r="F11" s="673">
        <f>'8.Vocational School'!E17</f>
        <v>0</v>
      </c>
      <c r="G11" s="658">
        <f>'8.Vocational School'!F17</f>
        <v>0</v>
      </c>
      <c r="H11" s="602">
        <f>'8.Vocational School'!G17</f>
        <v>0</v>
      </c>
      <c r="I11" s="673">
        <f>'8.Vocational School'!H17</f>
        <v>0</v>
      </c>
      <c r="J11" s="658">
        <f>'8.Vocational School'!I17</f>
        <v>736308.73784046317</v>
      </c>
      <c r="K11" s="673">
        <f>'8.Vocational School'!J17</f>
        <v>758397.999975677</v>
      </c>
      <c r="L11" s="673">
        <f>'8.Vocational School'!K17</f>
        <v>781149.93997494713</v>
      </c>
      <c r="M11" s="673">
        <f>'8.Vocational School'!L17</f>
        <v>804584.4381741957</v>
      </c>
      <c r="N11" s="658">
        <f>'8.Vocational School'!M17</f>
        <v>828721.97131942154</v>
      </c>
    </row>
    <row r="12" spans="1:14" s="868" customFormat="1">
      <c r="A12" s="629" t="s">
        <v>49</v>
      </c>
      <c r="B12" s="674"/>
      <c r="C12" s="674"/>
      <c r="D12" s="675">
        <f>'9.Structured Parking'!C88</f>
        <v>0</v>
      </c>
      <c r="E12" s="682">
        <f>'9.Structured Parking'!D88</f>
        <v>5990011.3075125013</v>
      </c>
      <c r="F12" s="683">
        <f>'9.Structured Parking'!E88</f>
        <v>5869711.6467378754</v>
      </c>
      <c r="G12" s="684">
        <f>'9.Structured Parking'!F88</f>
        <v>6054802.9961400125</v>
      </c>
      <c r="H12" s="682">
        <f>'9.Structured Parking'!G88</f>
        <v>6245447.0860242117</v>
      </c>
      <c r="I12" s="683">
        <f>'9.Structured Parking'!H88</f>
        <v>6901339.8816531245</v>
      </c>
      <c r="J12" s="684">
        <f>'9.Structured Parking'!I88</f>
        <v>7117380.078102719</v>
      </c>
      <c r="K12" s="683">
        <f>'9.Structured Parking'!J88</f>
        <v>7339901.4804457994</v>
      </c>
      <c r="L12" s="683">
        <f>'9.Structured Parking'!K88</f>
        <v>8679914.3753503188</v>
      </c>
      <c r="M12" s="683">
        <f>'9.Structured Parking'!L88</f>
        <v>8949311.8066108301</v>
      </c>
      <c r="N12" s="684">
        <f>'9.Structured Parking'!M88</f>
        <v>9226791.1608091556</v>
      </c>
    </row>
    <row r="13" spans="1:14" ht="16" thickBot="1">
      <c r="A13" s="607" t="s">
        <v>1</v>
      </c>
      <c r="B13" s="608"/>
      <c r="C13" s="608"/>
      <c r="D13" s="685">
        <f t="shared" ref="D13:N13" si="1">SUM(D5:D12)</f>
        <v>0</v>
      </c>
      <c r="E13" s="610">
        <f t="shared" si="1"/>
        <v>5152606.5064125014</v>
      </c>
      <c r="F13" s="686">
        <f t="shared" si="1"/>
        <v>12280672.165920977</v>
      </c>
      <c r="G13" s="687">
        <f t="shared" si="1"/>
        <v>14976859.678130807</v>
      </c>
      <c r="H13" s="610">
        <f t="shared" si="1"/>
        <v>16774583.477990754</v>
      </c>
      <c r="I13" s="686">
        <f t="shared" si="1"/>
        <v>43436965.073784627</v>
      </c>
      <c r="J13" s="687">
        <f t="shared" si="1"/>
        <v>48163800.873908624</v>
      </c>
      <c r="K13" s="686">
        <f t="shared" si="1"/>
        <v>54657298.419120036</v>
      </c>
      <c r="L13" s="686">
        <f t="shared" si="1"/>
        <v>36835633.968137495</v>
      </c>
      <c r="M13" s="686">
        <f t="shared" si="1"/>
        <v>43741396.06299226</v>
      </c>
      <c r="N13" s="687">
        <f t="shared" si="1"/>
        <v>56056657.40647164</v>
      </c>
    </row>
    <row r="14" spans="1:14" ht="16" thickBot="1">
      <c r="A14" s="27" t="s">
        <v>2</v>
      </c>
      <c r="B14" s="28"/>
      <c r="C14" s="28"/>
      <c r="D14" s="17"/>
      <c r="E14" s="413"/>
      <c r="F14" s="18"/>
      <c r="G14" s="23"/>
      <c r="H14" s="413"/>
      <c r="I14" s="18"/>
      <c r="J14" s="23"/>
      <c r="K14" s="18"/>
      <c r="L14" s="18"/>
      <c r="M14" s="18"/>
      <c r="N14" s="23"/>
    </row>
    <row r="15" spans="1:14">
      <c r="A15" s="615" t="s">
        <v>61</v>
      </c>
      <c r="B15" s="647"/>
      <c r="C15" s="881"/>
      <c r="D15" s="669">
        <f>'2.Market-Rate Rental Housing'!C75</f>
        <v>0</v>
      </c>
      <c r="E15" s="670">
        <f>'2.Market-Rate Rental Housing'!D75</f>
        <v>45420552.719999999</v>
      </c>
      <c r="F15" s="669">
        <f>'2.Market-Rate Rental Housing'!E75</f>
        <v>0</v>
      </c>
      <c r="G15" s="671">
        <f>'2.Market-Rate Rental Housing'!F75</f>
        <v>0</v>
      </c>
      <c r="H15" s="670">
        <f>'2.Market-Rate Rental Housing'!G75</f>
        <v>27077891.632116359</v>
      </c>
      <c r="I15" s="669">
        <f>'2.Market-Rate Rental Housing'!H75</f>
        <v>44739002.429185651</v>
      </c>
      <c r="J15" s="671">
        <f>'2.Market-Rate Rental Housing'!I75</f>
        <v>0</v>
      </c>
      <c r="K15" s="669">
        <f>'2.Market-Rate Rental Housing'!J75</f>
        <v>39449309.152183406</v>
      </c>
      <c r="L15" s="669">
        <f>'2.Market-Rate Rental Housing'!K75</f>
        <v>3180.8596743643038</v>
      </c>
      <c r="M15" s="669">
        <f>'2.Market-Rate Rental Housing'!L75</f>
        <v>0</v>
      </c>
      <c r="N15" s="671">
        <f>'2.Market-Rate Rental Housing'!M75</f>
        <v>0</v>
      </c>
    </row>
    <row r="16" spans="1:14">
      <c r="A16" s="615" t="s">
        <v>62</v>
      </c>
      <c r="B16" s="647"/>
      <c r="C16" s="881"/>
      <c r="D16" s="672">
        <f>'3.Market-Rate For-Sale Housing'!C24</f>
        <v>0</v>
      </c>
      <c r="E16" s="602">
        <f>'3.Market-Rate For-Sale Housing'!D24</f>
        <v>0</v>
      </c>
      <c r="F16" s="673">
        <f>'3.Market-Rate For-Sale Housing'!E24</f>
        <v>0</v>
      </c>
      <c r="G16" s="658">
        <f>'3.Market-Rate For-Sale Housing'!F24</f>
        <v>0</v>
      </c>
      <c r="H16" s="602">
        <f>'3.Market-Rate For-Sale Housing'!G24</f>
        <v>59623718.684784859</v>
      </c>
      <c r="I16" s="673">
        <f>'3.Market-Rate For-Sale Housing'!H24</f>
        <v>0</v>
      </c>
      <c r="J16" s="658">
        <f>'3.Market-Rate For-Sale Housing'!I24</f>
        <v>0</v>
      </c>
      <c r="K16" s="673">
        <f>'3.Market-Rate For-Sale Housing'!J24</f>
        <v>0</v>
      </c>
      <c r="L16" s="673">
        <f>'3.Market-Rate For-Sale Housing'!K24</f>
        <v>0</v>
      </c>
      <c r="M16" s="673">
        <f>'3.Market-Rate For-Sale Housing'!L24</f>
        <v>0</v>
      </c>
      <c r="N16" s="658">
        <f>'3.Market-Rate For-Sale Housing'!M24</f>
        <v>0</v>
      </c>
    </row>
    <row r="17" spans="1:16">
      <c r="A17" s="615" t="s">
        <v>63</v>
      </c>
      <c r="B17" s="647"/>
      <c r="C17" s="881"/>
      <c r="D17" s="672">
        <f>'4.Affordable Rental Housing'!C43</f>
        <v>0</v>
      </c>
      <c r="E17" s="602">
        <f>'4.Affordable Rental Housing'!D43</f>
        <v>0</v>
      </c>
      <c r="F17" s="673">
        <f>'4.Affordable Rental Housing'!E43</f>
        <v>0</v>
      </c>
      <c r="G17" s="658">
        <f>'4.Affordable Rental Housing'!F43</f>
        <v>0</v>
      </c>
      <c r="H17" s="602">
        <f>'4.Affordable Rental Housing'!G43</f>
        <v>0</v>
      </c>
      <c r="I17" s="673">
        <f>'4.Affordable Rental Housing'!H43</f>
        <v>9931938.0408541095</v>
      </c>
      <c r="J17" s="658">
        <f>'4.Affordable Rental Housing'!I43</f>
        <v>0</v>
      </c>
      <c r="K17" s="673">
        <f>'4.Affordable Rental Housing'!J43</f>
        <v>31582783.538808752</v>
      </c>
      <c r="L17" s="673">
        <f>'4.Affordable Rental Housing'!K43</f>
        <v>0</v>
      </c>
      <c r="M17" s="673">
        <f>'4.Affordable Rental Housing'!L43</f>
        <v>0</v>
      </c>
      <c r="N17" s="658">
        <f>'4.Affordable Rental Housing'!M43</f>
        <v>0</v>
      </c>
    </row>
    <row r="18" spans="1:16">
      <c r="A18" s="615" t="s">
        <v>64</v>
      </c>
      <c r="B18" s="647"/>
      <c r="C18" s="881"/>
      <c r="D18" s="672">
        <f>'5.Office'!C42</f>
        <v>0</v>
      </c>
      <c r="E18" s="602">
        <f>'5.Office'!D42</f>
        <v>3609826.9920000001</v>
      </c>
      <c r="F18" s="673">
        <f>'5.Office'!E42</f>
        <v>25891643.877840005</v>
      </c>
      <c r="G18" s="658">
        <f>'5.Office'!F42</f>
        <v>0</v>
      </c>
      <c r="H18" s="602">
        <f>'5.Office'!G42</f>
        <v>0</v>
      </c>
      <c r="I18" s="673">
        <f>'5.Office'!H42</f>
        <v>0</v>
      </c>
      <c r="J18" s="658">
        <f>'5.Office'!I42</f>
        <v>0</v>
      </c>
      <c r="K18" s="673">
        <f>'5.Office'!J42</f>
        <v>0</v>
      </c>
      <c r="L18" s="673">
        <f>'5.Office'!K42</f>
        <v>0</v>
      </c>
      <c r="M18" s="673">
        <f>'5.Office'!L42</f>
        <v>0</v>
      </c>
      <c r="N18" s="658">
        <f>'5.Office'!M42</f>
        <v>0</v>
      </c>
    </row>
    <row r="19" spans="1:16">
      <c r="A19" s="615" t="s">
        <v>65</v>
      </c>
      <c r="B19" s="647"/>
      <c r="C19" s="881"/>
      <c r="D19" s="672">
        <f>'6.Market-Rate Retail'!C108</f>
        <v>0</v>
      </c>
      <c r="E19" s="602">
        <f>'6.Market-Rate Retail'!D108</f>
        <v>6805272.2119999994</v>
      </c>
      <c r="F19" s="673">
        <f>'6.Market-Rate Retail'!E108</f>
        <v>0</v>
      </c>
      <c r="G19" s="658">
        <f>'6.Market-Rate Retail'!F108</f>
        <v>0</v>
      </c>
      <c r="H19" s="602">
        <f>'6.Market-Rate Retail'!G108</f>
        <v>4019417.0622720001</v>
      </c>
      <c r="I19" s="673">
        <f>'6.Market-Rate Retail'!H108</f>
        <v>4593298.9226729451</v>
      </c>
      <c r="J19" s="658">
        <f>'6.Market-Rate Retail'!I108</f>
        <v>7160088.5534795932</v>
      </c>
      <c r="K19" s="673">
        <f>'6.Market-Rate Retail'!J108</f>
        <v>13395592.510866312</v>
      </c>
      <c r="L19" s="673">
        <f>'6.Market-Rate Retail'!K108</f>
        <v>15377780.487392122</v>
      </c>
      <c r="M19" s="673">
        <f>'6.Market-Rate Retail'!L108</f>
        <v>7378486.091643095</v>
      </c>
      <c r="N19" s="658">
        <f>'6.Market-Rate Retail'!M108</f>
        <v>0</v>
      </c>
    </row>
    <row r="20" spans="1:16">
      <c r="A20" s="615" t="s">
        <v>48</v>
      </c>
      <c r="B20" s="647"/>
      <c r="C20" s="881"/>
      <c r="D20" s="672">
        <f>'7.Hotel'!C20</f>
        <v>0</v>
      </c>
      <c r="E20" s="602">
        <f>'7.Hotel'!D20</f>
        <v>0</v>
      </c>
      <c r="F20" s="673">
        <f>'7.Hotel'!E20</f>
        <v>0</v>
      </c>
      <c r="G20" s="658">
        <f>'7.Hotel'!F20</f>
        <v>0</v>
      </c>
      <c r="H20" s="602">
        <f>'7.Hotel'!G20</f>
        <v>0</v>
      </c>
      <c r="I20" s="673">
        <f>'7.Hotel'!H20</f>
        <v>0</v>
      </c>
      <c r="J20" s="658">
        <f>'7.Hotel'!I20</f>
        <v>0</v>
      </c>
      <c r="K20" s="673">
        <f>'7.Hotel'!J20</f>
        <v>0</v>
      </c>
      <c r="L20" s="673">
        <f>'7.Hotel'!K20</f>
        <v>59181886.95195917</v>
      </c>
      <c r="M20" s="673">
        <f>'7.Hotel'!L20</f>
        <v>30478671.780258972</v>
      </c>
      <c r="N20" s="658">
        <f>'7.Hotel'!M20</f>
        <v>0</v>
      </c>
    </row>
    <row r="21" spans="1:16">
      <c r="A21" s="615" t="s">
        <v>493</v>
      </c>
      <c r="B21" s="647"/>
      <c r="C21" s="881"/>
      <c r="D21" s="672">
        <f>'8.Vocational School'!C22</f>
        <v>0</v>
      </c>
      <c r="E21" s="602">
        <f>'8.Vocational School'!D22</f>
        <v>0</v>
      </c>
      <c r="F21" s="673">
        <f>'8.Vocational School'!E22</f>
        <v>0</v>
      </c>
      <c r="G21" s="658">
        <f>'8.Vocational School'!F22</f>
        <v>0</v>
      </c>
      <c r="H21" s="602">
        <f>'8.Vocational School'!G22</f>
        <v>0</v>
      </c>
      <c r="I21" s="673">
        <f>'8.Vocational School'!H22</f>
        <v>4521923.6888536476</v>
      </c>
      <c r="J21" s="658">
        <f>'8.Vocational School'!I22</f>
        <v>0</v>
      </c>
      <c r="K21" s="673">
        <f>'8.Vocational School'!J22</f>
        <v>0</v>
      </c>
      <c r="L21" s="673">
        <f>'8.Vocational School'!K22</f>
        <v>0</v>
      </c>
      <c r="M21" s="673">
        <f>'8.Vocational School'!L22</f>
        <v>0</v>
      </c>
      <c r="N21" s="658">
        <f>'8.Vocational School'!M22</f>
        <v>0</v>
      </c>
    </row>
    <row r="22" spans="1:16">
      <c r="A22" s="615" t="s">
        <v>49</v>
      </c>
      <c r="B22" s="647"/>
      <c r="C22" s="881"/>
      <c r="D22" s="672">
        <f>'9.Structured Parking'!C92</f>
        <v>0</v>
      </c>
      <c r="E22" s="602">
        <f>'9.Structured Parking'!D92</f>
        <v>22484624.833440002</v>
      </c>
      <c r="F22" s="673">
        <f>'9.Structured Parking'!E92</f>
        <v>0</v>
      </c>
      <c r="G22" s="658">
        <f>'9.Structured Parking'!F92</f>
        <v>0</v>
      </c>
      <c r="H22" s="602">
        <f>'9.Structured Parking'!G92</f>
        <v>0</v>
      </c>
      <c r="I22" s="673">
        <f>'9.Structured Parking'!H92</f>
        <v>3105719.9514987711</v>
      </c>
      <c r="J22" s="658">
        <f>'9.Structured Parking'!I92</f>
        <v>0</v>
      </c>
      <c r="K22" s="673">
        <f>'9.Structured Parking'!J92</f>
        <v>0</v>
      </c>
      <c r="L22" s="673">
        <f>'9.Structured Parking'!K92</f>
        <v>0</v>
      </c>
      <c r="M22" s="673">
        <f>'9.Structured Parking'!L92</f>
        <v>0</v>
      </c>
      <c r="N22" s="658">
        <f>'9.Structured Parking'!M92</f>
        <v>0</v>
      </c>
    </row>
    <row r="23" spans="1:16">
      <c r="A23" s="615" t="s">
        <v>66</v>
      </c>
      <c r="B23" s="647"/>
      <c r="C23" s="881"/>
      <c r="D23" s="802">
        <f>'Land Acquisition'!F10</f>
        <v>57724371</v>
      </c>
      <c r="E23" s="603">
        <v>0</v>
      </c>
      <c r="F23" s="654">
        <f>E23</f>
        <v>0</v>
      </c>
      <c r="G23" s="655">
        <f t="shared" ref="G23:N25" si="2">F23</f>
        <v>0</v>
      </c>
      <c r="H23" s="627">
        <f t="shared" si="2"/>
        <v>0</v>
      </c>
      <c r="I23" s="654">
        <f t="shared" si="2"/>
        <v>0</v>
      </c>
      <c r="J23" s="655">
        <f t="shared" si="2"/>
        <v>0</v>
      </c>
      <c r="K23" s="654">
        <f t="shared" si="2"/>
        <v>0</v>
      </c>
      <c r="L23" s="654">
        <f t="shared" si="2"/>
        <v>0</v>
      </c>
      <c r="M23" s="654">
        <f t="shared" si="2"/>
        <v>0</v>
      </c>
      <c r="N23" s="655">
        <f t="shared" si="2"/>
        <v>0</v>
      </c>
    </row>
    <row r="24" spans="1:16">
      <c r="A24" s="615" t="s">
        <v>9</v>
      </c>
      <c r="B24" s="647"/>
      <c r="C24" s="881"/>
      <c r="D24" s="672">
        <f>'1.Infrastructure Costs'!D23</f>
        <v>7500000</v>
      </c>
      <c r="E24" s="602">
        <f>'1.Infrastructure Costs'!E23</f>
        <v>13845874.289999999</v>
      </c>
      <c r="F24" s="673">
        <f>'1.Infrastructure Costs'!F23</f>
        <v>0</v>
      </c>
      <c r="G24" s="658">
        <f>'1.Infrastructure Costs'!G23</f>
        <v>0</v>
      </c>
      <c r="H24" s="602">
        <f>'1.Infrastructure Costs'!H23</f>
        <v>28923890.072542928</v>
      </c>
      <c r="I24" s="673">
        <f>'1.Infrastructure Costs'!I23</f>
        <v>230148.36342263038</v>
      </c>
      <c r="J24" s="658">
        <f>'1.Infrastructure Costs'!J23</f>
        <v>0</v>
      </c>
      <c r="K24" s="673">
        <f>'1.Infrastructure Costs'!K23</f>
        <v>1161002.1588349426</v>
      </c>
      <c r="L24" s="673">
        <f>'1.Infrastructure Costs'!L23</f>
        <v>899613.24130847352</v>
      </c>
      <c r="M24" s="673">
        <f>'1.Infrastructure Costs'!M23</f>
        <v>0</v>
      </c>
      <c r="N24" s="658">
        <f>'1.Infrastructure Costs'!N23</f>
        <v>0</v>
      </c>
    </row>
    <row r="25" spans="1:16">
      <c r="A25" s="629" t="s">
        <v>213</v>
      </c>
      <c r="B25" s="674"/>
      <c r="C25" s="882"/>
      <c r="D25" s="675">
        <f>'Land Acquisition'!F19</f>
        <v>2958157.6</v>
      </c>
      <c r="E25" s="780">
        <v>0</v>
      </c>
      <c r="F25" s="663">
        <f>E25</f>
        <v>0</v>
      </c>
      <c r="G25" s="664">
        <f t="shared" si="2"/>
        <v>0</v>
      </c>
      <c r="H25" s="662">
        <f t="shared" si="2"/>
        <v>0</v>
      </c>
      <c r="I25" s="663">
        <f t="shared" si="2"/>
        <v>0</v>
      </c>
      <c r="J25" s="664">
        <f t="shared" si="2"/>
        <v>0</v>
      </c>
      <c r="K25" s="663">
        <f t="shared" si="2"/>
        <v>0</v>
      </c>
      <c r="L25" s="663">
        <f t="shared" si="2"/>
        <v>0</v>
      </c>
      <c r="M25" s="663">
        <f t="shared" si="2"/>
        <v>0</v>
      </c>
      <c r="N25" s="664">
        <f t="shared" si="2"/>
        <v>0</v>
      </c>
    </row>
    <row r="26" spans="1:16" ht="16" thickBot="1">
      <c r="A26" s="607" t="s">
        <v>3</v>
      </c>
      <c r="B26" s="608"/>
      <c r="C26" s="595"/>
      <c r="D26" s="667">
        <f t="shared" ref="D26:N26" si="3">SUM(D15:D25)</f>
        <v>68182528.599999994</v>
      </c>
      <c r="E26" s="610">
        <f t="shared" si="3"/>
        <v>92166151.047439992</v>
      </c>
      <c r="F26" s="686">
        <f t="shared" si="3"/>
        <v>25891643.877840005</v>
      </c>
      <c r="G26" s="687">
        <f t="shared" si="3"/>
        <v>0</v>
      </c>
      <c r="H26" s="610">
        <f t="shared" si="3"/>
        <v>119644917.45171615</v>
      </c>
      <c r="I26" s="686">
        <f t="shared" si="3"/>
        <v>67122031.396487743</v>
      </c>
      <c r="J26" s="687">
        <f t="shared" si="3"/>
        <v>7160088.5534795932</v>
      </c>
      <c r="K26" s="676">
        <f t="shared" si="3"/>
        <v>85588687.360693425</v>
      </c>
      <c r="L26" s="676">
        <f t="shared" si="3"/>
        <v>75462461.540334135</v>
      </c>
      <c r="M26" s="676">
        <f t="shared" si="3"/>
        <v>37857157.871902063</v>
      </c>
      <c r="N26" s="677">
        <f t="shared" si="3"/>
        <v>0</v>
      </c>
    </row>
    <row r="27" spans="1:16" ht="16" thickBot="1">
      <c r="A27" s="27" t="s">
        <v>4</v>
      </c>
      <c r="B27" s="28"/>
      <c r="C27" s="28"/>
      <c r="D27" s="524"/>
      <c r="E27" s="413"/>
      <c r="F27" s="18"/>
      <c r="G27" s="23"/>
      <c r="H27" s="413"/>
      <c r="I27" s="18"/>
      <c r="J27" s="23"/>
      <c r="K27" s="413"/>
      <c r="L27" s="18"/>
      <c r="M27" s="18"/>
      <c r="N27" s="23"/>
      <c r="P27" s="497"/>
    </row>
    <row r="28" spans="1:16">
      <c r="A28" s="648" t="s">
        <v>5</v>
      </c>
      <c r="B28" s="649"/>
      <c r="C28" s="596"/>
      <c r="D28" s="650">
        <f t="shared" ref="D28:N28" si="4">D13</f>
        <v>0</v>
      </c>
      <c r="E28" s="625">
        <f t="shared" si="4"/>
        <v>5152606.5064125014</v>
      </c>
      <c r="F28" s="651">
        <f t="shared" si="4"/>
        <v>12280672.165920977</v>
      </c>
      <c r="G28" s="652">
        <f t="shared" si="4"/>
        <v>14976859.678130807</v>
      </c>
      <c r="H28" s="625">
        <f t="shared" si="4"/>
        <v>16774583.477990754</v>
      </c>
      <c r="I28" s="651">
        <f t="shared" si="4"/>
        <v>43436965.073784627</v>
      </c>
      <c r="J28" s="652">
        <f t="shared" si="4"/>
        <v>48163800.873908624</v>
      </c>
      <c r="K28" s="625">
        <f t="shared" si="4"/>
        <v>54657298.419120036</v>
      </c>
      <c r="L28" s="651">
        <f t="shared" si="4"/>
        <v>36835633.968137495</v>
      </c>
      <c r="M28" s="651">
        <f t="shared" si="4"/>
        <v>43741396.06299226</v>
      </c>
      <c r="N28" s="652">
        <f t="shared" si="4"/>
        <v>56056657.40647164</v>
      </c>
    </row>
    <row r="29" spans="1:16">
      <c r="A29" s="615" t="s">
        <v>56</v>
      </c>
      <c r="B29" s="632" t="s">
        <v>249</v>
      </c>
      <c r="C29" s="694">
        <f>N28/N29</f>
        <v>5.3760702958654316E-2</v>
      </c>
      <c r="D29" s="653"/>
      <c r="E29" s="627"/>
      <c r="F29" s="654"/>
      <c r="G29" s="655"/>
      <c r="H29" s="627"/>
      <c r="I29" s="654"/>
      <c r="J29" s="655"/>
      <c r="K29" s="627"/>
      <c r="L29" s="656"/>
      <c r="M29" s="657"/>
      <c r="N29" s="658">
        <f>SUM('2.Market-Rate Rental Housing'!M79,'4.Affordable Rental Housing'!M47,'5.Office'!M46,'6.Market-Rate Retail'!M112,'7.Hotel'!M23,'8.Vocational School'!M25,'9.Structured Parking'!M96)</f>
        <v>1042706927.5783665</v>
      </c>
    </row>
    <row r="30" spans="1:16">
      <c r="A30" s="615" t="s">
        <v>28</v>
      </c>
      <c r="B30" s="596"/>
      <c r="C30" s="659">
        <v>0.03</v>
      </c>
      <c r="D30" s="660"/>
      <c r="E30" s="627"/>
      <c r="F30" s="654"/>
      <c r="G30" s="655"/>
      <c r="H30" s="627"/>
      <c r="I30" s="654"/>
      <c r="J30" s="655"/>
      <c r="K30" s="627"/>
      <c r="L30" s="654"/>
      <c r="M30" s="654"/>
      <c r="N30" s="655">
        <f>N29*-C30</f>
        <v>-31281207.827350993</v>
      </c>
    </row>
    <row r="31" spans="1:16">
      <c r="A31" s="629" t="s">
        <v>214</v>
      </c>
      <c r="B31" s="605"/>
      <c r="C31" s="605"/>
      <c r="D31" s="661">
        <f>-D26</f>
        <v>-68182528.599999994</v>
      </c>
      <c r="E31" s="662">
        <f t="shared" ref="E31:N31" si="5">-E26</f>
        <v>-92166151.047439992</v>
      </c>
      <c r="F31" s="663">
        <f t="shared" si="5"/>
        <v>-25891643.877840005</v>
      </c>
      <c r="G31" s="664">
        <f t="shared" si="5"/>
        <v>0</v>
      </c>
      <c r="H31" s="662">
        <f t="shared" si="5"/>
        <v>-119644917.45171615</v>
      </c>
      <c r="I31" s="663">
        <f t="shared" si="5"/>
        <v>-67122031.396487743</v>
      </c>
      <c r="J31" s="664">
        <f t="shared" si="5"/>
        <v>-7160088.5534795932</v>
      </c>
      <c r="K31" s="662">
        <f t="shared" si="5"/>
        <v>-85588687.360693425</v>
      </c>
      <c r="L31" s="663">
        <f t="shared" si="5"/>
        <v>-75462461.540334135</v>
      </c>
      <c r="M31" s="663">
        <f t="shared" si="5"/>
        <v>-37857157.871902063</v>
      </c>
      <c r="N31" s="664">
        <f t="shared" si="5"/>
        <v>0</v>
      </c>
    </row>
    <row r="32" spans="1:16">
      <c r="A32" s="631" t="s">
        <v>6</v>
      </c>
      <c r="B32" s="632"/>
      <c r="C32" s="632"/>
      <c r="D32" s="665">
        <f>SUM(D28:D31)</f>
        <v>-68182528.599999994</v>
      </c>
      <c r="E32" s="666">
        <f t="shared" ref="E32:N32" si="6">SUM(E28:E31)</f>
        <v>-87013544.541027486</v>
      </c>
      <c r="F32" s="667">
        <f t="shared" si="6"/>
        <v>-13610971.711919028</v>
      </c>
      <c r="G32" s="665">
        <f t="shared" si="6"/>
        <v>14976859.678130807</v>
      </c>
      <c r="H32" s="666">
        <f t="shared" si="6"/>
        <v>-102870333.97372541</v>
      </c>
      <c r="I32" s="667">
        <f t="shared" si="6"/>
        <v>-23685066.322703116</v>
      </c>
      <c r="J32" s="665">
        <f t="shared" si="6"/>
        <v>41003712.320429027</v>
      </c>
      <c r="K32" s="666">
        <f t="shared" si="6"/>
        <v>-30931388.941573389</v>
      </c>
      <c r="L32" s="667">
        <f t="shared" si="6"/>
        <v>-38626827.57219664</v>
      </c>
      <c r="M32" s="667">
        <f t="shared" si="6"/>
        <v>5884238.1910901964</v>
      </c>
      <c r="N32" s="665">
        <f t="shared" si="6"/>
        <v>1067482377.1574873</v>
      </c>
    </row>
    <row r="33" spans="1:14" ht="16" thickBot="1">
      <c r="A33" s="668" t="s">
        <v>292</v>
      </c>
      <c r="B33" s="643"/>
      <c r="C33" s="643"/>
      <c r="D33" s="695">
        <f>-Financing!B18</f>
        <v>0</v>
      </c>
      <c r="E33" s="696">
        <f>-Financing!C18</f>
        <v>0</v>
      </c>
      <c r="F33" s="697">
        <f>-Financing!D18</f>
        <v>0</v>
      </c>
      <c r="G33" s="698">
        <f>-Financing!E18</f>
        <v>0</v>
      </c>
      <c r="H33" s="696">
        <f>-Financing!F18</f>
        <v>-6821775.4369220156</v>
      </c>
      <c r="I33" s="697">
        <f>-Financing!G18</f>
        <v>-10849097.320711279</v>
      </c>
      <c r="J33" s="698">
        <f>-Financing!H18</f>
        <v>-11278702.633920055</v>
      </c>
      <c r="K33" s="696">
        <f>-Financing!I18</f>
        <v>-16414023.87556166</v>
      </c>
      <c r="L33" s="697">
        <f>-Financing!J18</f>
        <v>-20941771.567981709</v>
      </c>
      <c r="M33" s="697">
        <f>-Financing!K18</f>
        <v>-23213201.040295832</v>
      </c>
      <c r="N33" s="698">
        <f>-Financing!L18</f>
        <v>-23213201.040295832</v>
      </c>
    </row>
    <row r="34" spans="1:14">
      <c r="A34" s="688"/>
      <c r="B34" s="689"/>
      <c r="C34" s="689"/>
      <c r="D34" s="690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>
      <c r="A35" s="24" t="s">
        <v>215</v>
      </c>
      <c r="B35" s="24"/>
      <c r="C35" s="500">
        <f>D32+NPV(0.09,E32:N32)</f>
        <v>205596228.15763208</v>
      </c>
      <c r="D35" s="1026">
        <f>SUM(D26:N26)-D25-D23</f>
        <v>518393139.09989309</v>
      </c>
      <c r="E35" s="11"/>
      <c r="F35" s="11"/>
      <c r="G35" s="11"/>
      <c r="H35" s="10"/>
      <c r="I35" s="11"/>
      <c r="J35" s="11"/>
      <c r="K35" s="11"/>
      <c r="L35" s="11"/>
      <c r="M35" s="11"/>
      <c r="N35" s="11"/>
    </row>
    <row r="36" spans="1:14" ht="16" thickBot="1">
      <c r="A36" s="691" t="s">
        <v>67</v>
      </c>
      <c r="B36" s="24"/>
      <c r="C36" s="787">
        <f>M68/N29</f>
        <v>0.36145025417662718</v>
      </c>
      <c r="D36" s="9"/>
      <c r="E36" s="11"/>
      <c r="F36" s="11"/>
      <c r="G36" s="11"/>
      <c r="H36" s="25"/>
      <c r="I36" s="11"/>
      <c r="J36" s="11"/>
      <c r="K36" s="11"/>
      <c r="L36" s="11"/>
      <c r="M36" s="11"/>
      <c r="N36" s="11"/>
    </row>
    <row r="37" spans="1:14">
      <c r="A37" s="24" t="s">
        <v>68</v>
      </c>
      <c r="B37" s="24"/>
      <c r="C37" s="787">
        <f>IRR(D32:N32,0)</f>
        <v>0.1761683960784417</v>
      </c>
      <c r="D37" s="9"/>
      <c r="E37" s="11"/>
      <c r="F37" s="11"/>
      <c r="G37" s="30" t="s">
        <v>69</v>
      </c>
      <c r="H37" s="31"/>
      <c r="I37" s="31"/>
      <c r="J37" s="498">
        <f>D23</f>
        <v>57724371</v>
      </c>
      <c r="K37" s="11"/>
      <c r="L37" s="11"/>
      <c r="M37" s="11"/>
      <c r="N37" s="11"/>
    </row>
    <row r="38" spans="1:14" ht="16" thickBot="1">
      <c r="A38" s="24" t="s">
        <v>248</v>
      </c>
      <c r="B38" s="24"/>
      <c r="C38" s="788">
        <f>Financing!$B$35</f>
        <v>0.20445295487659809</v>
      </c>
      <c r="D38" s="693" t="s">
        <v>247</v>
      </c>
      <c r="E38" s="11"/>
      <c r="F38" s="11"/>
      <c r="G38" s="435" t="s">
        <v>70</v>
      </c>
      <c r="H38" s="20"/>
      <c r="I38" s="20"/>
      <c r="J38" s="499">
        <f>N29</f>
        <v>1042706927.5783665</v>
      </c>
      <c r="K38" s="11"/>
      <c r="L38" s="11"/>
      <c r="M38" s="11"/>
      <c r="N38" s="11"/>
    </row>
    <row r="39" spans="1:14" s="10" customFormat="1" ht="16" thickBot="1">
      <c r="A39" s="692"/>
      <c r="B39" s="29"/>
      <c r="C39" s="29"/>
      <c r="D39" s="19"/>
      <c r="E39" s="20"/>
      <c r="F39" s="20"/>
      <c r="G39" s="502"/>
      <c r="H39" s="20"/>
      <c r="I39" s="20"/>
      <c r="J39" s="20"/>
      <c r="K39" s="20"/>
      <c r="L39" s="20"/>
      <c r="M39" s="20"/>
      <c r="N39" s="20"/>
    </row>
    <row r="40" spans="1:14" ht="16" thickBot="1">
      <c r="A40" s="72" t="s">
        <v>71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</row>
    <row r="41" spans="1:14" ht="16" thickBot="1">
      <c r="A41" s="32"/>
      <c r="B41" s="16"/>
      <c r="C41" s="16"/>
      <c r="D41" s="8" t="s">
        <v>55</v>
      </c>
      <c r="E41" s="327" t="s">
        <v>36</v>
      </c>
      <c r="F41" s="328"/>
      <c r="G41" s="329"/>
      <c r="H41" s="327" t="s">
        <v>77</v>
      </c>
      <c r="I41" s="330"/>
      <c r="J41" s="329"/>
      <c r="K41" s="331" t="s">
        <v>78</v>
      </c>
      <c r="L41" s="331"/>
      <c r="M41" s="332"/>
      <c r="N41" s="329"/>
    </row>
    <row r="42" spans="1:14" s="12" customFormat="1" ht="16" thickBot="1">
      <c r="A42" s="4"/>
      <c r="B42" s="5"/>
      <c r="C42" s="6" t="s">
        <v>29</v>
      </c>
      <c r="D42" s="6" t="s">
        <v>379</v>
      </c>
      <c r="E42" s="33">
        <v>2022</v>
      </c>
      <c r="F42" s="6">
        <f t="shared" ref="F42:N42" si="7">E42+1</f>
        <v>2023</v>
      </c>
      <c r="G42" s="7">
        <f t="shared" si="7"/>
        <v>2024</v>
      </c>
      <c r="H42" s="33">
        <f t="shared" si="7"/>
        <v>2025</v>
      </c>
      <c r="I42" s="6">
        <f t="shared" si="7"/>
        <v>2026</v>
      </c>
      <c r="J42" s="7">
        <f t="shared" si="7"/>
        <v>2027</v>
      </c>
      <c r="K42" s="6">
        <f t="shared" si="7"/>
        <v>2028</v>
      </c>
      <c r="L42" s="6">
        <f t="shared" si="7"/>
        <v>2029</v>
      </c>
      <c r="M42" s="6">
        <f t="shared" si="7"/>
        <v>2030</v>
      </c>
      <c r="N42" s="7">
        <f t="shared" si="7"/>
        <v>2031</v>
      </c>
    </row>
    <row r="43" spans="1:14" ht="16" thickBot="1">
      <c r="A43" s="27" t="s">
        <v>72</v>
      </c>
      <c r="B43" s="22"/>
      <c r="C43" s="22"/>
      <c r="D43" s="34"/>
      <c r="E43" s="413"/>
      <c r="F43" s="18"/>
      <c r="G43" s="23"/>
      <c r="H43" s="413"/>
      <c r="I43" s="18"/>
      <c r="J43" s="23"/>
      <c r="K43" s="18"/>
      <c r="L43" s="18"/>
      <c r="M43" s="18"/>
      <c r="N43" s="23"/>
    </row>
    <row r="44" spans="1:14">
      <c r="A44" s="615" t="s">
        <v>61</v>
      </c>
      <c r="B44" s="647"/>
      <c r="C44" s="981">
        <f>SUM('2.Market-Rate Rental Housing'!C88:C92)</f>
        <v>614</v>
      </c>
      <c r="D44" s="982">
        <f>SUM('2.Market-Rate Rental Housing'!C10,'2.Market-Rate Rental Housing'!C22,'2.Market-Rate Rental Housing'!C34,'2.Market-Rate Rental Housing'!C46,'2.Market-Rate Rental Housing'!C58)</f>
        <v>0</v>
      </c>
      <c r="E44" s="983">
        <f>SUM('2.Market-Rate Rental Housing'!D10,'2.Market-Rate Rental Housing'!D22,'2.Market-Rate Rental Housing'!D34,'2.Market-Rate Rental Housing'!D46,'2.Market-Rate Rental Housing'!D58)</f>
        <v>134</v>
      </c>
      <c r="F44" s="984">
        <f>SUM('2.Market-Rate Rental Housing'!E10,'2.Market-Rate Rental Housing'!E22,'2.Market-Rate Rental Housing'!E34,'2.Market-Rate Rental Housing'!E46,'2.Market-Rate Rental Housing'!E58)</f>
        <v>0</v>
      </c>
      <c r="G44" s="985">
        <f>SUM('2.Market-Rate Rental Housing'!F10,'2.Market-Rate Rental Housing'!F22,'2.Market-Rate Rental Housing'!F34,'2.Market-Rate Rental Housing'!F46,'2.Market-Rate Rental Housing'!F58)</f>
        <v>0</v>
      </c>
      <c r="H44" s="983">
        <f>SUM('2.Market-Rate Rental Housing'!G10,'2.Market-Rate Rental Housing'!G22,'2.Market-Rate Rental Housing'!G34,'2.Market-Rate Rental Housing'!G46,'2.Market-Rate Rental Housing'!G58)</f>
        <v>117</v>
      </c>
      <c r="I44" s="984">
        <f>SUM('2.Market-Rate Rental Housing'!H10,'2.Market-Rate Rental Housing'!H22,'2.Market-Rate Rental Housing'!H34,'2.Market-Rate Rental Housing'!H46,'2.Market-Rate Rental Housing'!H58)</f>
        <v>147</v>
      </c>
      <c r="J44" s="985">
        <f>SUM('2.Market-Rate Rental Housing'!I10,'2.Market-Rate Rental Housing'!I22,'2.Market-Rate Rental Housing'!I34,'2.Market-Rate Rental Housing'!I46,'2.Market-Rate Rental Housing'!I58)</f>
        <v>0</v>
      </c>
      <c r="K44" s="982">
        <f>SUM('2.Market-Rate Rental Housing'!J10,'2.Market-Rate Rental Housing'!J22,'2.Market-Rate Rental Housing'!J34,'2.Market-Rate Rental Housing'!J46,'2.Market-Rate Rental Housing'!J58)</f>
        <v>140</v>
      </c>
      <c r="L44" s="982">
        <f>SUM('2.Market-Rate Rental Housing'!K10,'2.Market-Rate Rental Housing'!K22,'2.Market-Rate Rental Housing'!K34,'2.Market-Rate Rental Housing'!K46,'2.Market-Rate Rental Housing'!K58)</f>
        <v>76</v>
      </c>
      <c r="M44" s="982">
        <f>SUM('2.Market-Rate Rental Housing'!L10,'2.Market-Rate Rental Housing'!L22,'2.Market-Rate Rental Housing'!L34,'2.Market-Rate Rental Housing'!L46,'2.Market-Rate Rental Housing'!L58)</f>
        <v>0</v>
      </c>
      <c r="N44" s="986">
        <f>SUM('2.Market-Rate Rental Housing'!M10,'2.Market-Rate Rental Housing'!M22,'2.Market-Rate Rental Housing'!M34,'2.Market-Rate Rental Housing'!M46,'2.Market-Rate Rental Housing'!M58)</f>
        <v>0</v>
      </c>
    </row>
    <row r="45" spans="1:14">
      <c r="A45" s="615" t="s">
        <v>62</v>
      </c>
      <c r="B45" s="647"/>
      <c r="C45" s="981">
        <f>SUM('3.Market-Rate For-Sale Housing'!C35:C35)</f>
        <v>75.949680000000015</v>
      </c>
      <c r="D45" s="987">
        <f>'3.Market-Rate For-Sale Housing'!C9</f>
        <v>0</v>
      </c>
      <c r="E45" s="988">
        <f>'3.Market-Rate For-Sale Housing'!D9</f>
        <v>0</v>
      </c>
      <c r="F45" s="989">
        <f>'3.Market-Rate For-Sale Housing'!E9</f>
        <v>0</v>
      </c>
      <c r="G45" s="990">
        <f>'3.Market-Rate For-Sale Housing'!F9</f>
        <v>0</v>
      </c>
      <c r="H45" s="991">
        <f>'3.Market-Rate For-Sale Housing'!G9</f>
        <v>76</v>
      </c>
      <c r="I45" s="989">
        <f>'3.Market-Rate For-Sale Housing'!H9</f>
        <v>0</v>
      </c>
      <c r="J45" s="990">
        <f>'3.Market-Rate For-Sale Housing'!I9</f>
        <v>0</v>
      </c>
      <c r="K45" s="989">
        <f>'3.Market-Rate For-Sale Housing'!J9</f>
        <v>0</v>
      </c>
      <c r="L45" s="989">
        <f>'3.Market-Rate For-Sale Housing'!K9</f>
        <v>0</v>
      </c>
      <c r="M45" s="989">
        <f>'3.Market-Rate For-Sale Housing'!L9</f>
        <v>0</v>
      </c>
      <c r="N45" s="990">
        <f>'3.Market-Rate For-Sale Housing'!M9</f>
        <v>0</v>
      </c>
    </row>
    <row r="46" spans="1:14">
      <c r="A46" s="615" t="s">
        <v>63</v>
      </c>
      <c r="B46" s="647"/>
      <c r="C46" s="981">
        <f>SUM('4.Affordable Rental Housing'!C56:C58)</f>
        <v>93.701888333333329</v>
      </c>
      <c r="D46" s="982">
        <f>SUM('4.Affordable Rental Housing'!C9,'4.Affordable Rental Housing'!C19,'4.Affordable Rental Housing'!C29)</f>
        <v>0</v>
      </c>
      <c r="E46" s="992">
        <f>SUM('4.Affordable Rental Housing'!D9,'4.Affordable Rental Housing'!D19,'4.Affordable Rental Housing'!D29)</f>
        <v>0</v>
      </c>
      <c r="F46" s="982">
        <f>SUM('4.Affordable Rental Housing'!E9,'4.Affordable Rental Housing'!E19,'4.Affordable Rental Housing'!E29)</f>
        <v>0</v>
      </c>
      <c r="G46" s="986">
        <f>SUM('4.Affordable Rental Housing'!F9,'4.Affordable Rental Housing'!F19,'4.Affordable Rental Housing'!F29)</f>
        <v>0</v>
      </c>
      <c r="H46" s="992">
        <f>SUM('4.Affordable Rental Housing'!G9,'4.Affordable Rental Housing'!G19,'4.Affordable Rental Housing'!G29)</f>
        <v>0</v>
      </c>
      <c r="I46" s="982">
        <f>SUM('4.Affordable Rental Housing'!H9,'4.Affordable Rental Housing'!H19,'4.Affordable Rental Housing'!H29)</f>
        <v>0</v>
      </c>
      <c r="J46" s="986">
        <f>SUM('4.Affordable Rental Housing'!I9,'4.Affordable Rental Housing'!I19,'4.Affordable Rental Housing'!I29)</f>
        <v>0</v>
      </c>
      <c r="K46" s="982">
        <f>SUM('4.Affordable Rental Housing'!J9,'4.Affordable Rental Housing'!J19,'4.Affordable Rental Housing'!J29)</f>
        <v>145</v>
      </c>
      <c r="L46" s="982">
        <f>SUM('4.Affordable Rental Housing'!K9,'4.Affordable Rental Housing'!K19,'4.Affordable Rental Housing'!K29)</f>
        <v>0</v>
      </c>
      <c r="M46" s="982">
        <f>SUM('4.Affordable Rental Housing'!L9,'4.Affordable Rental Housing'!L19,'4.Affordable Rental Housing'!L29)</f>
        <v>0</v>
      </c>
      <c r="N46" s="986">
        <f>SUM('4.Affordable Rental Housing'!M9,'4.Affordable Rental Housing'!M19,'4.Affordable Rental Housing'!M29)</f>
        <v>0</v>
      </c>
    </row>
    <row r="47" spans="1:14">
      <c r="A47" s="597" t="s">
        <v>48</v>
      </c>
      <c r="B47" s="596"/>
      <c r="C47" s="993">
        <f>SUM('7.Hotel'!C8:M8)</f>
        <v>349.71899999999994</v>
      </c>
      <c r="D47" s="982">
        <f>'7.Hotel'!C8</f>
        <v>0</v>
      </c>
      <c r="E47" s="992">
        <f>'7.Hotel'!D8</f>
        <v>0</v>
      </c>
      <c r="F47" s="982">
        <f>'7.Hotel'!E8</f>
        <v>0</v>
      </c>
      <c r="G47" s="986">
        <f>'7.Hotel'!F8</f>
        <v>0</v>
      </c>
      <c r="H47" s="992">
        <f>'7.Hotel'!G8</f>
        <v>0</v>
      </c>
      <c r="I47" s="982">
        <f>'7.Hotel'!H8</f>
        <v>0</v>
      </c>
      <c r="J47" s="986">
        <f>'7.Hotel'!I8</f>
        <v>0</v>
      </c>
      <c r="K47" s="982">
        <f>'7.Hotel'!J8</f>
        <v>0</v>
      </c>
      <c r="L47" s="982">
        <f>'7.Hotel'!K8</f>
        <v>233.14599999999996</v>
      </c>
      <c r="M47" s="982">
        <f>'7.Hotel'!L8</f>
        <v>116.57299999999998</v>
      </c>
      <c r="N47" s="986">
        <f>'7.Hotel'!M8</f>
        <v>0</v>
      </c>
    </row>
    <row r="48" spans="1:14">
      <c r="A48" s="597" t="s">
        <v>49</v>
      </c>
      <c r="B48" s="596"/>
      <c r="C48" s="994">
        <f>SUM('9.Structured Parking'!C105:C108)</f>
        <v>1022.2978125000001</v>
      </c>
      <c r="D48" s="982">
        <f>D58/'9.Structured Parking'!$D$111</f>
        <v>0</v>
      </c>
      <c r="E48" s="992">
        <f>SUM('9.Structured Parking'!D9,'9.Structured Parking'!D28,'9.Structured Parking'!D47,'9.Structured Parking'!D66)-SUM('9.Structured Parking'!C9,'9.Structured Parking'!C28,'9.Structured Parking'!C47,'9.Structured Parking'!C66)</f>
        <v>870.82968750000009</v>
      </c>
      <c r="F48" s="982">
        <f>SUM('9.Structured Parking'!E9,'9.Structured Parking'!E28,'9.Structured Parking'!E47,'9.Structured Parking'!E66)-SUM('9.Structured Parking'!D9,'9.Structured Parking'!D28,'9.Structured Parking'!D47,'9.Structured Parking'!D66)</f>
        <v>0</v>
      </c>
      <c r="G48" s="986">
        <f>SUM('9.Structured Parking'!F9,'9.Structured Parking'!F28,'9.Structured Parking'!F47,'9.Structured Parking'!F66)-SUM('9.Structured Parking'!E9,'9.Structured Parking'!E28,'9.Structured Parking'!E47,'9.Structured Parking'!E66)</f>
        <v>0</v>
      </c>
      <c r="H48" s="992">
        <f>SUM('9.Structured Parking'!G9,'9.Structured Parking'!G28,'9.Structured Parking'!G47,'9.Structured Parking'!G66)-SUM('9.Structured Parking'!F9,'9.Structured Parking'!F28,'9.Structured Parking'!F47,'9.Structured Parking'!F66)</f>
        <v>0</v>
      </c>
      <c r="I48" s="982">
        <f>SUM('9.Structured Parking'!H9,'9.Structured Parking'!H28,'9.Structured Parking'!H47,'9.Structured Parking'!H66)-SUM('9.Structured Parking'!G9,'9.Structured Parking'!G28,'9.Structured Parking'!G47,'9.Structured Parking'!G66)</f>
        <v>47.620625000000018</v>
      </c>
      <c r="J48" s="986">
        <f>SUM('9.Structured Parking'!I9,'9.Structured Parking'!I28,'9.Structured Parking'!I47,'9.Structured Parking'!I66)-SUM('9.Structured Parking'!H9,'9.Structured Parking'!H28,'9.Structured Parking'!H47,'9.Structured Parking'!H66)</f>
        <v>0</v>
      </c>
      <c r="K48" s="982">
        <f>SUM('9.Structured Parking'!J9,'9.Structured Parking'!J28,'9.Structured Parking'!J47,'9.Structured Parking'!J66)-SUM('9.Structured Parking'!I9,'9.Structured Parking'!I28,'9.Structured Parking'!I47,'9.Structured Parking'!I66)</f>
        <v>0</v>
      </c>
      <c r="L48" s="982">
        <f>SUM('9.Structured Parking'!K9,'9.Structured Parking'!K28,'9.Structured Parking'!K47,'9.Structured Parking'!K66)-SUM('9.Structured Parking'!J9,'9.Structured Parking'!J28,'9.Structured Parking'!J47,'9.Structured Parking'!J66)</f>
        <v>103.84749999999997</v>
      </c>
      <c r="M48" s="982">
        <f>SUM('9.Structured Parking'!L9,'9.Structured Parking'!L28,'9.Structured Parking'!L47,'9.Structured Parking'!L66)-SUM('9.Structured Parking'!K9,'9.Structured Parking'!K28,'9.Structured Parking'!K47,'9.Structured Parking'!K66)</f>
        <v>0</v>
      </c>
      <c r="N48" s="986">
        <f>SUM('9.Structured Parking'!M9,'9.Structured Parking'!M28,'9.Structured Parking'!M47,'9.Structured Parking'!M66)-SUM('9.Structured Parking'!L9,'9.Structured Parking'!L28,'9.Structured Parking'!L47,'9.Structured Parking'!L66)</f>
        <v>0</v>
      </c>
    </row>
    <row r="49" spans="1:14" ht="16" thickBot="1">
      <c r="A49" s="597"/>
      <c r="B49" s="596"/>
      <c r="C49" s="994"/>
      <c r="D49" s="995"/>
      <c r="E49" s="996"/>
      <c r="F49" s="995"/>
      <c r="G49" s="997"/>
      <c r="H49" s="996"/>
      <c r="I49" s="995"/>
      <c r="J49" s="997"/>
      <c r="K49" s="995"/>
      <c r="L49" s="995"/>
      <c r="M49" s="995"/>
      <c r="N49" s="997"/>
    </row>
    <row r="50" spans="1:14" ht="16" thickBot="1">
      <c r="A50" s="998" t="s">
        <v>30</v>
      </c>
      <c r="B50" s="623"/>
      <c r="C50" s="999"/>
      <c r="D50" s="999"/>
      <c r="E50" s="1000"/>
      <c r="F50" s="1001"/>
      <c r="G50" s="624"/>
      <c r="H50" s="1000"/>
      <c r="I50" s="1001"/>
      <c r="J50" s="624"/>
      <c r="K50" s="1001"/>
      <c r="L50" s="1001"/>
      <c r="M50" s="1001"/>
      <c r="N50" s="624"/>
    </row>
    <row r="51" spans="1:14">
      <c r="A51" s="648" t="s">
        <v>61</v>
      </c>
      <c r="B51" s="1002"/>
      <c r="C51" s="1003">
        <f>SUM('2.Market-Rate Rental Housing'!D88:D92)</f>
        <v>645025.5</v>
      </c>
      <c r="D51" s="1004">
        <f>SUM('2.Market-Rate Rental Housing'!C14,'2.Market-Rate Rental Housing'!C26,'2.Market-Rate Rental Housing'!C38,'2.Market-Rate Rental Housing'!C50,'2.Market-Rate Rental Housing'!C62)</f>
        <v>0</v>
      </c>
      <c r="E51" s="982">
        <f>SUM('2.Market-Rate Rental Housing'!D14,'2.Market-Rate Rental Housing'!D26,'2.Market-Rate Rental Housing'!D38,'2.Market-Rate Rental Housing'!D50,'2.Market-Rate Rental Housing'!D62)-SUM('2.Market-Rate Rental Housing'!C14,'2.Market-Rate Rental Housing'!C26,'2.Market-Rate Rental Housing'!C38,'2.Market-Rate Rental Housing'!C50,'2.Market-Rate Rental Housing'!C62)</f>
        <v>158056</v>
      </c>
      <c r="F51" s="982">
        <f>SUM('2.Market-Rate Rental Housing'!E14,'2.Market-Rate Rental Housing'!E26,'2.Market-Rate Rental Housing'!E38,'2.Market-Rate Rental Housing'!E50,'2.Market-Rate Rental Housing'!E62)-SUM('2.Market-Rate Rental Housing'!D14,'2.Market-Rate Rental Housing'!D26,'2.Market-Rate Rental Housing'!D38,'2.Market-Rate Rental Housing'!D50,'2.Market-Rate Rental Housing'!D62)</f>
        <v>0</v>
      </c>
      <c r="G51" s="986">
        <f>SUM('2.Market-Rate Rental Housing'!F14,'2.Market-Rate Rental Housing'!F26,'2.Market-Rate Rental Housing'!F38,'2.Market-Rate Rental Housing'!F50,'2.Market-Rate Rental Housing'!F62)-SUM('2.Market-Rate Rental Housing'!E14,'2.Market-Rate Rental Housing'!E26,'2.Market-Rate Rental Housing'!E38,'2.Market-Rate Rental Housing'!E50,'2.Market-Rate Rental Housing'!E62)</f>
        <v>0</v>
      </c>
      <c r="H51" s="992">
        <f>SUM('2.Market-Rate Rental Housing'!G14,'2.Market-Rate Rental Housing'!G26,'2.Market-Rate Rental Housing'!G38,'2.Market-Rate Rental Housing'!G50,'2.Market-Rate Rental Housing'!G62)-SUM('2.Market-Rate Rental Housing'!F14,'2.Market-Rate Rental Housing'!F26,'2.Market-Rate Rental Housing'!F38,'2.Market-Rate Rental Housing'!F50,'2.Market-Rate Rental Housing'!F62)</f>
        <v>110868</v>
      </c>
      <c r="I51" s="982">
        <f>SUM('2.Market-Rate Rental Housing'!H14,'2.Market-Rate Rental Housing'!H26,'2.Market-Rate Rental Housing'!H38,'2.Market-Rate Rental Housing'!H50,'2.Market-Rate Rental Housing'!H62)-SUM('2.Market-Rate Rental Housing'!G14,'2.Market-Rate Rental Housing'!G26,'2.Market-Rate Rental Housing'!G38,'2.Market-Rate Rental Housing'!G50,'2.Market-Rate Rental Housing'!G62)</f>
        <v>138323.5</v>
      </c>
      <c r="J51" s="986">
        <f>SUM('2.Market-Rate Rental Housing'!I14,'2.Market-Rate Rental Housing'!I26,'2.Market-Rate Rental Housing'!I38,'2.Market-Rate Rental Housing'!I50,'2.Market-Rate Rental Housing'!I62)-SUM('2.Market-Rate Rental Housing'!H14,'2.Market-Rate Rental Housing'!H26,'2.Market-Rate Rental Housing'!H38,'2.Market-Rate Rental Housing'!H50,'2.Market-Rate Rental Housing'!H62)</f>
        <v>0</v>
      </c>
      <c r="K51" s="982">
        <f>SUM('2.Market-Rate Rental Housing'!J14,'2.Market-Rate Rental Housing'!J26,'2.Market-Rate Rental Housing'!J38,'2.Market-Rate Rental Housing'!J50,'2.Market-Rate Rental Housing'!J62)-SUM('2.Market-Rate Rental Housing'!I14,'2.Market-Rate Rental Housing'!I26,'2.Market-Rate Rental Housing'!I38,'2.Market-Rate Rental Housing'!I50,'2.Market-Rate Rental Housing'!I62)</f>
        <v>147815.19999999995</v>
      </c>
      <c r="L51" s="982">
        <f>SUM('2.Market-Rate Rental Housing'!K14,'2.Market-Rate Rental Housing'!K26,'2.Market-Rate Rental Housing'!K38,'2.Market-Rate Rental Housing'!K50,'2.Market-Rate Rental Housing'!K62)-SUM('2.Market-Rate Rental Housing'!J14,'2.Market-Rate Rental Housing'!J26,'2.Market-Rate Rental Housing'!J38,'2.Market-Rate Rental Housing'!J50,'2.Market-Rate Rental Housing'!J62)</f>
        <v>89962.800000000047</v>
      </c>
      <c r="M51" s="982">
        <f>SUM('2.Market-Rate Rental Housing'!L14,'2.Market-Rate Rental Housing'!L26,'2.Market-Rate Rental Housing'!L38,'2.Market-Rate Rental Housing'!L50,'2.Market-Rate Rental Housing'!L62)-SUM('2.Market-Rate Rental Housing'!K14,'2.Market-Rate Rental Housing'!K26,'2.Market-Rate Rental Housing'!K38,'2.Market-Rate Rental Housing'!K50,'2.Market-Rate Rental Housing'!K62)</f>
        <v>0</v>
      </c>
      <c r="N51" s="986">
        <f>SUM('2.Market-Rate Rental Housing'!M14,'2.Market-Rate Rental Housing'!M26,'2.Market-Rate Rental Housing'!M38,'2.Market-Rate Rental Housing'!M50,'2.Market-Rate Rental Housing'!M62)-SUM('2.Market-Rate Rental Housing'!L14,'2.Market-Rate Rental Housing'!L26,'2.Market-Rate Rental Housing'!L38,'2.Market-Rate Rental Housing'!L50,'2.Market-Rate Rental Housing'!L62)</f>
        <v>0</v>
      </c>
    </row>
    <row r="52" spans="1:14">
      <c r="A52" s="615" t="s">
        <v>62</v>
      </c>
      <c r="B52" s="616"/>
      <c r="C52" s="1005">
        <f>SUM('3.Market-Rate For-Sale Housing'!D35:D35)</f>
        <v>189874.2</v>
      </c>
      <c r="D52" s="986">
        <f>(D45*'3.Market-Rate For-Sale Housing'!$B$12)/'3.Market-Rate For-Sale Housing'!$B$13</f>
        <v>0</v>
      </c>
      <c r="E52" s="982">
        <f>(E45*'3.Market-Rate For-Sale Housing'!$B$12)/'3.Market-Rate For-Sale Housing'!$B$13</f>
        <v>0</v>
      </c>
      <c r="F52" s="982">
        <f>(F45*'3.Market-Rate For-Sale Housing'!$B$12)/'3.Market-Rate For-Sale Housing'!$B$13</f>
        <v>0</v>
      </c>
      <c r="G52" s="986">
        <f>(G45*'3.Market-Rate For-Sale Housing'!$B$12)/'3.Market-Rate For-Sale Housing'!$B$13</f>
        <v>0</v>
      </c>
      <c r="H52" s="992">
        <f>(H45*'3.Market-Rate For-Sale Housing'!$B$12)/'3.Market-Rate For-Sale Housing'!$B$13</f>
        <v>190000</v>
      </c>
      <c r="I52" s="982">
        <f>(I45*'3.Market-Rate For-Sale Housing'!$B$12)/'3.Market-Rate For-Sale Housing'!$B$13</f>
        <v>0</v>
      </c>
      <c r="J52" s="986">
        <f>(J45*'3.Market-Rate For-Sale Housing'!$B$12)/'3.Market-Rate For-Sale Housing'!$B$13</f>
        <v>0</v>
      </c>
      <c r="K52" s="982">
        <f>(K45*'3.Market-Rate For-Sale Housing'!$B$12)/'3.Market-Rate For-Sale Housing'!$B$13</f>
        <v>0</v>
      </c>
      <c r="L52" s="982">
        <f>(L45*'3.Market-Rate For-Sale Housing'!$B$12)/'3.Market-Rate For-Sale Housing'!$B$13</f>
        <v>0</v>
      </c>
      <c r="M52" s="982">
        <f>(M45*'3.Market-Rate For-Sale Housing'!$B$12)/'3.Market-Rate For-Sale Housing'!$B$13</f>
        <v>0</v>
      </c>
      <c r="N52" s="986">
        <f>(N45*'3.Market-Rate For-Sale Housing'!$B$12)/'3.Market-Rate For-Sale Housing'!$B$13</f>
        <v>0</v>
      </c>
    </row>
    <row r="53" spans="1:14">
      <c r="A53" s="615" t="s">
        <v>63</v>
      </c>
      <c r="B53" s="616"/>
      <c r="C53" s="1005">
        <f>SUM('4.Affordable Rental Housing'!E56:E58)</f>
        <v>157820.6</v>
      </c>
      <c r="D53" s="986">
        <f>D46*'4.Affordable Rental Housing'!$B$12</f>
        <v>0</v>
      </c>
      <c r="E53" s="982">
        <f>E46*'4.Affordable Rental Housing'!$B$12</f>
        <v>0</v>
      </c>
      <c r="F53" s="982">
        <f>F46*'4.Affordable Rental Housing'!$B$12</f>
        <v>0</v>
      </c>
      <c r="G53" s="986">
        <f>G46*'4.Affordable Rental Housing'!$B$12</f>
        <v>0</v>
      </c>
      <c r="H53" s="992">
        <f>H46*'4.Affordable Rental Housing'!$B$12</f>
        <v>0</v>
      </c>
      <c r="I53" s="982">
        <f>I46*'4.Affordable Rental Housing'!$B$12</f>
        <v>0</v>
      </c>
      <c r="J53" s="986">
        <f>J46*'4.Affordable Rental Housing'!$B$12</f>
        <v>0</v>
      </c>
      <c r="K53" s="982">
        <f>K46*'4.Affordable Rental Housing'!$B$12</f>
        <v>290000</v>
      </c>
      <c r="L53" s="982">
        <f>L46*'4.Affordable Rental Housing'!$B$12</f>
        <v>0</v>
      </c>
      <c r="M53" s="982">
        <f>M46*'4.Affordable Rental Housing'!$B$12</f>
        <v>0</v>
      </c>
      <c r="N53" s="986">
        <f>N46*'4.Affordable Rental Housing'!$B$12</f>
        <v>0</v>
      </c>
    </row>
    <row r="54" spans="1:14">
      <c r="A54" s="615" t="s">
        <v>64</v>
      </c>
      <c r="B54" s="596"/>
      <c r="C54" s="1005">
        <f>SUM('5.Office'!C55:C57)</f>
        <v>127315.30000000002</v>
      </c>
      <c r="D54" s="986">
        <f>'5.Office'!C9</f>
        <v>0</v>
      </c>
      <c r="E54" s="982">
        <f>SUM('Development Schedule'!E8:E9,'Development Schedule'!E30)</f>
        <v>14131.800000000001</v>
      </c>
      <c r="F54" s="982">
        <f>SUM('Development Schedule'!F8:F9,'Development Schedule'!F30)</f>
        <v>98408.700000000012</v>
      </c>
      <c r="G54" s="986">
        <f>SUM('Development Schedule'!G8:G9,'Development Schedule'!G30)</f>
        <v>0</v>
      </c>
      <c r="H54" s="992">
        <f>SUM('Development Schedule'!H8:H9,'Development Schedule'!H30)</f>
        <v>14774.8</v>
      </c>
      <c r="I54" s="982">
        <f>SUM('Development Schedule'!I8:I9,'Development Schedule'!I30)</f>
        <v>0</v>
      </c>
      <c r="J54" s="986">
        <f>SUM('Development Schedule'!J8:J9,'Development Schedule'!J30)</f>
        <v>0</v>
      </c>
      <c r="K54" s="982">
        <f>SUM('Development Schedule'!K8:K9,'Development Schedule'!K30)</f>
        <v>0</v>
      </c>
      <c r="L54" s="982">
        <f>SUM('Development Schedule'!L8:L9,'Development Schedule'!L30)</f>
        <v>0</v>
      </c>
      <c r="M54" s="982">
        <f>SUM('Development Schedule'!M8:M9,'Development Schedule'!M30)</f>
        <v>0</v>
      </c>
      <c r="N54" s="986">
        <f>SUM('Development Schedule'!N8:N9,'Development Schedule'!N30)</f>
        <v>0</v>
      </c>
    </row>
    <row r="55" spans="1:14">
      <c r="A55" s="615" t="s">
        <v>65</v>
      </c>
      <c r="B55" s="596"/>
      <c r="C55" s="1005">
        <f>SUM('6.Market-Rate Retail'!C121:C130)</f>
        <v>270105.90000000002</v>
      </c>
      <c r="D55" s="986">
        <f>'Development Schedule'!D52</f>
        <v>0</v>
      </c>
      <c r="E55" s="982">
        <f>SUM('Development Schedule'!E12:E15,'Development Schedule'!E26,'Development Schedule'!E29,'Development Schedule'!E39:E40,'Development Schedule'!E43:E44)</f>
        <v>79537.100000000006</v>
      </c>
      <c r="F55" s="982">
        <f>SUM('Development Schedule'!F12:F15,'Development Schedule'!F26,'Development Schedule'!F29,'Development Schedule'!F39:F40,'Development Schedule'!F43:F44)</f>
        <v>19757</v>
      </c>
      <c r="G55" s="986">
        <f>SUM('Development Schedule'!G12:G15,'Development Schedule'!G26,'Development Schedule'!G29,'Development Schedule'!G39:G40,'Development Schedule'!G43:G44)</f>
        <v>0</v>
      </c>
      <c r="H55" s="992">
        <f>SUM('Development Schedule'!H12:H15,'Development Schedule'!H26,'Development Schedule'!H29,'Development Schedule'!H39:H40,'Development Schedule'!H43:H44)</f>
        <v>56630.899999999994</v>
      </c>
      <c r="I55" s="982">
        <f>SUM('Development Schedule'!I12:I15,'Development Schedule'!I26,'Development Schedule'!I29,'Development Schedule'!I39:I40,'Development Schedule'!I43:I44)</f>
        <v>0</v>
      </c>
      <c r="J55" s="986">
        <f>SUM('Development Schedule'!J12:J15,'Development Schedule'!J26,'Development Schedule'!J29,'Development Schedule'!J39:J40,'Development Schedule'!J43:J44)</f>
        <v>0</v>
      </c>
      <c r="K55" s="982">
        <f>SUM('Development Schedule'!K12:K15,'Development Schedule'!K26,'Development Schedule'!K29,'Development Schedule'!K39:K40,'Development Schedule'!K43:K44)</f>
        <v>79401.399999999994</v>
      </c>
      <c r="L55" s="982">
        <f>SUM('Development Schedule'!L12:L15,'Development Schedule'!L26,'Development Schedule'!L29,'Development Schedule'!L39:L40,'Development Schedule'!L43:L44)</f>
        <v>34779.5</v>
      </c>
      <c r="M55" s="982">
        <f>SUM('Development Schedule'!M12:M15,'Development Schedule'!M26,'Development Schedule'!M29,'Development Schedule'!M39:M40,'Development Schedule'!M43:M44)</f>
        <v>0</v>
      </c>
      <c r="N55" s="986">
        <f>SUM('Development Schedule'!N12:N15,'Development Schedule'!N26,'Development Schedule'!N29,'Development Schedule'!N39:N40,'Development Schedule'!N43:N44)</f>
        <v>0</v>
      </c>
    </row>
    <row r="56" spans="1:14">
      <c r="A56" s="615" t="s">
        <v>48</v>
      </c>
      <c r="B56" s="596"/>
      <c r="C56" s="1005">
        <f>'7.Hotel'!D32</f>
        <v>139887.59999999998</v>
      </c>
      <c r="D56" s="986">
        <f>'Development Schedule'!D45</f>
        <v>0</v>
      </c>
      <c r="E56" s="982">
        <f>'Development Schedule'!E45</f>
        <v>0</v>
      </c>
      <c r="F56" s="982">
        <f>'Development Schedule'!F45</f>
        <v>0</v>
      </c>
      <c r="G56" s="986">
        <f>'Development Schedule'!G45</f>
        <v>0</v>
      </c>
      <c r="H56" s="992">
        <f>'Development Schedule'!H45</f>
        <v>0</v>
      </c>
      <c r="I56" s="982">
        <f>'Development Schedule'!I45</f>
        <v>0</v>
      </c>
      <c r="J56" s="986">
        <f>'Development Schedule'!J45</f>
        <v>0</v>
      </c>
      <c r="K56" s="982">
        <f>'Development Schedule'!K45</f>
        <v>0</v>
      </c>
      <c r="L56" s="982">
        <f>'Development Schedule'!L45</f>
        <v>93258.39999999998</v>
      </c>
      <c r="M56" s="982">
        <f>'Development Schedule'!M45</f>
        <v>46629.19999999999</v>
      </c>
      <c r="N56" s="986">
        <f>'Development Schedule'!N45</f>
        <v>0</v>
      </c>
    </row>
    <row r="57" spans="1:14">
      <c r="A57" s="615" t="s">
        <v>493</v>
      </c>
      <c r="B57" s="596"/>
      <c r="C57" s="1005">
        <f>'8.Vocational School'!D34</f>
        <v>24587.200000000001</v>
      </c>
      <c r="D57" s="986">
        <f>'Development Schedule'!D25</f>
        <v>0</v>
      </c>
      <c r="E57" s="982">
        <f>'Development Schedule'!E25</f>
        <v>0</v>
      </c>
      <c r="F57" s="982">
        <f>'Development Schedule'!F25</f>
        <v>0</v>
      </c>
      <c r="G57" s="986">
        <f>'Development Schedule'!G25</f>
        <v>0</v>
      </c>
      <c r="H57" s="992">
        <f>'Development Schedule'!H25</f>
        <v>0</v>
      </c>
      <c r="I57" s="982">
        <f>'Development Schedule'!I25</f>
        <v>24587.200000000001</v>
      </c>
      <c r="J57" s="986">
        <f>'Development Schedule'!J25</f>
        <v>0</v>
      </c>
      <c r="K57" s="982">
        <f>'Development Schedule'!K25</f>
        <v>0</v>
      </c>
      <c r="L57" s="982">
        <f>'Development Schedule'!L25</f>
        <v>0</v>
      </c>
      <c r="M57" s="982">
        <f>'Development Schedule'!M25</f>
        <v>0</v>
      </c>
      <c r="N57" s="986">
        <f>'Development Schedule'!N25</f>
        <v>0</v>
      </c>
    </row>
    <row r="58" spans="1:14">
      <c r="A58" s="615" t="s">
        <v>49</v>
      </c>
      <c r="B58" s="596"/>
      <c r="C58" s="1005">
        <f>SUM('9.Structured Parking'!D105:D108)</f>
        <v>327135.30000000005</v>
      </c>
      <c r="D58" s="986">
        <f>SUM('Development Schedule'!D10,'Development Schedule'!D28,'Development Schedule'!D46,'Development Schedule'!D65)</f>
        <v>0</v>
      </c>
      <c r="E58" s="982">
        <f>SUM('Development Schedule'!E10,'Development Schedule'!E28,'Development Schedule'!E46,'Development Schedule'!E65)</f>
        <v>78319.199999999997</v>
      </c>
      <c r="F58" s="982">
        <f>SUM('Development Schedule'!F10,'Development Schedule'!F28,'Development Schedule'!F46,'Development Schedule'!F65)</f>
        <v>0</v>
      </c>
      <c r="G58" s="986">
        <f>SUM('Development Schedule'!G10,'Development Schedule'!G28,'Development Schedule'!G46,'Development Schedule'!G65)</f>
        <v>0</v>
      </c>
      <c r="H58" s="992">
        <f>SUM('Development Schedule'!H10,'Development Schedule'!H28,'Development Schedule'!H46,'Development Schedule'!H65)</f>
        <v>72234</v>
      </c>
      <c r="I58" s="982">
        <f>SUM('Development Schedule'!I10,'Development Schedule'!I28,'Development Schedule'!I46,'Development Schedule'!I65)</f>
        <v>33231.199999999997</v>
      </c>
      <c r="J58" s="986">
        <f>SUM('Development Schedule'!J10,'Development Schedule'!J28,'Development Schedule'!J46,'Development Schedule'!J65)</f>
        <v>0</v>
      </c>
      <c r="K58" s="982">
        <f>SUM('Development Schedule'!K10,'Development Schedule'!K28,'Development Schedule'!K46,'Development Schedule'!K65)</f>
        <v>0</v>
      </c>
      <c r="L58" s="982">
        <f>SUM('Development Schedule'!L10,'Development Schedule'!L28,'Development Schedule'!L46,'Development Schedule'!L65)</f>
        <v>15238.6</v>
      </c>
      <c r="M58" s="982">
        <f>SUM('Development Schedule'!M10,'Development Schedule'!M28,'Development Schedule'!M46,'Development Schedule'!M65)</f>
        <v>0</v>
      </c>
      <c r="N58" s="986">
        <f>SUM('Development Schedule'!N10,'Development Schedule'!N28,'Development Schedule'!N46,'Development Schedule'!N65)</f>
        <v>0</v>
      </c>
    </row>
    <row r="59" spans="1:14">
      <c r="A59" s="629"/>
      <c r="B59" s="605"/>
      <c r="C59" s="638"/>
      <c r="D59" s="641"/>
      <c r="E59" s="639"/>
      <c r="F59" s="639"/>
      <c r="G59" s="641"/>
      <c r="H59" s="640"/>
      <c r="I59" s="639"/>
      <c r="J59" s="641"/>
      <c r="K59" s="639"/>
      <c r="L59" s="639"/>
      <c r="M59" s="639"/>
      <c r="N59" s="641"/>
    </row>
    <row r="60" spans="1:14" ht="16" thickBot="1">
      <c r="A60" s="642" t="s">
        <v>31</v>
      </c>
      <c r="B60" s="608"/>
      <c r="C60" s="888">
        <f>SUM(D60:N60)</f>
        <v>1885944.5</v>
      </c>
      <c r="D60" s="646">
        <f>SUM(D51:D59)</f>
        <v>0</v>
      </c>
      <c r="E60" s="644">
        <f>SUM(E51:E59)</f>
        <v>330044.09999999998</v>
      </c>
      <c r="F60" s="644">
        <f t="shared" ref="F60:N60" si="8">SUM(F51:F59)</f>
        <v>118165.70000000001</v>
      </c>
      <c r="G60" s="646">
        <f t="shared" si="8"/>
        <v>0</v>
      </c>
      <c r="H60" s="645">
        <f t="shared" si="8"/>
        <v>444507.69999999995</v>
      </c>
      <c r="I60" s="644">
        <f t="shared" si="8"/>
        <v>196141.90000000002</v>
      </c>
      <c r="J60" s="646">
        <f t="shared" si="8"/>
        <v>0</v>
      </c>
      <c r="K60" s="644">
        <f t="shared" si="8"/>
        <v>517216.6</v>
      </c>
      <c r="L60" s="644">
        <f t="shared" si="8"/>
        <v>233239.30000000002</v>
      </c>
      <c r="M60" s="644">
        <f t="shared" si="8"/>
        <v>46629.19999999999</v>
      </c>
      <c r="N60" s="646">
        <f t="shared" si="8"/>
        <v>0</v>
      </c>
    </row>
    <row r="61" spans="1:14" s="10" customFormat="1" ht="16" thickBot="1">
      <c r="A61" s="501"/>
      <c r="B61" s="437"/>
      <c r="C61" s="438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</row>
    <row r="62" spans="1:14" ht="16" thickBot="1">
      <c r="A62" s="72" t="s">
        <v>134</v>
      </c>
      <c r="B62" s="73"/>
      <c r="C62" s="73"/>
      <c r="D62" s="73"/>
      <c r="E62" s="73"/>
      <c r="F62" s="74"/>
      <c r="G62" s="436"/>
      <c r="H62" s="10"/>
      <c r="I62" s="75" t="s">
        <v>226</v>
      </c>
      <c r="J62" s="76"/>
      <c r="K62" s="76"/>
      <c r="L62" s="76"/>
      <c r="M62" s="76"/>
      <c r="N62" s="77"/>
    </row>
    <row r="63" spans="1:14" s="14" customFormat="1" ht="16.5" customHeight="1" thickBot="1">
      <c r="A63" s="612" t="s">
        <v>2</v>
      </c>
      <c r="B63" s="591"/>
      <c r="C63" s="613"/>
      <c r="D63" s="614"/>
      <c r="E63" s="592" t="s">
        <v>51</v>
      </c>
      <c r="F63" s="593" t="s">
        <v>34</v>
      </c>
      <c r="G63" s="8"/>
      <c r="H63" s="13"/>
      <c r="I63" s="589"/>
      <c r="J63" s="590"/>
      <c r="K63" s="590"/>
      <c r="L63" s="591"/>
      <c r="M63" s="592" t="s">
        <v>50</v>
      </c>
      <c r="N63" s="593" t="s">
        <v>73</v>
      </c>
    </row>
    <row r="64" spans="1:14">
      <c r="A64" s="615" t="s">
        <v>61</v>
      </c>
      <c r="B64" s="616"/>
      <c r="C64" s="616"/>
      <c r="D64" s="596"/>
      <c r="E64" s="617">
        <f>F64/C44</f>
        <v>255195.33679667718</v>
      </c>
      <c r="F64" s="618">
        <f t="shared" ref="F64:F69" si="9">SUM(D15:N15)</f>
        <v>156689936.79315978</v>
      </c>
      <c r="G64" s="11"/>
      <c r="H64" s="10"/>
      <c r="I64" s="594" t="s">
        <v>74</v>
      </c>
      <c r="J64" s="595"/>
      <c r="K64" s="595"/>
      <c r="L64" s="596"/>
      <c r="M64" s="597"/>
      <c r="N64" s="598"/>
    </row>
    <row r="65" spans="1:14">
      <c r="A65" s="615" t="s">
        <v>62</v>
      </c>
      <c r="B65" s="616"/>
      <c r="C65" s="616"/>
      <c r="D65" s="596"/>
      <c r="E65" s="619">
        <f>F65/C45</f>
        <v>785042.39497499983</v>
      </c>
      <c r="F65" s="620">
        <f t="shared" si="9"/>
        <v>59623718.684784859</v>
      </c>
      <c r="G65" s="11"/>
      <c r="H65" s="10"/>
      <c r="I65" s="597" t="s">
        <v>592</v>
      </c>
      <c r="J65" s="596"/>
      <c r="K65" s="596"/>
      <c r="L65" s="599"/>
      <c r="M65" s="600">
        <f>Budget!C12</f>
        <v>197938983.69496256</v>
      </c>
      <c r="N65" s="601">
        <f>M65/$M$74</f>
        <v>0.34137671841980627</v>
      </c>
    </row>
    <row r="66" spans="1:14">
      <c r="A66" s="615" t="s">
        <v>63</v>
      </c>
      <c r="B66" s="616"/>
      <c r="C66" s="616"/>
      <c r="D66" s="596"/>
      <c r="E66" s="619">
        <f>F66/C46</f>
        <v>443051.06671894563</v>
      </c>
      <c r="F66" s="620">
        <f t="shared" si="9"/>
        <v>41514721.579662859</v>
      </c>
      <c r="G66" s="11"/>
      <c r="H66" s="10"/>
      <c r="I66" s="597"/>
      <c r="J66" s="596"/>
      <c r="K66" s="596"/>
      <c r="L66" s="596"/>
      <c r="M66" s="597"/>
      <c r="N66" s="598"/>
    </row>
    <row r="67" spans="1:14">
      <c r="A67" s="615" t="s">
        <v>131</v>
      </c>
      <c r="B67" s="596"/>
      <c r="C67" s="616"/>
      <c r="D67" s="596"/>
      <c r="E67" s="621">
        <f>F67/SUM(E54:N54)</f>
        <v>231.71976086016369</v>
      </c>
      <c r="F67" s="620">
        <f t="shared" si="9"/>
        <v>29501470.869840004</v>
      </c>
      <c r="G67" s="11"/>
      <c r="H67" s="10"/>
      <c r="I67" s="594" t="s">
        <v>75</v>
      </c>
      <c r="J67" s="595"/>
      <c r="K67" s="595"/>
      <c r="L67" s="596"/>
      <c r="M67" s="597"/>
      <c r="N67" s="598"/>
    </row>
    <row r="68" spans="1:14">
      <c r="A68" s="615" t="s">
        <v>65</v>
      </c>
      <c r="B68" s="596"/>
      <c r="C68" s="616"/>
      <c r="D68" s="596"/>
      <c r="E68" s="621">
        <f>F68/C55</f>
        <v>217.43299883610857</v>
      </c>
      <c r="F68" s="620">
        <f t="shared" si="9"/>
        <v>58729935.840326063</v>
      </c>
      <c r="G68" s="11"/>
      <c r="H68" s="10"/>
      <c r="I68" s="597" t="s">
        <v>600</v>
      </c>
      <c r="J68" s="596"/>
      <c r="K68" s="596"/>
      <c r="L68" s="596"/>
      <c r="M68" s="602">
        <f>Budget!C11</f>
        <v>376886684.00493056</v>
      </c>
      <c r="N68" s="601">
        <f>M68/$M$74</f>
        <v>0.65</v>
      </c>
    </row>
    <row r="69" spans="1:14">
      <c r="A69" s="615" t="s">
        <v>48</v>
      </c>
      <c r="B69" s="596"/>
      <c r="C69" s="616"/>
      <c r="D69" s="596"/>
      <c r="E69" s="621">
        <f>F69/C56</f>
        <v>640.94715137165952</v>
      </c>
      <c r="F69" s="620">
        <f t="shared" si="9"/>
        <v>89660558.732218146</v>
      </c>
      <c r="G69" s="11"/>
      <c r="H69" s="10"/>
      <c r="I69" s="597"/>
      <c r="J69" s="596"/>
      <c r="K69" s="596"/>
      <c r="L69" s="596"/>
      <c r="M69" s="597"/>
      <c r="N69" s="598"/>
    </row>
    <row r="70" spans="1:14">
      <c r="A70" s="21" t="s">
        <v>493</v>
      </c>
      <c r="E70" s="621">
        <f>F70/C57</f>
        <v>183.91373108176805</v>
      </c>
      <c r="F70" s="620">
        <f>SUM(D21:N21)</f>
        <v>4521923.6888536476</v>
      </c>
      <c r="G70" s="11"/>
      <c r="H70" s="10"/>
      <c r="I70" s="594" t="s">
        <v>76</v>
      </c>
      <c r="J70" s="595"/>
      <c r="K70" s="595"/>
      <c r="L70" s="596"/>
      <c r="M70" s="597"/>
      <c r="N70" s="598"/>
    </row>
    <row r="71" spans="1:14">
      <c r="A71" s="615" t="s">
        <v>179</v>
      </c>
      <c r="B71" s="596"/>
      <c r="C71" s="616"/>
      <c r="D71" s="596"/>
      <c r="E71" s="619">
        <f>F71/(C48-E48)</f>
        <v>168948.7130374049</v>
      </c>
      <c r="F71" s="620">
        <f>SUM(D22:N22)</f>
        <v>25590344.784938775</v>
      </c>
      <c r="G71" s="11"/>
      <c r="H71" s="10"/>
      <c r="I71" s="597" t="s">
        <v>603</v>
      </c>
      <c r="J71" s="596"/>
      <c r="K71" s="596"/>
      <c r="L71" s="596"/>
      <c r="M71" s="603">
        <f>E75</f>
        <v>5000000</v>
      </c>
      <c r="N71" s="601">
        <f>M71/$M$74</f>
        <v>8.6232815801936969E-3</v>
      </c>
    </row>
    <row r="72" spans="1:14">
      <c r="A72" s="615" t="s">
        <v>216</v>
      </c>
      <c r="B72" s="596"/>
      <c r="C72" s="616"/>
      <c r="D72" s="596"/>
      <c r="E72" s="621">
        <f>F72/'Land Acquisition'!D10</f>
        <v>226.65682545840346</v>
      </c>
      <c r="F72" s="620">
        <f>SUM(D23:N23)</f>
        <v>57724371</v>
      </c>
      <c r="G72" s="11"/>
      <c r="H72" s="10"/>
      <c r="I72" s="597"/>
      <c r="J72" s="596"/>
      <c r="K72" s="596"/>
      <c r="L72" s="596"/>
      <c r="M72" s="603"/>
      <c r="N72" s="601"/>
    </row>
    <row r="73" spans="1:14" ht="16" thickBot="1">
      <c r="A73" s="615" t="s">
        <v>213</v>
      </c>
      <c r="B73" s="596"/>
      <c r="C73" s="616"/>
      <c r="D73" s="596"/>
      <c r="E73" s="622">
        <v>4</v>
      </c>
      <c r="F73" s="620">
        <f>SUM(D25:N25)</f>
        <v>2958157.6</v>
      </c>
      <c r="G73" s="11"/>
      <c r="H73" s="10"/>
      <c r="I73" s="604"/>
      <c r="J73" s="605"/>
      <c r="K73" s="605"/>
      <c r="L73" s="605"/>
      <c r="M73" s="604"/>
      <c r="N73" s="606"/>
    </row>
    <row r="74" spans="1:14" ht="18" thickBot="1">
      <c r="A74" s="612" t="s">
        <v>133</v>
      </c>
      <c r="B74" s="623"/>
      <c r="C74" s="623"/>
      <c r="D74" s="624"/>
      <c r="E74" s="592" t="s">
        <v>53</v>
      </c>
      <c r="F74" s="593" t="s">
        <v>54</v>
      </c>
      <c r="G74" s="8"/>
      <c r="H74" s="10"/>
      <c r="I74" s="607" t="s">
        <v>246</v>
      </c>
      <c r="J74" s="608"/>
      <c r="K74" s="608"/>
      <c r="L74" s="609"/>
      <c r="M74" s="610">
        <f>SUM(M65:M73)</f>
        <v>579825667.69989312</v>
      </c>
      <c r="N74" s="611">
        <f>SUM(N65:N73)</f>
        <v>1</v>
      </c>
    </row>
    <row r="75" spans="1:14">
      <c r="A75" s="615" t="s">
        <v>548</v>
      </c>
      <c r="B75" s="596"/>
      <c r="C75" s="616"/>
      <c r="D75" s="596"/>
      <c r="E75" s="916">
        <v>5000000</v>
      </c>
      <c r="F75" s="626">
        <f>SUM('1.Infrastructure Costs'!D16:N16)-E75</f>
        <v>20736276.919774998</v>
      </c>
      <c r="G75" s="10"/>
      <c r="H75" s="10"/>
      <c r="I75" s="1008" t="s">
        <v>601</v>
      </c>
      <c r="J75" s="1008"/>
      <c r="K75" s="1008"/>
      <c r="L75" s="1008"/>
      <c r="M75" s="1008"/>
      <c r="N75" s="1008"/>
    </row>
    <row r="76" spans="1:14">
      <c r="A76" s="615" t="s">
        <v>52</v>
      </c>
      <c r="B76" s="596"/>
      <c r="C76" s="616"/>
      <c r="D76" s="596"/>
      <c r="E76" s="627">
        <v>0</v>
      </c>
      <c r="F76" s="628">
        <f>SUM('1.Infrastructure Costs'!E17:N19,'1.Infrastructure Costs'!E21:N21)</f>
        <v>2632876.7979800766</v>
      </c>
      <c r="G76" s="699"/>
      <c r="H76" s="10"/>
    </row>
    <row r="77" spans="1:14" ht="16" thickBot="1">
      <c r="A77" s="615" t="s">
        <v>593</v>
      </c>
      <c r="B77" s="596"/>
      <c r="C77" s="616"/>
      <c r="D77" s="596"/>
      <c r="E77" s="627">
        <v>0</v>
      </c>
      <c r="F77" s="628">
        <f>SUM('1.Infrastructure Costs'!D20:N20)</f>
        <v>2845500.1183538996</v>
      </c>
      <c r="G77" s="10"/>
      <c r="H77" s="10"/>
    </row>
    <row r="78" spans="1:14" ht="16" thickBot="1">
      <c r="A78" s="615" t="s">
        <v>577</v>
      </c>
      <c r="B78" s="596"/>
      <c r="C78" s="616"/>
      <c r="D78" s="596"/>
      <c r="E78" s="627"/>
      <c r="F78" s="628">
        <f>SUM('1.Infrastructure Costs'!D9:N11)</f>
        <v>5169242.46</v>
      </c>
      <c r="G78" s="10"/>
      <c r="H78" s="10"/>
      <c r="I78" s="735" t="s">
        <v>271</v>
      </c>
      <c r="J78" s="736"/>
      <c r="K78" s="736"/>
      <c r="L78" s="736"/>
      <c r="M78" s="736"/>
      <c r="N78" s="737"/>
    </row>
    <row r="79" spans="1:14">
      <c r="A79" s="615" t="s">
        <v>495</v>
      </c>
      <c r="B79" s="596"/>
      <c r="C79" s="616"/>
      <c r="D79" s="596"/>
      <c r="E79" s="627"/>
      <c r="F79" s="628">
        <f>SUM('1.Infrastructure Costs'!D13:N13)</f>
        <v>15000000</v>
      </c>
      <c r="G79" s="10"/>
      <c r="H79" s="10"/>
      <c r="I79" s="700"/>
      <c r="J79" s="701"/>
      <c r="K79" s="702" t="s">
        <v>273</v>
      </c>
      <c r="L79" s="700"/>
      <c r="M79" s="701"/>
      <c r="N79" s="750"/>
    </row>
    <row r="80" spans="1:14" ht="18" thickBot="1">
      <c r="A80" s="615" t="s">
        <v>545</v>
      </c>
      <c r="B80" s="596"/>
      <c r="C80" s="616"/>
      <c r="D80" s="596"/>
      <c r="E80" s="627"/>
      <c r="F80" s="628">
        <f>SUM('1.Infrastructure Costs'!D12:N12)</f>
        <v>1176631.83</v>
      </c>
      <c r="G80" s="10"/>
      <c r="H80" s="10"/>
      <c r="I80" s="36" t="s">
        <v>272</v>
      </c>
      <c r="J80" s="692"/>
      <c r="K80" s="749" t="s">
        <v>274</v>
      </c>
      <c r="L80" s="792" t="s">
        <v>275</v>
      </c>
      <c r="M80" s="782"/>
      <c r="N80" s="783"/>
    </row>
    <row r="81" spans="1:14" ht="16" customHeight="1" thickBot="1">
      <c r="A81" s="629"/>
      <c r="B81" s="605"/>
      <c r="C81" s="630"/>
      <c r="D81" s="605"/>
      <c r="E81" s="627"/>
      <c r="F81" s="628"/>
      <c r="G81" s="10"/>
      <c r="H81" s="10"/>
      <c r="I81" s="899" t="s">
        <v>276</v>
      </c>
      <c r="J81" s="900"/>
      <c r="K81" s="902">
        <v>3.12</v>
      </c>
      <c r="L81" s="1188" t="s">
        <v>578</v>
      </c>
      <c r="M81" s="1189"/>
      <c r="N81" s="1190"/>
    </row>
    <row r="82" spans="1:14" ht="16.5" customHeight="1" thickBot="1">
      <c r="A82" s="631" t="s">
        <v>33</v>
      </c>
      <c r="B82" s="632"/>
      <c r="C82" s="632"/>
      <c r="D82" s="596"/>
      <c r="E82" s="633">
        <f>SUM(E75:E81)</f>
        <v>5000000</v>
      </c>
      <c r="F82" s="633">
        <f>SUM(F75:F81)</f>
        <v>47560528.126108974</v>
      </c>
      <c r="G82" s="10"/>
      <c r="H82" s="699"/>
      <c r="I82" s="903"/>
      <c r="J82" s="901"/>
      <c r="K82" s="901"/>
      <c r="L82" s="1191"/>
      <c r="M82" s="1192"/>
      <c r="N82" s="1193"/>
    </row>
    <row r="83" spans="1:14" ht="16" thickBot="1">
      <c r="A83" s="612" t="s">
        <v>3</v>
      </c>
      <c r="B83" s="634"/>
      <c r="C83" s="634"/>
      <c r="D83" s="635"/>
      <c r="E83" s="636"/>
      <c r="F83" s="637">
        <f>SUM(F64:F73,F82)+E82</f>
        <v>579075667.69989312</v>
      </c>
      <c r="I83" s="913" t="s">
        <v>277</v>
      </c>
      <c r="J83" s="914"/>
      <c r="K83" s="904">
        <f>(0.014+0.12)/2</f>
        <v>6.7000000000000004E-2</v>
      </c>
      <c r="L83" s="913" t="s">
        <v>579</v>
      </c>
      <c r="M83" s="914"/>
      <c r="N83" s="915"/>
    </row>
    <row r="84" spans="1:14" ht="16.5" customHeight="1" thickBot="1">
      <c r="D84" s="15"/>
      <c r="E84" s="26"/>
      <c r="I84" s="899" t="s">
        <v>278</v>
      </c>
      <c r="J84" s="900"/>
      <c r="K84" s="902">
        <v>400</v>
      </c>
      <c r="L84" s="1188" t="s">
        <v>599</v>
      </c>
      <c r="M84" s="1189"/>
      <c r="N84" s="1190"/>
    </row>
    <row r="85" spans="1:14" ht="16.5" customHeight="1" thickBot="1">
      <c r="D85" s="15"/>
      <c r="E85" s="26"/>
      <c r="I85" s="899" t="s">
        <v>279</v>
      </c>
      <c r="J85" s="900"/>
      <c r="K85" s="902">
        <f>(35+60)/2</f>
        <v>47.5</v>
      </c>
      <c r="L85" s="1194" t="s">
        <v>579</v>
      </c>
      <c r="M85" s="1195"/>
      <c r="N85" s="1196"/>
    </row>
    <row r="86" spans="1:14" ht="16" thickBot="1">
      <c r="A86" s="735" t="s">
        <v>261</v>
      </c>
      <c r="B86" s="736"/>
      <c r="C86" s="736"/>
      <c r="D86" s="736"/>
      <c r="E86" s="736"/>
      <c r="F86" s="737"/>
      <c r="I86" s="913" t="s">
        <v>199</v>
      </c>
      <c r="J86" s="914"/>
      <c r="K86" s="904">
        <f>(0.014+0.18)/2</f>
        <v>9.7000000000000003E-2</v>
      </c>
      <c r="L86" s="1197"/>
      <c r="M86" s="1198"/>
      <c r="N86" s="1199"/>
    </row>
    <row r="87" spans="1:14" ht="15.5" customHeight="1">
      <c r="A87" s="738"/>
      <c r="B87" s="701"/>
      <c r="C87" s="739" t="s">
        <v>136</v>
      </c>
      <c r="D87" s="739" t="s">
        <v>137</v>
      </c>
      <c r="E87" s="739" t="s">
        <v>138</v>
      </c>
      <c r="F87" s="740" t="s">
        <v>31</v>
      </c>
      <c r="I87" s="899" t="s">
        <v>280</v>
      </c>
      <c r="J87" s="900"/>
      <c r="K87" s="902">
        <v>60</v>
      </c>
      <c r="L87" s="1179" t="s">
        <v>581</v>
      </c>
      <c r="M87" s="1180"/>
      <c r="N87" s="1181"/>
    </row>
    <row r="88" spans="1:14" ht="18" thickBot="1">
      <c r="A88" s="741" t="s">
        <v>139</v>
      </c>
      <c r="B88" s="692"/>
      <c r="C88" s="742" t="s">
        <v>262</v>
      </c>
      <c r="D88" s="742" t="s">
        <v>263</v>
      </c>
      <c r="E88" s="742" t="s">
        <v>264</v>
      </c>
      <c r="F88" s="743" t="s">
        <v>268</v>
      </c>
      <c r="I88" s="905" t="s">
        <v>582</v>
      </c>
      <c r="J88" s="906"/>
      <c r="K88" s="907">
        <v>40</v>
      </c>
      <c r="L88" s="1182"/>
      <c r="M88" s="1200"/>
      <c r="N88" s="1184"/>
    </row>
    <row r="89" spans="1:14">
      <c r="A89" s="615" t="s">
        <v>597</v>
      </c>
      <c r="B89" s="10"/>
      <c r="C89" s="952">
        <f>'Development Costs'!B6</f>
        <v>175</v>
      </c>
      <c r="D89" s="952">
        <f>'Development Costs'!C6</f>
        <v>35</v>
      </c>
      <c r="E89" s="953">
        <f>'Development Costs'!D6</f>
        <v>7</v>
      </c>
      <c r="F89" s="745">
        <f t="shared" ref="F89:F97" si="10">SUM(C89:E89)</f>
        <v>217</v>
      </c>
      <c r="I89" s="905" t="s">
        <v>583</v>
      </c>
      <c r="J89" s="906"/>
      <c r="K89" s="907">
        <v>32</v>
      </c>
      <c r="L89" s="1182"/>
      <c r="M89" s="1200"/>
      <c r="N89" s="1184"/>
    </row>
    <row r="90" spans="1:14" ht="16" thickBot="1">
      <c r="A90" s="615" t="s">
        <v>598</v>
      </c>
      <c r="B90" s="10"/>
      <c r="C90" s="954">
        <f>'Development Costs'!B7</f>
        <v>225</v>
      </c>
      <c r="D90" s="955">
        <f>'Development Costs'!C7</f>
        <v>45</v>
      </c>
      <c r="E90" s="954">
        <f>'Development Costs'!D7</f>
        <v>9</v>
      </c>
      <c r="F90" s="746">
        <f t="shared" si="10"/>
        <v>279</v>
      </c>
      <c r="I90" s="903" t="s">
        <v>200</v>
      </c>
      <c r="J90" s="901"/>
      <c r="K90" s="908">
        <v>9.6000000000000002E-2</v>
      </c>
      <c r="L90" s="1185"/>
      <c r="M90" s="1186"/>
      <c r="N90" s="1187"/>
    </row>
    <row r="91" spans="1:14">
      <c r="A91" s="35" t="s">
        <v>265</v>
      </c>
      <c r="B91" s="10"/>
      <c r="C91" s="954">
        <f>'Development Costs'!B25</f>
        <v>155</v>
      </c>
      <c r="D91" s="955">
        <f>'Development Costs'!C25</f>
        <v>31</v>
      </c>
      <c r="E91" s="954">
        <f>'Development Costs'!D25</f>
        <v>6.2</v>
      </c>
      <c r="F91" s="746">
        <f t="shared" si="10"/>
        <v>192.2</v>
      </c>
      <c r="I91" s="899" t="s">
        <v>584</v>
      </c>
      <c r="J91" s="900"/>
      <c r="K91" s="902">
        <v>213</v>
      </c>
      <c r="L91" s="1194" t="s">
        <v>585</v>
      </c>
      <c r="M91" s="1195"/>
      <c r="N91" s="1196"/>
    </row>
    <row r="92" spans="1:14">
      <c r="A92" s="35" t="s">
        <v>266</v>
      </c>
      <c r="B92" s="10"/>
      <c r="C92" s="954">
        <f>'Development Costs'!B28</f>
        <v>160</v>
      </c>
      <c r="D92" s="955">
        <f>'Development Costs'!C28</f>
        <v>32</v>
      </c>
      <c r="E92" s="954">
        <f>'Development Costs'!D28</f>
        <v>6.4</v>
      </c>
      <c r="F92" s="746">
        <f t="shared" si="10"/>
        <v>198.4</v>
      </c>
      <c r="I92" s="905" t="s">
        <v>586</v>
      </c>
      <c r="J92" s="906"/>
      <c r="K92" s="909">
        <v>0.77</v>
      </c>
      <c r="L92" s="1201"/>
      <c r="M92" s="1202"/>
      <c r="N92" s="1203"/>
    </row>
    <row r="93" spans="1:14" ht="16" thickBot="1">
      <c r="A93" s="35" t="s">
        <v>267</v>
      </c>
      <c r="B93" s="10"/>
      <c r="C93" s="954">
        <f>'Development Costs'!B26</f>
        <v>200</v>
      </c>
      <c r="D93" s="955">
        <f>'Development Costs'!C26</f>
        <v>40</v>
      </c>
      <c r="E93" s="954">
        <f>'Development Costs'!D26</f>
        <v>8</v>
      </c>
      <c r="F93" s="746">
        <f t="shared" si="10"/>
        <v>248</v>
      </c>
      <c r="I93" s="903" t="s">
        <v>587</v>
      </c>
      <c r="J93" s="901"/>
      <c r="K93" s="910">
        <v>0.35</v>
      </c>
      <c r="L93" s="1197"/>
      <c r="M93" s="1198"/>
      <c r="N93" s="1199"/>
    </row>
    <row r="94" spans="1:14">
      <c r="A94" s="35" t="s">
        <v>89</v>
      </c>
      <c r="B94" s="10"/>
      <c r="C94" s="954">
        <f>'Development Costs'!B31</f>
        <v>130</v>
      </c>
      <c r="D94" s="955">
        <f>'Development Costs'!C31</f>
        <v>26</v>
      </c>
      <c r="E94" s="954">
        <f>'Development Costs'!D31</f>
        <v>5.2</v>
      </c>
      <c r="F94" s="746">
        <f t="shared" si="10"/>
        <v>161.19999999999999</v>
      </c>
      <c r="I94" s="899" t="s">
        <v>281</v>
      </c>
      <c r="J94" s="900"/>
      <c r="K94" s="911">
        <v>4.4999999999999998E-2</v>
      </c>
      <c r="L94" s="1179" t="s">
        <v>588</v>
      </c>
      <c r="M94" s="1180"/>
      <c r="N94" s="1181"/>
    </row>
    <row r="95" spans="1:14" ht="15" customHeight="1">
      <c r="A95" s="35" t="s">
        <v>48</v>
      </c>
      <c r="B95" s="10"/>
      <c r="C95" s="954">
        <f>'Development Costs'!B18</f>
        <v>404</v>
      </c>
      <c r="D95" s="955">
        <f>'Development Costs'!C18</f>
        <v>80.800000000000011</v>
      </c>
      <c r="E95" s="954">
        <f>'Development Costs'!D18</f>
        <v>16.16</v>
      </c>
      <c r="F95" s="746">
        <f t="shared" si="10"/>
        <v>500.96000000000004</v>
      </c>
      <c r="I95" s="905" t="s">
        <v>282</v>
      </c>
      <c r="J95" s="906"/>
      <c r="K95" s="909">
        <v>5.7500000000000002E-2</v>
      </c>
      <c r="L95" s="1182"/>
      <c r="M95" s="1183"/>
      <c r="N95" s="1184"/>
    </row>
    <row r="96" spans="1:14">
      <c r="A96" s="35" t="s">
        <v>493</v>
      </c>
      <c r="B96" s="10"/>
      <c r="C96" s="954">
        <f>'Development Costs'!B32</f>
        <v>127.94</v>
      </c>
      <c r="D96" s="955">
        <f>'Development Costs'!C32</f>
        <v>25.588000000000001</v>
      </c>
      <c r="E96" s="954">
        <f>'Development Costs'!D32</f>
        <v>5.1176000000000004</v>
      </c>
      <c r="F96" s="746">
        <f t="shared" si="10"/>
        <v>158.6456</v>
      </c>
      <c r="I96" s="905" t="s">
        <v>283</v>
      </c>
      <c r="J96" s="906"/>
      <c r="K96" s="909">
        <v>0.05</v>
      </c>
      <c r="L96" s="1182"/>
      <c r="M96" s="1183"/>
      <c r="N96" s="1184"/>
    </row>
    <row r="97" spans="1:14" ht="16" thickBot="1">
      <c r="A97" s="744" t="s">
        <v>49</v>
      </c>
      <c r="B97" s="692"/>
      <c r="C97" s="956">
        <f>'Development Costs'!B30</f>
        <v>87.87</v>
      </c>
      <c r="D97" s="957">
        <f>'Development Costs'!C30</f>
        <v>17.574000000000002</v>
      </c>
      <c r="E97" s="956">
        <f>'Development Costs'!D30</f>
        <v>3.5148000000000001</v>
      </c>
      <c r="F97" s="747">
        <f t="shared" si="10"/>
        <v>108.9588</v>
      </c>
      <c r="I97" s="905" t="s">
        <v>284</v>
      </c>
      <c r="J97" s="906"/>
      <c r="K97" s="909">
        <v>7.2499999999999995E-2</v>
      </c>
      <c r="L97" s="1185"/>
      <c r="M97" s="1186"/>
      <c r="N97" s="1187"/>
    </row>
    <row r="98" spans="1:14" ht="16" thickBot="1">
      <c r="A98" s="748" t="s">
        <v>567</v>
      </c>
      <c r="I98" s="913" t="s">
        <v>285</v>
      </c>
      <c r="J98" s="914"/>
      <c r="K98" s="912">
        <v>6.3E-2</v>
      </c>
      <c r="L98" s="1175" t="s">
        <v>590</v>
      </c>
      <c r="M98" s="1176"/>
      <c r="N98" s="1177"/>
    </row>
    <row r="99" spans="1:14" ht="15.5" customHeight="1">
      <c r="A99" s="21" t="s">
        <v>269</v>
      </c>
      <c r="I99" s="1178" t="s">
        <v>591</v>
      </c>
      <c r="J99" s="1178"/>
      <c r="K99" s="1178"/>
      <c r="L99" s="1178"/>
      <c r="M99" s="1178"/>
      <c r="N99" s="1178"/>
    </row>
    <row r="100" spans="1:14">
      <c r="A100" s="21" t="s">
        <v>270</v>
      </c>
      <c r="I100" s="1178"/>
      <c r="J100" s="1178"/>
      <c r="K100" s="1178"/>
      <c r="L100" s="1178"/>
      <c r="M100" s="1178"/>
      <c r="N100" s="1178"/>
    </row>
    <row r="101" spans="1:14">
      <c r="A101" s="751" t="s">
        <v>287</v>
      </c>
      <c r="B101" s="751"/>
      <c r="C101" s="751"/>
      <c r="D101" s="751"/>
      <c r="E101" s="751"/>
      <c r="F101" s="751"/>
    </row>
    <row r="102" spans="1:14">
      <c r="A102" s="21" t="s">
        <v>286</v>
      </c>
    </row>
    <row r="105" spans="1:14" ht="16" thickBot="1"/>
    <row r="106" spans="1:14" ht="16" thickBot="1">
      <c r="B106" s="752" t="s">
        <v>212</v>
      </c>
      <c r="C106" s="753"/>
      <c r="D106" s="753"/>
      <c r="E106" s="753"/>
      <c r="F106" s="753"/>
      <c r="G106" s="753"/>
      <c r="H106" s="754"/>
    </row>
    <row r="107" spans="1:14">
      <c r="B107" s="755"/>
      <c r="C107" s="739" t="s">
        <v>202</v>
      </c>
      <c r="D107" s="739" t="s">
        <v>204</v>
      </c>
      <c r="E107" s="756" t="s">
        <v>205</v>
      </c>
      <c r="F107" s="756" t="s">
        <v>185</v>
      </c>
      <c r="G107" s="740" t="s">
        <v>31</v>
      </c>
      <c r="H107" s="740" t="s">
        <v>186</v>
      </c>
    </row>
    <row r="108" spans="1:14" ht="16" thickBot="1">
      <c r="B108" s="741" t="s">
        <v>201</v>
      </c>
      <c r="C108" s="742" t="s">
        <v>203</v>
      </c>
      <c r="D108" s="742" t="s">
        <v>186</v>
      </c>
      <c r="E108" s="757" t="s">
        <v>100</v>
      </c>
      <c r="F108" s="757" t="s">
        <v>186</v>
      </c>
      <c r="G108" s="743" t="s">
        <v>186</v>
      </c>
      <c r="H108" s="743" t="s">
        <v>190</v>
      </c>
    </row>
    <row r="109" spans="1:14">
      <c r="B109" s="958" t="str">
        <f>'Land Acquisition'!A5</f>
        <v>E2</v>
      </c>
      <c r="C109" s="959" t="str">
        <f>'Land Acquisition'!B5</f>
        <v>8-11, 15</v>
      </c>
      <c r="D109" s="960">
        <f>'Land Acquisition'!C5</f>
        <v>7473750</v>
      </c>
      <c r="E109" s="961">
        <f>'Land Acquisition'!D5</f>
        <v>35175</v>
      </c>
      <c r="F109" s="962">
        <f>'Land Acquisition'!E5</f>
        <v>84758</v>
      </c>
      <c r="G109" s="963">
        <f>F109+D109</f>
        <v>7558508</v>
      </c>
      <c r="H109" s="964">
        <f t="shared" ref="H109:H114" si="11">G109/E109</f>
        <v>214.88295664534471</v>
      </c>
    </row>
    <row r="110" spans="1:14">
      <c r="B110" s="958" t="str">
        <f>'Land Acquisition'!A6</f>
        <v>E3</v>
      </c>
      <c r="C110" s="959" t="str">
        <f>'Land Acquisition'!B6</f>
        <v>21-23, 31-32</v>
      </c>
      <c r="D110" s="965">
        <f>'Land Acquisition'!C6</f>
        <v>11440000</v>
      </c>
      <c r="E110" s="961">
        <f>'Land Acquisition'!D6</f>
        <v>51753.4</v>
      </c>
      <c r="F110" s="966">
        <f>'Land Acquisition'!E6</f>
        <v>562126</v>
      </c>
      <c r="G110" s="967">
        <f t="shared" ref="G110:G113" si="12">F110+D110</f>
        <v>12002126</v>
      </c>
      <c r="H110" s="968">
        <f t="shared" si="11"/>
        <v>231.90990350392437</v>
      </c>
    </row>
    <row r="111" spans="1:14">
      <c r="B111" s="958" t="str">
        <f>'Land Acquisition'!A7</f>
        <v>W1</v>
      </c>
      <c r="C111" s="959" t="str">
        <f>'Land Acquisition'!B7</f>
        <v>1-3, 11-17</v>
      </c>
      <c r="D111" s="965">
        <f>'Land Acquisition'!C7</f>
        <v>11879137</v>
      </c>
      <c r="E111" s="961">
        <f>'Land Acquisition'!D7</f>
        <v>46031</v>
      </c>
      <c r="F111" s="966">
        <f>'Land Acquisition'!E7</f>
        <v>508420</v>
      </c>
      <c r="G111" s="967">
        <f t="shared" si="12"/>
        <v>12387557</v>
      </c>
      <c r="H111" s="968">
        <f t="shared" si="11"/>
        <v>269.11335838891182</v>
      </c>
    </row>
    <row r="112" spans="1:14">
      <c r="B112" s="958" t="str">
        <f>'Land Acquisition'!A8</f>
        <v>W2</v>
      </c>
      <c r="C112" s="959" t="str">
        <f>'Land Acquisition'!B8</f>
        <v>26-30, 38</v>
      </c>
      <c r="D112" s="965">
        <f>'Land Acquisition'!C8</f>
        <v>12328225</v>
      </c>
      <c r="E112" s="961">
        <f>'Land Acquisition'!D8</f>
        <v>51058</v>
      </c>
      <c r="F112" s="966">
        <f>'Land Acquisition'!E8</f>
        <v>1250693</v>
      </c>
      <c r="G112" s="967">
        <f t="shared" si="12"/>
        <v>13578918</v>
      </c>
      <c r="H112" s="968">
        <f t="shared" si="11"/>
        <v>265.95084022092522</v>
      </c>
    </row>
    <row r="113" spans="2:12">
      <c r="B113" s="969" t="str">
        <f>'Land Acquisition'!A9</f>
        <v>W3</v>
      </c>
      <c r="C113" s="970" t="str">
        <f>'Land Acquisition'!B9</f>
        <v>43-44, 48-51</v>
      </c>
      <c r="D113" s="971">
        <f>'Land Acquisition'!C9</f>
        <v>11669250</v>
      </c>
      <c r="E113" s="972">
        <f>'Land Acquisition'!D9</f>
        <v>70660</v>
      </c>
      <c r="F113" s="973">
        <f>'Land Acquisition'!E9</f>
        <v>528012</v>
      </c>
      <c r="G113" s="974">
        <f t="shared" si="12"/>
        <v>12197262</v>
      </c>
      <c r="H113" s="975">
        <f t="shared" si="11"/>
        <v>172.61904896688367</v>
      </c>
    </row>
    <row r="114" spans="2:12" ht="16" thickBot="1">
      <c r="B114" s="741" t="s">
        <v>31</v>
      </c>
      <c r="C114" s="976"/>
      <c r="D114" s="977">
        <f>SUM(D109:D113)</f>
        <v>54790362</v>
      </c>
      <c r="E114" s="978">
        <f>SUM(E109:E113)</f>
        <v>254677.4</v>
      </c>
      <c r="F114" s="758">
        <f>SUM(F109:F113)</f>
        <v>2934009</v>
      </c>
      <c r="G114" s="979">
        <f>SUM(G109:G113)</f>
        <v>57724371</v>
      </c>
      <c r="H114" s="980">
        <f t="shared" si="11"/>
        <v>226.65682545840346</v>
      </c>
    </row>
    <row r="115" spans="2:12">
      <c r="B115" s="748"/>
      <c r="C115" s="759"/>
      <c r="D115" s="760"/>
      <c r="E115" s="761"/>
      <c r="F115" s="761"/>
      <c r="G115" s="760"/>
      <c r="H115" s="760"/>
      <c r="I115" s="760"/>
      <c r="J115" s="760"/>
      <c r="K115" s="762"/>
      <c r="L115" s="763"/>
    </row>
    <row r="116" spans="2:12">
      <c r="B116" s="748"/>
      <c r="C116" s="759"/>
      <c r="D116" s="760"/>
      <c r="E116" s="761"/>
      <c r="F116" s="761"/>
      <c r="G116" s="477"/>
      <c r="H116" s="477"/>
      <c r="I116" s="477"/>
      <c r="J116" s="477"/>
      <c r="K116" s="169"/>
      <c r="L116" s="478"/>
    </row>
    <row r="117" spans="2:12" ht="16" thickBot="1">
      <c r="B117" s="38"/>
      <c r="C117" s="474"/>
      <c r="D117" s="477"/>
      <c r="E117" s="476"/>
      <c r="F117" s="476"/>
      <c r="H117" s="477"/>
      <c r="I117" s="477"/>
      <c r="J117" s="477"/>
      <c r="K117" s="169"/>
      <c r="L117" s="478"/>
    </row>
    <row r="118" spans="2:12" ht="16" thickBot="1">
      <c r="B118" s="752" t="s">
        <v>207</v>
      </c>
      <c r="C118" s="764"/>
      <c r="D118" s="765"/>
      <c r="E118" s="766"/>
      <c r="F118" s="767"/>
      <c r="H118" s="477"/>
      <c r="I118" s="477"/>
      <c r="J118" s="477"/>
      <c r="K118" s="169"/>
      <c r="L118" s="478"/>
    </row>
    <row r="119" spans="2:12">
      <c r="B119" s="738" t="s">
        <v>81</v>
      </c>
      <c r="C119" s="768"/>
      <c r="D119" s="769"/>
      <c r="E119" s="770"/>
      <c r="F119" s="771">
        <f>'Land Acquisition'!F15</f>
        <v>254677.4</v>
      </c>
      <c r="H119" s="37"/>
      <c r="I119" s="37"/>
      <c r="J119" s="37"/>
      <c r="K119" s="37"/>
      <c r="L119" s="37"/>
    </row>
    <row r="120" spans="2:12">
      <c r="B120" s="772" t="s">
        <v>454</v>
      </c>
      <c r="C120" s="773"/>
      <c r="D120" s="773"/>
      <c r="E120" s="773"/>
      <c r="F120" s="774">
        <f>'Land Acquisition'!F16</f>
        <v>484862</v>
      </c>
      <c r="H120" s="37"/>
      <c r="I120" s="37"/>
      <c r="J120" s="37"/>
      <c r="K120" s="37"/>
      <c r="L120" s="37"/>
    </row>
    <row r="121" spans="2:12">
      <c r="B121" s="775" t="s">
        <v>208</v>
      </c>
      <c r="C121" s="776"/>
      <c r="D121" s="776"/>
      <c r="E121" s="776"/>
      <c r="F121" s="777">
        <f>SUM(F119:F120)</f>
        <v>739539.4</v>
      </c>
      <c r="H121" s="37"/>
      <c r="I121" s="37"/>
      <c r="J121" s="37"/>
      <c r="K121" s="37"/>
      <c r="L121" s="37"/>
    </row>
    <row r="122" spans="2:12">
      <c r="B122" s="772" t="s">
        <v>477</v>
      </c>
      <c r="C122" s="773"/>
      <c r="D122" s="773"/>
      <c r="E122" s="781" t="s">
        <v>209</v>
      </c>
      <c r="F122" s="778">
        <v>4</v>
      </c>
      <c r="H122" s="37"/>
      <c r="I122" s="37"/>
      <c r="J122" s="37"/>
      <c r="K122" s="37"/>
      <c r="L122" s="37"/>
    </row>
    <row r="123" spans="2:12" ht="18" thickBot="1">
      <c r="B123" s="741" t="s">
        <v>288</v>
      </c>
      <c r="C123" s="779"/>
      <c r="D123" s="779"/>
      <c r="E123" s="779"/>
      <c r="F123" s="758">
        <f>F121*F122</f>
        <v>2958157.6</v>
      </c>
      <c r="G123" s="37"/>
      <c r="H123" s="37"/>
      <c r="I123" s="37"/>
      <c r="J123" s="37"/>
      <c r="K123" s="37"/>
      <c r="L123" s="37"/>
    </row>
    <row r="124" spans="2:12">
      <c r="B124" s="748" t="s">
        <v>478</v>
      </c>
      <c r="C124" s="748"/>
      <c r="D124" s="748"/>
      <c r="E124" s="748"/>
      <c r="F124" s="748"/>
    </row>
  </sheetData>
  <mergeCells count="8">
    <mergeCell ref="L98:N98"/>
    <mergeCell ref="I99:N100"/>
    <mergeCell ref="L94:N97"/>
    <mergeCell ref="L81:N82"/>
    <mergeCell ref="L84:N84"/>
    <mergeCell ref="L85:N86"/>
    <mergeCell ref="L87:N90"/>
    <mergeCell ref="L91:N93"/>
  </mergeCells>
  <pageMargins left="0.19791666666666699" right="0.25" top="0.75" bottom="0.75" header="0.3" footer="0.3"/>
  <pageSetup paperSize="6" scale="14" orientation="landscape" r:id="rId1"/>
  <headerFooter alignWithMargins="0">
    <oddHeader xml:space="preserve">&amp;L&amp;"Arial,Bold"2013 ULI Hines Student Urban Design Competition&amp;RTeam &amp;A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51"/>
  <sheetViews>
    <sheetView topLeftCell="A2" zoomScale="70" zoomScaleNormal="70" workbookViewId="0">
      <selection activeCell="C13" sqref="C13"/>
    </sheetView>
  </sheetViews>
  <sheetFormatPr defaultColWidth="9.1796875" defaultRowHeight="12.5"/>
  <cols>
    <col min="1" max="1" width="31.54296875" style="503" customWidth="1"/>
    <col min="2" max="2" width="13.7265625" style="503" bestFit="1" customWidth="1"/>
    <col min="3" max="3" width="13.453125" style="503" bestFit="1" customWidth="1"/>
    <col min="4" max="4" width="14.26953125" style="503" customWidth="1"/>
    <col min="5" max="5" width="12.7265625" style="503" bestFit="1" customWidth="1"/>
    <col min="6" max="6" width="13.7265625" style="503" bestFit="1" customWidth="1"/>
    <col min="7" max="9" width="12.7265625" style="503" bestFit="1" customWidth="1"/>
    <col min="10" max="10" width="13.7265625" style="503" customWidth="1"/>
    <col min="11" max="11" width="12.7265625" style="503" bestFit="1" customWidth="1"/>
    <col min="12" max="12" width="14.26953125" style="503" bestFit="1" customWidth="1"/>
    <col min="13" max="13" width="14.453125" style="503" customWidth="1"/>
    <col min="14" max="14" width="12.7265625" style="503" bestFit="1" customWidth="1"/>
    <col min="15" max="16384" width="9.1796875" style="503"/>
  </cols>
  <sheetData>
    <row r="1" spans="1:14" ht="13">
      <c r="A1" s="49" t="s">
        <v>80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4"/>
    </row>
    <row r="2" spans="1:14" ht="13.5" thickBot="1">
      <c r="A2" s="52" t="s">
        <v>227</v>
      </c>
      <c r="B2" s="546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7"/>
    </row>
    <row r="3" spans="1:14" ht="13.5" thickBot="1">
      <c r="A3" s="123"/>
      <c r="B3" s="44" t="s">
        <v>55</v>
      </c>
      <c r="C3" s="96" t="s">
        <v>36</v>
      </c>
      <c r="D3" s="97"/>
      <c r="E3" s="41"/>
      <c r="F3" s="96" t="s">
        <v>77</v>
      </c>
      <c r="G3" s="144"/>
      <c r="H3" s="41"/>
      <c r="I3" s="96" t="s">
        <v>78</v>
      </c>
      <c r="J3" s="39"/>
      <c r="K3" s="40"/>
      <c r="L3" s="41"/>
      <c r="M3" s="529"/>
    </row>
    <row r="4" spans="1:14" ht="14.15" customHeight="1" thickBot="1">
      <c r="A4" s="62"/>
      <c r="B4" s="286">
        <v>0</v>
      </c>
      <c r="C4" s="94">
        <f>B4+1</f>
        <v>1</v>
      </c>
      <c r="D4" s="93">
        <f t="shared" ref="D4:L5" si="0">C4+1</f>
        <v>2</v>
      </c>
      <c r="E4" s="95">
        <f t="shared" si="0"/>
        <v>3</v>
      </c>
      <c r="F4" s="94">
        <f t="shared" si="0"/>
        <v>4</v>
      </c>
      <c r="G4" s="136">
        <f t="shared" si="0"/>
        <v>5</v>
      </c>
      <c r="H4" s="95">
        <f t="shared" si="0"/>
        <v>6</v>
      </c>
      <c r="I4" s="94">
        <f t="shared" si="0"/>
        <v>7</v>
      </c>
      <c r="J4" s="93">
        <f t="shared" si="0"/>
        <v>8</v>
      </c>
      <c r="K4" s="93">
        <f t="shared" si="0"/>
        <v>9</v>
      </c>
      <c r="L4" s="95">
        <f t="shared" si="0"/>
        <v>10</v>
      </c>
      <c r="M4" s="530"/>
    </row>
    <row r="5" spans="1:14" ht="14.15" customHeight="1" thickBot="1">
      <c r="A5" s="65"/>
      <c r="B5" s="286" t="s">
        <v>379</v>
      </c>
      <c r="C5" s="276">
        <v>2022</v>
      </c>
      <c r="D5" s="93">
        <f>C5+1</f>
        <v>2023</v>
      </c>
      <c r="E5" s="95">
        <f t="shared" si="0"/>
        <v>2024</v>
      </c>
      <c r="F5" s="94">
        <f t="shared" si="0"/>
        <v>2025</v>
      </c>
      <c r="G5" s="93">
        <f t="shared" si="0"/>
        <v>2026</v>
      </c>
      <c r="H5" s="95">
        <f t="shared" si="0"/>
        <v>2027</v>
      </c>
      <c r="I5" s="94">
        <f t="shared" si="0"/>
        <v>2028</v>
      </c>
      <c r="J5" s="93">
        <f t="shared" si="0"/>
        <v>2029</v>
      </c>
      <c r="K5" s="93">
        <f>J5+1</f>
        <v>2030</v>
      </c>
      <c r="L5" s="95">
        <f>K5+1</f>
        <v>2031</v>
      </c>
      <c r="M5" s="531" t="s">
        <v>31</v>
      </c>
    </row>
    <row r="6" spans="1:14" ht="14.15" customHeight="1">
      <c r="A6" s="507" t="s">
        <v>66</v>
      </c>
      <c r="B6" s="537">
        <f>'Summary Board'!D23</f>
        <v>57724371</v>
      </c>
      <c r="C6" s="537">
        <f>'Summary Board'!E23</f>
        <v>0</v>
      </c>
      <c r="D6" s="533">
        <f>'Summary Board'!F23</f>
        <v>0</v>
      </c>
      <c r="E6" s="516">
        <f>'Summary Board'!G23</f>
        <v>0</v>
      </c>
      <c r="F6" s="537">
        <f>'Summary Board'!H23</f>
        <v>0</v>
      </c>
      <c r="G6" s="533">
        <f>'Summary Board'!I23</f>
        <v>0</v>
      </c>
      <c r="H6" s="516">
        <f>'Summary Board'!J23</f>
        <v>0</v>
      </c>
      <c r="I6" s="537">
        <f>'Summary Board'!K23</f>
        <v>0</v>
      </c>
      <c r="J6" s="533">
        <f>'Summary Board'!L23</f>
        <v>0</v>
      </c>
      <c r="K6" s="533">
        <f>'Summary Board'!M23</f>
        <v>0</v>
      </c>
      <c r="L6" s="516">
        <f>'Summary Board'!N23</f>
        <v>0</v>
      </c>
      <c r="M6" s="548">
        <f>SUM(B6:L6)</f>
        <v>57724371</v>
      </c>
    </row>
    <row r="7" spans="1:14" ht="14.15" customHeight="1">
      <c r="A7" s="507" t="s">
        <v>213</v>
      </c>
      <c r="B7" s="538">
        <f>'Summary Board'!D25</f>
        <v>2958157.6</v>
      </c>
      <c r="C7" s="538">
        <f>'Summary Board'!E25</f>
        <v>0</v>
      </c>
      <c r="D7" s="535">
        <f>'Summary Board'!F25</f>
        <v>0</v>
      </c>
      <c r="E7" s="539">
        <f>'Summary Board'!G25</f>
        <v>0</v>
      </c>
      <c r="F7" s="538">
        <f>'Summary Board'!H25</f>
        <v>0</v>
      </c>
      <c r="G7" s="535">
        <f>'Summary Board'!I25</f>
        <v>0</v>
      </c>
      <c r="H7" s="539">
        <f>'Summary Board'!J25</f>
        <v>0</v>
      </c>
      <c r="I7" s="538">
        <f>'Summary Board'!K25</f>
        <v>0</v>
      </c>
      <c r="J7" s="535">
        <f>'Summary Board'!L25</f>
        <v>0</v>
      </c>
      <c r="K7" s="535">
        <f>'Summary Board'!M25</f>
        <v>0</v>
      </c>
      <c r="L7" s="539">
        <f>'Summary Board'!N25</f>
        <v>0</v>
      </c>
      <c r="M7" s="549">
        <f>SUM(B7:L7)</f>
        <v>2958157.6</v>
      </c>
    </row>
    <row r="8" spans="1:14">
      <c r="A8" s="507" t="s">
        <v>220</v>
      </c>
      <c r="B8" s="538">
        <f>SUM('Summary Board'!D15:D22,'Summary Board'!D24)</f>
        <v>7500000</v>
      </c>
      <c r="C8" s="538">
        <f>SUM('Summary Board'!E15:E22,'Summary Board'!E24)</f>
        <v>92166151.047439992</v>
      </c>
      <c r="D8" s="535">
        <f>SUM('Summary Board'!F15:F22,'Summary Board'!F24)</f>
        <v>25891643.877840005</v>
      </c>
      <c r="E8" s="539">
        <f>SUM('Summary Board'!G15:G22,'Summary Board'!G24)</f>
        <v>0</v>
      </c>
      <c r="F8" s="538">
        <f>SUM('Summary Board'!H15:H22,'Summary Board'!H24)</f>
        <v>119644917.45171615</v>
      </c>
      <c r="G8" s="535">
        <f>SUM('Summary Board'!I15:I22,'Summary Board'!I24)</f>
        <v>67122031.396487743</v>
      </c>
      <c r="H8" s="539">
        <f>SUM('Summary Board'!J15:J22,'Summary Board'!J24)</f>
        <v>7160088.5534795932</v>
      </c>
      <c r="I8" s="538">
        <f>SUM('Summary Board'!K15:K22,'Summary Board'!K24)</f>
        <v>85588687.360693425</v>
      </c>
      <c r="J8" s="535">
        <f>SUM('Summary Board'!L15:L22,'Summary Board'!L24)</f>
        <v>75462461.540334135</v>
      </c>
      <c r="K8" s="535">
        <f>SUM('Summary Board'!M15:M22,'Summary Board'!M24)</f>
        <v>37857157.871902063</v>
      </c>
      <c r="L8" s="539">
        <f>SUM('Summary Board'!N15:N22,'Summary Board'!N24)</f>
        <v>0</v>
      </c>
      <c r="M8" s="549">
        <f>SUM(B8:L8)</f>
        <v>518393139.09989303</v>
      </c>
    </row>
    <row r="9" spans="1:14" ht="13" thickBot="1">
      <c r="A9" s="518" t="s">
        <v>224</v>
      </c>
      <c r="B9" s="538">
        <f>Budget!C7</f>
        <v>5750000</v>
      </c>
      <c r="C9" s="540">
        <v>0</v>
      </c>
      <c r="D9" s="532">
        <f>C9</f>
        <v>0</v>
      </c>
      <c r="E9" s="519">
        <f t="shared" ref="E9:L9" si="1">D9</f>
        <v>0</v>
      </c>
      <c r="F9" s="561">
        <f t="shared" si="1"/>
        <v>0</v>
      </c>
      <c r="G9" s="532">
        <f t="shared" si="1"/>
        <v>0</v>
      </c>
      <c r="H9" s="519">
        <f t="shared" si="1"/>
        <v>0</v>
      </c>
      <c r="I9" s="561">
        <f t="shared" si="1"/>
        <v>0</v>
      </c>
      <c r="J9" s="532">
        <f t="shared" si="1"/>
        <v>0</v>
      </c>
      <c r="K9" s="532">
        <f t="shared" si="1"/>
        <v>0</v>
      </c>
      <c r="L9" s="519">
        <f t="shared" si="1"/>
        <v>0</v>
      </c>
      <c r="M9" s="550">
        <f>SUM(B9:L9)</f>
        <v>5750000</v>
      </c>
    </row>
    <row r="10" spans="1:14" ht="13.5" thickBot="1">
      <c r="A10" s="520" t="s">
        <v>3</v>
      </c>
      <c r="B10" s="579">
        <f t="shared" ref="B10:K10" si="2">SUM(B6:B9)</f>
        <v>73932528.599999994</v>
      </c>
      <c r="C10" s="541">
        <f t="shared" si="2"/>
        <v>92166151.047439992</v>
      </c>
      <c r="D10" s="536">
        <f t="shared" si="2"/>
        <v>25891643.877840005</v>
      </c>
      <c r="E10" s="523">
        <f t="shared" si="2"/>
        <v>0</v>
      </c>
      <c r="F10" s="541">
        <f t="shared" si="2"/>
        <v>119644917.45171615</v>
      </c>
      <c r="G10" s="536">
        <f t="shared" si="2"/>
        <v>67122031.396487743</v>
      </c>
      <c r="H10" s="523">
        <f t="shared" si="2"/>
        <v>7160088.5534795932</v>
      </c>
      <c r="I10" s="541">
        <f t="shared" si="2"/>
        <v>85588687.360693425</v>
      </c>
      <c r="J10" s="536">
        <f t="shared" si="2"/>
        <v>75462461.540334135</v>
      </c>
      <c r="K10" s="536">
        <f t="shared" si="2"/>
        <v>37857157.871902063</v>
      </c>
      <c r="L10" s="523">
        <f>SUM(L6:L9)</f>
        <v>0</v>
      </c>
      <c r="M10" s="542">
        <f>SUM(M6:M9)</f>
        <v>584825667.699893</v>
      </c>
    </row>
    <row r="11" spans="1:14" ht="4.5" customHeight="1">
      <c r="A11" s="552"/>
      <c r="B11" s="562"/>
      <c r="C11" s="562"/>
      <c r="D11" s="553"/>
      <c r="E11" s="554"/>
      <c r="F11" s="562"/>
      <c r="G11" s="553"/>
      <c r="H11" s="554"/>
      <c r="I11" s="562"/>
      <c r="J11" s="553"/>
      <c r="K11" s="553"/>
      <c r="L11" s="554"/>
      <c r="M11" s="559"/>
    </row>
    <row r="12" spans="1:14" ht="13">
      <c r="A12" s="522" t="s">
        <v>230</v>
      </c>
      <c r="B12" s="563"/>
      <c r="C12" s="563"/>
      <c r="D12" s="528"/>
      <c r="E12" s="555"/>
      <c r="F12" s="563"/>
      <c r="G12" s="528"/>
      <c r="H12" s="555"/>
      <c r="I12" s="563"/>
      <c r="J12" s="528"/>
      <c r="K12" s="528"/>
      <c r="L12" s="555"/>
      <c r="M12" s="560"/>
    </row>
    <row r="13" spans="1:14">
      <c r="A13" s="507" t="s">
        <v>217</v>
      </c>
      <c r="B13" s="564">
        <f>B10</f>
        <v>73932528.599999994</v>
      </c>
      <c r="C13" s="564">
        <f>IF(SUM($B$10:C10)&gt;Budget!$C$12,MAX(0,Budget!$C$12-SUM($B$13:B13)),C10)</f>
        <v>92166151.047439992</v>
      </c>
      <c r="D13" s="556">
        <f>IF(SUM($B$10:D10)&gt;Budget!$C$12,MAX(0,Budget!$C$12-SUM($B$13:C13)),D10)</f>
        <v>25891643.877840005</v>
      </c>
      <c r="E13" s="534">
        <f>IF(SUM($B$10:E10)&gt;Budget!$C$12,MAX(0,Budget!$C$12-SUM($B$13:D13)),E10)</f>
        <v>0</v>
      </c>
      <c r="F13" s="564">
        <f>IF(SUM($B$10:F10)&gt;Budget!$C$12,MAX(0,Budget!$C$12-SUM($B$13:E13)),F10)</f>
        <v>5948660.1696825624</v>
      </c>
      <c r="G13" s="556">
        <f>IF(SUM($B$10:G10)&gt;Budget!$C$12,MAX(0,Budget!$C$12-SUM($B$13:F13)),G10)</f>
        <v>0</v>
      </c>
      <c r="H13" s="534">
        <f>IF(SUM($B$10:H10)&gt;Budget!$C$12,MAX(0,Budget!$C$12-SUM($B$13:G13)),H10)</f>
        <v>0</v>
      </c>
      <c r="I13" s="564">
        <f>IF(SUM($B$10:I10)&gt;Budget!$C$12,MAX(0,Budget!$C$12-SUM($B$13:H13)),I10)</f>
        <v>0</v>
      </c>
      <c r="J13" s="556">
        <f>IF(SUM($B$10:J10)&gt;Budget!$C$12,MAX(0,Budget!$C$12-SUM($B$13:I13)),J10)</f>
        <v>0</v>
      </c>
      <c r="K13" s="556">
        <f>IF(SUM($B$10:K10)&gt;Budget!$C$12,MAX(0,Budget!$C$12-SUM($B$13:J13)),K10)</f>
        <v>0</v>
      </c>
      <c r="L13" s="534">
        <f>IF(SUM($B$10:L10)&gt;Budget!$C$12,MAX(0,Budget!$C$12-SUM($B$13:K13)),L10)</f>
        <v>0</v>
      </c>
      <c r="M13" s="548">
        <f>SUM(B13:L13)</f>
        <v>197938983.69496256</v>
      </c>
      <c r="N13" s="525"/>
    </row>
    <row r="14" spans="1:14">
      <c r="A14" s="507" t="s">
        <v>218</v>
      </c>
      <c r="B14" s="564">
        <f t="shared" ref="B14:L14" si="3">B10-B13</f>
        <v>0</v>
      </c>
      <c r="C14" s="564">
        <f t="shared" si="3"/>
        <v>0</v>
      </c>
      <c r="D14" s="556">
        <f t="shared" si="3"/>
        <v>0</v>
      </c>
      <c r="E14" s="534">
        <f t="shared" si="3"/>
        <v>0</v>
      </c>
      <c r="F14" s="564">
        <f t="shared" si="3"/>
        <v>113696257.28203359</v>
      </c>
      <c r="G14" s="556">
        <f t="shared" si="3"/>
        <v>67122031.396487743</v>
      </c>
      <c r="H14" s="534">
        <f t="shared" si="3"/>
        <v>7160088.5534795932</v>
      </c>
      <c r="I14" s="564">
        <f t="shared" si="3"/>
        <v>85588687.360693425</v>
      </c>
      <c r="J14" s="556">
        <f t="shared" si="3"/>
        <v>75462461.540334135</v>
      </c>
      <c r="K14" s="556">
        <f t="shared" si="3"/>
        <v>37857157.871902063</v>
      </c>
      <c r="L14" s="534">
        <f t="shared" si="3"/>
        <v>0</v>
      </c>
      <c r="M14" s="548">
        <f>SUM(B14:L14)</f>
        <v>386886684.00493056</v>
      </c>
      <c r="N14" s="526"/>
    </row>
    <row r="15" spans="1:14" ht="13" thickBot="1">
      <c r="A15" s="557" t="s">
        <v>219</v>
      </c>
      <c r="B15" s="565">
        <f>SUM($B$14:B14)</f>
        <v>0</v>
      </c>
      <c r="C15" s="565">
        <f>SUM($B$14:C14)</f>
        <v>0</v>
      </c>
      <c r="D15" s="558">
        <f>SUM($B$14:D14)</f>
        <v>0</v>
      </c>
      <c r="E15" s="566">
        <f>SUM($B$14:E14)</f>
        <v>0</v>
      </c>
      <c r="F15" s="565">
        <f>SUM($B$14:F14)</f>
        <v>113696257.28203359</v>
      </c>
      <c r="G15" s="558">
        <f>SUM($B$14:G14)</f>
        <v>180818288.67852134</v>
      </c>
      <c r="H15" s="566">
        <f>SUM($B$14:H14)</f>
        <v>187978377.23200092</v>
      </c>
      <c r="I15" s="565">
        <f>SUM($B$14:I14)</f>
        <v>273567064.59269434</v>
      </c>
      <c r="J15" s="558">
        <f>SUM($B$14:J14)</f>
        <v>349029526.13302851</v>
      </c>
      <c r="K15" s="558">
        <f>SUM($B$14:K14)</f>
        <v>386886684.00493056</v>
      </c>
      <c r="L15" s="566">
        <f>SUM($B$14:L14)</f>
        <v>386886684.00493056</v>
      </c>
      <c r="M15" s="551"/>
    </row>
    <row r="16" spans="1:14" ht="4.5" customHeight="1">
      <c r="A16" s="507"/>
      <c r="B16" s="563"/>
      <c r="C16" s="563"/>
      <c r="D16" s="528"/>
      <c r="E16" s="555"/>
      <c r="F16" s="563"/>
      <c r="G16" s="528"/>
      <c r="H16" s="555"/>
      <c r="I16" s="563"/>
      <c r="J16" s="528"/>
      <c r="K16" s="528"/>
      <c r="L16" s="555"/>
      <c r="M16" s="560"/>
      <c r="N16" s="525"/>
    </row>
    <row r="17" spans="1:14" ht="13">
      <c r="A17" s="522" t="s">
        <v>231</v>
      </c>
      <c r="B17" s="563"/>
      <c r="C17" s="563"/>
      <c r="D17" s="528"/>
      <c r="E17" s="555"/>
      <c r="F17" s="563"/>
      <c r="G17" s="528"/>
      <c r="H17" s="555"/>
      <c r="I17" s="563"/>
      <c r="J17" s="528"/>
      <c r="K17" s="528"/>
      <c r="L17" s="555"/>
      <c r="M17" s="560"/>
      <c r="N17" s="525"/>
    </row>
    <row r="18" spans="1:14">
      <c r="A18" s="507" t="s">
        <v>228</v>
      </c>
      <c r="B18" s="564">
        <f t="shared" ref="B18:L18" si="4">B15*$B$38</f>
        <v>0</v>
      </c>
      <c r="C18" s="564">
        <f t="shared" si="4"/>
        <v>0</v>
      </c>
      <c r="D18" s="556">
        <f t="shared" si="4"/>
        <v>0</v>
      </c>
      <c r="E18" s="534">
        <f t="shared" si="4"/>
        <v>0</v>
      </c>
      <c r="F18" s="564">
        <f t="shared" si="4"/>
        <v>6821775.4369220156</v>
      </c>
      <c r="G18" s="556">
        <f t="shared" si="4"/>
        <v>10849097.320711279</v>
      </c>
      <c r="H18" s="534">
        <f t="shared" si="4"/>
        <v>11278702.633920055</v>
      </c>
      <c r="I18" s="564">
        <f t="shared" si="4"/>
        <v>16414023.87556166</v>
      </c>
      <c r="J18" s="556">
        <f t="shared" si="4"/>
        <v>20941771.567981709</v>
      </c>
      <c r="K18" s="556">
        <f t="shared" si="4"/>
        <v>23213201.040295832</v>
      </c>
      <c r="L18" s="534">
        <f t="shared" si="4"/>
        <v>23213201.040295832</v>
      </c>
      <c r="M18" s="548">
        <f>SUM(B18:L18)</f>
        <v>112731772.9156884</v>
      </c>
    </row>
    <row r="19" spans="1:14">
      <c r="A19" s="518" t="s">
        <v>229</v>
      </c>
      <c r="B19" s="540">
        <v>0</v>
      </c>
      <c r="C19" s="561">
        <f>B19</f>
        <v>0</v>
      </c>
      <c r="D19" s="532">
        <f t="shared" ref="D19:K19" si="5">C19</f>
        <v>0</v>
      </c>
      <c r="E19" s="519">
        <f t="shared" si="5"/>
        <v>0</v>
      </c>
      <c r="F19" s="561">
        <f t="shared" si="5"/>
        <v>0</v>
      </c>
      <c r="G19" s="532">
        <f t="shared" si="5"/>
        <v>0</v>
      </c>
      <c r="H19" s="519">
        <f t="shared" si="5"/>
        <v>0</v>
      </c>
      <c r="I19" s="561">
        <f t="shared" si="5"/>
        <v>0</v>
      </c>
      <c r="J19" s="532">
        <f t="shared" si="5"/>
        <v>0</v>
      </c>
      <c r="K19" s="532">
        <f t="shared" si="5"/>
        <v>0</v>
      </c>
      <c r="L19" s="519">
        <f>L15</f>
        <v>386886684.00493056</v>
      </c>
      <c r="M19" s="550">
        <f>SUM(B19:L19)</f>
        <v>386886684.00493056</v>
      </c>
    </row>
    <row r="20" spans="1:14" ht="13.5" thickBot="1">
      <c r="A20" s="520" t="s">
        <v>232</v>
      </c>
      <c r="B20" s="541">
        <f>SUM(B18:B19)</f>
        <v>0</v>
      </c>
      <c r="C20" s="541">
        <f t="shared" ref="C20:M20" si="6">SUM(C18:C19)</f>
        <v>0</v>
      </c>
      <c r="D20" s="536">
        <f t="shared" si="6"/>
        <v>0</v>
      </c>
      <c r="E20" s="523">
        <f t="shared" si="6"/>
        <v>0</v>
      </c>
      <c r="F20" s="541">
        <f t="shared" si="6"/>
        <v>6821775.4369220156</v>
      </c>
      <c r="G20" s="536">
        <f t="shared" si="6"/>
        <v>10849097.320711279</v>
      </c>
      <c r="H20" s="523">
        <f t="shared" si="6"/>
        <v>11278702.633920055</v>
      </c>
      <c r="I20" s="541">
        <f t="shared" si="6"/>
        <v>16414023.87556166</v>
      </c>
      <c r="J20" s="536">
        <f t="shared" si="6"/>
        <v>20941771.567981709</v>
      </c>
      <c r="K20" s="536">
        <f t="shared" si="6"/>
        <v>23213201.040295832</v>
      </c>
      <c r="L20" s="523">
        <f t="shared" si="6"/>
        <v>410099885.0452264</v>
      </c>
      <c r="M20" s="542">
        <f t="shared" si="6"/>
        <v>499618456.92061895</v>
      </c>
      <c r="N20" s="505"/>
    </row>
    <row r="21" spans="1:14" ht="4.5" customHeight="1">
      <c r="A21" s="572"/>
      <c r="B21" s="580"/>
      <c r="C21" s="580"/>
      <c r="D21" s="573"/>
      <c r="E21" s="582"/>
      <c r="F21" s="580"/>
      <c r="G21" s="573"/>
      <c r="H21" s="582"/>
      <c r="I21" s="580"/>
      <c r="J21" s="573"/>
      <c r="K21" s="573"/>
      <c r="L21" s="582"/>
      <c r="M21" s="575"/>
      <c r="N21" s="505"/>
    </row>
    <row r="22" spans="1:14" ht="13">
      <c r="A22" s="522" t="s">
        <v>238</v>
      </c>
      <c r="B22" s="563"/>
      <c r="C22" s="563"/>
      <c r="D22" s="528"/>
      <c r="E22" s="555"/>
      <c r="F22" s="563"/>
      <c r="G22" s="528"/>
      <c r="H22" s="555"/>
      <c r="I22" s="563"/>
      <c r="J22" s="528"/>
      <c r="K22" s="528"/>
      <c r="L22" s="555"/>
      <c r="M22" s="560"/>
      <c r="N22" s="505"/>
    </row>
    <row r="23" spans="1:14">
      <c r="A23" s="507" t="s">
        <v>5</v>
      </c>
      <c r="B23" s="537">
        <f>'Summary Board'!D13</f>
        <v>0</v>
      </c>
      <c r="C23" s="537">
        <f>'Summary Board'!E13</f>
        <v>5152606.5064125014</v>
      </c>
      <c r="D23" s="533">
        <f>'Summary Board'!F13</f>
        <v>12280672.165920977</v>
      </c>
      <c r="E23" s="516">
        <f>'Summary Board'!G13</f>
        <v>14976859.678130807</v>
      </c>
      <c r="F23" s="537">
        <f>'Summary Board'!H13</f>
        <v>16774583.477990754</v>
      </c>
      <c r="G23" s="533">
        <f>'Summary Board'!I13</f>
        <v>43436965.073784627</v>
      </c>
      <c r="H23" s="516">
        <f>'Summary Board'!J13</f>
        <v>48163800.873908624</v>
      </c>
      <c r="I23" s="537">
        <f>'Summary Board'!K13</f>
        <v>54657298.419120036</v>
      </c>
      <c r="J23" s="533">
        <f>'Summary Board'!L13</f>
        <v>36835633.968137495</v>
      </c>
      <c r="K23" s="533">
        <f>'Summary Board'!M13</f>
        <v>43741396.06299226</v>
      </c>
      <c r="L23" s="516">
        <f>'Summary Board'!N13</f>
        <v>56056657.40647164</v>
      </c>
      <c r="M23" s="548">
        <f>SUM(B23:L23)</f>
        <v>332076473.63286972</v>
      </c>
      <c r="N23" s="505"/>
    </row>
    <row r="24" spans="1:14">
      <c r="A24" s="518" t="s">
        <v>240</v>
      </c>
      <c r="B24" s="540">
        <f>-B18</f>
        <v>0</v>
      </c>
      <c r="C24" s="561">
        <f t="shared" ref="C24:L24" si="7">-C18</f>
        <v>0</v>
      </c>
      <c r="D24" s="532">
        <f t="shared" si="7"/>
        <v>0</v>
      </c>
      <c r="E24" s="519">
        <f t="shared" si="7"/>
        <v>0</v>
      </c>
      <c r="F24" s="561">
        <f t="shared" si="7"/>
        <v>-6821775.4369220156</v>
      </c>
      <c r="G24" s="532">
        <f t="shared" si="7"/>
        <v>-10849097.320711279</v>
      </c>
      <c r="H24" s="519">
        <f t="shared" si="7"/>
        <v>-11278702.633920055</v>
      </c>
      <c r="I24" s="561">
        <f t="shared" si="7"/>
        <v>-16414023.87556166</v>
      </c>
      <c r="J24" s="532">
        <f t="shared" si="7"/>
        <v>-20941771.567981709</v>
      </c>
      <c r="K24" s="532">
        <f t="shared" si="7"/>
        <v>-23213201.040295832</v>
      </c>
      <c r="L24" s="519">
        <f t="shared" si="7"/>
        <v>-23213201.040295832</v>
      </c>
      <c r="M24" s="550">
        <f>SUM(B24:L24)</f>
        <v>-112731772.9156884</v>
      </c>
      <c r="N24" s="505"/>
    </row>
    <row r="25" spans="1:14" ht="13.5" thickBot="1">
      <c r="A25" s="520" t="s">
        <v>239</v>
      </c>
      <c r="B25" s="541">
        <f>SUM(B23:B24)</f>
        <v>0</v>
      </c>
      <c r="C25" s="541">
        <f t="shared" ref="C25:L25" si="8">SUM(C23:C24)</f>
        <v>5152606.5064125014</v>
      </c>
      <c r="D25" s="536">
        <f t="shared" si="8"/>
        <v>12280672.165920977</v>
      </c>
      <c r="E25" s="523">
        <f t="shared" si="8"/>
        <v>14976859.678130807</v>
      </c>
      <c r="F25" s="541">
        <f t="shared" si="8"/>
        <v>9952808.0410687383</v>
      </c>
      <c r="G25" s="536">
        <f t="shared" si="8"/>
        <v>32587867.75307335</v>
      </c>
      <c r="H25" s="523">
        <f t="shared" si="8"/>
        <v>36885098.239988565</v>
      </c>
      <c r="I25" s="541">
        <f t="shared" si="8"/>
        <v>38243274.543558374</v>
      </c>
      <c r="J25" s="536">
        <f t="shared" si="8"/>
        <v>15893862.400155786</v>
      </c>
      <c r="K25" s="536">
        <f t="shared" si="8"/>
        <v>20528195.022696428</v>
      </c>
      <c r="L25" s="523">
        <f t="shared" si="8"/>
        <v>32843456.366175808</v>
      </c>
      <c r="M25" s="542">
        <f>SUM(M23:M24)</f>
        <v>219344700.71718132</v>
      </c>
      <c r="N25" s="505"/>
    </row>
    <row r="26" spans="1:14" ht="4.5" customHeight="1">
      <c r="A26" s="576"/>
      <c r="B26" s="581"/>
      <c r="C26" s="581"/>
      <c r="D26" s="578"/>
      <c r="E26" s="583"/>
      <c r="F26" s="581"/>
      <c r="G26" s="578"/>
      <c r="H26" s="583"/>
      <c r="I26" s="581"/>
      <c r="J26" s="578"/>
      <c r="K26" s="578"/>
      <c r="L26" s="583"/>
      <c r="M26" s="577"/>
      <c r="N26" s="505"/>
    </row>
    <row r="27" spans="1:14" ht="13">
      <c r="A27" s="522" t="s">
        <v>235</v>
      </c>
      <c r="B27" s="563"/>
      <c r="C27" s="563"/>
      <c r="D27" s="528"/>
      <c r="E27" s="555"/>
      <c r="F27" s="563"/>
      <c r="G27" s="528"/>
      <c r="H27" s="555"/>
      <c r="I27" s="563"/>
      <c r="J27" s="528"/>
      <c r="K27" s="528"/>
      <c r="L27" s="555"/>
      <c r="M27" s="560"/>
      <c r="N27" s="505"/>
    </row>
    <row r="28" spans="1:14">
      <c r="A28" s="507" t="s">
        <v>236</v>
      </c>
      <c r="B28" s="564">
        <f t="shared" ref="B28:L28" si="9">-B13</f>
        <v>-73932528.599999994</v>
      </c>
      <c r="C28" s="564">
        <f t="shared" si="9"/>
        <v>-92166151.047439992</v>
      </c>
      <c r="D28" s="556">
        <f t="shared" si="9"/>
        <v>-25891643.877840005</v>
      </c>
      <c r="E28" s="534">
        <f t="shared" si="9"/>
        <v>0</v>
      </c>
      <c r="F28" s="564">
        <f t="shared" si="9"/>
        <v>-5948660.1696825624</v>
      </c>
      <c r="G28" s="556">
        <f t="shared" si="9"/>
        <v>0</v>
      </c>
      <c r="H28" s="534">
        <f t="shared" si="9"/>
        <v>0</v>
      </c>
      <c r="I28" s="564">
        <f t="shared" si="9"/>
        <v>0</v>
      </c>
      <c r="J28" s="556">
        <f t="shared" si="9"/>
        <v>0</v>
      </c>
      <c r="K28" s="556">
        <f t="shared" si="9"/>
        <v>0</v>
      </c>
      <c r="L28" s="534">
        <f t="shared" si="9"/>
        <v>0</v>
      </c>
      <c r="M28" s="548">
        <f>SUM(B28:L28)</f>
        <v>-197938983.69496256</v>
      </c>
      <c r="N28" s="505"/>
    </row>
    <row r="29" spans="1:14">
      <c r="A29" s="507" t="s">
        <v>237</v>
      </c>
      <c r="B29" s="570">
        <f>B25</f>
        <v>0</v>
      </c>
      <c r="C29" s="570">
        <f t="shared" ref="C29:L29" si="10">C25</f>
        <v>5152606.5064125014</v>
      </c>
      <c r="D29" s="571">
        <f t="shared" si="10"/>
        <v>12280672.165920977</v>
      </c>
      <c r="E29" s="517">
        <f t="shared" si="10"/>
        <v>14976859.678130807</v>
      </c>
      <c r="F29" s="570">
        <f t="shared" si="10"/>
        <v>9952808.0410687383</v>
      </c>
      <c r="G29" s="571">
        <f t="shared" si="10"/>
        <v>32587867.75307335</v>
      </c>
      <c r="H29" s="517">
        <f t="shared" si="10"/>
        <v>36885098.239988565</v>
      </c>
      <c r="I29" s="570">
        <f t="shared" si="10"/>
        <v>38243274.543558374</v>
      </c>
      <c r="J29" s="571">
        <f t="shared" si="10"/>
        <v>15893862.400155786</v>
      </c>
      <c r="K29" s="571">
        <f t="shared" si="10"/>
        <v>20528195.022696428</v>
      </c>
      <c r="L29" s="517">
        <f t="shared" si="10"/>
        <v>32843456.366175808</v>
      </c>
      <c r="M29" s="549">
        <f>SUM(B29:L29)</f>
        <v>219344700.71718135</v>
      </c>
      <c r="N29" s="505"/>
    </row>
    <row r="30" spans="1:14">
      <c r="A30" s="507" t="s">
        <v>241</v>
      </c>
      <c r="B30" s="538">
        <f>'Summary Board'!D29</f>
        <v>0</v>
      </c>
      <c r="C30" s="538">
        <f>'Summary Board'!E29</f>
        <v>0</v>
      </c>
      <c r="D30" s="535">
        <f>'Summary Board'!F29</f>
        <v>0</v>
      </c>
      <c r="E30" s="539">
        <f>'Summary Board'!G29</f>
        <v>0</v>
      </c>
      <c r="F30" s="538">
        <f>'Summary Board'!H29</f>
        <v>0</v>
      </c>
      <c r="G30" s="535">
        <f>'Summary Board'!I29</f>
        <v>0</v>
      </c>
      <c r="H30" s="539">
        <f>'Summary Board'!J29</f>
        <v>0</v>
      </c>
      <c r="I30" s="538">
        <f>'Summary Board'!K29</f>
        <v>0</v>
      </c>
      <c r="J30" s="535">
        <f>'Summary Board'!L29</f>
        <v>0</v>
      </c>
      <c r="K30" s="535">
        <f>'Summary Board'!M29</f>
        <v>0</v>
      </c>
      <c r="L30" s="539">
        <f>'Summary Board'!N29</f>
        <v>1042706927.5783665</v>
      </c>
      <c r="M30" s="549">
        <f>SUM(B30:L30)</f>
        <v>1042706927.5783665</v>
      </c>
      <c r="N30" s="505"/>
    </row>
    <row r="31" spans="1:14">
      <c r="A31" s="507" t="s">
        <v>242</v>
      </c>
      <c r="B31" s="570">
        <f>'Summary Board'!D30</f>
        <v>0</v>
      </c>
      <c r="C31" s="570">
        <f>'Summary Board'!E30</f>
        <v>0</v>
      </c>
      <c r="D31" s="571">
        <f>'Summary Board'!F30</f>
        <v>0</v>
      </c>
      <c r="E31" s="517">
        <f>'Summary Board'!G30</f>
        <v>0</v>
      </c>
      <c r="F31" s="570">
        <f>'Summary Board'!H30</f>
        <v>0</v>
      </c>
      <c r="G31" s="571">
        <f>'Summary Board'!I30</f>
        <v>0</v>
      </c>
      <c r="H31" s="517">
        <f>'Summary Board'!J30</f>
        <v>0</v>
      </c>
      <c r="I31" s="570">
        <f>'Summary Board'!K30</f>
        <v>0</v>
      </c>
      <c r="J31" s="571">
        <f>'Summary Board'!L30</f>
        <v>0</v>
      </c>
      <c r="K31" s="571">
        <f>'Summary Board'!M30</f>
        <v>0</v>
      </c>
      <c r="L31" s="539">
        <f>'Summary Board'!N30</f>
        <v>-31281207.827350993</v>
      </c>
      <c r="M31" s="549">
        <f>SUM(B31:L31)</f>
        <v>-31281207.827350993</v>
      </c>
      <c r="N31" s="505"/>
    </row>
    <row r="32" spans="1:14">
      <c r="A32" s="518" t="s">
        <v>243</v>
      </c>
      <c r="B32" s="561">
        <f>-B19</f>
        <v>0</v>
      </c>
      <c r="C32" s="561">
        <f t="shared" ref="C32:L32" si="11">-C19</f>
        <v>0</v>
      </c>
      <c r="D32" s="532">
        <f t="shared" si="11"/>
        <v>0</v>
      </c>
      <c r="E32" s="519">
        <f t="shared" si="11"/>
        <v>0</v>
      </c>
      <c r="F32" s="561">
        <f t="shared" si="11"/>
        <v>0</v>
      </c>
      <c r="G32" s="532">
        <f t="shared" si="11"/>
        <v>0</v>
      </c>
      <c r="H32" s="519">
        <f t="shared" si="11"/>
        <v>0</v>
      </c>
      <c r="I32" s="561">
        <f t="shared" si="11"/>
        <v>0</v>
      </c>
      <c r="J32" s="532">
        <f t="shared" si="11"/>
        <v>0</v>
      </c>
      <c r="K32" s="532">
        <f t="shared" si="11"/>
        <v>0</v>
      </c>
      <c r="L32" s="519">
        <f t="shared" si="11"/>
        <v>-386886684.00493056</v>
      </c>
      <c r="M32" s="550">
        <f>SUM(B32:L32)</f>
        <v>-386886684.00493056</v>
      </c>
      <c r="N32" s="505"/>
    </row>
    <row r="33" spans="1:14" ht="13.5" thickBot="1">
      <c r="A33" s="520" t="s">
        <v>244</v>
      </c>
      <c r="B33" s="541">
        <f t="shared" ref="B33:M33" si="12">SUM(B28:B32)</f>
        <v>-73932528.599999994</v>
      </c>
      <c r="C33" s="541">
        <f t="shared" si="12"/>
        <v>-87013544.541027486</v>
      </c>
      <c r="D33" s="536">
        <f t="shared" si="12"/>
        <v>-13610971.711919028</v>
      </c>
      <c r="E33" s="523">
        <f t="shared" si="12"/>
        <v>14976859.678130807</v>
      </c>
      <c r="F33" s="541">
        <f t="shared" si="12"/>
        <v>4004147.871386176</v>
      </c>
      <c r="G33" s="536">
        <f t="shared" si="12"/>
        <v>32587867.75307335</v>
      </c>
      <c r="H33" s="523">
        <f t="shared" si="12"/>
        <v>36885098.239988565</v>
      </c>
      <c r="I33" s="541">
        <f t="shared" si="12"/>
        <v>38243274.543558374</v>
      </c>
      <c r="J33" s="536">
        <f t="shared" si="12"/>
        <v>15893862.400155786</v>
      </c>
      <c r="K33" s="536">
        <f t="shared" si="12"/>
        <v>20528195.022696428</v>
      </c>
      <c r="L33" s="523">
        <f t="shared" si="12"/>
        <v>657382492.11226082</v>
      </c>
      <c r="M33" s="542">
        <f t="shared" si="12"/>
        <v>645944752.76830387</v>
      </c>
      <c r="N33" s="505"/>
    </row>
    <row r="34" spans="1:14" ht="13.5" thickBot="1">
      <c r="A34" s="109" t="s">
        <v>26</v>
      </c>
      <c r="B34" s="577">
        <f>B33+NPV(B39,C33:L33)</f>
        <v>208391423.38401434</v>
      </c>
      <c r="C34" s="570"/>
      <c r="D34" s="571"/>
      <c r="E34" s="517"/>
      <c r="F34" s="570"/>
      <c r="G34" s="571"/>
      <c r="H34" s="517"/>
      <c r="I34" s="570"/>
      <c r="J34" s="571"/>
      <c r="K34" s="571"/>
      <c r="L34" s="517"/>
      <c r="M34" s="575"/>
      <c r="N34" s="505"/>
    </row>
    <row r="35" spans="1:14" ht="13.5" thickBot="1">
      <c r="A35" s="80" t="s">
        <v>245</v>
      </c>
      <c r="B35" s="588">
        <f>IRR(B33:L33,0)</f>
        <v>0.20445295487659809</v>
      </c>
      <c r="C35" s="584"/>
      <c r="D35" s="585"/>
      <c r="E35" s="586"/>
      <c r="F35" s="584"/>
      <c r="G35" s="585"/>
      <c r="H35" s="586"/>
      <c r="I35" s="584"/>
      <c r="J35" s="585"/>
      <c r="K35" s="585"/>
      <c r="L35" s="586"/>
      <c r="M35" s="574"/>
      <c r="N35" s="505"/>
    </row>
    <row r="36" spans="1:14" ht="13.5" thickBot="1">
      <c r="A36" s="505"/>
      <c r="B36" s="571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3"/>
      <c r="N36" s="505"/>
    </row>
    <row r="37" spans="1:14" ht="13.5" thickBot="1">
      <c r="A37" s="568" t="s">
        <v>234</v>
      </c>
      <c r="B37" s="569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05"/>
    </row>
    <row r="38" spans="1:14">
      <c r="A38" s="552" t="s">
        <v>233</v>
      </c>
      <c r="B38" s="587">
        <v>0.06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5"/>
      <c r="N38" s="505"/>
    </row>
    <row r="39" spans="1:14" ht="13" thickBot="1">
      <c r="A39" s="557" t="s">
        <v>97</v>
      </c>
      <c r="B39" s="567">
        <v>0.09</v>
      </c>
      <c r="C39" s="504"/>
      <c r="D39" s="504"/>
      <c r="E39" s="504"/>
      <c r="F39" s="504"/>
      <c r="G39" s="504"/>
      <c r="H39" s="504"/>
      <c r="I39" s="504"/>
      <c r="J39" s="504"/>
      <c r="K39" s="504"/>
      <c r="L39" s="504"/>
      <c r="M39" s="505"/>
      <c r="N39" s="505"/>
    </row>
    <row r="40" spans="1:14">
      <c r="A40" s="505"/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05"/>
      <c r="N40" s="505"/>
    </row>
    <row r="41" spans="1:14">
      <c r="A41" s="505"/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05"/>
      <c r="N41" s="505"/>
    </row>
    <row r="42" spans="1:14">
      <c r="A42" s="505"/>
      <c r="B42" s="528"/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05"/>
      <c r="N42" s="505"/>
    </row>
    <row r="43" spans="1:14">
      <c r="A43" s="505"/>
      <c r="B43" s="528"/>
      <c r="C43" s="528"/>
      <c r="D43" s="528"/>
      <c r="E43" s="528"/>
      <c r="F43" s="528"/>
      <c r="G43" s="528"/>
      <c r="H43" s="528"/>
      <c r="I43" s="528"/>
      <c r="J43" s="528"/>
      <c r="K43" s="528"/>
      <c r="L43" s="528"/>
      <c r="M43" s="505"/>
      <c r="N43" s="505"/>
    </row>
    <row r="44" spans="1:14">
      <c r="A44" s="505"/>
      <c r="B44" s="528"/>
      <c r="C44" s="528"/>
      <c r="D44" s="528"/>
      <c r="E44" s="528"/>
      <c r="F44" s="528"/>
      <c r="G44" s="528"/>
      <c r="H44" s="528"/>
      <c r="I44" s="528"/>
      <c r="J44" s="528"/>
      <c r="K44" s="528"/>
      <c r="L44" s="528"/>
      <c r="M44" s="505"/>
      <c r="N44" s="505"/>
    </row>
    <row r="45" spans="1:14">
      <c r="A45" s="505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5"/>
      <c r="N45" s="505"/>
    </row>
    <row r="46" spans="1:14">
      <c r="A46" s="505"/>
      <c r="B46" s="528"/>
      <c r="C46" s="528"/>
      <c r="D46" s="528"/>
      <c r="E46" s="528"/>
      <c r="F46" s="528"/>
      <c r="G46" s="528"/>
      <c r="H46" s="528"/>
      <c r="I46" s="528"/>
      <c r="J46" s="528"/>
      <c r="K46" s="528"/>
      <c r="L46" s="528"/>
      <c r="M46" s="505"/>
      <c r="N46" s="505"/>
    </row>
    <row r="47" spans="1:14">
      <c r="A47" s="505"/>
      <c r="B47" s="528"/>
      <c r="C47" s="528"/>
      <c r="D47" s="528"/>
      <c r="E47" s="528"/>
      <c r="F47" s="528"/>
      <c r="G47" s="528"/>
      <c r="H47" s="528"/>
      <c r="I47" s="528"/>
      <c r="J47" s="528"/>
      <c r="K47" s="528"/>
      <c r="L47" s="528"/>
      <c r="M47" s="505"/>
      <c r="N47" s="505"/>
    </row>
    <row r="48" spans="1:14">
      <c r="A48" s="505"/>
      <c r="B48" s="528"/>
      <c r="C48" s="528"/>
      <c r="D48" s="528"/>
      <c r="E48" s="528"/>
      <c r="F48" s="528"/>
      <c r="G48" s="528"/>
      <c r="H48" s="528"/>
      <c r="I48" s="528"/>
      <c r="J48" s="528"/>
      <c r="K48" s="528"/>
      <c r="L48" s="528"/>
      <c r="M48" s="505"/>
      <c r="N48" s="505"/>
    </row>
    <row r="49" spans="1:14">
      <c r="A49" s="505"/>
      <c r="B49" s="506"/>
      <c r="C49" s="505"/>
      <c r="D49" s="505"/>
      <c r="E49" s="505"/>
      <c r="F49" s="505"/>
      <c r="G49" s="505"/>
      <c r="H49" s="505"/>
      <c r="I49" s="505"/>
      <c r="J49" s="505"/>
      <c r="K49" s="505"/>
      <c r="L49" s="505"/>
      <c r="M49" s="505"/>
      <c r="N49" s="505"/>
    </row>
    <row r="50" spans="1:14">
      <c r="A50" s="505"/>
      <c r="B50" s="528"/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05"/>
      <c r="N50" s="505"/>
    </row>
    <row r="51" spans="1:14">
      <c r="B51" s="527"/>
    </row>
  </sheetData>
  <printOptions horizontalCentered="1"/>
  <pageMargins left="0.45" right="0.45" top="0.5" bottom="0.5" header="0.3" footer="0.3"/>
  <pageSetup scale="6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31"/>
  <sheetViews>
    <sheetView zoomScale="70" zoomScaleNormal="70" workbookViewId="0">
      <selection activeCell="E11" sqref="E11"/>
    </sheetView>
  </sheetViews>
  <sheetFormatPr defaultColWidth="9.1796875" defaultRowHeight="14"/>
  <cols>
    <col min="1" max="1" width="22.7265625" style="705" customWidth="1"/>
    <col min="2" max="2" width="13.7265625" style="705" bestFit="1" customWidth="1"/>
    <col min="3" max="4" width="14.453125" style="705" customWidth="1"/>
    <col min="5" max="6" width="18.1796875" style="705" customWidth="1"/>
    <col min="7" max="16384" width="9.1796875" style="705"/>
  </cols>
  <sheetData>
    <row r="1" spans="1:6">
      <c r="A1" s="703" t="s">
        <v>464</v>
      </c>
      <c r="B1" s="704"/>
      <c r="C1" s="704"/>
      <c r="D1" s="704"/>
      <c r="E1" s="704"/>
      <c r="F1" s="716"/>
    </row>
    <row r="2" spans="1:6" ht="15" customHeight="1" thickBot="1">
      <c r="A2" s="706" t="s">
        <v>463</v>
      </c>
      <c r="B2" s="707"/>
      <c r="C2" s="707"/>
      <c r="D2" s="707"/>
      <c r="E2" s="707"/>
      <c r="F2" s="717"/>
    </row>
    <row r="3" spans="1:6" ht="15" customHeight="1">
      <c r="A3" s="718"/>
      <c r="B3" s="709"/>
      <c r="C3" s="709" t="s">
        <v>254</v>
      </c>
      <c r="D3" s="709" t="s">
        <v>250</v>
      </c>
      <c r="E3" s="709" t="s">
        <v>251</v>
      </c>
      <c r="F3" s="710" t="s">
        <v>251</v>
      </c>
    </row>
    <row r="4" spans="1:6" ht="14.5" thickBot="1">
      <c r="A4" s="732" t="s">
        <v>255</v>
      </c>
      <c r="B4" s="811" t="s">
        <v>465</v>
      </c>
      <c r="C4" s="733" t="s">
        <v>256</v>
      </c>
      <c r="D4" s="733" t="s">
        <v>100</v>
      </c>
      <c r="E4" s="733" t="s">
        <v>252</v>
      </c>
      <c r="F4" s="734" t="s">
        <v>253</v>
      </c>
    </row>
    <row r="5" spans="1:6">
      <c r="A5" s="708" t="s">
        <v>258</v>
      </c>
      <c r="B5" s="814" t="s">
        <v>466</v>
      </c>
      <c r="C5" s="728">
        <v>2015</v>
      </c>
      <c r="D5" s="729">
        <v>720</v>
      </c>
      <c r="E5" s="730">
        <v>399000</v>
      </c>
      <c r="F5" s="731">
        <f>E5/D5</f>
        <v>554.16666666666663</v>
      </c>
    </row>
    <row r="6" spans="1:6" ht="14.5" thickBot="1">
      <c r="A6" s="720" t="s">
        <v>257</v>
      </c>
      <c r="B6" s="812" t="s">
        <v>466</v>
      </c>
      <c r="C6" s="721">
        <v>2015</v>
      </c>
      <c r="D6" s="722">
        <v>1420</v>
      </c>
      <c r="E6" s="723">
        <v>749000</v>
      </c>
      <c r="F6" s="724">
        <f>E6/D6</f>
        <v>527.46478873239437</v>
      </c>
    </row>
    <row r="7" spans="1:6" ht="14.5" thickBot="1"/>
    <row r="8" spans="1:6">
      <c r="A8" s="703" t="s">
        <v>464</v>
      </c>
      <c r="B8" s="704"/>
      <c r="C8" s="704"/>
      <c r="D8" s="704"/>
      <c r="E8" s="704"/>
      <c r="F8" s="716"/>
    </row>
    <row r="9" spans="1:6" ht="15" customHeight="1" thickBot="1">
      <c r="A9" s="706" t="s">
        <v>468</v>
      </c>
      <c r="B9" s="707"/>
      <c r="C9" s="707"/>
      <c r="D9" s="707"/>
      <c r="E9" s="707"/>
      <c r="F9" s="717"/>
    </row>
    <row r="10" spans="1:6" ht="15" customHeight="1">
      <c r="A10" s="718"/>
      <c r="B10" s="709"/>
      <c r="C10" s="709" t="s">
        <v>254</v>
      </c>
      <c r="D10" s="709" t="s">
        <v>250</v>
      </c>
      <c r="E10" s="709" t="s">
        <v>251</v>
      </c>
      <c r="F10" s="710" t="s">
        <v>251</v>
      </c>
    </row>
    <row r="11" spans="1:6" ht="14.5" thickBot="1">
      <c r="A11" s="732" t="s">
        <v>255</v>
      </c>
      <c r="B11" s="811" t="s">
        <v>465</v>
      </c>
      <c r="C11" s="733" t="s">
        <v>256</v>
      </c>
      <c r="D11" s="733" t="s">
        <v>100</v>
      </c>
      <c r="E11" s="733" t="s">
        <v>252</v>
      </c>
      <c r="F11" s="734" t="s">
        <v>253</v>
      </c>
    </row>
    <row r="12" spans="1:6">
      <c r="A12" s="708" t="s">
        <v>470</v>
      </c>
      <c r="B12" s="814" t="s">
        <v>469</v>
      </c>
      <c r="C12" s="728">
        <v>2007</v>
      </c>
      <c r="D12" s="729">
        <v>2928</v>
      </c>
      <c r="E12" s="730">
        <v>1145000</v>
      </c>
      <c r="F12" s="731">
        <f t="shared" ref="F12:F16" si="0">E12/D12</f>
        <v>391.05191256830602</v>
      </c>
    </row>
    <row r="13" spans="1:6">
      <c r="A13" s="714" t="s">
        <v>467</v>
      </c>
      <c r="B13" s="813" t="s">
        <v>469</v>
      </c>
      <c r="C13" s="725">
        <v>2007</v>
      </c>
      <c r="D13" s="726">
        <v>2745</v>
      </c>
      <c r="E13" s="727">
        <v>854000</v>
      </c>
      <c r="F13" s="715">
        <f t="shared" si="0"/>
        <v>311.11111111111109</v>
      </c>
    </row>
    <row r="14" spans="1:6">
      <c r="A14" s="714" t="s">
        <v>257</v>
      </c>
      <c r="B14" s="813" t="s">
        <v>469</v>
      </c>
      <c r="C14" s="725">
        <v>2007</v>
      </c>
      <c r="D14" s="726">
        <v>1842</v>
      </c>
      <c r="E14" s="727">
        <v>475000</v>
      </c>
      <c r="F14" s="715">
        <f t="shared" si="0"/>
        <v>257.87187839305102</v>
      </c>
    </row>
    <row r="15" spans="1:6">
      <c r="A15" s="714" t="s">
        <v>260</v>
      </c>
      <c r="B15" s="813" t="s">
        <v>469</v>
      </c>
      <c r="C15" s="725">
        <v>2007</v>
      </c>
      <c r="D15" s="726">
        <v>1842</v>
      </c>
      <c r="E15" s="727">
        <v>468000</v>
      </c>
      <c r="F15" s="715">
        <f t="shared" si="0"/>
        <v>254.07166123778501</v>
      </c>
    </row>
    <row r="16" spans="1:6">
      <c r="A16" s="714" t="s">
        <v>471</v>
      </c>
      <c r="B16" s="813" t="s">
        <v>469</v>
      </c>
      <c r="C16" s="725">
        <v>2007</v>
      </c>
      <c r="D16" s="726">
        <v>1577</v>
      </c>
      <c r="E16" s="727">
        <v>759000</v>
      </c>
      <c r="F16" s="715">
        <f t="shared" si="0"/>
        <v>481.29359543436908</v>
      </c>
    </row>
    <row r="17" spans="1:6" ht="14.5" thickBot="1">
      <c r="A17" s="720" t="s">
        <v>259</v>
      </c>
      <c r="B17" s="812" t="s">
        <v>469</v>
      </c>
      <c r="C17" s="721">
        <v>2007</v>
      </c>
      <c r="D17" s="722">
        <v>4460</v>
      </c>
      <c r="E17" s="723">
        <v>1165000</v>
      </c>
      <c r="F17" s="724">
        <f>E17/D17</f>
        <v>261.21076233183857</v>
      </c>
    </row>
    <row r="18" spans="1:6" ht="16.5" customHeight="1" thickBot="1">
      <c r="A18" s="714"/>
      <c r="B18" s="713"/>
      <c r="C18" s="725"/>
      <c r="D18" s="726"/>
      <c r="E18" s="727"/>
      <c r="F18" s="715"/>
    </row>
    <row r="19" spans="1:6">
      <c r="A19" s="703" t="s">
        <v>464</v>
      </c>
      <c r="B19" s="704"/>
      <c r="C19" s="704"/>
      <c r="D19" s="704"/>
      <c r="E19" s="704"/>
      <c r="F19" s="716"/>
    </row>
    <row r="20" spans="1:6" ht="15" customHeight="1" thickBot="1">
      <c r="A20" s="706" t="s">
        <v>472</v>
      </c>
      <c r="B20" s="707"/>
      <c r="C20" s="707"/>
      <c r="D20" s="707"/>
      <c r="E20" s="707"/>
      <c r="F20" s="717"/>
    </row>
    <row r="21" spans="1:6" ht="15" customHeight="1">
      <c r="A21" s="718"/>
      <c r="B21" s="709"/>
      <c r="C21" s="709" t="s">
        <v>254</v>
      </c>
      <c r="D21" s="709" t="s">
        <v>250</v>
      </c>
      <c r="E21" s="709" t="s">
        <v>251</v>
      </c>
      <c r="F21" s="710" t="s">
        <v>251</v>
      </c>
    </row>
    <row r="22" spans="1:6" ht="14.5" thickBot="1">
      <c r="A22" s="719" t="s">
        <v>255</v>
      </c>
      <c r="B22" s="810" t="s">
        <v>465</v>
      </c>
      <c r="C22" s="711" t="s">
        <v>256</v>
      </c>
      <c r="D22" s="711" t="s">
        <v>100</v>
      </c>
      <c r="E22" s="711" t="s">
        <v>252</v>
      </c>
      <c r="F22" s="712" t="s">
        <v>253</v>
      </c>
    </row>
    <row r="23" spans="1:6">
      <c r="A23" s="708" t="s">
        <v>473</v>
      </c>
      <c r="B23" s="814" t="s">
        <v>469</v>
      </c>
      <c r="C23" s="728">
        <v>2008</v>
      </c>
      <c r="D23" s="729">
        <v>2335</v>
      </c>
      <c r="E23" s="730">
        <v>630000</v>
      </c>
      <c r="F23" s="731">
        <f>E23/D23</f>
        <v>269.80728051391861</v>
      </c>
    </row>
    <row r="24" spans="1:6" ht="14.5" thickBot="1">
      <c r="A24" s="720" t="s">
        <v>467</v>
      </c>
      <c r="B24" s="812" t="s">
        <v>469</v>
      </c>
      <c r="C24" s="721">
        <v>2008</v>
      </c>
      <c r="D24" s="722">
        <v>1935</v>
      </c>
      <c r="E24" s="723">
        <v>783675</v>
      </c>
      <c r="F24" s="724">
        <f>E24/D24</f>
        <v>405</v>
      </c>
    </row>
    <row r="25" spans="1:6" ht="14.5" thickBot="1">
      <c r="A25" s="714"/>
      <c r="B25" s="713"/>
      <c r="C25" s="725"/>
      <c r="D25" s="726"/>
      <c r="E25" s="727"/>
      <c r="F25" s="715"/>
    </row>
    <row r="26" spans="1:6">
      <c r="A26" s="703" t="s">
        <v>464</v>
      </c>
      <c r="B26" s="704"/>
      <c r="C26" s="704"/>
      <c r="D26" s="704"/>
      <c r="E26" s="704"/>
      <c r="F26" s="716"/>
    </row>
    <row r="27" spans="1:6" ht="15" customHeight="1" thickBot="1">
      <c r="A27" s="706" t="s">
        <v>474</v>
      </c>
      <c r="B27" s="707"/>
      <c r="C27" s="707"/>
      <c r="D27" s="707"/>
      <c r="E27" s="707"/>
      <c r="F27" s="717"/>
    </row>
    <row r="28" spans="1:6" ht="15" customHeight="1">
      <c r="A28" s="718"/>
      <c r="B28" s="709"/>
      <c r="C28" s="709" t="s">
        <v>254</v>
      </c>
      <c r="D28" s="709" t="s">
        <v>250</v>
      </c>
      <c r="E28" s="709" t="s">
        <v>251</v>
      </c>
      <c r="F28" s="710" t="s">
        <v>251</v>
      </c>
    </row>
    <row r="29" spans="1:6" ht="14.5" thickBot="1">
      <c r="A29" s="719" t="s">
        <v>255</v>
      </c>
      <c r="B29" s="810" t="s">
        <v>465</v>
      </c>
      <c r="C29" s="711" t="s">
        <v>256</v>
      </c>
      <c r="D29" s="711" t="s">
        <v>100</v>
      </c>
      <c r="E29" s="711" t="s">
        <v>252</v>
      </c>
      <c r="F29" s="712" t="s">
        <v>253</v>
      </c>
    </row>
    <row r="30" spans="1:6" ht="14.5" thickBot="1">
      <c r="A30" s="893" t="s">
        <v>467</v>
      </c>
      <c r="B30" s="894" t="s">
        <v>469</v>
      </c>
      <c r="C30" s="895">
        <v>2007</v>
      </c>
      <c r="D30" s="896">
        <v>2031</v>
      </c>
      <c r="E30" s="897">
        <v>625000</v>
      </c>
      <c r="F30" s="898">
        <f>E30/D30</f>
        <v>307.73018217626787</v>
      </c>
    </row>
    <row r="31" spans="1:6">
      <c r="A31" s="714"/>
      <c r="B31" s="713"/>
      <c r="C31" s="725"/>
      <c r="D31" s="726"/>
      <c r="E31" s="727"/>
      <c r="F31" s="89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327D2-6EDF-4E4F-B434-A59AF63F5EDB}">
  <dimension ref="A1:F24"/>
  <sheetViews>
    <sheetView zoomScale="70" zoomScaleNormal="70" workbookViewId="0">
      <selection activeCell="C1" sqref="C1"/>
    </sheetView>
  </sheetViews>
  <sheetFormatPr defaultColWidth="11.6328125" defaultRowHeight="13"/>
  <cols>
    <col min="1" max="1" width="33.6328125" style="1011" bestFit="1" customWidth="1"/>
    <col min="2" max="3" width="11.6328125" style="1011"/>
    <col min="4" max="4" width="42.1796875" style="1011" bestFit="1" customWidth="1"/>
    <col min="5" max="16384" width="11.6328125" style="1011"/>
  </cols>
  <sheetData>
    <row r="1" spans="1:6" ht="13.5" thickBot="1">
      <c r="A1" s="568" t="s">
        <v>271</v>
      </c>
      <c r="B1" s="1009"/>
      <c r="C1" s="1009"/>
      <c r="D1" s="1009"/>
      <c r="E1" s="1009"/>
      <c r="F1" s="1010"/>
    </row>
    <row r="2" spans="1:6">
      <c r="A2" s="552"/>
      <c r="B2" s="1006"/>
      <c r="C2" s="48" t="s">
        <v>273</v>
      </c>
      <c r="D2" s="552"/>
      <c r="E2" s="1006"/>
      <c r="F2" s="1007"/>
    </row>
    <row r="3" spans="1:6" ht="15.5" thickBot="1">
      <c r="A3" s="520" t="s">
        <v>272</v>
      </c>
      <c r="B3" s="509"/>
      <c r="C3" s="93" t="s">
        <v>602</v>
      </c>
      <c r="D3" s="1012" t="s">
        <v>275</v>
      </c>
      <c r="E3" s="1013"/>
      <c r="F3" s="1014"/>
    </row>
    <row r="4" spans="1:6">
      <c r="A4" s="552" t="s">
        <v>276</v>
      </c>
      <c r="B4" s="1006"/>
      <c r="C4" s="1015">
        <v>3.12</v>
      </c>
      <c r="D4" s="1218" t="s">
        <v>578</v>
      </c>
      <c r="E4" s="1219"/>
      <c r="F4" s="1220"/>
    </row>
    <row r="5" spans="1:6" ht="13.5" thickBot="1">
      <c r="A5" s="557"/>
      <c r="B5" s="509"/>
      <c r="C5" s="509"/>
      <c r="D5" s="1221"/>
      <c r="E5" s="1222"/>
      <c r="F5" s="1223"/>
    </row>
    <row r="6" spans="1:6" ht="13.5" thickBot="1">
      <c r="A6" s="1016" t="s">
        <v>277</v>
      </c>
      <c r="B6" s="1017"/>
      <c r="C6" s="1018">
        <f>(0.014+0.12)/2</f>
        <v>6.7000000000000004E-2</v>
      </c>
      <c r="D6" s="1016" t="s">
        <v>579</v>
      </c>
      <c r="E6" s="1017"/>
      <c r="F6" s="1019"/>
    </row>
    <row r="7" spans="1:6" ht="13.5" thickBot="1">
      <c r="A7" s="552" t="s">
        <v>278</v>
      </c>
      <c r="B7" s="1006"/>
      <c r="C7" s="1015">
        <v>210.1</v>
      </c>
      <c r="D7" s="1218" t="s">
        <v>580</v>
      </c>
      <c r="E7" s="1219"/>
      <c r="F7" s="1220"/>
    </row>
    <row r="8" spans="1:6" ht="13.5" thickBot="1">
      <c r="A8" s="552" t="s">
        <v>279</v>
      </c>
      <c r="B8" s="1006"/>
      <c r="C8" s="1015">
        <f>(35+60)/2</f>
        <v>47.5</v>
      </c>
      <c r="D8" s="1224" t="s">
        <v>579</v>
      </c>
      <c r="E8" s="1225"/>
      <c r="F8" s="1226"/>
    </row>
    <row r="9" spans="1:6" ht="13.5" thickBot="1">
      <c r="A9" s="1016" t="s">
        <v>199</v>
      </c>
      <c r="B9" s="1017"/>
      <c r="C9" s="1018">
        <f>(0.014+0.18)/2</f>
        <v>9.7000000000000003E-2</v>
      </c>
      <c r="D9" s="1227"/>
      <c r="E9" s="1228"/>
      <c r="F9" s="1229"/>
    </row>
    <row r="10" spans="1:6">
      <c r="A10" s="552" t="s">
        <v>280</v>
      </c>
      <c r="B10" s="1006"/>
      <c r="C10" s="1015">
        <v>60</v>
      </c>
      <c r="D10" s="1230" t="s">
        <v>581</v>
      </c>
      <c r="E10" s="1231"/>
      <c r="F10" s="1232"/>
    </row>
    <row r="11" spans="1:6">
      <c r="A11" s="507" t="s">
        <v>582</v>
      </c>
      <c r="B11" s="503"/>
      <c r="C11" s="1020">
        <v>40</v>
      </c>
      <c r="D11" s="1233"/>
      <c r="E11" s="1234"/>
      <c r="F11" s="1235"/>
    </row>
    <row r="12" spans="1:6">
      <c r="A12" s="507" t="s">
        <v>583</v>
      </c>
      <c r="B12" s="503"/>
      <c r="C12" s="1020">
        <v>32</v>
      </c>
      <c r="D12" s="1233"/>
      <c r="E12" s="1234"/>
      <c r="F12" s="1235"/>
    </row>
    <row r="13" spans="1:6" ht="13.5" thickBot="1">
      <c r="A13" s="557" t="s">
        <v>200</v>
      </c>
      <c r="B13" s="509"/>
      <c r="C13" s="1021">
        <v>9.6000000000000002E-2</v>
      </c>
      <c r="D13" s="1236"/>
      <c r="E13" s="1237"/>
      <c r="F13" s="1238"/>
    </row>
    <row r="14" spans="1:6">
      <c r="A14" s="552" t="s">
        <v>584</v>
      </c>
      <c r="B14" s="1006"/>
      <c r="C14" s="1015">
        <v>213</v>
      </c>
      <c r="D14" s="1224" t="s">
        <v>585</v>
      </c>
      <c r="E14" s="1225"/>
      <c r="F14" s="1226"/>
    </row>
    <row r="15" spans="1:6">
      <c r="A15" s="507" t="s">
        <v>586</v>
      </c>
      <c r="B15" s="503"/>
      <c r="C15" s="1022">
        <v>0.77</v>
      </c>
      <c r="D15" s="1239"/>
      <c r="E15" s="1240"/>
      <c r="F15" s="1241"/>
    </row>
    <row r="16" spans="1:6" ht="13.5" thickBot="1">
      <c r="A16" s="557" t="s">
        <v>587</v>
      </c>
      <c r="B16" s="509"/>
      <c r="C16" s="1023">
        <v>0.3</v>
      </c>
      <c r="D16" s="1227"/>
      <c r="E16" s="1228"/>
      <c r="F16" s="1229"/>
    </row>
    <row r="17" spans="1:6">
      <c r="A17" s="552" t="s">
        <v>281</v>
      </c>
      <c r="B17" s="1006"/>
      <c r="C17" s="1024">
        <v>4.4999999999999998E-2</v>
      </c>
      <c r="D17" s="1230" t="s">
        <v>588</v>
      </c>
      <c r="E17" s="1231"/>
      <c r="F17" s="1232"/>
    </row>
    <row r="18" spans="1:6">
      <c r="A18" s="507" t="s">
        <v>282</v>
      </c>
      <c r="B18" s="503"/>
      <c r="C18" s="1022">
        <v>5.7500000000000002E-2</v>
      </c>
      <c r="D18" s="1233"/>
      <c r="E18" s="1234"/>
      <c r="F18" s="1235"/>
    </row>
    <row r="19" spans="1:6">
      <c r="A19" s="507" t="s">
        <v>283</v>
      </c>
      <c r="B19" s="503"/>
      <c r="C19" s="1022">
        <v>0.05</v>
      </c>
      <c r="D19" s="1233"/>
      <c r="E19" s="1234"/>
      <c r="F19" s="1235"/>
    </row>
    <row r="20" spans="1:6">
      <c r="A20" s="507" t="s">
        <v>284</v>
      </c>
      <c r="B20" s="503"/>
      <c r="C20" s="1022">
        <v>7.2499999999999995E-2</v>
      </c>
      <c r="D20" s="1233"/>
      <c r="E20" s="1234"/>
      <c r="F20" s="1235"/>
    </row>
    <row r="21" spans="1:6" ht="13.5" thickBot="1">
      <c r="A21" s="507" t="s">
        <v>589</v>
      </c>
      <c r="B21" s="503"/>
      <c r="C21" s="1022">
        <v>5.2499999999999998E-2</v>
      </c>
      <c r="D21" s="1233"/>
      <c r="E21" s="1234"/>
      <c r="F21" s="1235"/>
    </row>
    <row r="22" spans="1:6" ht="13.5" thickBot="1">
      <c r="A22" s="1016" t="s">
        <v>285</v>
      </c>
      <c r="B22" s="1017"/>
      <c r="C22" s="1025">
        <v>6.3E-2</v>
      </c>
      <c r="D22" s="1214" t="s">
        <v>590</v>
      </c>
      <c r="E22" s="1215"/>
      <c r="F22" s="1216"/>
    </row>
    <row r="23" spans="1:6">
      <c r="A23" s="1217" t="s">
        <v>591</v>
      </c>
      <c r="B23" s="1217"/>
      <c r="C23" s="1217"/>
      <c r="D23" s="1217"/>
      <c r="E23" s="1217"/>
      <c r="F23" s="1217"/>
    </row>
    <row r="24" spans="1:6">
      <c r="A24" s="1217"/>
      <c r="B24" s="1217"/>
      <c r="C24" s="1217"/>
      <c r="D24" s="1217"/>
      <c r="E24" s="1217"/>
      <c r="F24" s="1217"/>
    </row>
  </sheetData>
  <mergeCells count="8">
    <mergeCell ref="D22:F22"/>
    <mergeCell ref="A23:F24"/>
    <mergeCell ref="D4:F5"/>
    <mergeCell ref="D7:F7"/>
    <mergeCell ref="D8:F9"/>
    <mergeCell ref="D10:F13"/>
    <mergeCell ref="D14:F16"/>
    <mergeCell ref="D17:F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view="pageBreakPreview" topLeftCell="A7" zoomScale="85" zoomScaleNormal="100" zoomScaleSheetLayoutView="85" zoomScalePageLayoutView="70" workbookViewId="0">
      <selection activeCell="A16" sqref="A16"/>
    </sheetView>
  </sheetViews>
  <sheetFormatPr defaultColWidth="9.1796875" defaultRowHeight="12.5"/>
  <cols>
    <col min="1" max="1" width="9.1796875" style="38"/>
    <col min="2" max="2" width="13.7265625" style="38" customWidth="1"/>
    <col min="3" max="3" width="8.26953125" style="56" customWidth="1"/>
    <col min="4" max="4" width="13.7265625" style="56" customWidth="1"/>
    <col min="5" max="14" width="13.7265625" style="38" customWidth="1"/>
    <col min="15" max="16384" width="9.1796875" style="38"/>
  </cols>
  <sheetData>
    <row r="1" spans="1:15" ht="13.5" customHeight="1" thickBot="1">
      <c r="M1" s="135" t="s">
        <v>98</v>
      </c>
      <c r="N1" s="319">
        <v>202</v>
      </c>
    </row>
    <row r="2" spans="1:15" ht="14.15" customHeight="1" thickBot="1">
      <c r="O2" s="55"/>
    </row>
    <row r="3" spans="1:15" ht="14.15" customHeight="1" thickBot="1">
      <c r="A3" s="174"/>
      <c r="B3" s="175"/>
      <c r="C3" s="176"/>
      <c r="D3" s="129" t="s">
        <v>55</v>
      </c>
      <c r="E3" s="96" t="s">
        <v>36</v>
      </c>
      <c r="F3" s="97"/>
      <c r="G3" s="41"/>
      <c r="H3" s="96" t="s">
        <v>77</v>
      </c>
      <c r="I3" s="144"/>
      <c r="J3" s="41"/>
      <c r="K3" s="39" t="s">
        <v>78</v>
      </c>
      <c r="L3" s="39"/>
      <c r="M3" s="40"/>
      <c r="N3" s="41"/>
    </row>
    <row r="4" spans="1:15" ht="14.15" customHeight="1" thickBot="1">
      <c r="A4" s="121"/>
      <c r="B4" s="91"/>
      <c r="C4" s="177"/>
      <c r="D4" s="137">
        <v>0</v>
      </c>
      <c r="E4" s="94">
        <f>D4+1</f>
        <v>1</v>
      </c>
      <c r="F4" s="93">
        <f t="shared" ref="F4:N4" si="0">E4+1</f>
        <v>2</v>
      </c>
      <c r="G4" s="95">
        <f t="shared" si="0"/>
        <v>3</v>
      </c>
      <c r="H4" s="94">
        <f t="shared" si="0"/>
        <v>4</v>
      </c>
      <c r="I4" s="136">
        <f t="shared" si="0"/>
        <v>5</v>
      </c>
      <c r="J4" s="95">
        <f t="shared" si="0"/>
        <v>6</v>
      </c>
      <c r="K4" s="93">
        <f t="shared" si="0"/>
        <v>7</v>
      </c>
      <c r="L4" s="93">
        <f t="shared" si="0"/>
        <v>8</v>
      </c>
      <c r="M4" s="93">
        <f t="shared" si="0"/>
        <v>9</v>
      </c>
      <c r="N4" s="95">
        <f t="shared" si="0"/>
        <v>10</v>
      </c>
    </row>
    <row r="5" spans="1:15" ht="14.15" customHeight="1" thickBot="1">
      <c r="A5" s="178"/>
      <c r="B5" s="179"/>
      <c r="C5" s="180"/>
      <c r="D5" s="137" t="s">
        <v>379</v>
      </c>
      <c r="E5" s="276">
        <v>2022</v>
      </c>
      <c r="F5" s="93">
        <f>E5+1</f>
        <v>2023</v>
      </c>
      <c r="G5" s="95">
        <f t="shared" ref="G5:L5" si="1">F5+1</f>
        <v>2024</v>
      </c>
      <c r="H5" s="94">
        <f t="shared" si="1"/>
        <v>2025</v>
      </c>
      <c r="I5" s="93">
        <f t="shared" si="1"/>
        <v>2026</v>
      </c>
      <c r="J5" s="95">
        <f t="shared" si="1"/>
        <v>2027</v>
      </c>
      <c r="K5" s="93">
        <f t="shared" si="1"/>
        <v>2028</v>
      </c>
      <c r="L5" s="93">
        <f t="shared" si="1"/>
        <v>2029</v>
      </c>
      <c r="M5" s="93">
        <f>L5+1</f>
        <v>2030</v>
      </c>
      <c r="N5" s="95">
        <f>M5+1</f>
        <v>2031</v>
      </c>
    </row>
    <row r="6" spans="1:15" ht="14.15" customHeight="1">
      <c r="A6" s="173" t="s">
        <v>96</v>
      </c>
      <c r="B6" s="100"/>
      <c r="C6" s="122">
        <v>0.03</v>
      </c>
      <c r="D6" s="130"/>
      <c r="E6" s="133"/>
      <c r="F6" s="99"/>
      <c r="G6" s="104"/>
      <c r="H6" s="133"/>
      <c r="I6" s="99"/>
      <c r="J6" s="104"/>
      <c r="K6" s="99"/>
      <c r="L6" s="99"/>
      <c r="M6" s="99"/>
      <c r="N6" s="104"/>
    </row>
    <row r="7" spans="1:15" ht="3.75" customHeight="1" thickBot="1">
      <c r="A7" s="173"/>
      <c r="B7" s="100"/>
      <c r="C7" s="122"/>
      <c r="D7" s="130"/>
      <c r="E7" s="133"/>
      <c r="F7" s="99"/>
      <c r="G7" s="104"/>
      <c r="H7" s="133"/>
      <c r="I7" s="99"/>
      <c r="J7" s="104"/>
      <c r="K7" s="99"/>
      <c r="L7" s="99"/>
      <c r="M7" s="99"/>
      <c r="N7" s="104"/>
    </row>
    <row r="8" spans="1:15" ht="13.5" thickBot="1">
      <c r="A8" s="222" t="s">
        <v>7</v>
      </c>
      <c r="B8" s="223"/>
      <c r="C8" s="224"/>
      <c r="D8" s="225"/>
      <c r="E8" s="198"/>
      <c r="F8" s="223"/>
      <c r="G8" s="226"/>
      <c r="H8" s="198"/>
      <c r="I8" s="223"/>
      <c r="J8" s="226"/>
      <c r="K8" s="223"/>
      <c r="L8" s="223"/>
      <c r="M8" s="223"/>
      <c r="N8" s="226"/>
    </row>
    <row r="9" spans="1:15" ht="14.15" customHeight="1">
      <c r="A9" s="106" t="str">
        <f>'Development Schedule'!A60</f>
        <v>Total (Streetscape)</v>
      </c>
      <c r="B9" s="100"/>
      <c r="C9" s="101"/>
      <c r="D9" s="159">
        <f>'Development Schedule'!D60*$E$30*((1+$C$6)^D$4)</f>
        <v>0</v>
      </c>
      <c r="E9" s="160">
        <f>'Development Schedule'!E60*$E$30*((1+$C$6)^E$4)</f>
        <v>1219097.7</v>
      </c>
      <c r="F9" s="161">
        <f>'Development Schedule'!F60*$E$30*((1+$C$6)^F$4)</f>
        <v>0</v>
      </c>
      <c r="G9" s="162">
        <f>'Development Schedule'!G60*$E$30*((1+$C$6)^G$4)</f>
        <v>0</v>
      </c>
      <c r="H9" s="160">
        <f>'Development Schedule'!H60*$E$30*((1+$C$6)^H$4)</f>
        <v>0</v>
      </c>
      <c r="I9" s="161">
        <f>'Development Schedule'!I60*$E$30*((1+$C$6)^I$4)</f>
        <v>0</v>
      </c>
      <c r="J9" s="162">
        <f>'Development Schedule'!J60*$E$30*((1+$C$6)^J$4)</f>
        <v>0</v>
      </c>
      <c r="K9" s="161">
        <f>'Development Schedule'!K60*$E$30*((1+$C$6)^K$4)</f>
        <v>0</v>
      </c>
      <c r="L9" s="161">
        <f>'Development Schedule'!L60*$E$30*((1+$C$6)^L$4)</f>
        <v>0</v>
      </c>
      <c r="M9" s="161">
        <f>'Development Schedule'!M60*$E$30*((1+$C$6)^M$4)</f>
        <v>0</v>
      </c>
      <c r="N9" s="162">
        <f>'Development Schedule'!N60*$E$30*((1+$C$6)^N$4)</f>
        <v>0</v>
      </c>
    </row>
    <row r="10" spans="1:15" ht="14.15" customHeight="1">
      <c r="A10" s="106" t="str">
        <f>'Development Schedule'!A61</f>
        <v>Total (Street Parking)</v>
      </c>
      <c r="B10" s="100"/>
      <c r="C10" s="101"/>
      <c r="D10" s="163">
        <f>'Development Schedule'!D61*$E$30*((1+$C$6)^D$4)</f>
        <v>0</v>
      </c>
      <c r="E10" s="164">
        <f>'Development Schedule'!E61*$E$30*((1+$C$6)^E$4)</f>
        <v>544532.16</v>
      </c>
      <c r="F10" s="165">
        <f>'Development Schedule'!F61*$E$30*((1+$C$6)^F$4)</f>
        <v>0</v>
      </c>
      <c r="G10" s="166">
        <f>'Development Schedule'!G61*$E$30*((1+$C$6)^G$4)</f>
        <v>0</v>
      </c>
      <c r="H10" s="164">
        <f>'Development Schedule'!H61*$E$30*((1+$C$6)^H$4)</f>
        <v>0</v>
      </c>
      <c r="I10" s="165">
        <f>'Development Schedule'!I61*$E$30*((1+$C$6)^I$4)</f>
        <v>0</v>
      </c>
      <c r="J10" s="166">
        <f>'Development Schedule'!J61*$E$30*((1+$C$6)^J$4)</f>
        <v>0</v>
      </c>
      <c r="K10" s="165">
        <f>'Development Schedule'!K61*$E$30*((1+$C$6)^K$4)</f>
        <v>0</v>
      </c>
      <c r="L10" s="165">
        <f>'Development Schedule'!L61*$E$30*((1+$C$6)^L$4)</f>
        <v>0</v>
      </c>
      <c r="M10" s="165">
        <f>'Development Schedule'!M61*$E$30*((1+$C$6)^M$4)</f>
        <v>0</v>
      </c>
      <c r="N10" s="166">
        <f>'Development Schedule'!N61*$E$30*((1+$C$6)^N$4)</f>
        <v>0</v>
      </c>
    </row>
    <row r="11" spans="1:15" ht="14.15" customHeight="1">
      <c r="A11" s="106" t="str">
        <f>'Development Schedule'!A66</f>
        <v>Total (Sidewalks)</v>
      </c>
      <c r="B11" s="100"/>
      <c r="C11" s="101"/>
      <c r="D11" s="143">
        <v>0</v>
      </c>
      <c r="E11" s="164">
        <f>'Development Schedule'!E66*$E$30*((1+$C$6)^E$4)</f>
        <v>3405612.6</v>
      </c>
      <c r="F11" s="141">
        <f>'Development Schedule'!F66*$E$30*((1+$C$6)^F$4)</f>
        <v>0</v>
      </c>
      <c r="G11" s="142">
        <f>'Development Schedule'!G66*$E$30*((1+$C$6)^G$4)</f>
        <v>0</v>
      </c>
      <c r="H11" s="140">
        <f>'Development Schedule'!H66*$E$30*((1+$C$6)^H$4)</f>
        <v>0</v>
      </c>
      <c r="I11" s="141">
        <f>'Development Schedule'!I66*$E$30*((1+$C$6)^I$4)</f>
        <v>0</v>
      </c>
      <c r="J11" s="142">
        <f>'Development Schedule'!J66*$E$30*((1+$C$6)^J$4)</f>
        <v>0</v>
      </c>
      <c r="K11" s="141">
        <f>'Development Schedule'!K66*$E$30*((1+$C$6)^K$4)</f>
        <v>0</v>
      </c>
      <c r="L11" s="141">
        <f>'Development Schedule'!L66*$E$30*((1+$C$6)^L$4)</f>
        <v>0</v>
      </c>
      <c r="M11" s="141">
        <f>'Development Schedule'!M66*$E$30*((1+$C$6)^M$4)</f>
        <v>0</v>
      </c>
      <c r="N11" s="142">
        <f>'Development Schedule'!N66*$E$30*((1+$C$6)^N$4)</f>
        <v>0</v>
      </c>
    </row>
    <row r="12" spans="1:15" ht="14.15" customHeight="1">
      <c r="A12" s="106" t="str">
        <f>'Development Schedule'!A68</f>
        <v>Total (Ramping)</v>
      </c>
      <c r="B12" s="70"/>
      <c r="C12" s="101"/>
      <c r="D12" s="163">
        <f>'Development Schedule'!D62*$E$28*((1+$C$6)^D$4)</f>
        <v>0</v>
      </c>
      <c r="E12" s="164">
        <f>'Development Schedule'!E68*$E$28*((1+$C$6)^E$4)</f>
        <v>1176631.83</v>
      </c>
      <c r="F12" s="165">
        <f>'Development Schedule'!F68*$E$28*((1+$C$6)^F$4)</f>
        <v>0</v>
      </c>
      <c r="G12" s="166">
        <f>'Development Schedule'!G68*$E$28*((1+$C$6)^G$4)</f>
        <v>0</v>
      </c>
      <c r="H12" s="164">
        <f>'Development Schedule'!H68*$E$28*((1+$C$6)^H$4)</f>
        <v>0</v>
      </c>
      <c r="I12" s="165">
        <f>'Development Schedule'!I68*$E$28*((1+$C$6)^I$4)</f>
        <v>0</v>
      </c>
      <c r="J12" s="166">
        <f>'Development Schedule'!J68*$E$28*((1+$C$6)^J$4)</f>
        <v>0</v>
      </c>
      <c r="K12" s="165">
        <f>'Development Schedule'!K68*$E$28*((1+$C$6)^K$4)</f>
        <v>0</v>
      </c>
      <c r="L12" s="165">
        <f>'Development Schedule'!L68*$E$28*((1+$C$6)^L$4)</f>
        <v>0</v>
      </c>
      <c r="M12" s="165">
        <f>'Development Schedule'!M68*$E$28*((1+$C$6)^M$4)</f>
        <v>0</v>
      </c>
      <c r="N12" s="166">
        <f>'Development Schedule'!N68*$E$28*((1+$C$6)^N$4)</f>
        <v>0</v>
      </c>
    </row>
    <row r="13" spans="1:15" ht="14.15" customHeight="1">
      <c r="A13" s="107" t="s">
        <v>495</v>
      </c>
      <c r="B13" s="102"/>
      <c r="C13" s="103"/>
      <c r="D13" s="262">
        <f>E31/2</f>
        <v>7500000</v>
      </c>
      <c r="E13" s="150">
        <f>D13</f>
        <v>7500000</v>
      </c>
      <c r="F13" s="151">
        <v>0</v>
      </c>
      <c r="G13" s="152">
        <f t="shared" ref="G13:N13" si="2">F13</f>
        <v>0</v>
      </c>
      <c r="H13" s="150">
        <f t="shared" si="2"/>
        <v>0</v>
      </c>
      <c r="I13" s="151">
        <f t="shared" si="2"/>
        <v>0</v>
      </c>
      <c r="J13" s="152">
        <f t="shared" si="2"/>
        <v>0</v>
      </c>
      <c r="K13" s="151">
        <f t="shared" si="2"/>
        <v>0</v>
      </c>
      <c r="L13" s="151">
        <f t="shared" si="2"/>
        <v>0</v>
      </c>
      <c r="M13" s="151">
        <f t="shared" si="2"/>
        <v>0</v>
      </c>
      <c r="N13" s="152">
        <f t="shared" si="2"/>
        <v>0</v>
      </c>
    </row>
    <row r="14" spans="1:15" ht="13.5" customHeight="1" thickBot="1">
      <c r="A14" s="115" t="s">
        <v>32</v>
      </c>
      <c r="B14" s="116"/>
      <c r="C14" s="117"/>
      <c r="D14" s="145">
        <f t="shared" ref="D14:N14" si="3">SUM(D9:D13)</f>
        <v>7500000</v>
      </c>
      <c r="E14" s="146">
        <f t="shared" si="3"/>
        <v>13845874.289999999</v>
      </c>
      <c r="F14" s="147">
        <f t="shared" si="3"/>
        <v>0</v>
      </c>
      <c r="G14" s="148">
        <f t="shared" si="3"/>
        <v>0</v>
      </c>
      <c r="H14" s="146">
        <f t="shared" si="3"/>
        <v>0</v>
      </c>
      <c r="I14" s="147">
        <f t="shared" si="3"/>
        <v>0</v>
      </c>
      <c r="J14" s="148">
        <f t="shared" si="3"/>
        <v>0</v>
      </c>
      <c r="K14" s="147">
        <f t="shared" si="3"/>
        <v>0</v>
      </c>
      <c r="L14" s="147">
        <f t="shared" si="3"/>
        <v>0</v>
      </c>
      <c r="M14" s="147">
        <f t="shared" si="3"/>
        <v>0</v>
      </c>
      <c r="N14" s="148">
        <f t="shared" si="3"/>
        <v>0</v>
      </c>
    </row>
    <row r="15" spans="1:15" ht="13.5" thickBot="1">
      <c r="A15" s="222" t="s">
        <v>8</v>
      </c>
      <c r="B15" s="223"/>
      <c r="C15" s="224"/>
      <c r="D15" s="225"/>
      <c r="E15" s="198"/>
      <c r="F15" s="223"/>
      <c r="G15" s="226"/>
      <c r="H15" s="198"/>
      <c r="I15" s="223"/>
      <c r="J15" s="226"/>
      <c r="K15" s="223"/>
      <c r="L15" s="223"/>
      <c r="M15" s="223"/>
      <c r="N15" s="226"/>
    </row>
    <row r="16" spans="1:15" ht="14.15" customHeight="1">
      <c r="A16" s="108" t="str">
        <f>'Development Schedule'!A59</f>
        <v>Total (Rain Garden)</v>
      </c>
      <c r="B16" s="70"/>
      <c r="C16" s="100"/>
      <c r="D16" s="159">
        <f>'Development Schedule'!D59*$E$27*((1+$C$6)^D$4)</f>
        <v>0</v>
      </c>
      <c r="E16" s="160">
        <f>'Development Schedule'!E59*$E$27*((1+$C$6)^E$4)</f>
        <v>0</v>
      </c>
      <c r="F16" s="161">
        <f>'Development Schedule'!F59*$E$27*((1+$C$6)^F$4)</f>
        <v>0</v>
      </c>
      <c r="G16" s="162">
        <f>'Development Schedule'!G59*$E$27*((1+$C$6)^G$4)</f>
        <v>0</v>
      </c>
      <c r="H16" s="160">
        <f>'Development Schedule'!H59*$E$27*((1+$C$6)^H$4)+E32</f>
        <v>25736276.919774998</v>
      </c>
      <c r="I16" s="161">
        <f>'Development Schedule'!I59*$E$27*((1+$C$6)^I$4)</f>
        <v>0</v>
      </c>
      <c r="J16" s="162">
        <f>'Development Schedule'!J59*$E$27*((1+$C$6)^J$4)</f>
        <v>0</v>
      </c>
      <c r="K16" s="161">
        <f>'Development Schedule'!K59*$E$27*((1+$C$6)^K$4)</f>
        <v>0</v>
      </c>
      <c r="L16" s="161">
        <f>'Development Schedule'!L59*$E$27*((1+$C$6)^L$4)</f>
        <v>0</v>
      </c>
      <c r="M16" s="161">
        <f>'Development Schedule'!M59*$E$27*((1+$C$6)^M$4)</f>
        <v>0</v>
      </c>
      <c r="N16" s="162">
        <f>'Development Schedule'!N59*$E$27*((1+$C$6)^N$4)</f>
        <v>0</v>
      </c>
    </row>
    <row r="17" spans="1:14" ht="14.15" customHeight="1">
      <c r="A17" s="108" t="str">
        <f>'Development Schedule'!A62</f>
        <v>Total (Tree Trench)</v>
      </c>
      <c r="B17" s="70"/>
      <c r="C17" s="100"/>
      <c r="D17" s="163">
        <f>'Development Schedule'!D62*$E$28*((1+$C$6)^D$4)</f>
        <v>0</v>
      </c>
      <c r="E17" s="164">
        <f>'Development Schedule'!E62*$E$28*((1+$C$6)^E$4)</f>
        <v>0</v>
      </c>
      <c r="F17" s="165">
        <f>'Development Schedule'!F62*$E$28*((1+$C$6)^F$4)</f>
        <v>0</v>
      </c>
      <c r="G17" s="166">
        <f>'Development Schedule'!G62*$E$28*((1+$C$6)^G$4)</f>
        <v>0</v>
      </c>
      <c r="H17" s="164">
        <f>'Development Schedule'!H62*$E$28*((1+$C$6)^H$4)</f>
        <v>342113.03441402997</v>
      </c>
      <c r="I17" s="165">
        <f>'Development Schedule'!I62*$E$28*((1+$C$6)^I$4)</f>
        <v>0</v>
      </c>
      <c r="J17" s="166">
        <f>'Development Schedule'!J62*$E$28*((1+$C$6)^J$4)</f>
        <v>0</v>
      </c>
      <c r="K17" s="165">
        <f>'Development Schedule'!K62*$E$28*((1+$C$6)^K$4)</f>
        <v>0</v>
      </c>
      <c r="L17" s="165">
        <f>'Development Schedule'!L62*$E$28*((1+$C$6)^L$4)</f>
        <v>0</v>
      </c>
      <c r="M17" s="165">
        <f>'Development Schedule'!M62*$E$28*((1+$C$6)^M$4)</f>
        <v>0</v>
      </c>
      <c r="N17" s="166">
        <f>'Development Schedule'!N62*$E$28*((1+$C$6)^N$4)</f>
        <v>0</v>
      </c>
    </row>
    <row r="18" spans="1:14" ht="14.15" customHeight="1">
      <c r="A18" s="108" t="str">
        <f>'Development Schedule'!A63</f>
        <v>Total (Lawnscaping)</v>
      </c>
      <c r="B18" s="70"/>
      <c r="C18" s="100"/>
      <c r="D18" s="163">
        <f>'Development Schedule'!D63*$E$28*((1+$C$6)^D$4)</f>
        <v>0</v>
      </c>
      <c r="E18" s="164">
        <f>'Development Schedule'!E63*$E$28*((1+$C$6)^E$4)</f>
        <v>0</v>
      </c>
      <c r="F18" s="165">
        <f>'Development Schedule'!F63*$E$28*((1+$C$6)^F$4)</f>
        <v>0</v>
      </c>
      <c r="G18" s="166">
        <f>'Development Schedule'!G63*$E$28*((1+$C$6)^G$4)</f>
        <v>0</v>
      </c>
      <c r="H18" s="164">
        <f>'Development Schedule'!H63*$E$28*((1+$C$6)^H$4)</f>
        <v>0</v>
      </c>
      <c r="I18" s="165">
        <f>'Development Schedule'!I63*$E$28*((1+$C$6)^I$4)</f>
        <v>0</v>
      </c>
      <c r="J18" s="166">
        <f>'Development Schedule'!J63*$E$28*((1+$C$6)^J$4)</f>
        <v>0</v>
      </c>
      <c r="K18" s="165">
        <f>'Development Schedule'!K63*$E$28*((1+$C$6)^K$4)</f>
        <v>1161002.1588349426</v>
      </c>
      <c r="L18" s="165">
        <f>'Development Schedule'!L63*$E$28*((1+$C$6)^L$4)</f>
        <v>0</v>
      </c>
      <c r="M18" s="165">
        <f>'Development Schedule'!M63*$E$28*((1+$C$6)^M$4)</f>
        <v>0</v>
      </c>
      <c r="N18" s="166">
        <f>'Development Schedule'!N63*$E$28*((1+$C$6)^N$4)</f>
        <v>0</v>
      </c>
    </row>
    <row r="19" spans="1:14" ht="14.15" customHeight="1">
      <c r="A19" s="108" t="str">
        <f>'Development Schedule'!A64</f>
        <v>Total (Plaza)</v>
      </c>
      <c r="B19" s="70"/>
      <c r="C19" s="100"/>
      <c r="D19" s="163">
        <f>'Development Schedule'!D64*$E$28*((1+$C$6)^D$4)</f>
        <v>0</v>
      </c>
      <c r="E19" s="164">
        <f>'Development Schedule'!E64*$E$28*((1+$C$6)^E$4)</f>
        <v>0</v>
      </c>
      <c r="F19" s="165">
        <f>'Development Schedule'!F64*$E$28*((1+$C$6)^F$4)</f>
        <v>0</v>
      </c>
      <c r="G19" s="166">
        <f>'Development Schedule'!G64*$E$28*((1+$C$6)^G$4)</f>
        <v>0</v>
      </c>
      <c r="H19" s="164">
        <f>'Development Schedule'!H64*$E$28*((1+$C$6)^H$4)</f>
        <v>0</v>
      </c>
      <c r="I19" s="165">
        <f>'Development Schedule'!I64*$E$28*((1+$C$6)^I$4)</f>
        <v>0</v>
      </c>
      <c r="J19" s="166">
        <f>'Development Schedule'!J64*$E$28*((1+$C$6)^J$4)</f>
        <v>0</v>
      </c>
      <c r="K19" s="165">
        <f>'Development Schedule'!K64*$E$28*((1+$C$6)^K$4)</f>
        <v>0</v>
      </c>
      <c r="L19" s="165">
        <f>'Development Schedule'!L64*$E$28*((1+$C$6)^L$4)</f>
        <v>899613.24130847352</v>
      </c>
      <c r="M19" s="165">
        <f>'Development Schedule'!M64*$E$28*((1+$C$6)^M$4)</f>
        <v>0</v>
      </c>
      <c r="N19" s="166">
        <f>'Development Schedule'!N64*$E$28*((1+$C$6)^N$4)</f>
        <v>0</v>
      </c>
    </row>
    <row r="20" spans="1:14" ht="14.15" customHeight="1">
      <c r="A20" s="108" t="str">
        <f>'Development Schedule'!A65</f>
        <v>Total (Green Roofs)</v>
      </c>
      <c r="B20" s="70"/>
      <c r="C20" s="100"/>
      <c r="D20" s="163">
        <f>'Development Schedule'!D65*$E$29*((1+$C$6)^D$4)</f>
        <v>0</v>
      </c>
      <c r="E20" s="164">
        <f>'Development Schedule'!E65*$E$29*((1+$C$6)^E$4)</f>
        <v>0</v>
      </c>
      <c r="F20" s="165">
        <f>'Development Schedule'!F65*$E$29*((1+$C$6)^F$4)</f>
        <v>0</v>
      </c>
      <c r="G20" s="166">
        <f>'Development Schedule'!G65*$E$29*((1+$C$6)^G$4)</f>
        <v>0</v>
      </c>
      <c r="H20" s="164">
        <f>'Development Schedule'!H65*$E$29*((1+$C$6)^H$4)</f>
        <v>2845500.1183538996</v>
      </c>
      <c r="I20" s="165">
        <f>'Development Schedule'!I65*$E$29*((1+$C$6)^I$4)</f>
        <v>0</v>
      </c>
      <c r="J20" s="166">
        <f>'Development Schedule'!J65*$E$29*((1+$C$6)^J$4)</f>
        <v>0</v>
      </c>
      <c r="K20" s="165">
        <f>'Development Schedule'!K65*$E$29*((1+$C$6)^K$4)</f>
        <v>0</v>
      </c>
      <c r="L20" s="165">
        <f>'Development Schedule'!L65*$E$29*((1+$C$6)^L$4)</f>
        <v>0</v>
      </c>
      <c r="M20" s="165">
        <f>'Development Schedule'!M65*$E$29*((1+$C$6)^M$4)</f>
        <v>0</v>
      </c>
      <c r="N20" s="166">
        <f>'Development Schedule'!N65*$E$29*((1+$C$6)^N$4)</f>
        <v>0</v>
      </c>
    </row>
    <row r="21" spans="1:14" ht="14.15" customHeight="1">
      <c r="A21" s="108" t="str">
        <f>'Development Schedule'!A67</f>
        <v>Total (Planting Bed)</v>
      </c>
      <c r="B21" s="70"/>
      <c r="C21" s="100"/>
      <c r="D21" s="163">
        <f>'Development Schedule'!D67*$E$28*((1+$C$6)^D$4)</f>
        <v>0</v>
      </c>
      <c r="E21" s="164">
        <f>'Development Schedule'!E67*$E$28*((1+$C$6)^E$4)</f>
        <v>0</v>
      </c>
      <c r="F21" s="165">
        <f>'Development Schedule'!F67*$E$28*((1+$C$6)^F$4)</f>
        <v>0</v>
      </c>
      <c r="G21" s="166">
        <f>'Development Schedule'!G67*$E$28*((1+$C$6)^G$4)</f>
        <v>0</v>
      </c>
      <c r="H21" s="164">
        <f>'Development Schedule'!H67*$E$28*((1+$C$6)^H$4)</f>
        <v>0</v>
      </c>
      <c r="I21" s="165">
        <f>'Development Schedule'!I67*$E$28*((1+$C$6)^I$4)</f>
        <v>230148.36342263038</v>
      </c>
      <c r="J21" s="166">
        <f>'Development Schedule'!J67*$E$28*((1+$C$6)^J$4)</f>
        <v>0</v>
      </c>
      <c r="K21" s="165">
        <f>'Development Schedule'!K67*$E$28*((1+$C$6)^K$4)</f>
        <v>0</v>
      </c>
      <c r="L21" s="165">
        <f>'Development Schedule'!L67*$E$28*((1+$C$6)^L$4)</f>
        <v>0</v>
      </c>
      <c r="M21" s="165">
        <f>'Development Schedule'!M67*$E$28*((1+$C$6)^M$4)</f>
        <v>0</v>
      </c>
      <c r="N21" s="166">
        <f>'Development Schedule'!N67*$E$28*((1+$C$6)^N$4)</f>
        <v>0</v>
      </c>
    </row>
    <row r="22" spans="1:14" s="114" customFormat="1" ht="14.15" customHeight="1" thickBot="1">
      <c r="A22" s="1204" t="s">
        <v>32</v>
      </c>
      <c r="B22" s="1205"/>
      <c r="C22" s="120"/>
      <c r="D22" s="154">
        <f>SUM(D16:D21)</f>
        <v>0</v>
      </c>
      <c r="E22" s="155">
        <f t="shared" ref="E22:N22" si="4">SUM(E16:E21)</f>
        <v>0</v>
      </c>
      <c r="F22" s="156">
        <f t="shared" si="4"/>
        <v>0</v>
      </c>
      <c r="G22" s="157">
        <f t="shared" si="4"/>
        <v>0</v>
      </c>
      <c r="H22" s="155">
        <f t="shared" si="4"/>
        <v>28923890.072542928</v>
      </c>
      <c r="I22" s="156">
        <f t="shared" si="4"/>
        <v>230148.36342263038</v>
      </c>
      <c r="J22" s="157">
        <f t="shared" si="4"/>
        <v>0</v>
      </c>
      <c r="K22" s="156">
        <f t="shared" si="4"/>
        <v>1161002.1588349426</v>
      </c>
      <c r="L22" s="156">
        <f t="shared" si="4"/>
        <v>899613.24130847352</v>
      </c>
      <c r="M22" s="156">
        <f t="shared" si="4"/>
        <v>0</v>
      </c>
      <c r="N22" s="157">
        <f t="shared" si="4"/>
        <v>0</v>
      </c>
    </row>
    <row r="23" spans="1:14" ht="13.5" thickBot="1">
      <c r="A23" s="80" t="s">
        <v>9</v>
      </c>
      <c r="B23" s="81"/>
      <c r="C23" s="153"/>
      <c r="D23" s="154">
        <f t="shared" ref="D23:N23" si="5">SUM(D14,D22)</f>
        <v>7500000</v>
      </c>
      <c r="E23" s="155">
        <f t="shared" si="5"/>
        <v>13845874.289999999</v>
      </c>
      <c r="F23" s="156">
        <f t="shared" si="5"/>
        <v>0</v>
      </c>
      <c r="G23" s="157">
        <f t="shared" si="5"/>
        <v>0</v>
      </c>
      <c r="H23" s="155">
        <f t="shared" si="5"/>
        <v>28923890.072542928</v>
      </c>
      <c r="I23" s="156">
        <f t="shared" si="5"/>
        <v>230148.36342263038</v>
      </c>
      <c r="J23" s="157">
        <f t="shared" si="5"/>
        <v>0</v>
      </c>
      <c r="K23" s="156">
        <f t="shared" si="5"/>
        <v>1161002.1588349426</v>
      </c>
      <c r="L23" s="156">
        <f t="shared" si="5"/>
        <v>899613.24130847352</v>
      </c>
      <c r="M23" s="156">
        <f t="shared" si="5"/>
        <v>0</v>
      </c>
      <c r="N23" s="157">
        <f t="shared" si="5"/>
        <v>0</v>
      </c>
    </row>
    <row r="24" spans="1:14" ht="13.5" thickBot="1">
      <c r="A24" s="110" t="s">
        <v>35</v>
      </c>
      <c r="B24" s="111"/>
      <c r="C24" s="112"/>
      <c r="D24" s="154">
        <f>D23+NPV(E33,E23:N23)</f>
        <v>41929224.027443662</v>
      </c>
      <c r="E24" s="78"/>
      <c r="F24" s="118"/>
      <c r="G24" s="118"/>
      <c r="H24" s="118"/>
      <c r="I24" s="118"/>
      <c r="J24" s="118"/>
      <c r="K24" s="118"/>
      <c r="L24" s="118"/>
      <c r="M24" s="118"/>
      <c r="N24" s="119"/>
    </row>
    <row r="25" spans="1:14" ht="13" thickBot="1"/>
    <row r="26" spans="1:14" ht="13.5" thickBot="1">
      <c r="A26" s="126" t="s">
        <v>14</v>
      </c>
      <c r="B26" s="127"/>
      <c r="C26" s="127"/>
      <c r="D26" s="158"/>
      <c r="E26" s="128"/>
    </row>
    <row r="27" spans="1:14">
      <c r="A27" s="62" t="s">
        <v>576</v>
      </c>
      <c r="B27" s="68"/>
      <c r="C27" s="68"/>
      <c r="D27" s="68"/>
      <c r="E27" s="889">
        <v>75</v>
      </c>
    </row>
    <row r="28" spans="1:14">
      <c r="A28" s="62" t="s">
        <v>132</v>
      </c>
      <c r="B28" s="68"/>
      <c r="C28" s="63"/>
      <c r="D28" s="68"/>
      <c r="E28" s="124">
        <v>30</v>
      </c>
    </row>
    <row r="29" spans="1:14" ht="14.5">
      <c r="A29" s="62" t="s">
        <v>291</v>
      </c>
      <c r="B29" s="68"/>
      <c r="C29" s="63"/>
      <c r="D29" s="68"/>
      <c r="E29" s="124">
        <v>35</v>
      </c>
    </row>
    <row r="30" spans="1:14">
      <c r="A30" s="62" t="s">
        <v>577</v>
      </c>
      <c r="B30" s="68"/>
      <c r="C30" s="63"/>
      <c r="D30" s="68"/>
      <c r="E30" s="124">
        <v>30</v>
      </c>
    </row>
    <row r="31" spans="1:14" ht="14.5">
      <c r="A31" s="62" t="s">
        <v>568</v>
      </c>
      <c r="B31" s="68"/>
      <c r="C31" s="63"/>
      <c r="D31" s="68"/>
      <c r="E31" s="883">
        <v>15000000</v>
      </c>
    </row>
    <row r="32" spans="1:14">
      <c r="A32" s="62" t="s">
        <v>563</v>
      </c>
      <c r="B32" s="68"/>
      <c r="C32" s="63"/>
      <c r="D32" s="68"/>
      <c r="E32" s="883">
        <v>100000</v>
      </c>
    </row>
    <row r="33" spans="1:5" ht="13" thickBot="1">
      <c r="A33" s="65" t="s">
        <v>97</v>
      </c>
      <c r="B33" s="113"/>
      <c r="C33" s="66"/>
      <c r="D33" s="113"/>
      <c r="E33" s="125">
        <v>0.09</v>
      </c>
    </row>
    <row r="34" spans="1:5">
      <c r="A34" s="38" t="s">
        <v>518</v>
      </c>
    </row>
    <row r="35" spans="1:5">
      <c r="A35" s="38" t="s">
        <v>573</v>
      </c>
    </row>
  </sheetData>
  <mergeCells count="1">
    <mergeCell ref="A22:B22"/>
  </mergeCells>
  <phoneticPr fontId="4" type="noConversion"/>
  <printOptions horizontalCentered="1"/>
  <pageMargins left="0.5" right="0.5" top="1" bottom="0.5" header="0.5" footer="0.5"/>
  <pageSetup scale="70" orientation="landscape" r:id="rId1"/>
  <headerFooter alignWithMargins="0">
    <oddHeader>&amp;L&amp;"Arial,Bold"1. Infrastructure Costs by Year, Allocated by Use Types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8"/>
  <sheetViews>
    <sheetView view="pageBreakPreview" zoomScale="85" zoomScaleNormal="100" zoomScaleSheetLayoutView="85" workbookViewId="0">
      <selection activeCell="D10" activeCellId="4" sqref="J46 H34 K58 G22 D10"/>
    </sheetView>
  </sheetViews>
  <sheetFormatPr defaultColWidth="9.1796875" defaultRowHeight="12.5"/>
  <cols>
    <col min="1" max="1" width="28.1796875" style="89" customWidth="1"/>
    <col min="2" max="2" width="12.7265625" style="90" customWidth="1"/>
    <col min="3" max="3" width="13.7265625" style="90" customWidth="1"/>
    <col min="4" max="13" width="13.7265625" style="89" customWidth="1"/>
    <col min="14" max="14" width="15.26953125" style="89" bestFit="1" customWidth="1"/>
    <col min="15" max="16384" width="9.1796875" style="89"/>
  </cols>
  <sheetData>
    <row r="1" spans="1:13" ht="14.15" customHeight="1" thickBot="1">
      <c r="A1" s="38"/>
      <c r="B1" s="56"/>
      <c r="C1" s="56"/>
      <c r="D1" s="38"/>
      <c r="E1" s="38"/>
      <c r="F1" s="38"/>
      <c r="G1" s="38"/>
      <c r="H1" s="38"/>
      <c r="I1" s="38"/>
      <c r="J1" s="38"/>
      <c r="K1" s="38"/>
      <c r="L1" s="135" t="s">
        <v>98</v>
      </c>
      <c r="M1" s="319">
        <f>'1.Infrastructure Costs'!$N$1</f>
        <v>202</v>
      </c>
    </row>
    <row r="2" spans="1:13" ht="14.15" customHeight="1" thickBot="1">
      <c r="A2" s="38"/>
      <c r="B2" s="56"/>
      <c r="C2" s="56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4.15" customHeight="1" thickBot="1">
      <c r="A3" s="123"/>
      <c r="B3" s="203"/>
      <c r="C3" s="129" t="s">
        <v>55</v>
      </c>
      <c r="D3" s="96" t="s">
        <v>36</v>
      </c>
      <c r="E3" s="97"/>
      <c r="F3" s="41"/>
      <c r="G3" s="96" t="s">
        <v>77</v>
      </c>
      <c r="H3" s="144"/>
      <c r="I3" s="41"/>
      <c r="J3" s="39" t="s">
        <v>78</v>
      </c>
      <c r="K3" s="39"/>
      <c r="L3" s="40"/>
      <c r="M3" s="41"/>
    </row>
    <row r="4" spans="1:13" ht="14.15" customHeight="1" thickBot="1">
      <c r="A4" s="62"/>
      <c r="B4" s="63"/>
      <c r="C4" s="137">
        <v>0</v>
      </c>
      <c r="D4" s="94">
        <f>C4+1</f>
        <v>1</v>
      </c>
      <c r="E4" s="93">
        <f t="shared" ref="E4:M5" si="0">D4+1</f>
        <v>2</v>
      </c>
      <c r="F4" s="95">
        <f t="shared" si="0"/>
        <v>3</v>
      </c>
      <c r="G4" s="94">
        <f t="shared" si="0"/>
        <v>4</v>
      </c>
      <c r="H4" s="136">
        <f t="shared" si="0"/>
        <v>5</v>
      </c>
      <c r="I4" s="95">
        <f t="shared" si="0"/>
        <v>6</v>
      </c>
      <c r="J4" s="93">
        <f t="shared" si="0"/>
        <v>7</v>
      </c>
      <c r="K4" s="93">
        <f t="shared" si="0"/>
        <v>8</v>
      </c>
      <c r="L4" s="93">
        <f t="shared" si="0"/>
        <v>9</v>
      </c>
      <c r="M4" s="95">
        <f t="shared" si="0"/>
        <v>10</v>
      </c>
    </row>
    <row r="5" spans="1:13" ht="13.5" customHeight="1" thickBot="1">
      <c r="A5" s="65"/>
      <c r="B5" s="136"/>
      <c r="C5" s="137" t="s">
        <v>379</v>
      </c>
      <c r="D5" s="276">
        <v>2022</v>
      </c>
      <c r="E5" s="93">
        <f>D5+1</f>
        <v>2023</v>
      </c>
      <c r="F5" s="95">
        <f t="shared" si="0"/>
        <v>2024</v>
      </c>
      <c r="G5" s="94">
        <f t="shared" si="0"/>
        <v>2025</v>
      </c>
      <c r="H5" s="93">
        <f t="shared" si="0"/>
        <v>2026</v>
      </c>
      <c r="I5" s="95">
        <f t="shared" si="0"/>
        <v>2027</v>
      </c>
      <c r="J5" s="93">
        <f t="shared" si="0"/>
        <v>2028</v>
      </c>
      <c r="K5" s="93">
        <f t="shared" si="0"/>
        <v>2029</v>
      </c>
      <c r="L5" s="93">
        <f>K5+1</f>
        <v>2030</v>
      </c>
      <c r="M5" s="95">
        <f>L5+1</f>
        <v>2031</v>
      </c>
    </row>
    <row r="6" spans="1:13" ht="13.5" thickBot="1">
      <c r="A6" s="198" t="s">
        <v>10</v>
      </c>
      <c r="B6" s="195"/>
      <c r="C6" s="204"/>
      <c r="D6" s="207"/>
      <c r="E6" s="196"/>
      <c r="F6" s="197"/>
      <c r="G6" s="207"/>
      <c r="H6" s="196"/>
      <c r="I6" s="197"/>
      <c r="J6" s="207"/>
      <c r="K6" s="196"/>
      <c r="L6" s="196"/>
      <c r="M6" s="197"/>
    </row>
    <row r="7" spans="1:13" s="38" customFormat="1" ht="13">
      <c r="A7" s="61" t="s">
        <v>36</v>
      </c>
      <c r="B7" s="63"/>
      <c r="C7" s="131"/>
      <c r="D7" s="62"/>
      <c r="E7" s="68"/>
      <c r="F7" s="105"/>
      <c r="G7" s="62"/>
      <c r="H7" s="68"/>
      <c r="I7" s="105"/>
      <c r="J7" s="62"/>
      <c r="K7" s="68"/>
      <c r="L7" s="68"/>
      <c r="M7" s="105"/>
    </row>
    <row r="8" spans="1:13" s="38" customFormat="1">
      <c r="A8" s="173" t="s">
        <v>11</v>
      </c>
      <c r="B8" s="122">
        <v>0.03</v>
      </c>
      <c r="C8" s="130"/>
      <c r="D8" s="133"/>
      <c r="E8" s="99"/>
      <c r="F8" s="104"/>
      <c r="G8" s="133"/>
      <c r="H8" s="99"/>
      <c r="I8" s="104"/>
      <c r="J8" s="133"/>
      <c r="K8" s="99"/>
      <c r="L8" s="99"/>
      <c r="M8" s="104"/>
    </row>
    <row r="9" spans="1:13" s="38" customFormat="1">
      <c r="A9" s="173" t="s">
        <v>569</v>
      </c>
      <c r="B9" s="122"/>
      <c r="C9" s="130"/>
      <c r="D9" s="209">
        <v>9</v>
      </c>
      <c r="E9" s="63">
        <f>D9</f>
        <v>9</v>
      </c>
      <c r="F9" s="181">
        <f t="shared" ref="F9:M9" si="1">E9</f>
        <v>9</v>
      </c>
      <c r="G9" s="209">
        <f t="shared" si="1"/>
        <v>9</v>
      </c>
      <c r="H9" s="63">
        <f t="shared" si="1"/>
        <v>9</v>
      </c>
      <c r="I9" s="181">
        <f t="shared" si="1"/>
        <v>9</v>
      </c>
      <c r="J9" s="209">
        <f t="shared" si="1"/>
        <v>9</v>
      </c>
      <c r="K9" s="63">
        <f t="shared" si="1"/>
        <v>9</v>
      </c>
      <c r="L9" s="63">
        <f t="shared" si="1"/>
        <v>9</v>
      </c>
      <c r="M9" s="181">
        <f t="shared" si="1"/>
        <v>9</v>
      </c>
    </row>
    <row r="10" spans="1:13" s="38" customFormat="1">
      <c r="A10" s="173" t="s">
        <v>102</v>
      </c>
      <c r="B10" s="122"/>
      <c r="C10" s="130"/>
      <c r="D10" s="208">
        <f>ROUND(('Development Schedule'!E7*$B$15)/$B$13,0)</f>
        <v>134</v>
      </c>
      <c r="E10" s="185">
        <f>ROUND(('Development Schedule'!F7*$B$15)/$B$13,0)</f>
        <v>0</v>
      </c>
      <c r="F10" s="187">
        <f>ROUND(('Development Schedule'!G7*$B$15)/$B$13,0)</f>
        <v>0</v>
      </c>
      <c r="G10" s="208">
        <f>ROUND(('Development Schedule'!H7*$B$15)/$B$13,0)</f>
        <v>0</v>
      </c>
      <c r="H10" s="185">
        <f>ROUND(('Development Schedule'!I7*$B$15)/$B$13,0)</f>
        <v>0</v>
      </c>
      <c r="I10" s="187">
        <f>ROUND(('Development Schedule'!J7*$B$15)/$B$13,0)</f>
        <v>0</v>
      </c>
      <c r="J10" s="208">
        <f>ROUND(('Development Schedule'!K7*$B$15)/$B$13,0)</f>
        <v>0</v>
      </c>
      <c r="K10" s="185">
        <f>ROUND(('Development Schedule'!L7*$B$15)/$B$13,0)</f>
        <v>0</v>
      </c>
      <c r="L10" s="185">
        <f>ROUND(('Development Schedule'!M7*$B$15)/$B$13,0)</f>
        <v>0</v>
      </c>
      <c r="M10" s="187">
        <f>ROUND(('Development Schedule'!N7*$B$15)/$B$13,0)</f>
        <v>0</v>
      </c>
    </row>
    <row r="11" spans="1:13" s="38" customFormat="1" ht="14.15" customHeight="1">
      <c r="A11" s="173" t="s">
        <v>37</v>
      </c>
      <c r="B11" s="63"/>
      <c r="C11" s="131"/>
      <c r="D11" s="209">
        <f>ROUND($C$88*D17,0)</f>
        <v>0</v>
      </c>
      <c r="E11" s="63">
        <f>E12-SUM($D$11:D11)</f>
        <v>40</v>
      </c>
      <c r="F11" s="181">
        <f>F12-SUM($D$11:E11)</f>
        <v>61</v>
      </c>
      <c r="G11" s="209">
        <f>G12-SUM($D$11:F11)</f>
        <v>24</v>
      </c>
      <c r="H11" s="63">
        <f>H12-SUM($D$11:G11)</f>
        <v>0</v>
      </c>
      <c r="I11" s="181">
        <f>I12-SUM($D$11:H11)</f>
        <v>0</v>
      </c>
      <c r="J11" s="209">
        <f>J12-SUM($D$11:I11)</f>
        <v>0</v>
      </c>
      <c r="K11" s="63">
        <f>K12-SUM($D$11:J11)</f>
        <v>0</v>
      </c>
      <c r="L11" s="63">
        <f>L12-SUM($D$11:K11)</f>
        <v>0</v>
      </c>
      <c r="M11" s="181">
        <f>M12-SUM($D$11:L11)</f>
        <v>0</v>
      </c>
    </row>
    <row r="12" spans="1:13" s="38" customFormat="1" ht="14.15" customHeight="1">
      <c r="A12" s="173" t="s">
        <v>103</v>
      </c>
      <c r="B12" s="57"/>
      <c r="C12" s="131"/>
      <c r="D12" s="209">
        <f t="shared" ref="D12:M12" si="2">ROUND($C$88*D17,0)</f>
        <v>0</v>
      </c>
      <c r="E12" s="63">
        <f t="shared" si="2"/>
        <v>40</v>
      </c>
      <c r="F12" s="181">
        <f t="shared" si="2"/>
        <v>101</v>
      </c>
      <c r="G12" s="209">
        <f t="shared" si="2"/>
        <v>125</v>
      </c>
      <c r="H12" s="63">
        <f t="shared" si="2"/>
        <v>125</v>
      </c>
      <c r="I12" s="181">
        <f t="shared" si="2"/>
        <v>125</v>
      </c>
      <c r="J12" s="209">
        <f t="shared" si="2"/>
        <v>125</v>
      </c>
      <c r="K12" s="63">
        <f t="shared" si="2"/>
        <v>125</v>
      </c>
      <c r="L12" s="63">
        <f t="shared" si="2"/>
        <v>125</v>
      </c>
      <c r="M12" s="181">
        <f t="shared" si="2"/>
        <v>125</v>
      </c>
    </row>
    <row r="13" spans="1:13" s="38" customFormat="1" ht="14.15" customHeight="1">
      <c r="A13" s="173" t="s">
        <v>38</v>
      </c>
      <c r="B13" s="57">
        <v>1000</v>
      </c>
      <c r="C13" s="131"/>
      <c r="D13" s="210"/>
      <c r="E13" s="100"/>
      <c r="F13" s="188"/>
      <c r="G13" s="210"/>
      <c r="H13" s="100"/>
      <c r="I13" s="188"/>
      <c r="J13" s="210"/>
      <c r="K13" s="100"/>
      <c r="L13" s="100"/>
      <c r="M13" s="188"/>
    </row>
    <row r="14" spans="1:13" s="38" customFormat="1" ht="14.15" customHeight="1">
      <c r="A14" s="173" t="s">
        <v>572</v>
      </c>
      <c r="B14" s="57"/>
      <c r="C14" s="131"/>
      <c r="D14" s="211">
        <f>'Development Schedule'!E7</f>
        <v>158056</v>
      </c>
      <c r="E14" s="184">
        <f>D14</f>
        <v>158056</v>
      </c>
      <c r="F14" s="189">
        <f t="shared" ref="F14:M14" si="3">E14</f>
        <v>158056</v>
      </c>
      <c r="G14" s="211">
        <f t="shared" si="3"/>
        <v>158056</v>
      </c>
      <c r="H14" s="184">
        <f t="shared" si="3"/>
        <v>158056</v>
      </c>
      <c r="I14" s="189">
        <f t="shared" si="3"/>
        <v>158056</v>
      </c>
      <c r="J14" s="211">
        <f t="shared" si="3"/>
        <v>158056</v>
      </c>
      <c r="K14" s="184">
        <f t="shared" si="3"/>
        <v>158056</v>
      </c>
      <c r="L14" s="184">
        <f t="shared" si="3"/>
        <v>158056</v>
      </c>
      <c r="M14" s="189">
        <f t="shared" si="3"/>
        <v>158056</v>
      </c>
    </row>
    <row r="15" spans="1:13" s="38" customFormat="1" ht="14.15" customHeight="1">
      <c r="A15" s="173" t="s">
        <v>39</v>
      </c>
      <c r="B15" s="98">
        <v>0.85</v>
      </c>
      <c r="C15" s="131"/>
      <c r="D15" s="211">
        <f>SUM($D$10:D10)*$B$13</f>
        <v>134000</v>
      </c>
      <c r="E15" s="184">
        <f>SUM($D$10:E10)*$B$13</f>
        <v>134000</v>
      </c>
      <c r="F15" s="189">
        <f>SUM($D$10:F10)*$B$13</f>
        <v>134000</v>
      </c>
      <c r="G15" s="211">
        <f>SUM($D$10:G10)*$B$13</f>
        <v>134000</v>
      </c>
      <c r="H15" s="184">
        <f>SUM($D$10:H10)*$B$13</f>
        <v>134000</v>
      </c>
      <c r="I15" s="189">
        <f>SUM($D$10:I10)*$B$13</f>
        <v>134000</v>
      </c>
      <c r="J15" s="211">
        <f>SUM($D$10:J10)*$B$13</f>
        <v>134000</v>
      </c>
      <c r="K15" s="184">
        <f>SUM($D$10:K10)*$B$13</f>
        <v>134000</v>
      </c>
      <c r="L15" s="184">
        <f>SUM($D$10:L10)*$B$13</f>
        <v>134000</v>
      </c>
      <c r="M15" s="189">
        <f>SUM($D$10:M10)*$B$13</f>
        <v>134000</v>
      </c>
    </row>
    <row r="16" spans="1:13" s="38" customFormat="1" ht="14.15" customHeight="1">
      <c r="A16" s="173" t="s">
        <v>106</v>
      </c>
      <c r="B16" s="63"/>
      <c r="C16" s="220">
        <v>3.12</v>
      </c>
      <c r="D16" s="212">
        <f t="shared" ref="D16:M16" si="4">$C$16*(1+$B$8)^D4</f>
        <v>3.2136</v>
      </c>
      <c r="E16" s="199">
        <f t="shared" si="4"/>
        <v>3.3100079999999998</v>
      </c>
      <c r="F16" s="200">
        <f t="shared" si="4"/>
        <v>3.4093082400000001</v>
      </c>
      <c r="G16" s="212">
        <f t="shared" si="4"/>
        <v>3.5115874871999999</v>
      </c>
      <c r="H16" s="199">
        <f t="shared" si="4"/>
        <v>3.6169351118159998</v>
      </c>
      <c r="I16" s="200">
        <f t="shared" si="4"/>
        <v>3.7254431651704798</v>
      </c>
      <c r="J16" s="212">
        <f t="shared" si="4"/>
        <v>3.8372064601255946</v>
      </c>
      <c r="K16" s="199">
        <f t="shared" si="4"/>
        <v>3.9523226539293619</v>
      </c>
      <c r="L16" s="199">
        <f t="shared" si="4"/>
        <v>4.0708923335472429</v>
      </c>
      <c r="M16" s="200">
        <f t="shared" si="4"/>
        <v>4.1930191035536604</v>
      </c>
    </row>
    <row r="17" spans="1:13" s="38" customFormat="1" ht="14.15" customHeight="1" thickBot="1">
      <c r="A17" s="134" t="s">
        <v>40</v>
      </c>
      <c r="B17" s="190"/>
      <c r="C17" s="206"/>
      <c r="D17" s="213">
        <v>0</v>
      </c>
      <c r="E17" s="191">
        <v>0.3</v>
      </c>
      <c r="F17" s="214">
        <v>0.75</v>
      </c>
      <c r="G17" s="217">
        <v>0.93300000000000005</v>
      </c>
      <c r="H17" s="842">
        <f>G17</f>
        <v>0.93300000000000005</v>
      </c>
      <c r="I17" s="843">
        <f t="shared" ref="I17:M17" si="5">H17</f>
        <v>0.93300000000000005</v>
      </c>
      <c r="J17" s="844">
        <f t="shared" si="5"/>
        <v>0.93300000000000005</v>
      </c>
      <c r="K17" s="842">
        <f t="shared" si="5"/>
        <v>0.93300000000000005</v>
      </c>
      <c r="L17" s="842">
        <f t="shared" si="5"/>
        <v>0.93300000000000005</v>
      </c>
      <c r="M17" s="843">
        <f t="shared" si="5"/>
        <v>0.93300000000000005</v>
      </c>
    </row>
    <row r="18" spans="1:13" s="68" customFormat="1" ht="4.5" customHeight="1">
      <c r="A18" s="173"/>
      <c r="B18" s="101"/>
      <c r="C18" s="132"/>
      <c r="D18" s="215"/>
      <c r="E18" s="186"/>
      <c r="F18" s="216"/>
      <c r="G18" s="218"/>
      <c r="H18" s="122"/>
      <c r="I18" s="219"/>
      <c r="J18" s="264"/>
      <c r="K18" s="101"/>
      <c r="L18" s="101"/>
      <c r="M18" s="219"/>
    </row>
    <row r="19" spans="1:13" s="68" customFormat="1" ht="14.15" customHeight="1">
      <c r="A19" s="61" t="str">
        <f>A89</f>
        <v>Phase II Project #1</v>
      </c>
      <c r="B19" s="63"/>
      <c r="C19" s="131"/>
      <c r="D19" s="62"/>
      <c r="F19" s="105"/>
      <c r="G19" s="62"/>
      <c r="I19" s="105"/>
      <c r="J19" s="62"/>
      <c r="M19" s="105"/>
    </row>
    <row r="20" spans="1:13" s="68" customFormat="1" ht="14.15" customHeight="1">
      <c r="A20" s="173" t="s">
        <v>11</v>
      </c>
      <c r="B20" s="122">
        <v>0.03</v>
      </c>
      <c r="C20" s="130"/>
      <c r="D20" s="133"/>
      <c r="E20" s="99"/>
      <c r="F20" s="104"/>
      <c r="G20" s="133"/>
      <c r="H20" s="99"/>
      <c r="I20" s="104"/>
      <c r="J20" s="133"/>
      <c r="K20" s="99"/>
      <c r="L20" s="99"/>
      <c r="M20" s="104"/>
    </row>
    <row r="21" spans="1:13" s="68" customFormat="1" ht="14.15" customHeight="1">
      <c r="A21" s="173" t="s">
        <v>569</v>
      </c>
      <c r="B21" s="122"/>
      <c r="C21" s="130"/>
      <c r="D21" s="209">
        <v>0</v>
      </c>
      <c r="E21" s="63">
        <v>0</v>
      </c>
      <c r="F21" s="181">
        <v>0</v>
      </c>
      <c r="G21" s="209">
        <v>7</v>
      </c>
      <c r="H21" s="63">
        <f>G21</f>
        <v>7</v>
      </c>
      <c r="I21" s="181">
        <f t="shared" ref="I21:M21" si="6">H21</f>
        <v>7</v>
      </c>
      <c r="J21" s="209">
        <f t="shared" si="6"/>
        <v>7</v>
      </c>
      <c r="K21" s="63">
        <f t="shared" si="6"/>
        <v>7</v>
      </c>
      <c r="L21" s="63">
        <f t="shared" si="6"/>
        <v>7</v>
      </c>
      <c r="M21" s="181">
        <f t="shared" si="6"/>
        <v>7</v>
      </c>
    </row>
    <row r="22" spans="1:13" s="68" customFormat="1" ht="14.15" customHeight="1">
      <c r="A22" s="173" t="s">
        <v>102</v>
      </c>
      <c r="B22" s="122"/>
      <c r="C22" s="130"/>
      <c r="D22" s="208">
        <f>ROUND(('Development Schedule'!E23*$B$27)/$B$25,0)</f>
        <v>0</v>
      </c>
      <c r="E22" s="185">
        <f>ROUND(('Development Schedule'!F23*$B$27)/$B$25,0)</f>
        <v>0</v>
      </c>
      <c r="F22" s="187">
        <f>ROUND(('Development Schedule'!G23*$B$27)/$B$25,0)</f>
        <v>0</v>
      </c>
      <c r="G22" s="208">
        <f>ROUND(('Development Schedule'!H23*$B$27)/$B$25,0)</f>
        <v>117</v>
      </c>
      <c r="H22" s="185">
        <f>ROUND(('Development Schedule'!I23*$B$27)/$B$25,0)</f>
        <v>0</v>
      </c>
      <c r="I22" s="187">
        <f>ROUND(('Development Schedule'!J23*$B$27)/$B$25,0)</f>
        <v>0</v>
      </c>
      <c r="J22" s="208">
        <f>ROUND(('Development Schedule'!K23*$B$27)/$B$25,0)</f>
        <v>0</v>
      </c>
      <c r="K22" s="185">
        <f>ROUND(('Development Schedule'!L23*$B$27)/$B$25,0)</f>
        <v>0</v>
      </c>
      <c r="L22" s="185">
        <f>ROUND(('Development Schedule'!M23*$B$27)/$B$25,0)</f>
        <v>0</v>
      </c>
      <c r="M22" s="187">
        <f>ROUND(('Development Schedule'!N23*$B$27)/$B$25,0)</f>
        <v>0</v>
      </c>
    </row>
    <row r="23" spans="1:13" s="68" customFormat="1" ht="14.15" customHeight="1">
      <c r="A23" s="173" t="s">
        <v>37</v>
      </c>
      <c r="B23" s="63"/>
      <c r="C23" s="131"/>
      <c r="D23" s="209">
        <f>ROUND($C$89*D29,0)</f>
        <v>0</v>
      </c>
      <c r="E23" s="63">
        <f>E24-SUM($D$23:D23)</f>
        <v>0</v>
      </c>
      <c r="F23" s="181">
        <f>F24-SUM($D$23:E23)</f>
        <v>0</v>
      </c>
      <c r="G23" s="209">
        <f>G24-SUM($D$23:F23)</f>
        <v>0</v>
      </c>
      <c r="H23" s="63">
        <f>H24-SUM($D$23:G23)</f>
        <v>35</v>
      </c>
      <c r="I23" s="181">
        <f>I24-SUM($D$23:H23)</f>
        <v>53</v>
      </c>
      <c r="J23" s="209">
        <f>J24-SUM($D$23:I23)</f>
        <v>21</v>
      </c>
      <c r="K23" s="63">
        <f>K24-SUM($D$23:J23)</f>
        <v>0</v>
      </c>
      <c r="L23" s="63">
        <f>L24-SUM($D$23:K23)</f>
        <v>0</v>
      </c>
      <c r="M23" s="181">
        <f>M24-SUM($D$23:L23)</f>
        <v>0</v>
      </c>
    </row>
    <row r="24" spans="1:13" s="68" customFormat="1" ht="14.15" customHeight="1">
      <c r="A24" s="173" t="s">
        <v>103</v>
      </c>
      <c r="B24" s="57"/>
      <c r="C24" s="131"/>
      <c r="D24" s="209">
        <f t="shared" ref="D24:M24" si="7">ROUND($C$89*D29,0)</f>
        <v>0</v>
      </c>
      <c r="E24" s="63">
        <f t="shared" si="7"/>
        <v>0</v>
      </c>
      <c r="F24" s="181">
        <f t="shared" si="7"/>
        <v>0</v>
      </c>
      <c r="G24" s="209">
        <f t="shared" si="7"/>
        <v>0</v>
      </c>
      <c r="H24" s="63">
        <f t="shared" si="7"/>
        <v>35</v>
      </c>
      <c r="I24" s="181">
        <f t="shared" si="7"/>
        <v>88</v>
      </c>
      <c r="J24" s="209">
        <f t="shared" si="7"/>
        <v>109</v>
      </c>
      <c r="K24" s="63">
        <f t="shared" si="7"/>
        <v>109</v>
      </c>
      <c r="L24" s="63">
        <f t="shared" si="7"/>
        <v>109</v>
      </c>
      <c r="M24" s="181">
        <f t="shared" si="7"/>
        <v>109</v>
      </c>
    </row>
    <row r="25" spans="1:13" s="68" customFormat="1" ht="14.15" customHeight="1">
      <c r="A25" s="173" t="s">
        <v>38</v>
      </c>
      <c r="B25" s="57">
        <v>850</v>
      </c>
      <c r="C25" s="131"/>
      <c r="D25" s="210"/>
      <c r="E25" s="100"/>
      <c r="F25" s="188"/>
      <c r="G25" s="210"/>
      <c r="H25" s="100"/>
      <c r="I25" s="188"/>
      <c r="J25" s="210"/>
      <c r="K25" s="100"/>
      <c r="L25" s="100"/>
      <c r="M25" s="188"/>
    </row>
    <row r="26" spans="1:13" s="68" customFormat="1" ht="14.15" customHeight="1">
      <c r="A26" s="173" t="s">
        <v>572</v>
      </c>
      <c r="B26" s="57"/>
      <c r="C26" s="131"/>
      <c r="D26" s="211">
        <f>'Development Schedule'!E23</f>
        <v>0</v>
      </c>
      <c r="E26" s="184">
        <f>'Development Schedule'!F23</f>
        <v>0</v>
      </c>
      <c r="F26" s="189">
        <f>'Development Schedule'!G23</f>
        <v>0</v>
      </c>
      <c r="G26" s="211">
        <f>'Development Schedule'!H23</f>
        <v>110868</v>
      </c>
      <c r="H26" s="184">
        <f>G26</f>
        <v>110868</v>
      </c>
      <c r="I26" s="189">
        <f t="shared" ref="I26:M26" si="8">H26</f>
        <v>110868</v>
      </c>
      <c r="J26" s="211">
        <f t="shared" si="8"/>
        <v>110868</v>
      </c>
      <c r="K26" s="184">
        <f t="shared" si="8"/>
        <v>110868</v>
      </c>
      <c r="L26" s="184">
        <f t="shared" si="8"/>
        <v>110868</v>
      </c>
      <c r="M26" s="189">
        <f t="shared" si="8"/>
        <v>110868</v>
      </c>
    </row>
    <row r="27" spans="1:13" s="68" customFormat="1" ht="14.15" customHeight="1">
      <c r="A27" s="173" t="s">
        <v>39</v>
      </c>
      <c r="B27" s="845">
        <v>0.9</v>
      </c>
      <c r="C27" s="131"/>
      <c r="D27" s="211">
        <f>SUM($D$22:D22)*$B$25*$B$27</f>
        <v>0</v>
      </c>
      <c r="E27" s="184">
        <f>SUM($D$22:E22)*$B$25*$B$27</f>
        <v>0</v>
      </c>
      <c r="F27" s="189">
        <f>SUM($D$22:F22)*$B$25*$B$27</f>
        <v>0</v>
      </c>
      <c r="G27" s="211">
        <f>SUM($D$22:G22)*$B$25*$B$27</f>
        <v>89505</v>
      </c>
      <c r="H27" s="184">
        <f>SUM($D$22:H22)*$B$25*$B$27</f>
        <v>89505</v>
      </c>
      <c r="I27" s="189">
        <f>SUM($D$22:I22)*$B$25*$B$27</f>
        <v>89505</v>
      </c>
      <c r="J27" s="211">
        <f>SUM($D$22:J22)*$B$25*$B$27</f>
        <v>89505</v>
      </c>
      <c r="K27" s="184">
        <f>SUM($D$22:K22)*$B$25*$B$27</f>
        <v>89505</v>
      </c>
      <c r="L27" s="184">
        <f>SUM($D$22:L22)*$B$25*$B$27</f>
        <v>89505</v>
      </c>
      <c r="M27" s="189">
        <f>SUM($D$22:M22)*$B$25*$B$27</f>
        <v>89505</v>
      </c>
    </row>
    <row r="28" spans="1:13" s="68" customFormat="1" ht="14.15" customHeight="1">
      <c r="A28" s="173" t="s">
        <v>106</v>
      </c>
      <c r="B28" s="63"/>
      <c r="C28" s="205">
        <f t="shared" ref="C28:M28" si="9">C16</f>
        <v>3.12</v>
      </c>
      <c r="D28" s="212">
        <f t="shared" si="9"/>
        <v>3.2136</v>
      </c>
      <c r="E28" s="199">
        <f t="shared" si="9"/>
        <v>3.3100079999999998</v>
      </c>
      <c r="F28" s="200">
        <f t="shared" si="9"/>
        <v>3.4093082400000001</v>
      </c>
      <c r="G28" s="212">
        <f t="shared" si="9"/>
        <v>3.5115874871999999</v>
      </c>
      <c r="H28" s="199">
        <f t="shared" si="9"/>
        <v>3.6169351118159998</v>
      </c>
      <c r="I28" s="200">
        <f t="shared" si="9"/>
        <v>3.7254431651704798</v>
      </c>
      <c r="J28" s="212">
        <f t="shared" si="9"/>
        <v>3.8372064601255946</v>
      </c>
      <c r="K28" s="199">
        <f t="shared" si="9"/>
        <v>3.9523226539293619</v>
      </c>
      <c r="L28" s="199">
        <f t="shared" si="9"/>
        <v>4.0708923335472429</v>
      </c>
      <c r="M28" s="200">
        <f t="shared" si="9"/>
        <v>4.1930191035536604</v>
      </c>
    </row>
    <row r="29" spans="1:13" s="68" customFormat="1" ht="14.15" customHeight="1" thickBot="1">
      <c r="A29" s="134" t="s">
        <v>40</v>
      </c>
      <c r="B29" s="190"/>
      <c r="C29" s="206"/>
      <c r="D29" s="213">
        <v>0</v>
      </c>
      <c r="E29" s="192">
        <f>D29</f>
        <v>0</v>
      </c>
      <c r="F29" s="194">
        <f>E29</f>
        <v>0</v>
      </c>
      <c r="G29" s="217">
        <v>0</v>
      </c>
      <c r="H29" s="193">
        <v>0.3</v>
      </c>
      <c r="I29" s="214">
        <v>0.75</v>
      </c>
      <c r="J29" s="221">
        <v>0.93300000000000005</v>
      </c>
      <c r="K29" s="190">
        <f>J29</f>
        <v>0.93300000000000005</v>
      </c>
      <c r="L29" s="190">
        <f>K29</f>
        <v>0.93300000000000005</v>
      </c>
      <c r="M29" s="194">
        <f>L29</f>
        <v>0.93300000000000005</v>
      </c>
    </row>
    <row r="30" spans="1:13" s="68" customFormat="1" ht="4.5" customHeight="1">
      <c r="A30" s="173"/>
      <c r="B30" s="101"/>
      <c r="C30" s="132"/>
      <c r="D30" s="215"/>
      <c r="E30" s="186"/>
      <c r="F30" s="216"/>
      <c r="G30" s="218"/>
      <c r="H30" s="122"/>
      <c r="I30" s="219"/>
      <c r="J30" s="264"/>
      <c r="K30" s="101"/>
      <c r="L30" s="101"/>
      <c r="M30" s="219"/>
    </row>
    <row r="31" spans="1:13" s="68" customFormat="1" ht="14.15" customHeight="1">
      <c r="A31" s="61" t="str">
        <f>A90</f>
        <v>Phase II Project #2</v>
      </c>
      <c r="B31" s="63"/>
      <c r="C31" s="131"/>
      <c r="D31" s="62"/>
      <c r="F31" s="105"/>
      <c r="G31" s="62"/>
      <c r="I31" s="105"/>
      <c r="J31" s="62"/>
      <c r="M31" s="105"/>
    </row>
    <row r="32" spans="1:13" s="68" customFormat="1" ht="14.15" customHeight="1">
      <c r="A32" s="173" t="s">
        <v>11</v>
      </c>
      <c r="B32" s="122">
        <v>0.03</v>
      </c>
      <c r="C32" s="130"/>
      <c r="D32" s="133"/>
      <c r="E32" s="99"/>
      <c r="F32" s="104"/>
      <c r="G32" s="133"/>
      <c r="H32" s="99"/>
      <c r="I32" s="104"/>
      <c r="J32" s="133"/>
      <c r="K32" s="99"/>
      <c r="L32" s="99"/>
      <c r="M32" s="104"/>
    </row>
    <row r="33" spans="1:13" s="68" customFormat="1" ht="14.15" customHeight="1">
      <c r="A33" s="173" t="s">
        <v>569</v>
      </c>
      <c r="B33" s="122"/>
      <c r="C33" s="130"/>
      <c r="D33" s="209">
        <v>0</v>
      </c>
      <c r="E33" s="63">
        <v>0</v>
      </c>
      <c r="F33" s="181">
        <v>0</v>
      </c>
      <c r="G33" s="209">
        <v>0</v>
      </c>
      <c r="H33" s="63">
        <v>14</v>
      </c>
      <c r="I33" s="181">
        <f>H33</f>
        <v>14</v>
      </c>
      <c r="J33" s="209">
        <f t="shared" ref="J33:M33" si="10">I33</f>
        <v>14</v>
      </c>
      <c r="K33" s="63">
        <f t="shared" si="10"/>
        <v>14</v>
      </c>
      <c r="L33" s="63">
        <f t="shared" si="10"/>
        <v>14</v>
      </c>
      <c r="M33" s="181">
        <f t="shared" si="10"/>
        <v>14</v>
      </c>
    </row>
    <row r="34" spans="1:13" s="68" customFormat="1" ht="14.15" customHeight="1">
      <c r="A34" s="173" t="s">
        <v>102</v>
      </c>
      <c r="B34" s="122"/>
      <c r="C34" s="130"/>
      <c r="D34" s="208">
        <f>ROUND(('Development Schedule'!E24*$B$39)/$B$37,0)</f>
        <v>0</v>
      </c>
      <c r="E34" s="185">
        <f>ROUND(('Development Schedule'!F24*$B$39)/$B$37,0)</f>
        <v>0</v>
      </c>
      <c r="F34" s="187">
        <f>ROUND(('Development Schedule'!G24*$B$39)/$B$37,0)</f>
        <v>0</v>
      </c>
      <c r="G34" s="208">
        <f>ROUND(('Development Schedule'!H24*$B$39)/$B$37,0)</f>
        <v>0</v>
      </c>
      <c r="H34" s="185">
        <f>ROUND(('Development Schedule'!I24*$B$39)/$B$37,0)</f>
        <v>147</v>
      </c>
      <c r="I34" s="187">
        <f>ROUND(('Development Schedule'!J24*$B$39)/$B$37,0)</f>
        <v>0</v>
      </c>
      <c r="J34" s="208">
        <f>ROUND(('Development Schedule'!K24*$B$39)/$B$37,0)</f>
        <v>0</v>
      </c>
      <c r="K34" s="185">
        <f>ROUND(('Development Schedule'!L24*$B$39)/$B$37,0)</f>
        <v>0</v>
      </c>
      <c r="L34" s="185">
        <f>ROUND(('Development Schedule'!M24*$B$39)/$B$37,0)</f>
        <v>0</v>
      </c>
      <c r="M34" s="187">
        <f>ROUND(('Development Schedule'!N24*$B$39)/$B$37,0)</f>
        <v>0</v>
      </c>
    </row>
    <row r="35" spans="1:13" s="68" customFormat="1" ht="14.15" customHeight="1">
      <c r="A35" s="173" t="s">
        <v>37</v>
      </c>
      <c r="B35" s="63"/>
      <c r="C35" s="131"/>
      <c r="D35" s="209">
        <f>ROUND($C$90*D41,0)</f>
        <v>0</v>
      </c>
      <c r="E35" s="63">
        <f>E36-SUM($D$35:D35)</f>
        <v>0</v>
      </c>
      <c r="F35" s="181">
        <f>F36-SUM($D$35:E35)</f>
        <v>0</v>
      </c>
      <c r="G35" s="209">
        <f>G36-SUM($D$35:F35)</f>
        <v>0</v>
      </c>
      <c r="H35" s="63">
        <f>H36-SUM($D$35:G35)</f>
        <v>0</v>
      </c>
      <c r="I35" s="181">
        <f>I36-SUM($D$35:H35)</f>
        <v>44</v>
      </c>
      <c r="J35" s="209">
        <f>J36-SUM($D$35:I35)</f>
        <v>66</v>
      </c>
      <c r="K35" s="63">
        <f>K36-SUM($D$35:J35)</f>
        <v>27</v>
      </c>
      <c r="L35" s="63">
        <f>L36-SUM($D$35:K35)</f>
        <v>0</v>
      </c>
      <c r="M35" s="181">
        <f>M36-SUM($D$35:L35)</f>
        <v>0</v>
      </c>
    </row>
    <row r="36" spans="1:13" s="68" customFormat="1" ht="14.15" customHeight="1">
      <c r="A36" s="173" t="s">
        <v>103</v>
      </c>
      <c r="B36" s="57"/>
      <c r="C36" s="131"/>
      <c r="D36" s="209">
        <f t="shared" ref="D36:M36" si="11">ROUND($C$90*D41,0)</f>
        <v>0</v>
      </c>
      <c r="E36" s="63">
        <f t="shared" si="11"/>
        <v>0</v>
      </c>
      <c r="F36" s="181">
        <f t="shared" si="11"/>
        <v>0</v>
      </c>
      <c r="G36" s="209">
        <f t="shared" si="11"/>
        <v>0</v>
      </c>
      <c r="H36" s="63">
        <f t="shared" si="11"/>
        <v>0</v>
      </c>
      <c r="I36" s="181">
        <f t="shared" si="11"/>
        <v>44</v>
      </c>
      <c r="J36" s="209">
        <f t="shared" si="11"/>
        <v>110</v>
      </c>
      <c r="K36" s="63">
        <f t="shared" si="11"/>
        <v>137</v>
      </c>
      <c r="L36" s="63">
        <f t="shared" si="11"/>
        <v>137</v>
      </c>
      <c r="M36" s="181">
        <f t="shared" si="11"/>
        <v>137</v>
      </c>
    </row>
    <row r="37" spans="1:13" s="68" customFormat="1" ht="14.15" customHeight="1">
      <c r="A37" s="173" t="s">
        <v>38</v>
      </c>
      <c r="B37" s="57">
        <v>800</v>
      </c>
      <c r="C37" s="131"/>
      <c r="D37" s="210"/>
      <c r="E37" s="100"/>
      <c r="F37" s="188"/>
      <c r="G37" s="210"/>
      <c r="H37" s="100"/>
      <c r="I37" s="188"/>
      <c r="J37" s="210"/>
      <c r="K37" s="100"/>
      <c r="L37" s="100"/>
      <c r="M37" s="188"/>
    </row>
    <row r="38" spans="1:13" s="68" customFormat="1" ht="14.15" customHeight="1">
      <c r="A38" s="173" t="s">
        <v>572</v>
      </c>
      <c r="B38" s="57"/>
      <c r="C38" s="131"/>
      <c r="D38" s="211">
        <f>'Development Schedule'!E24</f>
        <v>0</v>
      </c>
      <c r="E38" s="184">
        <f>'Development Schedule'!F24</f>
        <v>0</v>
      </c>
      <c r="F38" s="189">
        <f>'Development Schedule'!G24</f>
        <v>0</v>
      </c>
      <c r="G38" s="211">
        <f>'Development Schedule'!H24</f>
        <v>0</v>
      </c>
      <c r="H38" s="184">
        <f>'Development Schedule'!I24</f>
        <v>138323.5</v>
      </c>
      <c r="I38" s="189">
        <f>H38</f>
        <v>138323.5</v>
      </c>
      <c r="J38" s="211">
        <f t="shared" ref="J38:M38" si="12">I38</f>
        <v>138323.5</v>
      </c>
      <c r="K38" s="184">
        <f t="shared" si="12"/>
        <v>138323.5</v>
      </c>
      <c r="L38" s="184">
        <f t="shared" si="12"/>
        <v>138323.5</v>
      </c>
      <c r="M38" s="189">
        <f t="shared" si="12"/>
        <v>138323.5</v>
      </c>
    </row>
    <row r="39" spans="1:13" s="68" customFormat="1" ht="14.15" customHeight="1">
      <c r="A39" s="173" t="s">
        <v>39</v>
      </c>
      <c r="B39" s="845">
        <v>0.85</v>
      </c>
      <c r="C39" s="131"/>
      <c r="D39" s="211">
        <f>SUM($D$34:D34)*$B$37</f>
        <v>0</v>
      </c>
      <c r="E39" s="184">
        <f>SUM($D$34:E34)*$B$37</f>
        <v>0</v>
      </c>
      <c r="F39" s="189">
        <f>SUM($D$34:F34)*$B$37</f>
        <v>0</v>
      </c>
      <c r="G39" s="211">
        <f>SUM($D$34:G34)*$B$37</f>
        <v>0</v>
      </c>
      <c r="H39" s="184">
        <f>SUM($D$34:H34)*$B$37</f>
        <v>117600</v>
      </c>
      <c r="I39" s="189">
        <f>SUM($D$34:I34)*$B$37</f>
        <v>117600</v>
      </c>
      <c r="J39" s="211">
        <f>SUM($D$34:J34)*$B$37</f>
        <v>117600</v>
      </c>
      <c r="K39" s="184">
        <f>SUM($D$34:K34)*$B$37</f>
        <v>117600</v>
      </c>
      <c r="L39" s="184">
        <f>SUM($D$34:L34)*$B$37</f>
        <v>117600</v>
      </c>
      <c r="M39" s="189">
        <f>SUM($D$34:M34)*$B$37</f>
        <v>117600</v>
      </c>
    </row>
    <row r="40" spans="1:13" s="68" customFormat="1" ht="14.15" customHeight="1">
      <c r="A40" s="173" t="s">
        <v>106</v>
      </c>
      <c r="B40" s="63"/>
      <c r="C40" s="205">
        <f t="shared" ref="C40:M40" si="13">C28</f>
        <v>3.12</v>
      </c>
      <c r="D40" s="212">
        <f t="shared" si="13"/>
        <v>3.2136</v>
      </c>
      <c r="E40" s="199">
        <f t="shared" si="13"/>
        <v>3.3100079999999998</v>
      </c>
      <c r="F40" s="200">
        <f t="shared" si="13"/>
        <v>3.4093082400000001</v>
      </c>
      <c r="G40" s="212">
        <f t="shared" si="13"/>
        <v>3.5115874871999999</v>
      </c>
      <c r="H40" s="199">
        <f t="shared" si="13"/>
        <v>3.6169351118159998</v>
      </c>
      <c r="I40" s="200">
        <f t="shared" si="13"/>
        <v>3.7254431651704798</v>
      </c>
      <c r="J40" s="212">
        <f t="shared" si="13"/>
        <v>3.8372064601255946</v>
      </c>
      <c r="K40" s="199">
        <f t="shared" si="13"/>
        <v>3.9523226539293619</v>
      </c>
      <c r="L40" s="199">
        <f t="shared" si="13"/>
        <v>4.0708923335472429</v>
      </c>
      <c r="M40" s="200">
        <f t="shared" si="13"/>
        <v>4.1930191035536604</v>
      </c>
    </row>
    <row r="41" spans="1:13" s="68" customFormat="1" ht="14.15" customHeight="1" thickBot="1">
      <c r="A41" s="134" t="s">
        <v>40</v>
      </c>
      <c r="B41" s="190"/>
      <c r="C41" s="206"/>
      <c r="D41" s="213">
        <v>0</v>
      </c>
      <c r="E41" s="192">
        <f>D41</f>
        <v>0</v>
      </c>
      <c r="F41" s="194">
        <f>E41</f>
        <v>0</v>
      </c>
      <c r="G41" s="221">
        <f>F41</f>
        <v>0</v>
      </c>
      <c r="H41" s="193">
        <v>0</v>
      </c>
      <c r="I41" s="214">
        <v>0.3</v>
      </c>
      <c r="J41" s="217">
        <v>0.75</v>
      </c>
      <c r="K41" s="193">
        <v>0.93300000000000005</v>
      </c>
      <c r="L41" s="190">
        <f>K41</f>
        <v>0.93300000000000005</v>
      </c>
      <c r="M41" s="194">
        <f>L41</f>
        <v>0.93300000000000005</v>
      </c>
    </row>
    <row r="42" spans="1:13" s="68" customFormat="1" ht="4.5" customHeight="1">
      <c r="A42" s="173"/>
      <c r="B42" s="101"/>
      <c r="C42" s="132"/>
      <c r="D42" s="215"/>
      <c r="E42" s="186"/>
      <c r="F42" s="216"/>
      <c r="G42" s="218"/>
      <c r="H42" s="122"/>
      <c r="I42" s="219"/>
      <c r="J42" s="264"/>
      <c r="K42" s="101"/>
      <c r="L42" s="101"/>
      <c r="M42" s="219"/>
    </row>
    <row r="43" spans="1:13" s="68" customFormat="1" ht="14.15" customHeight="1">
      <c r="A43" s="61" t="str">
        <f>A91</f>
        <v>Phase III Project #1</v>
      </c>
      <c r="B43" s="63"/>
      <c r="C43" s="131"/>
      <c r="D43" s="62"/>
      <c r="F43" s="105"/>
      <c r="G43" s="62"/>
      <c r="I43" s="105"/>
      <c r="J43" s="62"/>
      <c r="M43" s="105"/>
    </row>
    <row r="44" spans="1:13" s="68" customFormat="1" ht="14.15" customHeight="1">
      <c r="A44" s="173" t="s">
        <v>11</v>
      </c>
      <c r="B44" s="122">
        <v>0.03</v>
      </c>
      <c r="C44" s="130"/>
      <c r="D44" s="133"/>
      <c r="E44" s="99"/>
      <c r="F44" s="104"/>
      <c r="G44" s="133"/>
      <c r="H44" s="99"/>
      <c r="I44" s="104"/>
      <c r="J44" s="133"/>
      <c r="K44" s="99"/>
      <c r="L44" s="99"/>
      <c r="M44" s="104"/>
    </row>
    <row r="45" spans="1:13" s="68" customFormat="1" ht="14.15" customHeight="1">
      <c r="A45" s="173" t="s">
        <v>569</v>
      </c>
      <c r="B45" s="122"/>
      <c r="C45" s="130"/>
      <c r="D45" s="209">
        <v>0</v>
      </c>
      <c r="E45" s="63">
        <v>0</v>
      </c>
      <c r="F45" s="181">
        <v>0</v>
      </c>
      <c r="G45" s="209">
        <v>0</v>
      </c>
      <c r="H45" s="63">
        <v>0</v>
      </c>
      <c r="I45" s="181">
        <v>0</v>
      </c>
      <c r="J45" s="209">
        <v>6</v>
      </c>
      <c r="K45" s="63">
        <f>J45</f>
        <v>6</v>
      </c>
      <c r="L45" s="63">
        <f t="shared" ref="L45:M45" si="14">K45</f>
        <v>6</v>
      </c>
      <c r="M45" s="181">
        <f t="shared" si="14"/>
        <v>6</v>
      </c>
    </row>
    <row r="46" spans="1:13" s="68" customFormat="1" ht="14.15" customHeight="1">
      <c r="A46" s="173" t="s">
        <v>102</v>
      </c>
      <c r="B46" s="122"/>
      <c r="C46" s="130"/>
      <c r="D46" s="208">
        <f>ROUND(('Development Schedule'!E37*$B$51)/$B$49,0)</f>
        <v>0</v>
      </c>
      <c r="E46" s="185">
        <f>ROUND(('Development Schedule'!F37*$B$51)/$B$49,0)</f>
        <v>0</v>
      </c>
      <c r="F46" s="187">
        <f>ROUND(('Development Schedule'!G37*$B$51)/$B$49,0)</f>
        <v>0</v>
      </c>
      <c r="G46" s="208">
        <f>ROUND(('Development Schedule'!H37*$B$51)/$B$49,0)</f>
        <v>0</v>
      </c>
      <c r="H46" s="185">
        <f>ROUND(('Development Schedule'!I37*$B$51)/$B$49,0)</f>
        <v>0</v>
      </c>
      <c r="I46" s="187">
        <f>ROUND(('Development Schedule'!J37*$B$51)/$B$49,0)</f>
        <v>0</v>
      </c>
      <c r="J46" s="208">
        <f>ROUND(('Development Schedule'!K37*$B$51)/$B$49,0)</f>
        <v>140</v>
      </c>
      <c r="K46" s="185">
        <f>ROUND(('Development Schedule'!L37*$B$51)/$B$49,0)</f>
        <v>0</v>
      </c>
      <c r="L46" s="185">
        <f>ROUND(('Development Schedule'!M37*$B$51)/$B$49,0)</f>
        <v>0</v>
      </c>
      <c r="M46" s="187">
        <f>ROUND(('Development Schedule'!N37*$B$51)/$B$49,0)</f>
        <v>0</v>
      </c>
    </row>
    <row r="47" spans="1:13" s="68" customFormat="1" ht="14.15" customHeight="1">
      <c r="A47" s="173" t="s">
        <v>37</v>
      </c>
      <c r="B47" s="63"/>
      <c r="C47" s="131"/>
      <c r="D47" s="209">
        <f>ROUND($C$91*D53,0)</f>
        <v>0</v>
      </c>
      <c r="E47" s="63">
        <f>E48-SUM($D$47:D47)</f>
        <v>0</v>
      </c>
      <c r="F47" s="181">
        <f>F48-SUM($D$47:E47)</f>
        <v>0</v>
      </c>
      <c r="G47" s="209">
        <f>G48-SUM($D$47:F47)</f>
        <v>0</v>
      </c>
      <c r="H47" s="63">
        <f>H48-SUM($D$47:G47)</f>
        <v>0</v>
      </c>
      <c r="I47" s="181">
        <f>I48-SUM($D$47:H47)</f>
        <v>0</v>
      </c>
      <c r="J47" s="209">
        <f>J48-SUM($D$47:I47)</f>
        <v>0</v>
      </c>
      <c r="K47" s="63">
        <f>K48-SUM($D$47:J47)</f>
        <v>49</v>
      </c>
      <c r="L47" s="63">
        <f>L48-SUM($D$47:K47)</f>
        <v>56</v>
      </c>
      <c r="M47" s="181">
        <f>M48-SUM($D$47:L47)</f>
        <v>26</v>
      </c>
    </row>
    <row r="48" spans="1:13" s="68" customFormat="1" ht="14.15" customHeight="1">
      <c r="A48" s="173" t="s">
        <v>103</v>
      </c>
      <c r="B48" s="57"/>
      <c r="C48" s="131"/>
      <c r="D48" s="209">
        <f t="shared" ref="D48:M48" si="15">ROUND($C$91*D53,0)</f>
        <v>0</v>
      </c>
      <c r="E48" s="63">
        <f t="shared" si="15"/>
        <v>0</v>
      </c>
      <c r="F48" s="181">
        <f t="shared" si="15"/>
        <v>0</v>
      </c>
      <c r="G48" s="209">
        <f t="shared" si="15"/>
        <v>0</v>
      </c>
      <c r="H48" s="63">
        <f t="shared" si="15"/>
        <v>0</v>
      </c>
      <c r="I48" s="181">
        <f t="shared" si="15"/>
        <v>0</v>
      </c>
      <c r="J48" s="209">
        <f t="shared" si="15"/>
        <v>0</v>
      </c>
      <c r="K48" s="63">
        <f t="shared" si="15"/>
        <v>49</v>
      </c>
      <c r="L48" s="63">
        <f t="shared" si="15"/>
        <v>105</v>
      </c>
      <c r="M48" s="181">
        <f t="shared" si="15"/>
        <v>131</v>
      </c>
    </row>
    <row r="49" spans="1:13" s="68" customFormat="1" ht="14.15" customHeight="1">
      <c r="A49" s="173" t="s">
        <v>38</v>
      </c>
      <c r="B49" s="57">
        <v>900</v>
      </c>
      <c r="C49" s="131"/>
      <c r="D49" s="210"/>
      <c r="E49" s="100"/>
      <c r="F49" s="188"/>
      <c r="G49" s="210"/>
      <c r="H49" s="100"/>
      <c r="I49" s="188"/>
      <c r="J49" s="210"/>
      <c r="K49" s="100"/>
      <c r="L49" s="100"/>
      <c r="M49" s="188"/>
    </row>
    <row r="50" spans="1:13" s="68" customFormat="1" ht="14.15" customHeight="1">
      <c r="A50" s="173" t="s">
        <v>572</v>
      </c>
      <c r="B50" s="57"/>
      <c r="C50" s="131"/>
      <c r="D50" s="211">
        <f>'Development Schedule'!E37</f>
        <v>0</v>
      </c>
      <c r="E50" s="184">
        <f>'Development Schedule'!F37</f>
        <v>0</v>
      </c>
      <c r="F50" s="189">
        <f>'Development Schedule'!G37</f>
        <v>0</v>
      </c>
      <c r="G50" s="211">
        <f>'Development Schedule'!H37</f>
        <v>0</v>
      </c>
      <c r="H50" s="184">
        <f>'Development Schedule'!I37</f>
        <v>0</v>
      </c>
      <c r="I50" s="189">
        <f>'Development Schedule'!J37</f>
        <v>0</v>
      </c>
      <c r="J50" s="211">
        <f>'Development Schedule'!K37</f>
        <v>147815.20000000001</v>
      </c>
      <c r="K50" s="184">
        <f>J50</f>
        <v>147815.20000000001</v>
      </c>
      <c r="L50" s="184">
        <f t="shared" ref="L50:M50" si="16">K50</f>
        <v>147815.20000000001</v>
      </c>
      <c r="M50" s="189">
        <f t="shared" si="16"/>
        <v>147815.20000000001</v>
      </c>
    </row>
    <row r="51" spans="1:13" s="68" customFormat="1" ht="14.15" customHeight="1">
      <c r="A51" s="173" t="s">
        <v>39</v>
      </c>
      <c r="B51" s="845">
        <v>0.85</v>
      </c>
      <c r="C51" s="131"/>
      <c r="D51" s="211">
        <f>SUM($D$46:D46)*$B$49</f>
        <v>0</v>
      </c>
      <c r="E51" s="184">
        <f>SUM($D$46:E46)*$B$49</f>
        <v>0</v>
      </c>
      <c r="F51" s="189">
        <f>SUM($D$46:F46)*$B$49</f>
        <v>0</v>
      </c>
      <c r="G51" s="211">
        <f>SUM($D$46:G46)*$B$49</f>
        <v>0</v>
      </c>
      <c r="H51" s="184">
        <f>SUM($D$46:H46)*$B$49</f>
        <v>0</v>
      </c>
      <c r="I51" s="189">
        <f>SUM($D$46:I46)*$B$49</f>
        <v>0</v>
      </c>
      <c r="J51" s="211">
        <f>SUM($D$46:J46)*$B$49</f>
        <v>126000</v>
      </c>
      <c r="K51" s="184">
        <f>SUM($D$46:K46)*$B$49</f>
        <v>126000</v>
      </c>
      <c r="L51" s="184">
        <f>SUM($D$46:L46)*$B$49</f>
        <v>126000</v>
      </c>
      <c r="M51" s="189">
        <f>SUM($D$46:M46)*$B$49</f>
        <v>126000</v>
      </c>
    </row>
    <row r="52" spans="1:13" s="68" customFormat="1" ht="14.15" customHeight="1">
      <c r="A52" s="173" t="s">
        <v>106</v>
      </c>
      <c r="B52" s="63"/>
      <c r="C52" s="205">
        <f t="shared" ref="C52:M52" si="17">C40</f>
        <v>3.12</v>
      </c>
      <c r="D52" s="212">
        <f t="shared" si="17"/>
        <v>3.2136</v>
      </c>
      <c r="E52" s="199">
        <f t="shared" si="17"/>
        <v>3.3100079999999998</v>
      </c>
      <c r="F52" s="200">
        <f t="shared" si="17"/>
        <v>3.4093082400000001</v>
      </c>
      <c r="G52" s="212">
        <f t="shared" si="17"/>
        <v>3.5115874871999999</v>
      </c>
      <c r="H52" s="199">
        <f t="shared" si="17"/>
        <v>3.6169351118159998</v>
      </c>
      <c r="I52" s="200">
        <f t="shared" si="17"/>
        <v>3.7254431651704798</v>
      </c>
      <c r="J52" s="212">
        <f t="shared" si="17"/>
        <v>3.8372064601255946</v>
      </c>
      <c r="K52" s="199">
        <f t="shared" si="17"/>
        <v>3.9523226539293619</v>
      </c>
      <c r="L52" s="199">
        <f t="shared" si="17"/>
        <v>4.0708923335472429</v>
      </c>
      <c r="M52" s="200">
        <f t="shared" si="17"/>
        <v>4.1930191035536604</v>
      </c>
    </row>
    <row r="53" spans="1:13" s="68" customFormat="1" ht="14.15" customHeight="1" thickBot="1">
      <c r="A53" s="134" t="s">
        <v>40</v>
      </c>
      <c r="B53" s="190"/>
      <c r="C53" s="206"/>
      <c r="D53" s="213">
        <v>0</v>
      </c>
      <c r="E53" s="192">
        <f>D53</f>
        <v>0</v>
      </c>
      <c r="F53" s="194">
        <f>E53</f>
        <v>0</v>
      </c>
      <c r="G53" s="221">
        <f>F53</f>
        <v>0</v>
      </c>
      <c r="H53" s="190">
        <f>G53</f>
        <v>0</v>
      </c>
      <c r="I53" s="194">
        <f>H53</f>
        <v>0</v>
      </c>
      <c r="J53" s="217">
        <v>0</v>
      </c>
      <c r="K53" s="193">
        <v>0.35</v>
      </c>
      <c r="L53" s="193">
        <v>0.75</v>
      </c>
      <c r="M53" s="214">
        <v>0.93300000000000005</v>
      </c>
    </row>
    <row r="54" spans="1:13" s="68" customFormat="1" ht="3.75" customHeight="1">
      <c r="A54" s="320"/>
      <c r="B54" s="398"/>
      <c r="C54" s="399"/>
      <c r="D54" s="400"/>
      <c r="E54" s="401"/>
      <c r="F54" s="402"/>
      <c r="G54" s="403"/>
      <c r="H54" s="404"/>
      <c r="I54" s="405"/>
      <c r="J54" s="406"/>
      <c r="K54" s="398"/>
      <c r="L54" s="398"/>
      <c r="M54" s="405"/>
    </row>
    <row r="55" spans="1:13" s="68" customFormat="1" ht="14.15" customHeight="1">
      <c r="A55" s="61" t="str">
        <f>A92</f>
        <v>Phase III Project #2</v>
      </c>
      <c r="B55" s="63"/>
      <c r="C55" s="131"/>
      <c r="D55" s="62"/>
      <c r="F55" s="105"/>
      <c r="G55" s="62"/>
      <c r="I55" s="105"/>
      <c r="J55" s="62"/>
      <c r="M55" s="105"/>
    </row>
    <row r="56" spans="1:13" s="68" customFormat="1" ht="14.15" customHeight="1">
      <c r="A56" s="173" t="s">
        <v>11</v>
      </c>
      <c r="B56" s="122">
        <v>0.03</v>
      </c>
      <c r="C56" s="130"/>
      <c r="D56" s="133"/>
      <c r="E56" s="99"/>
      <c r="F56" s="104"/>
      <c r="G56" s="133"/>
      <c r="H56" s="99"/>
      <c r="I56" s="104"/>
      <c r="J56" s="133"/>
      <c r="K56" s="99"/>
      <c r="L56" s="99"/>
      <c r="M56" s="104"/>
    </row>
    <row r="57" spans="1:13" s="68" customFormat="1" ht="14.15" customHeight="1">
      <c r="A57" s="173" t="s">
        <v>569</v>
      </c>
      <c r="B57" s="122"/>
      <c r="C57" s="130"/>
      <c r="D57" s="209">
        <v>0</v>
      </c>
      <c r="E57" s="63">
        <f>D57</f>
        <v>0</v>
      </c>
      <c r="F57" s="181">
        <v>0</v>
      </c>
      <c r="G57" s="209">
        <v>0</v>
      </c>
      <c r="H57" s="63">
        <v>0</v>
      </c>
      <c r="I57" s="181">
        <v>0</v>
      </c>
      <c r="J57" s="209">
        <v>0</v>
      </c>
      <c r="K57" s="63">
        <v>9</v>
      </c>
      <c r="L57" s="63">
        <f>K57</f>
        <v>9</v>
      </c>
      <c r="M57" s="181">
        <f>L57</f>
        <v>9</v>
      </c>
    </row>
    <row r="58" spans="1:13" s="68" customFormat="1" ht="14.15" customHeight="1">
      <c r="A58" s="173" t="s">
        <v>102</v>
      </c>
      <c r="B58" s="122"/>
      <c r="C58" s="130"/>
      <c r="D58" s="208">
        <f>ROUND(('Development Schedule'!E41*$B$63)/$B$61,0)</f>
        <v>0</v>
      </c>
      <c r="E58" s="185">
        <f>ROUND(('Development Schedule'!F41*$B$63)/$B$61,0)</f>
        <v>0</v>
      </c>
      <c r="F58" s="187">
        <f>ROUND(('Development Schedule'!G41*$B$63)/$B$61,0)</f>
        <v>0</v>
      </c>
      <c r="G58" s="208">
        <f>ROUND(('Development Schedule'!H41*$B$63)/$B$61,0)</f>
        <v>0</v>
      </c>
      <c r="H58" s="185">
        <f>ROUND(('Development Schedule'!I41*$B$63)/$B$61,0)</f>
        <v>0</v>
      </c>
      <c r="I58" s="187">
        <f>ROUND(('Development Schedule'!J41*$B$63)/$B$61,0)</f>
        <v>0</v>
      </c>
      <c r="J58" s="208">
        <f>ROUND(('Development Schedule'!K41*$B$63)/$B$61,0)</f>
        <v>0</v>
      </c>
      <c r="K58" s="185">
        <f>ROUND(('Development Schedule'!L41*$B$63)/$B$61,0)</f>
        <v>76</v>
      </c>
      <c r="L58" s="185">
        <f>ROUND(('Development Schedule'!M41*$B$63)/$B$61,0)</f>
        <v>0</v>
      </c>
      <c r="M58" s="187">
        <f>ROUND(('Development Schedule'!N41*$B$63)/$B$61,0)</f>
        <v>0</v>
      </c>
    </row>
    <row r="59" spans="1:13" s="68" customFormat="1" ht="14.15" customHeight="1">
      <c r="A59" s="173" t="s">
        <v>37</v>
      </c>
      <c r="B59" s="63"/>
      <c r="C59" s="131"/>
      <c r="D59" s="209">
        <f>ROUND($C$92*D65,0)</f>
        <v>0</v>
      </c>
      <c r="E59" s="63">
        <f>E60-SUM($D$59:D59)</f>
        <v>0</v>
      </c>
      <c r="F59" s="181">
        <f>F60-SUM($D$59:E59)</f>
        <v>0</v>
      </c>
      <c r="G59" s="209">
        <f>G60-SUM($D$59:F59)</f>
        <v>0</v>
      </c>
      <c r="H59" s="63">
        <f>H60-SUM($D$59:G59)</f>
        <v>0</v>
      </c>
      <c r="I59" s="181">
        <f>I60-SUM($D$59:H59)</f>
        <v>0</v>
      </c>
      <c r="J59" s="209">
        <f>J60-SUM($D$59:I59)</f>
        <v>0</v>
      </c>
      <c r="K59" s="63">
        <f>K60-SUM($D$59:J59)</f>
        <v>0</v>
      </c>
      <c r="L59" s="63">
        <f>L60-SUM($D$59:K59)</f>
        <v>27</v>
      </c>
      <c r="M59" s="181">
        <f>M60-SUM($D$59:L59)</f>
        <v>30</v>
      </c>
    </row>
    <row r="60" spans="1:13" s="68" customFormat="1" ht="14.15" customHeight="1">
      <c r="A60" s="173" t="s">
        <v>103</v>
      </c>
      <c r="B60" s="57"/>
      <c r="C60" s="131"/>
      <c r="D60" s="209">
        <f t="shared" ref="D60:M60" si="18">ROUND($C$92*D65,0)</f>
        <v>0</v>
      </c>
      <c r="E60" s="63">
        <f t="shared" si="18"/>
        <v>0</v>
      </c>
      <c r="F60" s="181">
        <f t="shared" si="18"/>
        <v>0</v>
      </c>
      <c r="G60" s="209">
        <f t="shared" si="18"/>
        <v>0</v>
      </c>
      <c r="H60" s="63">
        <f t="shared" si="18"/>
        <v>0</v>
      </c>
      <c r="I60" s="181">
        <f t="shared" si="18"/>
        <v>0</v>
      </c>
      <c r="J60" s="209">
        <f t="shared" si="18"/>
        <v>0</v>
      </c>
      <c r="K60" s="63">
        <f t="shared" si="18"/>
        <v>0</v>
      </c>
      <c r="L60" s="63">
        <f t="shared" si="18"/>
        <v>27</v>
      </c>
      <c r="M60" s="181">
        <f t="shared" si="18"/>
        <v>57</v>
      </c>
    </row>
    <row r="61" spans="1:13" s="68" customFormat="1" ht="14.15" customHeight="1">
      <c r="A61" s="173" t="s">
        <v>38</v>
      </c>
      <c r="B61" s="57">
        <v>1000</v>
      </c>
      <c r="C61" s="131"/>
      <c r="D61" s="210"/>
      <c r="E61" s="100"/>
      <c r="F61" s="188"/>
      <c r="G61" s="210"/>
      <c r="H61" s="100"/>
      <c r="I61" s="188"/>
      <c r="J61" s="210"/>
      <c r="K61" s="100"/>
      <c r="L61" s="100"/>
      <c r="M61" s="188"/>
    </row>
    <row r="62" spans="1:13" s="68" customFormat="1" ht="14.15" customHeight="1">
      <c r="A62" s="173" t="s">
        <v>572</v>
      </c>
      <c r="B62" s="57"/>
      <c r="C62" s="131"/>
      <c r="D62" s="211">
        <f>'Development Schedule'!E41</f>
        <v>0</v>
      </c>
      <c r="E62" s="184">
        <f>'Development Schedule'!F41</f>
        <v>0</v>
      </c>
      <c r="F62" s="189">
        <f>'Development Schedule'!G41</f>
        <v>0</v>
      </c>
      <c r="G62" s="211">
        <f>'Development Schedule'!H41</f>
        <v>0</v>
      </c>
      <c r="H62" s="184">
        <f>'Development Schedule'!I41</f>
        <v>0</v>
      </c>
      <c r="I62" s="189">
        <f>'Development Schedule'!J41</f>
        <v>0</v>
      </c>
      <c r="J62" s="211">
        <f>'Development Schedule'!K41</f>
        <v>0</v>
      </c>
      <c r="K62" s="184">
        <f>'Development Schedule'!L41</f>
        <v>89962.8</v>
      </c>
      <c r="L62" s="184">
        <f>K62</f>
        <v>89962.8</v>
      </c>
      <c r="M62" s="189">
        <f>L62</f>
        <v>89962.8</v>
      </c>
    </row>
    <row r="63" spans="1:13" s="68" customFormat="1" ht="14.15" customHeight="1">
      <c r="A63" s="173" t="s">
        <v>39</v>
      </c>
      <c r="B63" s="845">
        <v>0.85</v>
      </c>
      <c r="C63" s="131"/>
      <c r="D63" s="211">
        <f>SUM($D$58:D58)*$B$61</f>
        <v>0</v>
      </c>
      <c r="E63" s="184">
        <f>SUM($D$58:E58)*$B$61</f>
        <v>0</v>
      </c>
      <c r="F63" s="189">
        <f>SUM($D$58:F58)*$B$61</f>
        <v>0</v>
      </c>
      <c r="G63" s="211">
        <f>SUM($D$58:G58)*$B$61</f>
        <v>0</v>
      </c>
      <c r="H63" s="184">
        <f>SUM($D$58:H58)*$B$61</f>
        <v>0</v>
      </c>
      <c r="I63" s="189">
        <f>SUM($D$58:I58)*$B$61</f>
        <v>0</v>
      </c>
      <c r="J63" s="211">
        <f>SUM($D$58:J58)*$B$61</f>
        <v>0</v>
      </c>
      <c r="K63" s="184">
        <f>SUM($D$58:K58)*$B$61</f>
        <v>76000</v>
      </c>
      <c r="L63" s="184">
        <f>SUM($D$58:L58)*$B$61</f>
        <v>76000</v>
      </c>
      <c r="M63" s="189">
        <f>SUM($D$58:M58)*$B$61</f>
        <v>76000</v>
      </c>
    </row>
    <row r="64" spans="1:13" s="68" customFormat="1" ht="14.15" customHeight="1">
      <c r="A64" s="173" t="s">
        <v>106</v>
      </c>
      <c r="B64" s="63"/>
      <c r="C64" s="205">
        <f t="shared" ref="C64:M64" si="19">C52</f>
        <v>3.12</v>
      </c>
      <c r="D64" s="212">
        <f t="shared" si="19"/>
        <v>3.2136</v>
      </c>
      <c r="E64" s="199">
        <f t="shared" si="19"/>
        <v>3.3100079999999998</v>
      </c>
      <c r="F64" s="200">
        <f t="shared" si="19"/>
        <v>3.4093082400000001</v>
      </c>
      <c r="G64" s="212">
        <f t="shared" si="19"/>
        <v>3.5115874871999999</v>
      </c>
      <c r="H64" s="199">
        <f t="shared" si="19"/>
        <v>3.6169351118159998</v>
      </c>
      <c r="I64" s="200">
        <f t="shared" si="19"/>
        <v>3.7254431651704798</v>
      </c>
      <c r="J64" s="212">
        <f t="shared" si="19"/>
        <v>3.8372064601255946</v>
      </c>
      <c r="K64" s="199">
        <f t="shared" si="19"/>
        <v>3.9523226539293619</v>
      </c>
      <c r="L64" s="199">
        <f t="shared" si="19"/>
        <v>4.0708923335472429</v>
      </c>
      <c r="M64" s="200">
        <f t="shared" si="19"/>
        <v>4.1930191035536604</v>
      </c>
    </row>
    <row r="65" spans="1:14" s="68" customFormat="1" ht="14.15" customHeight="1" thickBot="1">
      <c r="A65" s="134" t="s">
        <v>40</v>
      </c>
      <c r="B65" s="190"/>
      <c r="C65" s="206"/>
      <c r="D65" s="213">
        <v>0</v>
      </c>
      <c r="E65" s="192">
        <f>D65</f>
        <v>0</v>
      </c>
      <c r="F65" s="194">
        <f>E65</f>
        <v>0</v>
      </c>
      <c r="G65" s="221">
        <f>F65</f>
        <v>0</v>
      </c>
      <c r="H65" s="190">
        <f>G65</f>
        <v>0</v>
      </c>
      <c r="I65" s="194">
        <f>H65</f>
        <v>0</v>
      </c>
      <c r="J65" s="217">
        <v>0</v>
      </c>
      <c r="K65" s="193">
        <v>0</v>
      </c>
      <c r="L65" s="193">
        <v>0.35</v>
      </c>
      <c r="M65" s="193">
        <v>0.75</v>
      </c>
    </row>
    <row r="66" spans="1:14" s="68" customFormat="1" ht="3.75" customHeight="1" thickBot="1">
      <c r="A66" s="173"/>
      <c r="B66" s="101"/>
      <c r="C66" s="132"/>
      <c r="D66" s="215"/>
      <c r="E66" s="186"/>
      <c r="F66" s="216"/>
      <c r="G66" s="218"/>
      <c r="H66" s="122"/>
      <c r="I66" s="219"/>
      <c r="J66" s="264"/>
      <c r="K66" s="101"/>
      <c r="L66" s="101"/>
      <c r="M66" s="219"/>
    </row>
    <row r="67" spans="1:14" ht="13.5" thickBot="1">
      <c r="A67" s="198" t="s">
        <v>0</v>
      </c>
      <c r="B67" s="195"/>
      <c r="C67" s="204"/>
      <c r="D67" s="242"/>
      <c r="E67" s="201"/>
      <c r="F67" s="202"/>
      <c r="G67" s="242"/>
      <c r="H67" s="201"/>
      <c r="I67" s="202"/>
      <c r="J67" s="242"/>
      <c r="K67" s="201"/>
      <c r="L67" s="201"/>
      <c r="M67" s="202"/>
    </row>
    <row r="68" spans="1:14" s="38" customFormat="1" ht="14.15" customHeight="1">
      <c r="A68" s="173" t="s">
        <v>12</v>
      </c>
      <c r="B68" s="63"/>
      <c r="C68" s="260">
        <v>0</v>
      </c>
      <c r="D68" s="244">
        <f t="shared" ref="D68:M68" si="20">SUM(D12,D24,D36,D48,D60)*$B$13*D16*12</f>
        <v>0</v>
      </c>
      <c r="E68" s="245">
        <f t="shared" si="20"/>
        <v>1588803.84</v>
      </c>
      <c r="F68" s="246">
        <f t="shared" si="20"/>
        <v>4132081.5868800003</v>
      </c>
      <c r="G68" s="244">
        <f t="shared" si="20"/>
        <v>5267381.2308</v>
      </c>
      <c r="H68" s="245">
        <f t="shared" si="20"/>
        <v>6944515.414686719</v>
      </c>
      <c r="I68" s="246">
        <f t="shared" si="20"/>
        <v>11489266.72138576</v>
      </c>
      <c r="J68" s="261">
        <f t="shared" si="20"/>
        <v>15839988.267398454</v>
      </c>
      <c r="K68" s="230">
        <f t="shared" si="20"/>
        <v>19919706.175803985</v>
      </c>
      <c r="L68" s="230">
        <f t="shared" si="20"/>
        <v>24571906.125291161</v>
      </c>
      <c r="M68" s="233">
        <f t="shared" si="20"/>
        <v>28126772.146637954</v>
      </c>
      <c r="N68" s="325"/>
    </row>
    <row r="69" spans="1:14" s="38" customFormat="1" ht="14.15" customHeight="1">
      <c r="A69" s="234" t="s">
        <v>107</v>
      </c>
      <c r="B69" s="890">
        <v>0.36</v>
      </c>
      <c r="C69" s="262">
        <f>C68*-$B$69</f>
        <v>0</v>
      </c>
      <c r="D69" s="263">
        <f>D68*-$B$69</f>
        <v>0</v>
      </c>
      <c r="E69" s="232">
        <f t="shared" ref="E69:M69" si="21">E68*-$B$69</f>
        <v>-571969.3824</v>
      </c>
      <c r="F69" s="235">
        <f t="shared" si="21"/>
        <v>-1487549.3712768001</v>
      </c>
      <c r="G69" s="263">
        <f t="shared" si="21"/>
        <v>-1896257.243088</v>
      </c>
      <c r="H69" s="232">
        <f t="shared" si="21"/>
        <v>-2500025.5492872186</v>
      </c>
      <c r="I69" s="235">
        <f t="shared" si="21"/>
        <v>-4136136.0196988736</v>
      </c>
      <c r="J69" s="263">
        <f t="shared" si="21"/>
        <v>-5702395.7762634438</v>
      </c>
      <c r="K69" s="232">
        <f t="shared" si="21"/>
        <v>-7171094.2232894348</v>
      </c>
      <c r="L69" s="232">
        <f t="shared" si="21"/>
        <v>-8845886.2051048186</v>
      </c>
      <c r="M69" s="235">
        <f t="shared" si="21"/>
        <v>-10125637.972789664</v>
      </c>
      <c r="N69" s="325"/>
    </row>
    <row r="70" spans="1:14" s="38" customFormat="1" ht="14.15" customHeight="1" thickBot="1">
      <c r="A70" s="369" t="s">
        <v>5</v>
      </c>
      <c r="B70" s="66"/>
      <c r="C70" s="258">
        <f>SUM(C68:C69)</f>
        <v>0</v>
      </c>
      <c r="D70" s="259">
        <f>SUM(D68:D69)</f>
        <v>0</v>
      </c>
      <c r="E70" s="236">
        <f t="shared" ref="E70:M70" si="22">SUM(E68:E69)</f>
        <v>1016834.4576000001</v>
      </c>
      <c r="F70" s="237">
        <f t="shared" si="22"/>
        <v>2644532.2156032003</v>
      </c>
      <c r="G70" s="259">
        <f t="shared" si="22"/>
        <v>3371123.987712</v>
      </c>
      <c r="H70" s="236">
        <f t="shared" si="22"/>
        <v>4444489.8653995004</v>
      </c>
      <c r="I70" s="237">
        <f t="shared" si="22"/>
        <v>7353130.7016868871</v>
      </c>
      <c r="J70" s="259">
        <f t="shared" si="22"/>
        <v>10137592.49113501</v>
      </c>
      <c r="K70" s="236">
        <f t="shared" si="22"/>
        <v>12748611.952514552</v>
      </c>
      <c r="L70" s="236">
        <f t="shared" si="22"/>
        <v>15726019.920186343</v>
      </c>
      <c r="M70" s="237">
        <f t="shared" si="22"/>
        <v>18001134.17384829</v>
      </c>
    </row>
    <row r="71" spans="1:14" ht="13.5" thickBot="1">
      <c r="A71" s="198" t="s">
        <v>2</v>
      </c>
      <c r="B71" s="195"/>
      <c r="C71" s="204"/>
      <c r="D71" s="242"/>
      <c r="E71" s="201"/>
      <c r="F71" s="202"/>
      <c r="G71" s="242"/>
      <c r="H71" s="201"/>
      <c r="I71" s="202"/>
      <c r="J71" s="242"/>
      <c r="K71" s="201"/>
      <c r="L71" s="201"/>
      <c r="M71" s="202"/>
    </row>
    <row r="72" spans="1:14" s="38" customFormat="1" ht="14.15" customHeight="1">
      <c r="A72" s="173" t="s">
        <v>570</v>
      </c>
      <c r="B72" s="63"/>
      <c r="C72" s="220">
        <f>'Development Costs'!E6</f>
        <v>217</v>
      </c>
      <c r="D72" s="212">
        <f t="shared" ref="D72:M72" si="23">$C$72*(1+$B$8)^D4</f>
        <v>223.51000000000002</v>
      </c>
      <c r="E72" s="199">
        <f t="shared" si="23"/>
        <v>230.21529999999998</v>
      </c>
      <c r="F72" s="200">
        <f t="shared" si="23"/>
        <v>237.121759</v>
      </c>
      <c r="G72" s="212">
        <f t="shared" si="23"/>
        <v>244.23541176999998</v>
      </c>
      <c r="H72" s="199">
        <f t="shared" si="23"/>
        <v>251.56247412309997</v>
      </c>
      <c r="I72" s="200">
        <f t="shared" si="23"/>
        <v>259.10934834679296</v>
      </c>
      <c r="J72" s="212">
        <f t="shared" si="23"/>
        <v>266.88262879719679</v>
      </c>
      <c r="K72" s="199">
        <f t="shared" si="23"/>
        <v>274.88910766111263</v>
      </c>
      <c r="L72" s="199">
        <f t="shared" si="23"/>
        <v>283.13578089094602</v>
      </c>
      <c r="M72" s="200">
        <f t="shared" si="23"/>
        <v>291.62985431767441</v>
      </c>
    </row>
    <row r="73" spans="1:14" s="38" customFormat="1" ht="14.15" customHeight="1">
      <c r="A73" s="173" t="s">
        <v>571</v>
      </c>
      <c r="B73" s="63"/>
      <c r="C73" s="220">
        <f>'Development Costs'!E7</f>
        <v>279</v>
      </c>
      <c r="D73" s="212">
        <f>$C$73*(1+$B$8)^D4</f>
        <v>287.37</v>
      </c>
      <c r="E73" s="199">
        <f t="shared" ref="E73:M73" si="24">$C$73*(1+$B$8)^E4</f>
        <v>295.99109999999996</v>
      </c>
      <c r="F73" s="200">
        <f t="shared" si="24"/>
        <v>304.870833</v>
      </c>
      <c r="G73" s="212">
        <f t="shared" si="24"/>
        <v>314.01695798999998</v>
      </c>
      <c r="H73" s="199">
        <f t="shared" si="24"/>
        <v>323.43746672969996</v>
      </c>
      <c r="I73" s="200">
        <f t="shared" si="24"/>
        <v>333.14059073159098</v>
      </c>
      <c r="J73" s="212">
        <f t="shared" si="24"/>
        <v>343.13480845353871</v>
      </c>
      <c r="K73" s="199">
        <f t="shared" si="24"/>
        <v>353.42885270714487</v>
      </c>
      <c r="L73" s="199">
        <f t="shared" si="24"/>
        <v>364.03171828835923</v>
      </c>
      <c r="M73" s="200">
        <f t="shared" si="24"/>
        <v>374.95266983700998</v>
      </c>
    </row>
    <row r="74" spans="1:14" s="38" customFormat="1" ht="14.15" customHeight="1">
      <c r="A74" s="173" t="s">
        <v>13</v>
      </c>
      <c r="B74" s="63"/>
      <c r="C74" s="255">
        <f>C75/SUM($C$75:$M$75)</f>
        <v>0</v>
      </c>
      <c r="D74" s="256">
        <f t="shared" ref="D74:M74" si="25">D75/SUM($C$75:$M$75)</f>
        <v>0.28987536563983607</v>
      </c>
      <c r="E74" s="186">
        <f t="shared" si="25"/>
        <v>0</v>
      </c>
      <c r="F74" s="240">
        <f t="shared" si="25"/>
        <v>0</v>
      </c>
      <c r="G74" s="256">
        <f t="shared" si="25"/>
        <v>0.17281193793485805</v>
      </c>
      <c r="H74" s="186">
        <f t="shared" si="25"/>
        <v>0.28552569070369749</v>
      </c>
      <c r="I74" s="240">
        <f t="shared" si="25"/>
        <v>0</v>
      </c>
      <c r="J74" s="256">
        <f t="shared" si="25"/>
        <v>0.25176670537725016</v>
      </c>
      <c r="K74" s="186">
        <f t="shared" si="25"/>
        <v>2.030034435819086E-5</v>
      </c>
      <c r="L74" s="186">
        <f t="shared" si="25"/>
        <v>0</v>
      </c>
      <c r="M74" s="240">
        <f t="shared" si="25"/>
        <v>0</v>
      </c>
    </row>
    <row r="75" spans="1:14" s="38" customFormat="1" ht="14.15" customHeight="1">
      <c r="A75" s="173" t="s">
        <v>2</v>
      </c>
      <c r="B75" s="63"/>
      <c r="C75" s="159">
        <f>C72*'Development Schedule'!D51</f>
        <v>0</v>
      </c>
      <c r="D75" s="322">
        <f>((SUM(D14,D38, D57)-SUM(C14,C38,C57))*D73)+((SUM(D26,D50)-SUM(C26,C50))*D72)</f>
        <v>45420552.719999999</v>
      </c>
      <c r="E75" s="323">
        <f t="shared" ref="E75:M75" si="26">((SUM(E14,E38, E57)-SUM(D14,D38,D57))*E73)+((SUM(E26,E50)-SUM(D26,D50))*E72)</f>
        <v>0</v>
      </c>
      <c r="F75" s="324">
        <f t="shared" si="26"/>
        <v>0</v>
      </c>
      <c r="G75" s="322">
        <f t="shared" si="26"/>
        <v>27077891.632116359</v>
      </c>
      <c r="H75" s="323">
        <f t="shared" si="26"/>
        <v>44739002.429185651</v>
      </c>
      <c r="I75" s="324">
        <f t="shared" si="26"/>
        <v>0</v>
      </c>
      <c r="J75" s="322">
        <f t="shared" si="26"/>
        <v>39449309.152183406</v>
      </c>
      <c r="K75" s="323">
        <f t="shared" si="26"/>
        <v>3180.8596743643038</v>
      </c>
      <c r="L75" s="323">
        <f t="shared" si="26"/>
        <v>0</v>
      </c>
      <c r="M75" s="324">
        <f t="shared" si="26"/>
        <v>0</v>
      </c>
    </row>
    <row r="76" spans="1:14" s="38" customFormat="1" ht="13.5" customHeight="1" thickBot="1">
      <c r="A76" s="369" t="s">
        <v>3</v>
      </c>
      <c r="B76" s="66"/>
      <c r="C76" s="258">
        <f>C75</f>
        <v>0</v>
      </c>
      <c r="D76" s="259">
        <f t="shared" ref="D76:M76" si="27">D75</f>
        <v>45420552.719999999</v>
      </c>
      <c r="E76" s="236">
        <f t="shared" si="27"/>
        <v>0</v>
      </c>
      <c r="F76" s="237">
        <f t="shared" si="27"/>
        <v>0</v>
      </c>
      <c r="G76" s="259">
        <f t="shared" si="27"/>
        <v>27077891.632116359</v>
      </c>
      <c r="H76" s="236">
        <f t="shared" si="27"/>
        <v>44739002.429185651</v>
      </c>
      <c r="I76" s="237">
        <f t="shared" si="27"/>
        <v>0</v>
      </c>
      <c r="J76" s="259">
        <f t="shared" si="27"/>
        <v>39449309.152183406</v>
      </c>
      <c r="K76" s="236">
        <f t="shared" si="27"/>
        <v>3180.8596743643038</v>
      </c>
      <c r="L76" s="236">
        <f t="shared" si="27"/>
        <v>0</v>
      </c>
      <c r="M76" s="237">
        <f t="shared" si="27"/>
        <v>0</v>
      </c>
    </row>
    <row r="77" spans="1:14" ht="13.5" thickBot="1">
      <c r="A77" s="198" t="s">
        <v>4</v>
      </c>
      <c r="B77" s="195"/>
      <c r="C77" s="204"/>
      <c r="D77" s="242"/>
      <c r="E77" s="201"/>
      <c r="F77" s="202"/>
      <c r="G77" s="242"/>
      <c r="H77" s="201"/>
      <c r="I77" s="202"/>
      <c r="J77" s="242"/>
      <c r="K77" s="201"/>
      <c r="L77" s="201"/>
      <c r="M77" s="202"/>
    </row>
    <row r="78" spans="1:14" ht="14.15" customHeight="1">
      <c r="A78" s="173" t="s">
        <v>5</v>
      </c>
      <c r="B78" s="63"/>
      <c r="C78" s="243">
        <f t="shared" ref="C78:M78" si="28">C70</f>
        <v>0</v>
      </c>
      <c r="D78" s="244">
        <f t="shared" si="28"/>
        <v>0</v>
      </c>
      <c r="E78" s="245">
        <f t="shared" si="28"/>
        <v>1016834.4576000001</v>
      </c>
      <c r="F78" s="246">
        <f t="shared" si="28"/>
        <v>2644532.2156032003</v>
      </c>
      <c r="G78" s="244">
        <f t="shared" si="28"/>
        <v>3371123.987712</v>
      </c>
      <c r="H78" s="245">
        <f t="shared" si="28"/>
        <v>4444489.8653995004</v>
      </c>
      <c r="I78" s="246">
        <f t="shared" si="28"/>
        <v>7353130.7016868871</v>
      </c>
      <c r="J78" s="230">
        <f t="shared" si="28"/>
        <v>10137592.49113501</v>
      </c>
      <c r="K78" s="230">
        <f t="shared" si="28"/>
        <v>12748611.952514552</v>
      </c>
      <c r="L78" s="230">
        <f t="shared" si="28"/>
        <v>15726019.920186343</v>
      </c>
      <c r="M78" s="233">
        <f t="shared" si="28"/>
        <v>18001134.17384829</v>
      </c>
    </row>
    <row r="79" spans="1:14" ht="14.15" customHeight="1">
      <c r="A79" s="173" t="s">
        <v>57</v>
      </c>
      <c r="B79" s="101">
        <f>D95</f>
        <v>4.4999999999999998E-2</v>
      </c>
      <c r="C79" s="143">
        <v>0</v>
      </c>
      <c r="D79" s="247">
        <f>C79</f>
        <v>0</v>
      </c>
      <c r="E79" s="238">
        <f t="shared" ref="E79:L79" si="29">D79</f>
        <v>0</v>
      </c>
      <c r="F79" s="248">
        <f t="shared" si="29"/>
        <v>0</v>
      </c>
      <c r="G79" s="247">
        <f t="shared" si="29"/>
        <v>0</v>
      </c>
      <c r="H79" s="238">
        <f t="shared" si="29"/>
        <v>0</v>
      </c>
      <c r="I79" s="248">
        <f t="shared" si="29"/>
        <v>0</v>
      </c>
      <c r="J79" s="238">
        <f t="shared" si="29"/>
        <v>0</v>
      </c>
      <c r="K79" s="238">
        <f t="shared" si="29"/>
        <v>0</v>
      </c>
      <c r="L79" s="238">
        <f t="shared" si="29"/>
        <v>0</v>
      </c>
      <c r="M79" s="248">
        <f>M78/B79</f>
        <v>400025203.86329538</v>
      </c>
    </row>
    <row r="80" spans="1:14" ht="14.15" customHeight="1">
      <c r="A80" s="173" t="s">
        <v>58</v>
      </c>
      <c r="B80" s="101">
        <f>D96</f>
        <v>0.03</v>
      </c>
      <c r="C80" s="143">
        <v>0</v>
      </c>
      <c r="D80" s="247">
        <f>C80</f>
        <v>0</v>
      </c>
      <c r="E80" s="238">
        <f t="shared" ref="E80:L80" si="30">D80</f>
        <v>0</v>
      </c>
      <c r="F80" s="248">
        <f t="shared" si="30"/>
        <v>0</v>
      </c>
      <c r="G80" s="247">
        <f t="shared" si="30"/>
        <v>0</v>
      </c>
      <c r="H80" s="238">
        <f t="shared" si="30"/>
        <v>0</v>
      </c>
      <c r="I80" s="248">
        <f t="shared" si="30"/>
        <v>0</v>
      </c>
      <c r="J80" s="238">
        <f t="shared" si="30"/>
        <v>0</v>
      </c>
      <c r="K80" s="238">
        <f t="shared" si="30"/>
        <v>0</v>
      </c>
      <c r="L80" s="238">
        <f t="shared" si="30"/>
        <v>0</v>
      </c>
      <c r="M80" s="248">
        <f>M79*-B80</f>
        <v>-12000756.115898861</v>
      </c>
    </row>
    <row r="81" spans="1:13" ht="14.15" customHeight="1">
      <c r="A81" s="234" t="s">
        <v>109</v>
      </c>
      <c r="B81" s="239"/>
      <c r="C81" s="262">
        <f>-C76</f>
        <v>0</v>
      </c>
      <c r="D81" s="263">
        <f t="shared" ref="D81:M81" si="31">-D76</f>
        <v>-45420552.719999999</v>
      </c>
      <c r="E81" s="232">
        <f t="shared" si="31"/>
        <v>0</v>
      </c>
      <c r="F81" s="235">
        <f t="shared" si="31"/>
        <v>0</v>
      </c>
      <c r="G81" s="263">
        <f t="shared" si="31"/>
        <v>-27077891.632116359</v>
      </c>
      <c r="H81" s="232">
        <f t="shared" si="31"/>
        <v>-44739002.429185651</v>
      </c>
      <c r="I81" s="235">
        <f t="shared" si="31"/>
        <v>0</v>
      </c>
      <c r="J81" s="232">
        <f t="shared" si="31"/>
        <v>-39449309.152183406</v>
      </c>
      <c r="K81" s="232">
        <f t="shared" si="31"/>
        <v>-3180.8596743643038</v>
      </c>
      <c r="L81" s="232">
        <f t="shared" si="31"/>
        <v>0</v>
      </c>
      <c r="M81" s="235">
        <f t="shared" si="31"/>
        <v>0</v>
      </c>
    </row>
    <row r="82" spans="1:13" ht="13.5" thickBot="1">
      <c r="A82" s="110" t="s">
        <v>6</v>
      </c>
      <c r="B82" s="66"/>
      <c r="C82" s="306">
        <f>SUM(C78:C81)</f>
        <v>0</v>
      </c>
      <c r="D82" s="306">
        <f t="shared" ref="D82:M82" si="32">SUM(D78:D81)</f>
        <v>-45420552.719999999</v>
      </c>
      <c r="E82" s="307">
        <f t="shared" si="32"/>
        <v>1016834.4576000001</v>
      </c>
      <c r="F82" s="308">
        <f t="shared" si="32"/>
        <v>2644532.2156032003</v>
      </c>
      <c r="G82" s="306">
        <f t="shared" si="32"/>
        <v>-23706767.644404359</v>
      </c>
      <c r="H82" s="307">
        <f t="shared" si="32"/>
        <v>-40294512.563786149</v>
      </c>
      <c r="I82" s="308">
        <f t="shared" si="32"/>
        <v>7353130.7016868871</v>
      </c>
      <c r="J82" s="307">
        <f t="shared" si="32"/>
        <v>-29311716.661048397</v>
      </c>
      <c r="K82" s="307">
        <f t="shared" si="32"/>
        <v>12745431.092840187</v>
      </c>
      <c r="L82" s="307">
        <f t="shared" si="32"/>
        <v>15726019.920186343</v>
      </c>
      <c r="M82" s="308">
        <f t="shared" si="32"/>
        <v>406025581.9212448</v>
      </c>
    </row>
    <row r="83" spans="1:13" ht="13.5" thickBot="1">
      <c r="A83" s="109" t="s">
        <v>26</v>
      </c>
      <c r="B83" s="98"/>
      <c r="C83" s="306">
        <f>C82+NPV(D97,D82:M82)</f>
        <v>91741252.169099659</v>
      </c>
      <c r="D83" s="266"/>
      <c r="E83" s="267"/>
      <c r="F83" s="268"/>
      <c r="G83" s="266"/>
      <c r="H83" s="267"/>
      <c r="I83" s="268"/>
      <c r="J83" s="267"/>
      <c r="K83" s="267"/>
      <c r="L83" s="267"/>
      <c r="M83" s="268"/>
    </row>
    <row r="84" spans="1:13" ht="13.5" thickBot="1">
      <c r="A84" s="80" t="s">
        <v>59</v>
      </c>
      <c r="B84" s="153"/>
      <c r="C84" s="269">
        <f>IRR(C82:M82,0)</f>
        <v>0.20645866784440581</v>
      </c>
      <c r="D84" s="251"/>
      <c r="E84" s="153"/>
      <c r="F84" s="172"/>
      <c r="G84" s="251"/>
      <c r="H84" s="153"/>
      <c r="I84" s="172"/>
      <c r="J84" s="153"/>
      <c r="K84" s="153"/>
      <c r="L84" s="153"/>
      <c r="M84" s="172"/>
    </row>
    <row r="85" spans="1:13" ht="13" thickBot="1">
      <c r="A85" s="38"/>
      <c r="B85" s="56"/>
      <c r="C85" s="56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3.5" thickBot="1">
      <c r="A86" s="183" t="s">
        <v>101</v>
      </c>
      <c r="B86" s="158"/>
      <c r="C86" s="158"/>
      <c r="D86" s="182"/>
      <c r="E86" s="38"/>
      <c r="F86" s="38"/>
      <c r="G86" s="38"/>
      <c r="H86" s="38"/>
      <c r="I86" s="38"/>
      <c r="J86" s="38"/>
      <c r="K86" s="38"/>
      <c r="L86" s="38"/>
      <c r="M86" s="38"/>
    </row>
    <row r="87" spans="1:13" ht="13.5" thickBot="1">
      <c r="A87" s="78"/>
      <c r="B87" s="153"/>
      <c r="C87" s="83" t="s">
        <v>99</v>
      </c>
      <c r="D87" s="84" t="s">
        <v>120</v>
      </c>
      <c r="E87" s="38"/>
      <c r="F87" s="38"/>
      <c r="G87" s="38"/>
      <c r="H87" s="38"/>
      <c r="I87" s="38"/>
      <c r="J87" s="38"/>
      <c r="K87" s="38"/>
      <c r="L87" s="38"/>
      <c r="M87" s="38"/>
    </row>
    <row r="88" spans="1:13">
      <c r="A88" s="123" t="s">
        <v>36</v>
      </c>
      <c r="B88" s="203"/>
      <c r="C88" s="847">
        <f>ROUND((D88*B15)/$B$13, 0)</f>
        <v>134</v>
      </c>
      <c r="D88" s="418">
        <f>'Development Schedule'!C7</f>
        <v>158056</v>
      </c>
      <c r="E88" s="38"/>
      <c r="F88" s="38"/>
      <c r="G88" s="38"/>
      <c r="H88" s="38"/>
      <c r="I88" s="38"/>
      <c r="J88" s="38"/>
      <c r="K88" s="38"/>
      <c r="L88" s="38"/>
      <c r="M88" s="38"/>
    </row>
    <row r="89" spans="1:13">
      <c r="A89" s="62" t="s">
        <v>104</v>
      </c>
      <c r="B89" s="63"/>
      <c r="C89" s="277">
        <f>ROUND((D89*B27)/$B$25, 0)</f>
        <v>117</v>
      </c>
      <c r="D89" s="227">
        <f>'Development Schedule'!C23</f>
        <v>110868</v>
      </c>
      <c r="E89" s="38"/>
      <c r="F89" s="38"/>
      <c r="G89" s="38"/>
      <c r="H89" s="38"/>
      <c r="I89" s="38"/>
      <c r="J89" s="38"/>
      <c r="K89" s="38"/>
      <c r="L89" s="38"/>
      <c r="M89" s="38"/>
    </row>
    <row r="90" spans="1:13">
      <c r="A90" s="62" t="s">
        <v>116</v>
      </c>
      <c r="B90" s="63"/>
      <c r="C90" s="277">
        <f>ROUND((D90*B39)/$B$37, 0)</f>
        <v>147</v>
      </c>
      <c r="D90" s="227">
        <f>'Development Schedule'!C24</f>
        <v>138323.5</v>
      </c>
      <c r="E90" s="38"/>
      <c r="F90" s="38"/>
      <c r="G90" s="38"/>
      <c r="H90" s="38"/>
      <c r="I90" s="38"/>
      <c r="J90" s="38"/>
      <c r="K90" s="38"/>
      <c r="L90" s="38"/>
      <c r="M90" s="38"/>
    </row>
    <row r="91" spans="1:13">
      <c r="A91" s="62" t="s">
        <v>509</v>
      </c>
      <c r="B91" s="63"/>
      <c r="C91" s="277">
        <f>ROUND((D91*B51)/$B$49, 0)</f>
        <v>140</v>
      </c>
      <c r="D91" s="227">
        <f>'Development Schedule'!C37</f>
        <v>147815.20000000001</v>
      </c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3" thickBot="1">
      <c r="A92" s="65" t="s">
        <v>513</v>
      </c>
      <c r="B92" s="66"/>
      <c r="C92" s="816">
        <f>ROUND((D92*B63)/$B$61, 0)</f>
        <v>76</v>
      </c>
      <c r="D92" s="228">
        <f>'Development Schedule'!C41</f>
        <v>89962.8</v>
      </c>
      <c r="E92" s="38"/>
      <c r="F92" s="38"/>
      <c r="G92" s="38"/>
      <c r="H92" s="38"/>
      <c r="I92" s="38"/>
      <c r="J92" s="38"/>
      <c r="K92" s="38"/>
      <c r="L92" s="38"/>
      <c r="M92" s="38"/>
    </row>
    <row r="93" spans="1:13" ht="13" thickBot="1">
      <c r="A93" s="38"/>
      <c r="B93" s="56"/>
      <c r="C93" s="56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1:13" ht="13.5" thickBot="1">
      <c r="A94" s="183" t="s">
        <v>110</v>
      </c>
      <c r="B94" s="253"/>
      <c r="C94" s="253"/>
      <c r="D94" s="254"/>
      <c r="E94" s="38"/>
      <c r="F94" s="38"/>
      <c r="G94" s="38"/>
      <c r="H94" s="38"/>
      <c r="I94" s="38"/>
      <c r="J94" s="38"/>
      <c r="K94" s="38"/>
      <c r="L94" s="38"/>
      <c r="M94" s="38"/>
    </row>
    <row r="95" spans="1:13">
      <c r="A95" s="62" t="s">
        <v>111</v>
      </c>
      <c r="B95" s="63"/>
      <c r="C95" s="63"/>
      <c r="D95" s="216">
        <v>4.4999999999999998E-2</v>
      </c>
      <c r="E95" s="38"/>
      <c r="F95" s="38"/>
      <c r="G95" s="38"/>
      <c r="H95" s="38"/>
      <c r="I95" s="38"/>
      <c r="J95" s="38"/>
      <c r="K95" s="38"/>
      <c r="L95" s="38"/>
      <c r="M95" s="38"/>
    </row>
    <row r="96" spans="1:13">
      <c r="A96" s="62" t="s">
        <v>112</v>
      </c>
      <c r="B96" s="63"/>
      <c r="C96" s="63"/>
      <c r="D96" s="216">
        <v>0.03</v>
      </c>
      <c r="E96" s="38"/>
      <c r="F96" s="38"/>
      <c r="G96" s="38"/>
      <c r="H96" s="38"/>
      <c r="I96" s="38"/>
      <c r="J96" s="38"/>
      <c r="K96" s="38"/>
      <c r="L96" s="38"/>
      <c r="M96" s="38"/>
    </row>
    <row r="97" spans="1:13" ht="13" thickBot="1">
      <c r="A97" s="65" t="s">
        <v>97</v>
      </c>
      <c r="B97" s="66"/>
      <c r="C97" s="66"/>
      <c r="D97" s="214">
        <v>0.09</v>
      </c>
      <c r="E97" s="38"/>
      <c r="F97" s="38"/>
      <c r="G97" s="38"/>
      <c r="H97" s="38"/>
      <c r="I97" s="38"/>
      <c r="J97" s="38"/>
      <c r="K97" s="38"/>
      <c r="L97" s="38"/>
      <c r="M97" s="38"/>
    </row>
    <row r="98" spans="1:13">
      <c r="A98" s="38"/>
      <c r="B98" s="56"/>
      <c r="C98" s="56"/>
      <c r="D98" s="38"/>
      <c r="E98" s="38"/>
      <c r="F98" s="38"/>
      <c r="G98" s="38"/>
      <c r="H98" s="38"/>
      <c r="I98" s="38"/>
      <c r="J98" s="38"/>
      <c r="K98" s="38"/>
      <c r="L98" s="38"/>
      <c r="M98" s="38"/>
    </row>
  </sheetData>
  <phoneticPr fontId="4" type="noConversion"/>
  <printOptions horizontalCentered="1"/>
  <pageMargins left="0.5" right="0.5" top="1" bottom="0.5" header="0.5" footer="0.5"/>
  <pageSetup scale="65" orientation="landscape" r:id="rId1"/>
  <headerFooter alignWithMargins="0">
    <oddHeader>&amp;L&amp;"Arial,Bold"2. Income Statement: Market-rate Rental Housing</oddHeader>
  </headerFooter>
  <rowBreaks count="1" manualBreakCount="1">
    <brk id="6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5"/>
  <sheetViews>
    <sheetView view="pageBreakPreview" zoomScale="85" zoomScaleNormal="100" zoomScaleSheetLayoutView="85" workbookViewId="0">
      <selection activeCell="C9" sqref="C9"/>
    </sheetView>
  </sheetViews>
  <sheetFormatPr defaultColWidth="9.1796875" defaultRowHeight="12.5"/>
  <cols>
    <col min="1" max="1" width="23.1796875" style="89" customWidth="1"/>
    <col min="2" max="2" width="12.7265625" style="90" customWidth="1"/>
    <col min="3" max="3" width="13.7265625" style="90" customWidth="1"/>
    <col min="4" max="13" width="13.7265625" style="89" customWidth="1"/>
    <col min="14" max="16384" width="9.1796875" style="89"/>
  </cols>
  <sheetData>
    <row r="1" spans="1:13" ht="14.15" customHeight="1" thickBot="1">
      <c r="A1" s="38"/>
      <c r="B1" s="56"/>
      <c r="C1" s="56"/>
      <c r="D1" s="38"/>
      <c r="E1" s="38"/>
      <c r="F1" s="38"/>
      <c r="G1" s="38"/>
      <c r="H1" s="38"/>
      <c r="I1" s="38"/>
      <c r="J1" s="38"/>
      <c r="K1" s="38"/>
      <c r="L1" s="135" t="s">
        <v>98</v>
      </c>
      <c r="M1" s="319">
        <f>'1.Infrastructure Costs'!$N$1</f>
        <v>202</v>
      </c>
    </row>
    <row r="2" spans="1:13" ht="14.15" customHeight="1" thickBot="1">
      <c r="A2" s="38"/>
      <c r="B2" s="56"/>
      <c r="C2" s="56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4.15" customHeight="1" thickBot="1">
      <c r="A3" s="123"/>
      <c r="B3" s="203"/>
      <c r="C3" s="44" t="s">
        <v>55</v>
      </c>
      <c r="D3" s="96" t="s">
        <v>36</v>
      </c>
      <c r="E3" s="97"/>
      <c r="F3" s="41"/>
      <c r="G3" s="96" t="s">
        <v>77</v>
      </c>
      <c r="H3" s="144"/>
      <c r="I3" s="41"/>
      <c r="J3" s="39" t="s">
        <v>78</v>
      </c>
      <c r="K3" s="39"/>
      <c r="L3" s="40"/>
      <c r="M3" s="41"/>
    </row>
    <row r="4" spans="1:13" ht="14.15" customHeight="1" thickBot="1">
      <c r="A4" s="62"/>
      <c r="B4" s="63"/>
      <c r="C4" s="286">
        <v>0</v>
      </c>
      <c r="D4" s="94">
        <f>C4+1</f>
        <v>1</v>
      </c>
      <c r="E4" s="93">
        <f t="shared" ref="E4:M5" si="0">D4+1</f>
        <v>2</v>
      </c>
      <c r="F4" s="95">
        <f t="shared" si="0"/>
        <v>3</v>
      </c>
      <c r="G4" s="94">
        <f t="shared" si="0"/>
        <v>4</v>
      </c>
      <c r="H4" s="136">
        <f t="shared" si="0"/>
        <v>5</v>
      </c>
      <c r="I4" s="95">
        <f t="shared" si="0"/>
        <v>6</v>
      </c>
      <c r="J4" s="93">
        <f t="shared" si="0"/>
        <v>7</v>
      </c>
      <c r="K4" s="93">
        <f t="shared" si="0"/>
        <v>8</v>
      </c>
      <c r="L4" s="93">
        <f t="shared" si="0"/>
        <v>9</v>
      </c>
      <c r="M4" s="95">
        <f t="shared" si="0"/>
        <v>10</v>
      </c>
    </row>
    <row r="5" spans="1:13" ht="14.15" customHeight="1" thickBot="1">
      <c r="A5" s="65"/>
      <c r="B5" s="136"/>
      <c r="C5" s="286" t="s">
        <v>379</v>
      </c>
      <c r="D5" s="276">
        <v>2022</v>
      </c>
      <c r="E5" s="93">
        <f>D5+1</f>
        <v>2023</v>
      </c>
      <c r="F5" s="95">
        <f t="shared" si="0"/>
        <v>2024</v>
      </c>
      <c r="G5" s="94">
        <f t="shared" si="0"/>
        <v>2025</v>
      </c>
      <c r="H5" s="93">
        <f t="shared" si="0"/>
        <v>2026</v>
      </c>
      <c r="I5" s="95">
        <f t="shared" si="0"/>
        <v>2027</v>
      </c>
      <c r="J5" s="93">
        <f t="shared" si="0"/>
        <v>2028</v>
      </c>
      <c r="K5" s="93">
        <f t="shared" si="0"/>
        <v>2029</v>
      </c>
      <c r="L5" s="93">
        <f>K5+1</f>
        <v>2030</v>
      </c>
      <c r="M5" s="95">
        <f>L5+1</f>
        <v>2031</v>
      </c>
    </row>
    <row r="6" spans="1:13" ht="13.5" thickBot="1">
      <c r="A6" s="198" t="s">
        <v>10</v>
      </c>
      <c r="B6" s="195"/>
      <c r="C6" s="204"/>
      <c r="D6" s="207"/>
      <c r="E6" s="196"/>
      <c r="F6" s="197"/>
      <c r="G6" s="207"/>
      <c r="H6" s="196"/>
      <c r="I6" s="197"/>
      <c r="J6" s="196"/>
      <c r="K6" s="196"/>
      <c r="L6" s="196"/>
      <c r="M6" s="197"/>
    </row>
    <row r="7" spans="1:13" ht="13">
      <c r="A7" s="313" t="s">
        <v>104</v>
      </c>
      <c r="B7" s="203"/>
      <c r="C7" s="314"/>
      <c r="D7" s="123"/>
      <c r="E7" s="315"/>
      <c r="F7" s="316"/>
      <c r="G7" s="123"/>
      <c r="H7" s="315"/>
      <c r="I7" s="316"/>
      <c r="J7" s="315"/>
      <c r="K7" s="315"/>
      <c r="L7" s="315"/>
      <c r="M7" s="316"/>
    </row>
    <row r="8" spans="1:13" ht="14.15" customHeight="1">
      <c r="A8" s="173" t="s">
        <v>11</v>
      </c>
      <c r="B8" s="122">
        <v>0.03</v>
      </c>
      <c r="C8" s="130"/>
      <c r="D8" s="133"/>
      <c r="E8" s="99"/>
      <c r="F8" s="104"/>
      <c r="G8" s="133"/>
      <c r="H8" s="99"/>
      <c r="I8" s="104"/>
      <c r="J8" s="99"/>
      <c r="K8" s="99"/>
      <c r="L8" s="99"/>
      <c r="M8" s="104"/>
    </row>
    <row r="9" spans="1:13" ht="14.15" customHeight="1">
      <c r="A9" s="173" t="s">
        <v>102</v>
      </c>
      <c r="B9" s="122"/>
      <c r="C9" s="130"/>
      <c r="D9" s="208">
        <f>ROUND(('Development Schedule'!E22*$B$13)/$B$12,0)</f>
        <v>0</v>
      </c>
      <c r="E9" s="185">
        <f>ROUND(('Development Schedule'!F22*$B$13)/$B$12,0)</f>
        <v>0</v>
      </c>
      <c r="F9" s="187">
        <f>ROUND(('Development Schedule'!G22*$B$13)/$B$12,0)</f>
        <v>0</v>
      </c>
      <c r="G9" s="208">
        <f>ROUND(('Development Schedule'!H22*$B$13)/$B$12,0)</f>
        <v>76</v>
      </c>
      <c r="H9" s="185">
        <f>ROUND(('Development Schedule'!I22*$B$13)/$B$12,0)</f>
        <v>0</v>
      </c>
      <c r="I9" s="187">
        <f>ROUND(('Development Schedule'!J22*$B$13)/$B$12,0)</f>
        <v>0</v>
      </c>
      <c r="J9" s="185">
        <f>ROUND(('Development Schedule'!K22*$B$13)/$B$12,0)</f>
        <v>0</v>
      </c>
      <c r="K9" s="185">
        <f>ROUND(('Development Schedule'!L22*$B$13)/$B$12,0)</f>
        <v>0</v>
      </c>
      <c r="L9" s="185">
        <f>ROUND(('Development Schedule'!M22*$B$13)/$B$12,0)</f>
        <v>0</v>
      </c>
      <c r="M9" s="187">
        <f>ROUND(('Development Schedule'!N22*$B$13)/$B$12,0)</f>
        <v>0</v>
      </c>
    </row>
    <row r="10" spans="1:13" ht="14.15" customHeight="1">
      <c r="A10" s="173" t="s">
        <v>114</v>
      </c>
      <c r="B10" s="122"/>
      <c r="C10" s="130"/>
      <c r="D10" s="292">
        <v>0</v>
      </c>
      <c r="E10" s="277">
        <f>D10</f>
        <v>0</v>
      </c>
      <c r="F10" s="281">
        <f>E10</f>
        <v>0</v>
      </c>
      <c r="G10" s="293">
        <f>F10</f>
        <v>0</v>
      </c>
      <c r="H10" s="277">
        <f>ROUND($C$35/3,0)</f>
        <v>25</v>
      </c>
      <c r="I10" s="281">
        <f>ROUND($C$35/3,0)</f>
        <v>25</v>
      </c>
      <c r="J10" s="277">
        <f>C35-SUM(H10:I10)</f>
        <v>25.949680000000015</v>
      </c>
      <c r="K10" s="278">
        <v>0</v>
      </c>
      <c r="L10" s="277">
        <f>K10</f>
        <v>0</v>
      </c>
      <c r="M10" s="281">
        <f>L10</f>
        <v>0</v>
      </c>
    </row>
    <row r="11" spans="1:13" ht="13.5" customHeight="1">
      <c r="A11" s="173" t="s">
        <v>115</v>
      </c>
      <c r="B11" s="63"/>
      <c r="C11" s="131"/>
      <c r="D11" s="293">
        <f>SUM($D$10:D10)</f>
        <v>0</v>
      </c>
      <c r="E11" s="277">
        <f>SUM($D$10:E10)</f>
        <v>0</v>
      </c>
      <c r="F11" s="281">
        <f>SUM($D$10:F10)</f>
        <v>0</v>
      </c>
      <c r="G11" s="293">
        <f>SUM($D$10:G10)</f>
        <v>0</v>
      </c>
      <c r="H11" s="277">
        <f>SUM($D$10:H10)</f>
        <v>25</v>
      </c>
      <c r="I11" s="281">
        <f>SUM($D$10:I10)</f>
        <v>50</v>
      </c>
      <c r="J11" s="277">
        <f>SUM($D$10:J10)</f>
        <v>75.949680000000015</v>
      </c>
      <c r="K11" s="277">
        <f>SUM($D$10:K10)</f>
        <v>75.949680000000015</v>
      </c>
      <c r="L11" s="277">
        <f>SUM($D$10:L10)</f>
        <v>75.949680000000015</v>
      </c>
      <c r="M11" s="281">
        <f>SUM($D$10:M10)</f>
        <v>75.949680000000015</v>
      </c>
    </row>
    <row r="12" spans="1:13" ht="14.15" customHeight="1">
      <c r="A12" s="173" t="s">
        <v>38</v>
      </c>
      <c r="B12" s="57">
        <v>2250</v>
      </c>
      <c r="C12" s="131"/>
      <c r="D12" s="210"/>
      <c r="E12" s="100"/>
      <c r="F12" s="188"/>
      <c r="G12" s="210"/>
      <c r="H12" s="100"/>
      <c r="I12" s="188"/>
      <c r="J12" s="100"/>
      <c r="K12" s="100"/>
      <c r="L12" s="100"/>
      <c r="M12" s="188"/>
    </row>
    <row r="13" spans="1:13" ht="14.15" customHeight="1">
      <c r="A13" s="173" t="s">
        <v>41</v>
      </c>
      <c r="B13" s="98">
        <v>0.9</v>
      </c>
      <c r="C13" s="131"/>
      <c r="D13" s="294">
        <f>SUM($D$9:D9)*$B$12</f>
        <v>0</v>
      </c>
      <c r="E13" s="279">
        <f>SUM($D$9:E9)*$B$12</f>
        <v>0</v>
      </c>
      <c r="F13" s="282">
        <f>SUM($D$9:F9)*$B$12</f>
        <v>0</v>
      </c>
      <c r="G13" s="294">
        <f>SUM($D$9:G9)*$B$12</f>
        <v>171000</v>
      </c>
      <c r="H13" s="279">
        <f>SUM($D$9:H9)*$B$12</f>
        <v>171000</v>
      </c>
      <c r="I13" s="282">
        <f>SUM($D$9:I9)*$B$12</f>
        <v>171000</v>
      </c>
      <c r="J13" s="279">
        <f>SUM($D$9:J9)*$B$12</f>
        <v>171000</v>
      </c>
      <c r="K13" s="279">
        <f>SUM($D$9:K9)*$B$12</f>
        <v>171000</v>
      </c>
      <c r="L13" s="279">
        <f>SUM($D$9:L9)*$B$12</f>
        <v>171000</v>
      </c>
      <c r="M13" s="282">
        <f>SUM($D$9:M9)*$B$12</f>
        <v>171000</v>
      </c>
    </row>
    <row r="14" spans="1:13" ht="14.15" customHeight="1" thickBot="1">
      <c r="A14" s="134" t="s">
        <v>117</v>
      </c>
      <c r="B14" s="66"/>
      <c r="C14" s="891">
        <v>400</v>
      </c>
      <c r="D14" s="295">
        <f>$C14*(1+$B$8)^D$4</f>
        <v>412</v>
      </c>
      <c r="E14" s="283">
        <f t="shared" ref="E14:M14" si="1">$C14*(1+$B$8)^E$4</f>
        <v>424.35999999999996</v>
      </c>
      <c r="F14" s="284">
        <f t="shared" si="1"/>
        <v>437.0908</v>
      </c>
      <c r="G14" s="295">
        <f t="shared" si="1"/>
        <v>450.20352399999996</v>
      </c>
      <c r="H14" s="283">
        <f t="shared" si="1"/>
        <v>463.70962971999995</v>
      </c>
      <c r="I14" s="284">
        <f t="shared" si="1"/>
        <v>477.62091861159996</v>
      </c>
      <c r="J14" s="283">
        <f t="shared" si="1"/>
        <v>491.94954616994801</v>
      </c>
      <c r="K14" s="283">
        <f t="shared" si="1"/>
        <v>506.70803255504637</v>
      </c>
      <c r="L14" s="283">
        <f t="shared" si="1"/>
        <v>521.90927353169775</v>
      </c>
      <c r="M14" s="284">
        <f t="shared" si="1"/>
        <v>537.56655173764875</v>
      </c>
    </row>
    <row r="15" spans="1:13" ht="4.5" customHeight="1" thickBot="1">
      <c r="A15" s="320"/>
      <c r="B15" s="203"/>
      <c r="C15" s="285"/>
      <c r="D15" s="290"/>
      <c r="E15" s="280"/>
      <c r="F15" s="291"/>
      <c r="G15" s="290"/>
      <c r="H15" s="280"/>
      <c r="I15" s="291"/>
      <c r="J15" s="280"/>
      <c r="K15" s="280"/>
      <c r="L15" s="280"/>
      <c r="M15" s="291"/>
    </row>
    <row r="16" spans="1:13" ht="13.5" thickBot="1">
      <c r="A16" s="198" t="s">
        <v>0</v>
      </c>
      <c r="B16" s="195"/>
      <c r="C16" s="204"/>
      <c r="D16" s="242"/>
      <c r="E16" s="201"/>
      <c r="F16" s="202"/>
      <c r="G16" s="242"/>
      <c r="H16" s="201"/>
      <c r="I16" s="202"/>
      <c r="J16" s="201"/>
      <c r="K16" s="201"/>
      <c r="L16" s="201"/>
      <c r="M16" s="202"/>
    </row>
    <row r="17" spans="1:13" ht="14.15" customHeight="1">
      <c r="A17" s="173" t="s">
        <v>15</v>
      </c>
      <c r="B17" s="63"/>
      <c r="C17" s="138">
        <f t="shared" ref="C17:M17" si="2">C10*$B$12*C14</f>
        <v>0</v>
      </c>
      <c r="D17" s="261">
        <f t="shared" si="2"/>
        <v>0</v>
      </c>
      <c r="E17" s="230">
        <f t="shared" si="2"/>
        <v>0</v>
      </c>
      <c r="F17" s="233">
        <f t="shared" si="2"/>
        <v>0</v>
      </c>
      <c r="G17" s="261">
        <f t="shared" si="2"/>
        <v>0</v>
      </c>
      <c r="H17" s="230">
        <f t="shared" si="2"/>
        <v>26083666.671749998</v>
      </c>
      <c r="I17" s="233">
        <f t="shared" si="2"/>
        <v>26866176.671902496</v>
      </c>
      <c r="J17" s="230">
        <f t="shared" si="2"/>
        <v>28723349.923324615</v>
      </c>
      <c r="K17" s="230">
        <f t="shared" si="2"/>
        <v>0</v>
      </c>
      <c r="L17" s="230">
        <f t="shared" si="2"/>
        <v>0</v>
      </c>
      <c r="M17" s="233">
        <f t="shared" si="2"/>
        <v>0</v>
      </c>
    </row>
    <row r="18" spans="1:13" ht="14.15" customHeight="1">
      <c r="A18" s="173" t="s">
        <v>42</v>
      </c>
      <c r="B18" s="101">
        <f>D38</f>
        <v>0.05</v>
      </c>
      <c r="C18" s="139">
        <f>C17*-$B$18</f>
        <v>0</v>
      </c>
      <c r="D18" s="249">
        <f t="shared" ref="D18:M18" si="3">D17*-$B$18</f>
        <v>0</v>
      </c>
      <c r="E18" s="231">
        <f t="shared" si="3"/>
        <v>0</v>
      </c>
      <c r="F18" s="250">
        <f t="shared" si="3"/>
        <v>0</v>
      </c>
      <c r="G18" s="249">
        <f t="shared" si="3"/>
        <v>0</v>
      </c>
      <c r="H18" s="231">
        <f t="shared" si="3"/>
        <v>-1304183.3335875</v>
      </c>
      <c r="I18" s="250">
        <f t="shared" si="3"/>
        <v>-1343308.833595125</v>
      </c>
      <c r="J18" s="231">
        <f t="shared" si="3"/>
        <v>-1436167.4961662309</v>
      </c>
      <c r="K18" s="231">
        <f t="shared" si="3"/>
        <v>0</v>
      </c>
      <c r="L18" s="231">
        <f t="shared" si="3"/>
        <v>0</v>
      </c>
      <c r="M18" s="250">
        <f t="shared" si="3"/>
        <v>0</v>
      </c>
    </row>
    <row r="19" spans="1:13" ht="14.15" customHeight="1">
      <c r="A19" s="234" t="s">
        <v>43</v>
      </c>
      <c r="B19" s="103">
        <f>D39</f>
        <v>0.05</v>
      </c>
      <c r="C19" s="262">
        <f>C17*-$B$19</f>
        <v>0</v>
      </c>
      <c r="D19" s="263">
        <f t="shared" ref="D19:M19" si="4">D17*-$B$19</f>
        <v>0</v>
      </c>
      <c r="E19" s="232">
        <f t="shared" si="4"/>
        <v>0</v>
      </c>
      <c r="F19" s="235">
        <f t="shared" si="4"/>
        <v>0</v>
      </c>
      <c r="G19" s="263">
        <f t="shared" si="4"/>
        <v>0</v>
      </c>
      <c r="H19" s="232">
        <f t="shared" si="4"/>
        <v>-1304183.3335875</v>
      </c>
      <c r="I19" s="235">
        <f t="shared" si="4"/>
        <v>-1343308.833595125</v>
      </c>
      <c r="J19" s="232">
        <f t="shared" si="4"/>
        <v>-1436167.4961662309</v>
      </c>
      <c r="K19" s="232">
        <f t="shared" si="4"/>
        <v>0</v>
      </c>
      <c r="L19" s="232">
        <f t="shared" si="4"/>
        <v>0</v>
      </c>
      <c r="M19" s="235">
        <f t="shared" si="4"/>
        <v>0</v>
      </c>
    </row>
    <row r="20" spans="1:13" ht="14.15" customHeight="1" thickBot="1">
      <c r="A20" s="110" t="s">
        <v>5</v>
      </c>
      <c r="B20" s="66"/>
      <c r="C20" s="258">
        <f>SUM(C17:C19)</f>
        <v>0</v>
      </c>
      <c r="D20" s="259">
        <f t="shared" ref="D20:M20" si="5">SUM(D17:D19)</f>
        <v>0</v>
      </c>
      <c r="E20" s="236">
        <f t="shared" si="5"/>
        <v>0</v>
      </c>
      <c r="F20" s="237">
        <f t="shared" si="5"/>
        <v>0</v>
      </c>
      <c r="G20" s="259">
        <f t="shared" si="5"/>
        <v>0</v>
      </c>
      <c r="H20" s="236">
        <f t="shared" si="5"/>
        <v>23475300.004574995</v>
      </c>
      <c r="I20" s="237">
        <f t="shared" si="5"/>
        <v>24179559.004712246</v>
      </c>
      <c r="J20" s="236">
        <f t="shared" si="5"/>
        <v>25851014.930992156</v>
      </c>
      <c r="K20" s="236">
        <f t="shared" si="5"/>
        <v>0</v>
      </c>
      <c r="L20" s="236">
        <f t="shared" si="5"/>
        <v>0</v>
      </c>
      <c r="M20" s="237">
        <f t="shared" si="5"/>
        <v>0</v>
      </c>
    </row>
    <row r="21" spans="1:13" ht="13.5" thickBot="1">
      <c r="A21" s="198" t="s">
        <v>2</v>
      </c>
      <c r="B21" s="297"/>
      <c r="C21" s="204"/>
      <c r="D21" s="242"/>
      <c r="E21" s="201"/>
      <c r="F21" s="202"/>
      <c r="G21" s="242"/>
      <c r="H21" s="201"/>
      <c r="I21" s="202"/>
      <c r="J21" s="201"/>
      <c r="K21" s="201"/>
      <c r="L21" s="201"/>
      <c r="M21" s="202"/>
    </row>
    <row r="22" spans="1:13" s="38" customFormat="1">
      <c r="A22" s="173" t="s">
        <v>108</v>
      </c>
      <c r="B22" s="181"/>
      <c r="C22" s="220">
        <f>'Development Costs'!E7</f>
        <v>279</v>
      </c>
      <c r="D22" s="212">
        <f t="shared" ref="D22:M22" si="6">$C$22*(1+$B$8)^D4</f>
        <v>287.37</v>
      </c>
      <c r="E22" s="199">
        <f t="shared" si="6"/>
        <v>295.99109999999996</v>
      </c>
      <c r="F22" s="200">
        <f t="shared" si="6"/>
        <v>304.870833</v>
      </c>
      <c r="G22" s="212">
        <f t="shared" si="6"/>
        <v>314.01695798999998</v>
      </c>
      <c r="H22" s="199">
        <f t="shared" si="6"/>
        <v>323.43746672969996</v>
      </c>
      <c r="I22" s="200">
        <f t="shared" si="6"/>
        <v>333.14059073159098</v>
      </c>
      <c r="J22" s="199">
        <f t="shared" si="6"/>
        <v>343.13480845353871</v>
      </c>
      <c r="K22" s="199">
        <f t="shared" si="6"/>
        <v>353.42885270714487</v>
      </c>
      <c r="L22" s="199">
        <f t="shared" si="6"/>
        <v>364.03171828835923</v>
      </c>
      <c r="M22" s="200">
        <f t="shared" si="6"/>
        <v>374.95266983700998</v>
      </c>
    </row>
    <row r="23" spans="1:13" ht="14.15" customHeight="1">
      <c r="A23" s="173" t="s">
        <v>13</v>
      </c>
      <c r="B23" s="181"/>
      <c r="C23" s="255">
        <f>C24/SUM($C$24:$M$24)</f>
        <v>0</v>
      </c>
      <c r="D23" s="256">
        <f t="shared" ref="D23:M23" si="7">D24/SUM($C$24:$M$24)</f>
        <v>0</v>
      </c>
      <c r="E23" s="186">
        <f t="shared" si="7"/>
        <v>0</v>
      </c>
      <c r="F23" s="240">
        <f t="shared" si="7"/>
        <v>0</v>
      </c>
      <c r="G23" s="256">
        <f t="shared" si="7"/>
        <v>1</v>
      </c>
      <c r="H23" s="186">
        <f t="shared" si="7"/>
        <v>0</v>
      </c>
      <c r="I23" s="240">
        <f t="shared" si="7"/>
        <v>0</v>
      </c>
      <c r="J23" s="186">
        <f t="shared" si="7"/>
        <v>0</v>
      </c>
      <c r="K23" s="186">
        <f t="shared" si="7"/>
        <v>0</v>
      </c>
      <c r="L23" s="186">
        <f t="shared" si="7"/>
        <v>0</v>
      </c>
      <c r="M23" s="240">
        <f t="shared" si="7"/>
        <v>0</v>
      </c>
    </row>
    <row r="24" spans="1:13" ht="14.15" customHeight="1">
      <c r="A24" s="173" t="s">
        <v>2</v>
      </c>
      <c r="B24" s="181"/>
      <c r="C24" s="159">
        <f>C22*'Development Schedule'!D55</f>
        <v>0</v>
      </c>
      <c r="D24" s="300">
        <f>D22*'Development Schedule'!E54</f>
        <v>0</v>
      </c>
      <c r="E24" s="301">
        <f>E22*'Development Schedule'!F54</f>
        <v>0</v>
      </c>
      <c r="F24" s="302">
        <f>F22*'Development Schedule'!G54</f>
        <v>0</v>
      </c>
      <c r="G24" s="300">
        <f>G22*'Development Schedule'!H54</f>
        <v>59623718.684784859</v>
      </c>
      <c r="H24" s="301">
        <f>H22*'Development Schedule'!I54</f>
        <v>0</v>
      </c>
      <c r="I24" s="302">
        <f>I22*'Development Schedule'!J54</f>
        <v>0</v>
      </c>
      <c r="J24" s="301">
        <f>J22*'Development Schedule'!K54</f>
        <v>0</v>
      </c>
      <c r="K24" s="301">
        <f>K22*'Development Schedule'!L54</f>
        <v>0</v>
      </c>
      <c r="L24" s="301">
        <f>L22*'Development Schedule'!M54</f>
        <v>0</v>
      </c>
      <c r="M24" s="302">
        <f>M22*'Development Schedule'!N54</f>
        <v>0</v>
      </c>
    </row>
    <row r="25" spans="1:13" ht="14.15" customHeight="1" thickBot="1">
      <c r="A25" s="110" t="s">
        <v>3</v>
      </c>
      <c r="B25" s="299"/>
      <c r="C25" s="258">
        <f>C24</f>
        <v>0</v>
      </c>
      <c r="D25" s="306">
        <f t="shared" ref="D25:M25" si="8">D24</f>
        <v>0</v>
      </c>
      <c r="E25" s="307">
        <f t="shared" si="8"/>
        <v>0</v>
      </c>
      <c r="F25" s="308">
        <f t="shared" si="8"/>
        <v>0</v>
      </c>
      <c r="G25" s="306">
        <f t="shared" si="8"/>
        <v>59623718.684784859</v>
      </c>
      <c r="H25" s="307">
        <f t="shared" si="8"/>
        <v>0</v>
      </c>
      <c r="I25" s="308">
        <f t="shared" si="8"/>
        <v>0</v>
      </c>
      <c r="J25" s="307">
        <f t="shared" si="8"/>
        <v>0</v>
      </c>
      <c r="K25" s="307">
        <f t="shared" si="8"/>
        <v>0</v>
      </c>
      <c r="L25" s="307">
        <f t="shared" si="8"/>
        <v>0</v>
      </c>
      <c r="M25" s="308">
        <f t="shared" si="8"/>
        <v>0</v>
      </c>
    </row>
    <row r="26" spans="1:13" ht="13.5" thickBot="1">
      <c r="A26" s="198" t="s">
        <v>4</v>
      </c>
      <c r="B26" s="195"/>
      <c r="C26" s="309"/>
      <c r="D26" s="310"/>
      <c r="E26" s="311"/>
      <c r="F26" s="312"/>
      <c r="G26" s="310"/>
      <c r="H26" s="311"/>
      <c r="I26" s="312"/>
      <c r="J26" s="311"/>
      <c r="K26" s="311"/>
      <c r="L26" s="311"/>
      <c r="M26" s="312"/>
    </row>
    <row r="27" spans="1:13" ht="14.15" customHeight="1">
      <c r="A27" s="173" t="s">
        <v>5</v>
      </c>
      <c r="B27" s="63"/>
      <c r="C27" s="138">
        <f t="shared" ref="C27:M27" si="9">C20</f>
        <v>0</v>
      </c>
      <c r="D27" s="257">
        <f t="shared" si="9"/>
        <v>0</v>
      </c>
      <c r="E27" s="229">
        <f t="shared" si="9"/>
        <v>0</v>
      </c>
      <c r="F27" s="241">
        <f t="shared" si="9"/>
        <v>0</v>
      </c>
      <c r="G27" s="257">
        <f t="shared" si="9"/>
        <v>0</v>
      </c>
      <c r="H27" s="229">
        <f t="shared" si="9"/>
        <v>23475300.004574995</v>
      </c>
      <c r="I27" s="241">
        <f t="shared" si="9"/>
        <v>24179559.004712246</v>
      </c>
      <c r="J27" s="229">
        <f t="shared" si="9"/>
        <v>25851014.930992156</v>
      </c>
      <c r="K27" s="229">
        <f t="shared" si="9"/>
        <v>0</v>
      </c>
      <c r="L27" s="229">
        <f t="shared" si="9"/>
        <v>0</v>
      </c>
      <c r="M27" s="241">
        <f t="shared" si="9"/>
        <v>0</v>
      </c>
    </row>
    <row r="28" spans="1:13" ht="14.15" customHeight="1">
      <c r="A28" s="234" t="s">
        <v>109</v>
      </c>
      <c r="B28" s="296"/>
      <c r="C28" s="262">
        <f>-C25</f>
        <v>0</v>
      </c>
      <c r="D28" s="263">
        <f t="shared" ref="D28:M28" si="10">-D25</f>
        <v>0</v>
      </c>
      <c r="E28" s="232">
        <f t="shared" si="10"/>
        <v>0</v>
      </c>
      <c r="F28" s="235">
        <f t="shared" si="10"/>
        <v>0</v>
      </c>
      <c r="G28" s="263">
        <f t="shared" si="10"/>
        <v>-59623718.684784859</v>
      </c>
      <c r="H28" s="232">
        <f t="shared" si="10"/>
        <v>0</v>
      </c>
      <c r="I28" s="235">
        <f t="shared" si="10"/>
        <v>0</v>
      </c>
      <c r="J28" s="232">
        <f t="shared" si="10"/>
        <v>0</v>
      </c>
      <c r="K28" s="232">
        <f t="shared" si="10"/>
        <v>0</v>
      </c>
      <c r="L28" s="232">
        <f t="shared" si="10"/>
        <v>0</v>
      </c>
      <c r="M28" s="235">
        <f t="shared" si="10"/>
        <v>0</v>
      </c>
    </row>
    <row r="29" spans="1:13" ht="14.15" customHeight="1" thickBot="1">
      <c r="A29" s="273" t="s">
        <v>6</v>
      </c>
      <c r="B29" s="112"/>
      <c r="C29" s="258">
        <f>SUM(C27:C28)</f>
        <v>0</v>
      </c>
      <c r="D29" s="259">
        <f t="shared" ref="D29:M29" si="11">SUM(D27:D28)</f>
        <v>0</v>
      </c>
      <c r="E29" s="236">
        <f t="shared" si="11"/>
        <v>0</v>
      </c>
      <c r="F29" s="237">
        <f t="shared" si="11"/>
        <v>0</v>
      </c>
      <c r="G29" s="259">
        <f t="shared" si="11"/>
        <v>-59623718.684784859</v>
      </c>
      <c r="H29" s="236">
        <f t="shared" si="11"/>
        <v>23475300.004574995</v>
      </c>
      <c r="I29" s="237">
        <f t="shared" si="11"/>
        <v>24179559.004712246</v>
      </c>
      <c r="J29" s="236">
        <f t="shared" si="11"/>
        <v>25851014.930992156</v>
      </c>
      <c r="K29" s="236">
        <f t="shared" si="11"/>
        <v>0</v>
      </c>
      <c r="L29" s="236">
        <f t="shared" si="11"/>
        <v>0</v>
      </c>
      <c r="M29" s="237">
        <f t="shared" si="11"/>
        <v>0</v>
      </c>
    </row>
    <row r="30" spans="1:13" ht="13.5" thickBot="1">
      <c r="A30" s="109" t="s">
        <v>26</v>
      </c>
      <c r="B30" s="98"/>
      <c r="C30" s="265">
        <f>C29+NPV(D40,D29:M29)</f>
        <v>1577260.2260490297</v>
      </c>
      <c r="D30" s="210"/>
      <c r="E30" s="100"/>
      <c r="F30" s="188"/>
      <c r="G30" s="210"/>
      <c r="H30" s="100"/>
      <c r="I30" s="188"/>
      <c r="J30" s="100"/>
      <c r="K30" s="100"/>
      <c r="L30" s="100"/>
      <c r="M30" s="188"/>
    </row>
    <row r="31" spans="1:13" ht="13.5" thickBot="1">
      <c r="A31" s="80" t="s">
        <v>59</v>
      </c>
      <c r="B31" s="153"/>
      <c r="C31" s="269">
        <f>IRR(C29:M29,0)</f>
        <v>0.11049242071136511</v>
      </c>
      <c r="D31" s="251"/>
      <c r="E31" s="153"/>
      <c r="F31" s="172"/>
      <c r="G31" s="251"/>
      <c r="H31" s="153"/>
      <c r="I31" s="172"/>
      <c r="J31" s="153"/>
      <c r="K31" s="153"/>
      <c r="L31" s="153"/>
      <c r="M31" s="172"/>
    </row>
    <row r="32" spans="1:13" ht="13" thickBot="1">
      <c r="A32" s="38"/>
      <c r="B32" s="56"/>
      <c r="C32" s="56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3.5" thickBot="1">
      <c r="A33" s="183" t="s">
        <v>101</v>
      </c>
      <c r="B33" s="158"/>
      <c r="C33" s="158"/>
      <c r="D33" s="182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3.5" thickBot="1">
      <c r="A34" s="78"/>
      <c r="B34" s="153"/>
      <c r="C34" s="83" t="s">
        <v>99</v>
      </c>
      <c r="D34" s="84" t="s">
        <v>100</v>
      </c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3" thickBot="1">
      <c r="A35" s="78" t="s">
        <v>104</v>
      </c>
      <c r="B35" s="153"/>
      <c r="C35" s="887">
        <f>(D35*B13)/$B$12</f>
        <v>75.949680000000015</v>
      </c>
      <c r="D35" s="867">
        <f>'Development Schedule'!C22</f>
        <v>189874.2</v>
      </c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3" thickBot="1">
      <c r="A36" s="38"/>
      <c r="B36" s="56"/>
      <c r="C36" s="56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3.5" thickBot="1">
      <c r="A37" s="183" t="s">
        <v>110</v>
      </c>
      <c r="B37" s="253"/>
      <c r="C37" s="253"/>
      <c r="D37" s="254"/>
      <c r="E37" s="38"/>
      <c r="F37" s="38"/>
      <c r="G37" s="38"/>
      <c r="H37" s="38"/>
      <c r="I37" s="38"/>
      <c r="J37" s="38"/>
      <c r="K37" s="38"/>
      <c r="L37" s="38"/>
      <c r="M37" s="38"/>
    </row>
    <row r="38" spans="1:13">
      <c r="A38" s="62" t="s">
        <v>42</v>
      </c>
      <c r="B38" s="63"/>
      <c r="C38" s="63"/>
      <c r="D38" s="216">
        <v>0.05</v>
      </c>
      <c r="E38" s="38"/>
      <c r="F38" s="38"/>
      <c r="G38" s="38"/>
      <c r="H38" s="38"/>
      <c r="I38" s="38"/>
      <c r="J38" s="38"/>
      <c r="K38" s="38"/>
      <c r="L38" s="38"/>
      <c r="M38" s="38"/>
    </row>
    <row r="39" spans="1:13">
      <c r="A39" s="62" t="s">
        <v>43</v>
      </c>
      <c r="B39" s="63"/>
      <c r="C39" s="63"/>
      <c r="D39" s="216">
        <v>0.05</v>
      </c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3" thickBot="1">
      <c r="A40" s="65" t="s">
        <v>97</v>
      </c>
      <c r="B40" s="66"/>
      <c r="C40" s="66"/>
      <c r="D40" s="214">
        <v>0.09</v>
      </c>
      <c r="E40" s="38"/>
      <c r="F40" s="38"/>
      <c r="G40" s="38"/>
      <c r="H40" s="38"/>
      <c r="I40" s="38"/>
      <c r="J40" s="38"/>
      <c r="K40" s="38"/>
      <c r="L40" s="38"/>
      <c r="M40" s="38"/>
    </row>
    <row r="41" spans="1:13">
      <c r="A41" s="38"/>
      <c r="B41" s="56"/>
      <c r="C41" s="56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>
      <c r="A42" s="38"/>
      <c r="B42" s="56"/>
      <c r="C42" s="56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>
      <c r="A43" s="38"/>
      <c r="B43" s="56"/>
      <c r="C43" s="56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>
      <c r="A44" s="38"/>
      <c r="B44" s="56"/>
      <c r="C44" s="56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>
      <c r="A45" s="38"/>
      <c r="B45" s="56"/>
      <c r="C45" s="56"/>
      <c r="D45" s="38"/>
      <c r="E45" s="38"/>
      <c r="F45" s="38"/>
      <c r="G45" s="38"/>
      <c r="H45" s="38"/>
      <c r="I45" s="38"/>
      <c r="J45" s="38"/>
      <c r="K45" s="38"/>
      <c r="L45" s="38"/>
      <c r="M45" s="38"/>
    </row>
  </sheetData>
  <phoneticPr fontId="4" type="noConversion"/>
  <printOptions horizontalCentered="1"/>
  <pageMargins left="0.5" right="0.5" top="1" bottom="0.5" header="0.5" footer="0.5"/>
  <pageSetup scale="69" orientation="landscape" r:id="rId1"/>
  <headerFooter alignWithMargins="0">
    <oddHeader>&amp;L&amp;"Arial,Bold"3. Income Statement: Market-rate For Sale Housing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4"/>
  <sheetViews>
    <sheetView view="pageBreakPreview" zoomScale="85" zoomScaleNormal="100" zoomScaleSheetLayoutView="85" workbookViewId="0">
      <selection activeCell="C56" sqref="C56"/>
    </sheetView>
  </sheetViews>
  <sheetFormatPr defaultColWidth="9.1796875" defaultRowHeight="12.5"/>
  <cols>
    <col min="1" max="1" width="26.81640625" style="89" customWidth="1"/>
    <col min="2" max="2" width="12.7265625" style="90" customWidth="1"/>
    <col min="3" max="3" width="13.7265625" style="90" customWidth="1"/>
    <col min="4" max="13" width="13.7265625" style="89" customWidth="1"/>
    <col min="14" max="14" width="14" style="89" bestFit="1" customWidth="1"/>
    <col min="15" max="16384" width="9.1796875" style="89"/>
  </cols>
  <sheetData>
    <row r="1" spans="1:13" ht="14.15" customHeight="1" thickBot="1">
      <c r="A1" s="38"/>
      <c r="B1" s="56"/>
      <c r="C1" s="56"/>
      <c r="D1" s="38"/>
      <c r="E1" s="38"/>
      <c r="F1" s="38"/>
      <c r="G1" s="38"/>
      <c r="H1" s="38"/>
      <c r="I1" s="38"/>
      <c r="J1" s="38"/>
      <c r="K1" s="38"/>
      <c r="L1" s="135" t="s">
        <v>98</v>
      </c>
      <c r="M1" s="319">
        <f>'1.Infrastructure Costs'!$N$1</f>
        <v>202</v>
      </c>
    </row>
    <row r="2" spans="1:13" ht="14.15" customHeight="1" thickBot="1">
      <c r="A2" s="38"/>
      <c r="B2" s="56"/>
      <c r="C2" s="56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4.15" customHeight="1" thickBot="1">
      <c r="A3" s="123"/>
      <c r="B3" s="203"/>
      <c r="C3" s="129" t="s">
        <v>55</v>
      </c>
      <c r="D3" s="96" t="s">
        <v>36</v>
      </c>
      <c r="E3" s="97"/>
      <c r="F3" s="40"/>
      <c r="G3" s="96" t="s">
        <v>77</v>
      </c>
      <c r="H3" s="144"/>
      <c r="I3" s="41"/>
      <c r="J3" s="39" t="s">
        <v>78</v>
      </c>
      <c r="K3" s="39"/>
      <c r="L3" s="40"/>
      <c r="M3" s="41"/>
    </row>
    <row r="4" spans="1:13" ht="14.15" customHeight="1" thickBot="1">
      <c r="A4" s="62"/>
      <c r="B4" s="63"/>
      <c r="C4" s="137">
        <v>0</v>
      </c>
      <c r="D4" s="94">
        <f>C4+1</f>
        <v>1</v>
      </c>
      <c r="E4" s="93">
        <f t="shared" ref="E4:M5" si="0">D4+1</f>
        <v>2</v>
      </c>
      <c r="F4" s="93">
        <f t="shared" si="0"/>
        <v>3</v>
      </c>
      <c r="G4" s="94">
        <f t="shared" si="0"/>
        <v>4</v>
      </c>
      <c r="H4" s="136">
        <f t="shared" si="0"/>
        <v>5</v>
      </c>
      <c r="I4" s="95">
        <f t="shared" si="0"/>
        <v>6</v>
      </c>
      <c r="J4" s="93">
        <f t="shared" si="0"/>
        <v>7</v>
      </c>
      <c r="K4" s="93">
        <f t="shared" si="0"/>
        <v>8</v>
      </c>
      <c r="L4" s="93">
        <f t="shared" si="0"/>
        <v>9</v>
      </c>
      <c r="M4" s="95">
        <f t="shared" si="0"/>
        <v>10</v>
      </c>
    </row>
    <row r="5" spans="1:13" ht="14.15" customHeight="1" thickBot="1">
      <c r="A5" s="65"/>
      <c r="B5" s="136"/>
      <c r="C5" s="137" t="s">
        <v>379</v>
      </c>
      <c r="D5" s="276">
        <v>2022</v>
      </c>
      <c r="E5" s="93">
        <f>D5+1</f>
        <v>2023</v>
      </c>
      <c r="F5" s="93">
        <f t="shared" si="0"/>
        <v>2024</v>
      </c>
      <c r="G5" s="94">
        <f t="shared" si="0"/>
        <v>2025</v>
      </c>
      <c r="H5" s="93">
        <f t="shared" si="0"/>
        <v>2026</v>
      </c>
      <c r="I5" s="95">
        <f t="shared" si="0"/>
        <v>2027</v>
      </c>
      <c r="J5" s="93">
        <f t="shared" si="0"/>
        <v>2028</v>
      </c>
      <c r="K5" s="93">
        <f t="shared" si="0"/>
        <v>2029</v>
      </c>
      <c r="L5" s="93">
        <f>K5+1</f>
        <v>2030</v>
      </c>
      <c r="M5" s="95">
        <f>L5+1</f>
        <v>2031</v>
      </c>
    </row>
    <row r="6" spans="1:13" ht="13.5" thickBot="1">
      <c r="A6" s="198" t="s">
        <v>10</v>
      </c>
      <c r="B6" s="195"/>
      <c r="C6" s="204"/>
      <c r="D6" s="207"/>
      <c r="E6" s="196"/>
      <c r="F6" s="196"/>
      <c r="G6" s="207"/>
      <c r="H6" s="196"/>
      <c r="I6" s="197"/>
      <c r="J6" s="196"/>
      <c r="K6" s="196"/>
      <c r="L6" s="196"/>
      <c r="M6" s="197"/>
    </row>
    <row r="7" spans="1:13" ht="13">
      <c r="A7" s="61" t="s">
        <v>509</v>
      </c>
      <c r="B7" s="63"/>
      <c r="C7" s="131"/>
      <c r="D7" s="62"/>
      <c r="E7" s="68"/>
      <c r="F7" s="68"/>
      <c r="G7" s="62"/>
      <c r="H7" s="68"/>
      <c r="I7" s="105"/>
      <c r="J7" s="68"/>
      <c r="K7" s="68"/>
      <c r="L7" s="68"/>
      <c r="M7" s="105"/>
    </row>
    <row r="8" spans="1:13">
      <c r="A8" s="173" t="s">
        <v>11</v>
      </c>
      <c r="B8" s="122">
        <v>0.03</v>
      </c>
      <c r="C8" s="130"/>
      <c r="D8" s="133"/>
      <c r="E8" s="99"/>
      <c r="F8" s="99"/>
      <c r="G8" s="133"/>
      <c r="H8" s="99"/>
      <c r="I8" s="104"/>
      <c r="J8" s="99"/>
      <c r="K8" s="99"/>
      <c r="L8" s="99"/>
      <c r="M8" s="104"/>
    </row>
    <row r="9" spans="1:13" ht="14.15" customHeight="1">
      <c r="A9" s="173" t="s">
        <v>102</v>
      </c>
      <c r="B9" s="122"/>
      <c r="C9" s="131"/>
      <c r="D9" s="208">
        <f>ROUND(('Development Schedule'!E38*$B$13)/$B$12,0)</f>
        <v>0</v>
      </c>
      <c r="E9" s="185">
        <f>ROUND(('Development Schedule'!F38*$B$13)/$B$12,0)</f>
        <v>0</v>
      </c>
      <c r="F9" s="185">
        <f>ROUND(('Development Schedule'!G38*$B$13)/$B$12,0)</f>
        <v>0</v>
      </c>
      <c r="G9" s="208">
        <f>ROUND(('Development Schedule'!H38*$B$13)/$B$12,0)</f>
        <v>0</v>
      </c>
      <c r="H9" s="185">
        <f>ROUND(('Development Schedule'!I38*$B$13)/$B$12,0)</f>
        <v>0</v>
      </c>
      <c r="I9" s="187">
        <f>ROUND(('Development Schedule'!J38*$B$13)/$B$12,0)</f>
        <v>0</v>
      </c>
      <c r="J9" s="185">
        <f>ROUND(('Development Schedule'!K38*$B$13)/$B$12,0)</f>
        <v>10</v>
      </c>
      <c r="K9" s="185">
        <f>ROUND(('Development Schedule'!L38*$B$13)/$B$12,0)</f>
        <v>0</v>
      </c>
      <c r="L9" s="185">
        <f>ROUND(('Development Schedule'!M38*$B$13)/$B$12,0)</f>
        <v>0</v>
      </c>
      <c r="M9" s="187">
        <f>ROUND(('Development Schedule'!N38*$B$13)/$B$12,0)</f>
        <v>0</v>
      </c>
    </row>
    <row r="10" spans="1:13" ht="14.15" customHeight="1">
      <c r="A10" s="173" t="s">
        <v>37</v>
      </c>
      <c r="B10" s="63"/>
      <c r="C10" s="131"/>
      <c r="D10" s="293">
        <f>ROUND(D15*$C$56,0)</f>
        <v>0</v>
      </c>
      <c r="E10" s="277">
        <f>E11-SUM($D$10:D10)</f>
        <v>0</v>
      </c>
      <c r="F10" s="277">
        <f>F11-SUM($D$10:E10)</f>
        <v>0</v>
      </c>
      <c r="G10" s="293">
        <f>G11-SUM($D$10:F10)</f>
        <v>0</v>
      </c>
      <c r="H10" s="277">
        <f>H11-SUM($D$10:G10)</f>
        <v>0</v>
      </c>
      <c r="I10" s="281">
        <f>I11-SUM($D$10:H10)</f>
        <v>0</v>
      </c>
      <c r="J10" s="277">
        <f>J11-SUM($D$10:I10)</f>
        <v>5</v>
      </c>
      <c r="K10" s="277">
        <f>K11-SUM($D$10:J10)</f>
        <v>9</v>
      </c>
      <c r="L10" s="277">
        <f>L11-SUM($D$10:K10)</f>
        <v>3</v>
      </c>
      <c r="M10" s="281">
        <f>M11-SUM($D$10:L10)</f>
        <v>0</v>
      </c>
    </row>
    <row r="11" spans="1:13" ht="14.15" customHeight="1">
      <c r="A11" s="173" t="s">
        <v>103</v>
      </c>
      <c r="B11" s="57"/>
      <c r="C11" s="131"/>
      <c r="D11" s="293">
        <f t="shared" ref="D11:M11" si="1">ROUND(D15*$C$56,0)</f>
        <v>0</v>
      </c>
      <c r="E11" s="277">
        <f t="shared" si="1"/>
        <v>0</v>
      </c>
      <c r="F11" s="277">
        <f t="shared" si="1"/>
        <v>0</v>
      </c>
      <c r="G11" s="293">
        <f t="shared" si="1"/>
        <v>0</v>
      </c>
      <c r="H11" s="277">
        <f t="shared" si="1"/>
        <v>0</v>
      </c>
      <c r="I11" s="281">
        <f t="shared" si="1"/>
        <v>0</v>
      </c>
      <c r="J11" s="277">
        <f t="shared" si="1"/>
        <v>5</v>
      </c>
      <c r="K11" s="277">
        <f t="shared" si="1"/>
        <v>14</v>
      </c>
      <c r="L11" s="277">
        <f t="shared" si="1"/>
        <v>17</v>
      </c>
      <c r="M11" s="281">
        <f t="shared" si="1"/>
        <v>17</v>
      </c>
    </row>
    <row r="12" spans="1:13" ht="14.15" customHeight="1">
      <c r="A12" s="173" t="s">
        <v>38</v>
      </c>
      <c r="B12" s="57">
        <v>2000</v>
      </c>
      <c r="C12" s="131"/>
      <c r="D12" s="210"/>
      <c r="E12" s="100"/>
      <c r="F12" s="100"/>
      <c r="G12" s="210"/>
      <c r="H12" s="100"/>
      <c r="I12" s="188"/>
      <c r="J12" s="100"/>
      <c r="K12" s="100"/>
      <c r="L12" s="100"/>
      <c r="M12" s="188"/>
    </row>
    <row r="13" spans="1:13" ht="14.15" customHeight="1">
      <c r="A13" s="173" t="s">
        <v>39</v>
      </c>
      <c r="B13" s="846">
        <v>0.95</v>
      </c>
      <c r="C13" s="131"/>
      <c r="D13" s="211">
        <f>SUM($D$9:D9)*$B$12*$B$13</f>
        <v>0</v>
      </c>
      <c r="E13" s="184">
        <f>SUM($D$9:E9)*$B$12*$B$13</f>
        <v>0</v>
      </c>
      <c r="F13" s="184">
        <f>SUM($D$9:F9)*$B$12*$B$13</f>
        <v>0</v>
      </c>
      <c r="G13" s="211">
        <f>SUM($D$9:G9)*$B$12*$B$13</f>
        <v>0</v>
      </c>
      <c r="H13" s="184">
        <f>SUM($D$9:H9)*$B$12*$B$13</f>
        <v>0</v>
      </c>
      <c r="I13" s="189">
        <f>SUM($D$9:I9)*$B$12*$B$13</f>
        <v>0</v>
      </c>
      <c r="J13" s="184">
        <f>SUM($D$9:J9)*$B$12*$B$13</f>
        <v>19000</v>
      </c>
      <c r="K13" s="184">
        <f>SUM($D$9:K9)*$B$12*$B$13</f>
        <v>19000</v>
      </c>
      <c r="L13" s="184">
        <f>SUM($D$9:L9)*$B$12*$B$13</f>
        <v>19000</v>
      </c>
      <c r="M13" s="189">
        <f>SUM($D$9:M9)*$B$12*$B$13</f>
        <v>19000</v>
      </c>
    </row>
    <row r="14" spans="1:13" ht="14.15" customHeight="1">
      <c r="A14" s="173" t="s">
        <v>106</v>
      </c>
      <c r="B14" s="63"/>
      <c r="C14" s="220">
        <f>'2.Market-Rate Rental Housing'!C16/2</f>
        <v>1.56</v>
      </c>
      <c r="D14" s="212">
        <f>$C$14*(1+$B$8)^D$4</f>
        <v>1.6068</v>
      </c>
      <c r="E14" s="199">
        <f t="shared" ref="E14:M14" si="2">$C$14*(1+$B$8)^E$4</f>
        <v>1.6550039999999999</v>
      </c>
      <c r="F14" s="199">
        <f t="shared" si="2"/>
        <v>1.7046541200000001</v>
      </c>
      <c r="G14" s="212">
        <f t="shared" si="2"/>
        <v>1.7557937436</v>
      </c>
      <c r="H14" s="199">
        <f t="shared" si="2"/>
        <v>1.8084675559079999</v>
      </c>
      <c r="I14" s="200">
        <f t="shared" si="2"/>
        <v>1.8627215825852399</v>
      </c>
      <c r="J14" s="199">
        <f t="shared" si="2"/>
        <v>1.9186032300627973</v>
      </c>
      <c r="K14" s="199">
        <f t="shared" si="2"/>
        <v>1.9761613269646809</v>
      </c>
      <c r="L14" s="199">
        <f t="shared" si="2"/>
        <v>2.0354461667736214</v>
      </c>
      <c r="M14" s="200">
        <f t="shared" si="2"/>
        <v>2.0965095517768302</v>
      </c>
    </row>
    <row r="15" spans="1:13" ht="14.15" customHeight="1" thickBot="1">
      <c r="A15" s="134" t="s">
        <v>40</v>
      </c>
      <c r="B15" s="190"/>
      <c r="C15" s="206"/>
      <c r="D15" s="213">
        <v>0</v>
      </c>
      <c r="E15" s="191">
        <v>0</v>
      </c>
      <c r="F15" s="193">
        <v>0</v>
      </c>
      <c r="G15" s="217">
        <v>0</v>
      </c>
      <c r="H15" s="190">
        <f t="shared" ref="H15:M15" si="3">G15</f>
        <v>0</v>
      </c>
      <c r="I15" s="194">
        <f t="shared" si="3"/>
        <v>0</v>
      </c>
      <c r="J15" s="193">
        <v>0.25</v>
      </c>
      <c r="K15" s="193">
        <v>0.75</v>
      </c>
      <c r="L15" s="193">
        <v>0.93300000000000005</v>
      </c>
      <c r="M15" s="194">
        <f t="shared" si="3"/>
        <v>0.93300000000000005</v>
      </c>
    </row>
    <row r="16" spans="1:13" ht="4.5" customHeight="1">
      <c r="A16" s="173"/>
      <c r="B16" s="101"/>
      <c r="C16" s="399"/>
      <c r="D16" s="321"/>
      <c r="E16" s="321"/>
      <c r="F16" s="122"/>
      <c r="G16" s="264"/>
      <c r="H16" s="101"/>
      <c r="I16" s="219"/>
      <c r="J16" s="101"/>
      <c r="K16" s="101"/>
      <c r="L16" s="101"/>
      <c r="M16" s="219"/>
    </row>
    <row r="17" spans="1:13" ht="13">
      <c r="A17" s="61" t="s">
        <v>513</v>
      </c>
      <c r="B17" s="63"/>
      <c r="C17" s="131"/>
      <c r="D17" s="68"/>
      <c r="E17" s="68"/>
      <c r="F17" s="68"/>
      <c r="G17" s="62"/>
      <c r="H17" s="68"/>
      <c r="I17" s="105"/>
      <c r="J17" s="68"/>
      <c r="K17" s="68"/>
      <c r="L17" s="68"/>
      <c r="M17" s="105"/>
    </row>
    <row r="18" spans="1:13">
      <c r="A18" s="173" t="s">
        <v>11</v>
      </c>
      <c r="B18" s="122">
        <v>0.03</v>
      </c>
      <c r="C18" s="130"/>
      <c r="D18" s="99"/>
      <c r="E18" s="99"/>
      <c r="F18" s="99"/>
      <c r="G18" s="133"/>
      <c r="H18" s="99"/>
      <c r="I18" s="104"/>
      <c r="J18" s="99"/>
      <c r="K18" s="99"/>
      <c r="L18" s="99"/>
      <c r="M18" s="104"/>
    </row>
    <row r="19" spans="1:13" ht="14.15" customHeight="1">
      <c r="A19" s="173" t="s">
        <v>102</v>
      </c>
      <c r="B19" s="122"/>
      <c r="C19" s="131"/>
      <c r="D19" s="185">
        <f>ROUND(('Development Schedule'!E42*$B$23)/$B$22,0)</f>
        <v>0</v>
      </c>
      <c r="E19" s="185">
        <f>ROUND(('Development Schedule'!F42*$B$23)/$B$22,0)</f>
        <v>0</v>
      </c>
      <c r="F19" s="185">
        <f>ROUND(('Development Schedule'!G42*$B$23)/$B$22,0)</f>
        <v>0</v>
      </c>
      <c r="G19" s="208">
        <f>ROUND(('Development Schedule'!H42*$B$23)/$B$22,0)</f>
        <v>0</v>
      </c>
      <c r="H19" s="185">
        <f>ROUND(('Development Schedule'!I42*$B$23)/$B$22,0)</f>
        <v>0</v>
      </c>
      <c r="I19" s="187">
        <f>ROUND(('Development Schedule'!J42*$B$23)/$B$22,0)</f>
        <v>0</v>
      </c>
      <c r="J19" s="185">
        <f>ROUND(('Development Schedule'!K42*$B$23)/$B$22,0)</f>
        <v>61</v>
      </c>
      <c r="K19" s="185">
        <f>ROUND(('Development Schedule'!L42*$B$23)/$B$22,0)</f>
        <v>0</v>
      </c>
      <c r="L19" s="185">
        <f>ROUND(('Development Schedule'!M42*$B$23)/$B$22,0)</f>
        <v>0</v>
      </c>
      <c r="M19" s="187">
        <f>ROUND(('Development Schedule'!N42*$B$23)/$B$22,0)</f>
        <v>0</v>
      </c>
    </row>
    <row r="20" spans="1:13" ht="14.15" customHeight="1">
      <c r="A20" s="173" t="s">
        <v>37</v>
      </c>
      <c r="B20" s="63"/>
      <c r="C20" s="131"/>
      <c r="D20" s="277">
        <f>ROUND(D25*$C$57,0)</f>
        <v>0</v>
      </c>
      <c r="E20" s="277">
        <f>E21-SUM($D$20:D20)</f>
        <v>0</v>
      </c>
      <c r="F20" s="277">
        <f>F21-SUM($D$20:E20)</f>
        <v>0</v>
      </c>
      <c r="G20" s="293">
        <f>G21-SUM($D$20:F20)</f>
        <v>0</v>
      </c>
      <c r="H20" s="277">
        <f>H21-SUM($D$20:G20)</f>
        <v>0</v>
      </c>
      <c r="I20" s="281">
        <f>I21-SUM($D$20:H20)</f>
        <v>0</v>
      </c>
      <c r="J20" s="277">
        <f>J21-SUM($D$20:I20)</f>
        <v>0</v>
      </c>
      <c r="K20" s="277">
        <f>K21-SUM($D$20:J20)</f>
        <v>5</v>
      </c>
      <c r="L20" s="277">
        <f>L21-SUM($D$20:K20)</f>
        <v>5</v>
      </c>
      <c r="M20" s="281">
        <f>M21-SUM($D$20:L20)</f>
        <v>3</v>
      </c>
    </row>
    <row r="21" spans="1:13" ht="14.15" customHeight="1">
      <c r="A21" s="173" t="s">
        <v>103</v>
      </c>
      <c r="B21" s="57"/>
      <c r="C21" s="131"/>
      <c r="D21" s="277">
        <f t="shared" ref="D21:M21" si="4">ROUND(D25*$C$57,0)</f>
        <v>0</v>
      </c>
      <c r="E21" s="277">
        <f t="shared" si="4"/>
        <v>0</v>
      </c>
      <c r="F21" s="277">
        <f t="shared" si="4"/>
        <v>0</v>
      </c>
      <c r="G21" s="293">
        <f t="shared" si="4"/>
        <v>0</v>
      </c>
      <c r="H21" s="277">
        <f t="shared" si="4"/>
        <v>0</v>
      </c>
      <c r="I21" s="281">
        <f t="shared" si="4"/>
        <v>0</v>
      </c>
      <c r="J21" s="277">
        <f t="shared" si="4"/>
        <v>0</v>
      </c>
      <c r="K21" s="277">
        <f t="shared" si="4"/>
        <v>5</v>
      </c>
      <c r="L21" s="277">
        <f t="shared" si="4"/>
        <v>10</v>
      </c>
      <c r="M21" s="281">
        <f t="shared" si="4"/>
        <v>13</v>
      </c>
    </row>
    <row r="22" spans="1:13" ht="14.15" customHeight="1">
      <c r="A22" s="173" t="s">
        <v>38</v>
      </c>
      <c r="B22" s="57">
        <v>1500</v>
      </c>
      <c r="C22" s="131"/>
      <c r="D22" s="100"/>
      <c r="E22" s="100"/>
      <c r="F22" s="100"/>
      <c r="G22" s="210"/>
      <c r="H22" s="100"/>
      <c r="I22" s="188"/>
      <c r="J22" s="100"/>
      <c r="K22" s="100"/>
      <c r="L22" s="100"/>
      <c r="M22" s="188"/>
    </row>
    <row r="23" spans="1:13" ht="14.15" customHeight="1">
      <c r="A23" s="173" t="s">
        <v>39</v>
      </c>
      <c r="B23" s="846">
        <v>0.95</v>
      </c>
      <c r="C23" s="131"/>
      <c r="D23" s="184">
        <f>SUM($D$19:D19)*$B$22*$B$23</f>
        <v>0</v>
      </c>
      <c r="E23" s="184">
        <f>SUM($D$19:E19)*$B$22*$B$23</f>
        <v>0</v>
      </c>
      <c r="F23" s="184">
        <f>SUM($D$19:F19)*$B$22*$B$23</f>
        <v>0</v>
      </c>
      <c r="G23" s="211">
        <f>SUM($D$19:G19)*$B$22*$B$23</f>
        <v>0</v>
      </c>
      <c r="H23" s="184">
        <f>SUM($D$19:H19)*$B$22*$B$23</f>
        <v>0</v>
      </c>
      <c r="I23" s="189">
        <f>SUM($D$19:I19)*$B$22*$B$23</f>
        <v>0</v>
      </c>
      <c r="J23" s="184">
        <f>SUM($D$19:J19)*$B$22*$B$23</f>
        <v>86925</v>
      </c>
      <c r="K23" s="184">
        <f>SUM($D$19:K19)*$B$22*$B$23</f>
        <v>86925</v>
      </c>
      <c r="L23" s="184">
        <f>SUM($D$19:L19)*$B$22*$B$23</f>
        <v>86925</v>
      </c>
      <c r="M23" s="189">
        <f>SUM($D$19:M19)*$B$22*$B$23</f>
        <v>86925</v>
      </c>
    </row>
    <row r="24" spans="1:13" ht="14.15" customHeight="1">
      <c r="A24" s="173" t="s">
        <v>106</v>
      </c>
      <c r="B24" s="63"/>
      <c r="C24" s="205">
        <f>C14</f>
        <v>1.56</v>
      </c>
      <c r="D24" s="199">
        <f t="shared" ref="D24:M24" si="5">D14</f>
        <v>1.6068</v>
      </c>
      <c r="E24" s="199">
        <f t="shared" si="5"/>
        <v>1.6550039999999999</v>
      </c>
      <c r="F24" s="199">
        <f t="shared" si="5"/>
        <v>1.7046541200000001</v>
      </c>
      <c r="G24" s="212">
        <f t="shared" si="5"/>
        <v>1.7557937436</v>
      </c>
      <c r="H24" s="199">
        <f t="shared" si="5"/>
        <v>1.8084675559079999</v>
      </c>
      <c r="I24" s="200">
        <f t="shared" si="5"/>
        <v>1.8627215825852399</v>
      </c>
      <c r="J24" s="199">
        <f t="shared" si="5"/>
        <v>1.9186032300627973</v>
      </c>
      <c r="K24" s="199">
        <f t="shared" si="5"/>
        <v>1.9761613269646809</v>
      </c>
      <c r="L24" s="199">
        <f t="shared" si="5"/>
        <v>2.0354461667736214</v>
      </c>
      <c r="M24" s="200">
        <f t="shared" si="5"/>
        <v>2.0965095517768302</v>
      </c>
    </row>
    <row r="25" spans="1:13" ht="13" thickBot="1">
      <c r="A25" s="134" t="s">
        <v>40</v>
      </c>
      <c r="B25" s="190"/>
      <c r="C25" s="206"/>
      <c r="D25" s="191">
        <v>0</v>
      </c>
      <c r="E25" s="192">
        <f>D25</f>
        <v>0</v>
      </c>
      <c r="F25" s="190">
        <f>E25</f>
        <v>0</v>
      </c>
      <c r="G25" s="217">
        <v>0</v>
      </c>
      <c r="H25" s="193">
        <v>0</v>
      </c>
      <c r="I25" s="214">
        <v>0</v>
      </c>
      <c r="J25" s="190">
        <f>I25</f>
        <v>0</v>
      </c>
      <c r="K25" s="193">
        <v>0.35</v>
      </c>
      <c r="L25" s="193">
        <v>0.75</v>
      </c>
      <c r="M25" s="214">
        <v>0.93300000000000005</v>
      </c>
    </row>
    <row r="26" spans="1:13">
      <c r="A26" s="173"/>
      <c r="B26" s="101"/>
      <c r="C26" s="399"/>
      <c r="D26" s="321"/>
      <c r="E26" s="321"/>
      <c r="F26" s="122"/>
      <c r="G26" s="264"/>
      <c r="H26" s="101"/>
      <c r="I26" s="219"/>
      <c r="J26" s="101"/>
      <c r="K26" s="101"/>
      <c r="L26" s="101"/>
      <c r="M26" s="219"/>
    </row>
    <row r="27" spans="1:13" s="38" customFormat="1" ht="13">
      <c r="A27" s="61" t="s">
        <v>105</v>
      </c>
      <c r="B27" s="63"/>
      <c r="C27" s="131"/>
      <c r="D27" s="68"/>
      <c r="E27" s="68"/>
      <c r="F27" s="68"/>
      <c r="G27" s="62"/>
      <c r="H27" s="68"/>
      <c r="I27" s="105"/>
      <c r="J27" s="68"/>
      <c r="K27" s="68"/>
      <c r="L27" s="68"/>
      <c r="M27" s="105"/>
    </row>
    <row r="28" spans="1:13" s="38" customFormat="1">
      <c r="A28" s="173" t="s">
        <v>11</v>
      </c>
      <c r="B28" s="122">
        <v>0.03</v>
      </c>
      <c r="C28" s="130"/>
      <c r="D28" s="99"/>
      <c r="E28" s="99"/>
      <c r="F28" s="99"/>
      <c r="G28" s="133"/>
      <c r="H28" s="99"/>
      <c r="I28" s="104"/>
      <c r="J28" s="99"/>
      <c r="K28" s="99"/>
      <c r="L28" s="99"/>
      <c r="M28" s="104"/>
    </row>
    <row r="29" spans="1:13" s="38" customFormat="1">
      <c r="A29" s="173" t="s">
        <v>102</v>
      </c>
      <c r="B29" s="122"/>
      <c r="C29" s="131"/>
      <c r="D29" s="185">
        <f>ROUND(('Development Schedule'!E42*$B$33)/$B$32,0)</f>
        <v>0</v>
      </c>
      <c r="E29" s="185">
        <f>ROUND(('Development Schedule'!F42*$B$33)/$B$32,0)</f>
        <v>0</v>
      </c>
      <c r="F29" s="185">
        <f>ROUND(('Development Schedule'!G42*$B$33)/$B$32,0)</f>
        <v>0</v>
      </c>
      <c r="G29" s="208">
        <f>ROUND(('Development Schedule'!H42*$B$33)/$B$32,0)</f>
        <v>0</v>
      </c>
      <c r="H29" s="185">
        <f>ROUND(('Development Schedule'!I42*$B$33)/$B$32,0)</f>
        <v>0</v>
      </c>
      <c r="I29" s="187">
        <f>ROUND(('Development Schedule'!J42*$B$33)/$B$32,0)</f>
        <v>0</v>
      </c>
      <c r="J29" s="185">
        <f>ROUND(('Development Schedule'!K42*$B$33)/$B$32,0)</f>
        <v>74</v>
      </c>
      <c r="K29" s="185">
        <f>ROUND(('Development Schedule'!L42*$B$33)/$B$32,0)</f>
        <v>0</v>
      </c>
      <c r="L29" s="185">
        <f>ROUND(('Development Schedule'!M42*$B$33)/$B$32,0)</f>
        <v>0</v>
      </c>
      <c r="M29" s="187">
        <f>ROUND(('Development Schedule'!N42*$B$33)/$B$32,0)</f>
        <v>0</v>
      </c>
    </row>
    <row r="30" spans="1:13" s="38" customFormat="1">
      <c r="A30" s="173" t="s">
        <v>37</v>
      </c>
      <c r="B30" s="63"/>
      <c r="C30" s="131"/>
      <c r="D30" s="277">
        <f>ROUND(D35*$C$58,0)</f>
        <v>0</v>
      </c>
      <c r="E30" s="277">
        <f>E31-SUM($D$30:D30)</f>
        <v>0</v>
      </c>
      <c r="F30" s="277">
        <f>F31-SUM($D$30:E30)</f>
        <v>0</v>
      </c>
      <c r="G30" s="293">
        <f>G31-SUM($D$30:F30)</f>
        <v>0</v>
      </c>
      <c r="H30" s="277">
        <f>H31-SUM($D$30:G30)</f>
        <v>0</v>
      </c>
      <c r="I30" s="281">
        <f>I31-SUM($D$30:H30)</f>
        <v>0</v>
      </c>
      <c r="J30" s="277">
        <f>J31-SUM($D$30:I30)</f>
        <v>0</v>
      </c>
      <c r="K30" s="277">
        <f>K31-SUM($D$30:J30)</f>
        <v>21</v>
      </c>
      <c r="L30" s="277">
        <f>L31-SUM($D$30:K30)</f>
        <v>25</v>
      </c>
      <c r="M30" s="281">
        <f>M31-SUM($D$30:L30)</f>
        <v>11</v>
      </c>
    </row>
    <row r="31" spans="1:13" s="38" customFormat="1">
      <c r="A31" s="173" t="s">
        <v>103</v>
      </c>
      <c r="B31" s="57"/>
      <c r="C31" s="131"/>
      <c r="D31" s="277">
        <f t="shared" ref="D31:M31" si="6">ROUND(D35*$C$58,0)</f>
        <v>0</v>
      </c>
      <c r="E31" s="277">
        <f t="shared" si="6"/>
        <v>0</v>
      </c>
      <c r="F31" s="277">
        <f t="shared" si="6"/>
        <v>0</v>
      </c>
      <c r="G31" s="293">
        <f t="shared" si="6"/>
        <v>0</v>
      </c>
      <c r="H31" s="277">
        <f t="shared" si="6"/>
        <v>0</v>
      </c>
      <c r="I31" s="281">
        <f t="shared" si="6"/>
        <v>0</v>
      </c>
      <c r="J31" s="277">
        <f t="shared" si="6"/>
        <v>0</v>
      </c>
      <c r="K31" s="277">
        <f t="shared" si="6"/>
        <v>21</v>
      </c>
      <c r="L31" s="277">
        <f t="shared" si="6"/>
        <v>46</v>
      </c>
      <c r="M31" s="281">
        <f t="shared" si="6"/>
        <v>57</v>
      </c>
    </row>
    <row r="32" spans="1:13" s="38" customFormat="1">
      <c r="A32" s="173" t="s">
        <v>38</v>
      </c>
      <c r="B32" s="57">
        <v>1250</v>
      </c>
      <c r="C32" s="131"/>
      <c r="D32" s="100"/>
      <c r="E32" s="100"/>
      <c r="F32" s="100"/>
      <c r="G32" s="210"/>
      <c r="H32" s="100"/>
      <c r="I32" s="188"/>
      <c r="J32" s="100"/>
      <c r="K32" s="100"/>
      <c r="L32" s="100"/>
      <c r="M32" s="188"/>
    </row>
    <row r="33" spans="1:14" s="38" customFormat="1">
      <c r="A33" s="173" t="s">
        <v>39</v>
      </c>
      <c r="B33" s="846">
        <v>0.95</v>
      </c>
      <c r="C33" s="131"/>
      <c r="D33" s="184">
        <f>SUM($D$29:D29)*$B$32*$B$33</f>
        <v>0</v>
      </c>
      <c r="E33" s="184">
        <f>SUM($D$29:E29)*$B$32*$B$33</f>
        <v>0</v>
      </c>
      <c r="F33" s="184">
        <f>SUM($D$29:F29)*$B$32*$B$33</f>
        <v>0</v>
      </c>
      <c r="G33" s="211">
        <f>SUM($D$29:G29)*$B$32*$B$33</f>
        <v>0</v>
      </c>
      <c r="H33" s="184">
        <f>SUM($D$29:H29)*$B$32*$B$33</f>
        <v>0</v>
      </c>
      <c r="I33" s="189">
        <f>SUM($D$29:I29)*$B$32*$B$33</f>
        <v>0</v>
      </c>
      <c r="J33" s="184">
        <f>SUM($D$29:J29)*$B$32*$B$33</f>
        <v>87875</v>
      </c>
      <c r="K33" s="184">
        <f>SUM($D$29:K29)*$B$32*$B$33</f>
        <v>87875</v>
      </c>
      <c r="L33" s="184">
        <f>SUM($D$29:L29)*$B$32*$B$33</f>
        <v>87875</v>
      </c>
      <c r="M33" s="189">
        <f>SUM($D$29:M29)*$B$32*$B$33</f>
        <v>87875</v>
      </c>
    </row>
    <row r="34" spans="1:14" s="38" customFormat="1">
      <c r="A34" s="173" t="s">
        <v>106</v>
      </c>
      <c r="B34" s="63"/>
      <c r="C34" s="205">
        <f>C24</f>
        <v>1.56</v>
      </c>
      <c r="D34" s="199">
        <f t="shared" ref="D34:M34" si="7">D24</f>
        <v>1.6068</v>
      </c>
      <c r="E34" s="199">
        <f t="shared" si="7"/>
        <v>1.6550039999999999</v>
      </c>
      <c r="F34" s="199">
        <f t="shared" si="7"/>
        <v>1.7046541200000001</v>
      </c>
      <c r="G34" s="212">
        <f t="shared" si="7"/>
        <v>1.7557937436</v>
      </c>
      <c r="H34" s="199">
        <f t="shared" si="7"/>
        <v>1.8084675559079999</v>
      </c>
      <c r="I34" s="200">
        <f t="shared" si="7"/>
        <v>1.8627215825852399</v>
      </c>
      <c r="J34" s="199">
        <f t="shared" si="7"/>
        <v>1.9186032300627973</v>
      </c>
      <c r="K34" s="199">
        <f t="shared" si="7"/>
        <v>1.9761613269646809</v>
      </c>
      <c r="L34" s="199">
        <f t="shared" si="7"/>
        <v>2.0354461667736214</v>
      </c>
      <c r="M34" s="200">
        <f t="shared" si="7"/>
        <v>2.0965095517768302</v>
      </c>
    </row>
    <row r="35" spans="1:14" s="38" customFormat="1" ht="13" thickBot="1">
      <c r="A35" s="134" t="s">
        <v>40</v>
      </c>
      <c r="B35" s="190"/>
      <c r="C35" s="206"/>
      <c r="D35" s="191">
        <v>0</v>
      </c>
      <c r="E35" s="192">
        <f>D35</f>
        <v>0</v>
      </c>
      <c r="F35" s="190">
        <f>E35</f>
        <v>0</v>
      </c>
      <c r="G35" s="221">
        <f>F35</f>
        <v>0</v>
      </c>
      <c r="H35" s="193">
        <v>0</v>
      </c>
      <c r="I35" s="214">
        <v>0</v>
      </c>
      <c r="J35" s="193">
        <v>0</v>
      </c>
      <c r="K35" s="190">
        <v>0.35</v>
      </c>
      <c r="L35" s="190">
        <v>0.75</v>
      </c>
      <c r="M35" s="194">
        <v>0.93300000000000005</v>
      </c>
    </row>
    <row r="36" spans="1:14" ht="13.5" thickBot="1">
      <c r="A36" s="198" t="s">
        <v>0</v>
      </c>
      <c r="B36" s="195"/>
      <c r="C36" s="204"/>
      <c r="D36" s="242"/>
      <c r="E36" s="201"/>
      <c r="F36" s="201"/>
      <c r="G36" s="242"/>
      <c r="H36" s="201"/>
      <c r="I36" s="202"/>
      <c r="J36" s="201"/>
      <c r="K36" s="201"/>
      <c r="L36" s="201"/>
      <c r="M36" s="202"/>
    </row>
    <row r="37" spans="1:14" ht="14.15" customHeight="1">
      <c r="A37" s="173" t="s">
        <v>12</v>
      </c>
      <c r="B37" s="63"/>
      <c r="C37" s="260">
        <v>0</v>
      </c>
      <c r="D37" s="244">
        <f t="shared" ref="D37:M37" si="8">SUM(D11,D21,D31)*$B$12*D14*12</f>
        <v>0</v>
      </c>
      <c r="E37" s="245">
        <f t="shared" si="8"/>
        <v>0</v>
      </c>
      <c r="F37" s="245">
        <f t="shared" si="8"/>
        <v>0</v>
      </c>
      <c r="G37" s="244">
        <f t="shared" si="8"/>
        <v>0</v>
      </c>
      <c r="H37" s="245">
        <f t="shared" si="8"/>
        <v>0</v>
      </c>
      <c r="I37" s="246">
        <f t="shared" si="8"/>
        <v>0</v>
      </c>
      <c r="J37" s="230">
        <f t="shared" si="8"/>
        <v>230232.38760753567</v>
      </c>
      <c r="K37" s="230">
        <f t="shared" si="8"/>
        <v>1897114.8738860935</v>
      </c>
      <c r="L37" s="230">
        <f t="shared" si="8"/>
        <v>3566101.6841873843</v>
      </c>
      <c r="M37" s="233">
        <f t="shared" si="8"/>
        <v>4377511.9441100219</v>
      </c>
      <c r="N37" s="367"/>
    </row>
    <row r="38" spans="1:14" ht="14.15" customHeight="1">
      <c r="A38" s="234" t="s">
        <v>107</v>
      </c>
      <c r="B38" s="917">
        <v>0.25</v>
      </c>
      <c r="C38" s="262">
        <f>C37*-$B$38</f>
        <v>0</v>
      </c>
      <c r="D38" s="263">
        <f>D37*-$B$38</f>
        <v>0</v>
      </c>
      <c r="E38" s="232">
        <f t="shared" ref="E38:M38" si="9">E37*-$B$38</f>
        <v>0</v>
      </c>
      <c r="F38" s="232">
        <f t="shared" si="9"/>
        <v>0</v>
      </c>
      <c r="G38" s="263">
        <f t="shared" si="9"/>
        <v>0</v>
      </c>
      <c r="H38" s="232">
        <f t="shared" si="9"/>
        <v>0</v>
      </c>
      <c r="I38" s="235">
        <f t="shared" si="9"/>
        <v>0</v>
      </c>
      <c r="J38" s="232">
        <f t="shared" si="9"/>
        <v>-57558.096901883917</v>
      </c>
      <c r="K38" s="232">
        <f t="shared" si="9"/>
        <v>-474278.71847152337</v>
      </c>
      <c r="L38" s="232">
        <f t="shared" si="9"/>
        <v>-891525.42104684608</v>
      </c>
      <c r="M38" s="235">
        <f t="shared" si="9"/>
        <v>-1094377.9860275055</v>
      </c>
    </row>
    <row r="39" spans="1:14" ht="14.15" customHeight="1" thickBot="1">
      <c r="A39" s="805" t="s">
        <v>5</v>
      </c>
      <c r="B39" s="66"/>
      <c r="C39" s="258">
        <f>SUM(C37:C38)</f>
        <v>0</v>
      </c>
      <c r="D39" s="259">
        <f>SUM(D37:D38)</f>
        <v>0</v>
      </c>
      <c r="E39" s="236">
        <f t="shared" ref="E39:M39" si="10">SUM(E37:E38)</f>
        <v>0</v>
      </c>
      <c r="F39" s="236">
        <f t="shared" si="10"/>
        <v>0</v>
      </c>
      <c r="G39" s="259">
        <f t="shared" si="10"/>
        <v>0</v>
      </c>
      <c r="H39" s="236">
        <f t="shared" si="10"/>
        <v>0</v>
      </c>
      <c r="I39" s="237">
        <f t="shared" si="10"/>
        <v>0</v>
      </c>
      <c r="J39" s="236">
        <f t="shared" si="10"/>
        <v>172674.29070565174</v>
      </c>
      <c r="K39" s="236">
        <f t="shared" si="10"/>
        <v>1422836.1554145701</v>
      </c>
      <c r="L39" s="236">
        <f t="shared" si="10"/>
        <v>2674576.2631405382</v>
      </c>
      <c r="M39" s="237">
        <f t="shared" si="10"/>
        <v>3283133.9580825167</v>
      </c>
    </row>
    <row r="40" spans="1:14" ht="13.5" thickBot="1">
      <c r="A40" s="198" t="s">
        <v>2</v>
      </c>
      <c r="B40" s="195"/>
      <c r="C40" s="204"/>
      <c r="D40" s="242"/>
      <c r="E40" s="201"/>
      <c r="F40" s="201"/>
      <c r="G40" s="242"/>
      <c r="H40" s="201"/>
      <c r="I40" s="202"/>
      <c r="J40" s="201"/>
      <c r="K40" s="201"/>
      <c r="L40" s="201"/>
      <c r="M40" s="202"/>
    </row>
    <row r="41" spans="1:14">
      <c r="A41" s="173" t="s">
        <v>108</v>
      </c>
      <c r="B41" s="63"/>
      <c r="C41" s="220">
        <f>'Development Costs'!E6</f>
        <v>217</v>
      </c>
      <c r="D41" s="212">
        <f t="shared" ref="D41:M41" si="11">$C$41*(1+$B$8)^D4</f>
        <v>223.51000000000002</v>
      </c>
      <c r="E41" s="199">
        <f t="shared" si="11"/>
        <v>230.21529999999998</v>
      </c>
      <c r="F41" s="199">
        <f t="shared" si="11"/>
        <v>237.121759</v>
      </c>
      <c r="G41" s="212">
        <f t="shared" si="11"/>
        <v>244.23541176999998</v>
      </c>
      <c r="H41" s="199">
        <f t="shared" si="11"/>
        <v>251.56247412309997</v>
      </c>
      <c r="I41" s="200">
        <f t="shared" si="11"/>
        <v>259.10934834679296</v>
      </c>
      <c r="J41" s="199">
        <f t="shared" si="11"/>
        <v>266.88262879719679</v>
      </c>
      <c r="K41" s="199">
        <f t="shared" si="11"/>
        <v>274.88910766111263</v>
      </c>
      <c r="L41" s="199">
        <f t="shared" si="11"/>
        <v>283.13578089094602</v>
      </c>
      <c r="M41" s="200">
        <f t="shared" si="11"/>
        <v>291.62985431767441</v>
      </c>
    </row>
    <row r="42" spans="1:14" ht="14.15" customHeight="1">
      <c r="A42" s="173" t="s">
        <v>13</v>
      </c>
      <c r="B42" s="63"/>
      <c r="C42" s="255">
        <f>C43/SUM($C$43:$M$43)</f>
        <v>0</v>
      </c>
      <c r="D42" s="256">
        <f t="shared" ref="D42:M42" si="12">D43/SUM($C$43:$M$43)</f>
        <v>0</v>
      </c>
      <c r="E42" s="186">
        <f t="shared" si="12"/>
        <v>0</v>
      </c>
      <c r="F42" s="186">
        <f t="shared" si="12"/>
        <v>0</v>
      </c>
      <c r="G42" s="256">
        <f t="shared" si="12"/>
        <v>0</v>
      </c>
      <c r="H42" s="186">
        <f t="shared" si="12"/>
        <v>0.23923894134266688</v>
      </c>
      <c r="I42" s="240">
        <f t="shared" si="12"/>
        <v>0</v>
      </c>
      <c r="J42" s="186">
        <f t="shared" si="12"/>
        <v>0.76076105865733312</v>
      </c>
      <c r="K42" s="186">
        <f t="shared" si="12"/>
        <v>0</v>
      </c>
      <c r="L42" s="186">
        <f t="shared" si="12"/>
        <v>0</v>
      </c>
      <c r="M42" s="240">
        <f t="shared" si="12"/>
        <v>0</v>
      </c>
    </row>
    <row r="43" spans="1:14" ht="14.15" customHeight="1">
      <c r="A43" s="173" t="s">
        <v>2</v>
      </c>
      <c r="B43" s="63"/>
      <c r="C43" s="159">
        <f>C41*'Development Schedule'!D52</f>
        <v>0</v>
      </c>
      <c r="D43" s="322">
        <f>D41*'Development Schedule'!E52</f>
        <v>0</v>
      </c>
      <c r="E43" s="323">
        <f>E41*'Development Schedule'!F52</f>
        <v>0</v>
      </c>
      <c r="F43" s="323">
        <f>F41*'Development Schedule'!G52</f>
        <v>0</v>
      </c>
      <c r="G43" s="322">
        <f>G41*'Development Schedule'!H52</f>
        <v>0</v>
      </c>
      <c r="H43" s="323">
        <f>H41*'Development Schedule'!I52</f>
        <v>9931938.0408541095</v>
      </c>
      <c r="I43" s="324">
        <f>I41*'Development Schedule'!J52</f>
        <v>0</v>
      </c>
      <c r="J43" s="323">
        <f>J41*'Development Schedule'!K52</f>
        <v>31582783.538808752</v>
      </c>
      <c r="K43" s="323">
        <f>K41*'Development Schedule'!L52</f>
        <v>0</v>
      </c>
      <c r="L43" s="323">
        <f>L41*'Development Schedule'!M52</f>
        <v>0</v>
      </c>
      <c r="M43" s="324">
        <f>M41*'Development Schedule'!N52</f>
        <v>0</v>
      </c>
    </row>
    <row r="44" spans="1:14" ht="14.15" customHeight="1" thickBot="1">
      <c r="A44" s="805" t="s">
        <v>3</v>
      </c>
      <c r="B44" s="66"/>
      <c r="C44" s="258">
        <f>C43</f>
        <v>0</v>
      </c>
      <c r="D44" s="259">
        <f t="shared" ref="D44:M44" si="13">D43</f>
        <v>0</v>
      </c>
      <c r="E44" s="236">
        <f t="shared" si="13"/>
        <v>0</v>
      </c>
      <c r="F44" s="236">
        <f t="shared" si="13"/>
        <v>0</v>
      </c>
      <c r="G44" s="259">
        <f t="shared" si="13"/>
        <v>0</v>
      </c>
      <c r="H44" s="236">
        <f t="shared" si="13"/>
        <v>9931938.0408541095</v>
      </c>
      <c r="I44" s="237">
        <f t="shared" si="13"/>
        <v>0</v>
      </c>
      <c r="J44" s="236">
        <f t="shared" si="13"/>
        <v>31582783.538808752</v>
      </c>
      <c r="K44" s="236">
        <f t="shared" si="13"/>
        <v>0</v>
      </c>
      <c r="L44" s="236">
        <f t="shared" si="13"/>
        <v>0</v>
      </c>
      <c r="M44" s="237">
        <f t="shared" si="13"/>
        <v>0</v>
      </c>
    </row>
    <row r="45" spans="1:14" ht="13.5" thickBot="1">
      <c r="A45" s="198" t="s">
        <v>4</v>
      </c>
      <c r="B45" s="195"/>
      <c r="C45" s="204"/>
      <c r="D45" s="242"/>
      <c r="E45" s="201"/>
      <c r="F45" s="201"/>
      <c r="G45" s="242"/>
      <c r="H45" s="201"/>
      <c r="I45" s="202"/>
      <c r="J45" s="201"/>
      <c r="K45" s="201"/>
      <c r="L45" s="201"/>
      <c r="M45" s="202"/>
    </row>
    <row r="46" spans="1:14" ht="14.15" customHeight="1">
      <c r="A46" s="173" t="s">
        <v>5</v>
      </c>
      <c r="B46" s="63"/>
      <c r="C46" s="243">
        <f t="shared" ref="C46:M46" si="14">C39</f>
        <v>0</v>
      </c>
      <c r="D46" s="244">
        <f t="shared" si="14"/>
        <v>0</v>
      </c>
      <c r="E46" s="245">
        <f t="shared" si="14"/>
        <v>0</v>
      </c>
      <c r="F46" s="245">
        <f t="shared" si="14"/>
        <v>0</v>
      </c>
      <c r="G46" s="244">
        <f t="shared" si="14"/>
        <v>0</v>
      </c>
      <c r="H46" s="245">
        <f t="shared" si="14"/>
        <v>0</v>
      </c>
      <c r="I46" s="246">
        <f t="shared" si="14"/>
        <v>0</v>
      </c>
      <c r="J46" s="230">
        <f t="shared" si="14"/>
        <v>172674.29070565174</v>
      </c>
      <c r="K46" s="230">
        <f t="shared" si="14"/>
        <v>1422836.1554145701</v>
      </c>
      <c r="L46" s="230">
        <f t="shared" si="14"/>
        <v>2674576.2631405382</v>
      </c>
      <c r="M46" s="233">
        <f t="shared" si="14"/>
        <v>3283133.9580825167</v>
      </c>
    </row>
    <row r="47" spans="1:14" ht="14.15" customHeight="1">
      <c r="A47" s="173" t="s">
        <v>57</v>
      </c>
      <c r="B47" s="101">
        <f>D61</f>
        <v>5.5E-2</v>
      </c>
      <c r="C47" s="143">
        <v>0</v>
      </c>
      <c r="D47" s="247">
        <f>C47</f>
        <v>0</v>
      </c>
      <c r="E47" s="238">
        <f t="shared" ref="E47:L48" si="15">D47</f>
        <v>0</v>
      </c>
      <c r="F47" s="238">
        <f t="shared" si="15"/>
        <v>0</v>
      </c>
      <c r="G47" s="247">
        <f t="shared" si="15"/>
        <v>0</v>
      </c>
      <c r="H47" s="238">
        <f t="shared" si="15"/>
        <v>0</v>
      </c>
      <c r="I47" s="248">
        <f t="shared" si="15"/>
        <v>0</v>
      </c>
      <c r="J47" s="238">
        <f t="shared" si="15"/>
        <v>0</v>
      </c>
      <c r="K47" s="238">
        <f t="shared" si="15"/>
        <v>0</v>
      </c>
      <c r="L47" s="238">
        <f t="shared" si="15"/>
        <v>0</v>
      </c>
      <c r="M47" s="248">
        <f>M46/B47</f>
        <v>59693344.692409396</v>
      </c>
    </row>
    <row r="48" spans="1:14" ht="14.15" customHeight="1">
      <c r="A48" s="173" t="s">
        <v>58</v>
      </c>
      <c r="B48" s="101">
        <f>D62</f>
        <v>0.03</v>
      </c>
      <c r="C48" s="143">
        <v>0</v>
      </c>
      <c r="D48" s="247">
        <f>C48</f>
        <v>0</v>
      </c>
      <c r="E48" s="238">
        <f t="shared" si="15"/>
        <v>0</v>
      </c>
      <c r="F48" s="238">
        <f t="shared" si="15"/>
        <v>0</v>
      </c>
      <c r="G48" s="247">
        <f t="shared" si="15"/>
        <v>0</v>
      </c>
      <c r="H48" s="238">
        <f t="shared" si="15"/>
        <v>0</v>
      </c>
      <c r="I48" s="248">
        <f t="shared" si="15"/>
        <v>0</v>
      </c>
      <c r="J48" s="238">
        <f t="shared" si="15"/>
        <v>0</v>
      </c>
      <c r="K48" s="238">
        <f t="shared" si="15"/>
        <v>0</v>
      </c>
      <c r="L48" s="238">
        <f t="shared" si="15"/>
        <v>0</v>
      </c>
      <c r="M48" s="248">
        <f>M47*-B48</f>
        <v>-1790800.3407722819</v>
      </c>
    </row>
    <row r="49" spans="1:13" ht="14.15" customHeight="1">
      <c r="A49" s="234" t="s">
        <v>109</v>
      </c>
      <c r="B49" s="239"/>
      <c r="C49" s="262">
        <f>-C44</f>
        <v>0</v>
      </c>
      <c r="D49" s="263">
        <f t="shared" ref="D49:M49" si="16">-D44</f>
        <v>0</v>
      </c>
      <c r="E49" s="232">
        <f t="shared" si="16"/>
        <v>0</v>
      </c>
      <c r="F49" s="232">
        <f t="shared" si="16"/>
        <v>0</v>
      </c>
      <c r="G49" s="263">
        <f t="shared" si="16"/>
        <v>0</v>
      </c>
      <c r="H49" s="232">
        <f t="shared" si="16"/>
        <v>-9931938.0408541095</v>
      </c>
      <c r="I49" s="235">
        <f t="shared" si="16"/>
        <v>0</v>
      </c>
      <c r="J49" s="232">
        <f t="shared" si="16"/>
        <v>-31582783.538808752</v>
      </c>
      <c r="K49" s="232">
        <f t="shared" si="16"/>
        <v>0</v>
      </c>
      <c r="L49" s="232">
        <f t="shared" si="16"/>
        <v>0</v>
      </c>
      <c r="M49" s="235">
        <f t="shared" si="16"/>
        <v>0</v>
      </c>
    </row>
    <row r="50" spans="1:13" ht="13.5" thickBot="1">
      <c r="A50" s="110" t="s">
        <v>6</v>
      </c>
      <c r="B50" s="66"/>
      <c r="C50" s="258">
        <f>SUM(C46:C49)</f>
        <v>0</v>
      </c>
      <c r="D50" s="306">
        <f t="shared" ref="D50:M50" si="17">SUM(D46:D49)</f>
        <v>0</v>
      </c>
      <c r="E50" s="307">
        <f t="shared" si="17"/>
        <v>0</v>
      </c>
      <c r="F50" s="307">
        <f t="shared" si="17"/>
        <v>0</v>
      </c>
      <c r="G50" s="306">
        <f t="shared" si="17"/>
        <v>0</v>
      </c>
      <c r="H50" s="307">
        <f t="shared" si="17"/>
        <v>-9931938.0408541095</v>
      </c>
      <c r="I50" s="308">
        <f t="shared" si="17"/>
        <v>0</v>
      </c>
      <c r="J50" s="307">
        <f t="shared" si="17"/>
        <v>-31410109.248103101</v>
      </c>
      <c r="K50" s="307">
        <f t="shared" si="17"/>
        <v>1422836.1554145701</v>
      </c>
      <c r="L50" s="307">
        <f t="shared" si="17"/>
        <v>2674576.2631405382</v>
      </c>
      <c r="M50" s="308">
        <f t="shared" si="17"/>
        <v>61185678.309719637</v>
      </c>
    </row>
    <row r="51" spans="1:13" ht="13.5" thickBot="1">
      <c r="A51" s="109" t="s">
        <v>26</v>
      </c>
      <c r="B51" s="98"/>
      <c r="C51" s="252">
        <f>C50+NPV(D63,D50:M50)</f>
        <v>4153530.7906515892</v>
      </c>
      <c r="D51" s="266"/>
      <c r="E51" s="267"/>
      <c r="F51" s="267"/>
      <c r="G51" s="266"/>
      <c r="H51" s="267"/>
      <c r="I51" s="268"/>
      <c r="J51" s="267"/>
      <c r="K51" s="267"/>
      <c r="L51" s="267"/>
      <c r="M51" s="268"/>
    </row>
    <row r="52" spans="1:13" ht="13.5" thickBot="1">
      <c r="A52" s="80" t="s">
        <v>59</v>
      </c>
      <c r="B52" s="153"/>
      <c r="C52" s="269">
        <f>IRR(C50:M50,0)</f>
        <v>0.14211619833282296</v>
      </c>
      <c r="D52" s="251"/>
      <c r="E52" s="153"/>
      <c r="F52" s="153"/>
      <c r="G52" s="251"/>
      <c r="H52" s="153"/>
      <c r="I52" s="172"/>
      <c r="J52" s="153"/>
      <c r="K52" s="153"/>
      <c r="L52" s="153"/>
      <c r="M52" s="172"/>
    </row>
    <row r="53" spans="1:13" ht="13" thickBot="1">
      <c r="A53" s="38"/>
      <c r="B53" s="56"/>
      <c r="C53" s="56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3.5" thickBot="1">
      <c r="A54" s="183" t="s">
        <v>101</v>
      </c>
      <c r="B54" s="158"/>
      <c r="C54" s="158"/>
      <c r="D54" s="158"/>
      <c r="E54" s="182"/>
      <c r="F54" s="38"/>
      <c r="G54" s="38"/>
      <c r="H54" s="38"/>
      <c r="I54" s="38"/>
      <c r="J54" s="38"/>
      <c r="K54" s="38"/>
      <c r="L54" s="38"/>
      <c r="M54" s="38"/>
    </row>
    <row r="55" spans="1:13" ht="13.5" thickBot="1">
      <c r="A55" s="123"/>
      <c r="B55" s="203"/>
      <c r="C55" s="373" t="s">
        <v>99</v>
      </c>
      <c r="D55" s="373" t="s">
        <v>121</v>
      </c>
      <c r="E55" s="443" t="s">
        <v>120</v>
      </c>
      <c r="F55" s="38"/>
      <c r="G55" s="38"/>
      <c r="H55" s="38"/>
      <c r="I55" s="38"/>
      <c r="J55" s="38"/>
      <c r="K55" s="38"/>
      <c r="L55" s="38"/>
      <c r="M55" s="38"/>
    </row>
    <row r="56" spans="1:13">
      <c r="A56" s="123" t="s">
        <v>509</v>
      </c>
      <c r="B56" s="203"/>
      <c r="C56" s="847">
        <f>D56/$B$12</f>
        <v>18.753474999999998</v>
      </c>
      <c r="D56" s="492">
        <f>E56*B13</f>
        <v>37506.949999999997</v>
      </c>
      <c r="E56" s="418">
        <f>'Development Schedule'!C27</f>
        <v>39481</v>
      </c>
      <c r="F56" s="38"/>
      <c r="G56" s="38"/>
      <c r="H56" s="38"/>
      <c r="I56" s="38"/>
      <c r="J56" s="38"/>
      <c r="K56" s="38"/>
      <c r="L56" s="38"/>
      <c r="M56" s="38"/>
    </row>
    <row r="57" spans="1:13">
      <c r="A57" s="62" t="s">
        <v>513</v>
      </c>
      <c r="B57" s="63"/>
      <c r="C57" s="277">
        <f>D57/$B$22</f>
        <v>13.68</v>
      </c>
      <c r="D57" s="317">
        <f>E57*B23</f>
        <v>20520</v>
      </c>
      <c r="E57" s="227">
        <f>'Development Schedule'!C38</f>
        <v>21600</v>
      </c>
      <c r="F57" s="38"/>
      <c r="G57" s="38"/>
      <c r="H57" s="38"/>
      <c r="I57" s="38"/>
      <c r="J57" s="38"/>
      <c r="K57" s="38"/>
      <c r="L57" s="38"/>
      <c r="M57" s="38"/>
    </row>
    <row r="58" spans="1:13" ht="13" thickBot="1">
      <c r="A58" s="65" t="s">
        <v>538</v>
      </c>
      <c r="B58" s="66"/>
      <c r="C58" s="816">
        <f>D58/$B$22</f>
        <v>61.268413333333328</v>
      </c>
      <c r="D58" s="848">
        <f>E58*B33</f>
        <v>91902.62</v>
      </c>
      <c r="E58" s="228">
        <f>'Development Schedule'!C42</f>
        <v>96739.6</v>
      </c>
      <c r="F58" s="38"/>
      <c r="G58" s="38"/>
      <c r="H58" s="38"/>
      <c r="I58" s="38"/>
      <c r="J58" s="38"/>
      <c r="K58" s="38"/>
      <c r="L58" s="38"/>
      <c r="M58" s="38"/>
    </row>
    <row r="59" spans="1:13" ht="13" thickBot="1">
      <c r="A59" s="38"/>
      <c r="B59" s="56"/>
      <c r="C59" s="56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3.5" thickBot="1">
      <c r="A60" s="183" t="s">
        <v>110</v>
      </c>
      <c r="B60" s="253"/>
      <c r="C60" s="253"/>
      <c r="D60" s="254"/>
      <c r="E60" s="38"/>
      <c r="F60" s="38"/>
      <c r="G60" s="38"/>
      <c r="H60" s="38"/>
      <c r="I60" s="38"/>
      <c r="J60" s="38"/>
      <c r="K60" s="38"/>
      <c r="L60" s="38"/>
      <c r="M60" s="38"/>
    </row>
    <row r="61" spans="1:13">
      <c r="A61" s="62" t="s">
        <v>111</v>
      </c>
      <c r="B61" s="63"/>
      <c r="C61" s="63"/>
      <c r="D61" s="216">
        <v>5.5E-2</v>
      </c>
      <c r="E61" s="38"/>
      <c r="F61" s="38"/>
      <c r="G61" s="38"/>
      <c r="H61" s="38"/>
      <c r="I61" s="38"/>
      <c r="J61" s="38"/>
      <c r="K61" s="38"/>
      <c r="L61" s="38"/>
      <c r="M61" s="38"/>
    </row>
    <row r="62" spans="1:13">
      <c r="A62" s="62" t="s">
        <v>112</v>
      </c>
      <c r="B62" s="63"/>
      <c r="C62" s="63"/>
      <c r="D62" s="216">
        <v>0.03</v>
      </c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13" thickBot="1">
      <c r="A63" s="65" t="s">
        <v>97</v>
      </c>
      <c r="B63" s="66"/>
      <c r="C63" s="66"/>
      <c r="D63" s="214">
        <v>0.09</v>
      </c>
      <c r="E63" s="38"/>
      <c r="F63" s="38"/>
      <c r="G63" s="38"/>
      <c r="H63" s="38"/>
      <c r="I63" s="38"/>
      <c r="J63" s="38"/>
      <c r="K63" s="38"/>
      <c r="L63" s="38"/>
      <c r="M63" s="38"/>
    </row>
    <row r="64" spans="1:13">
      <c r="A64" s="38"/>
      <c r="B64" s="56"/>
      <c r="C64" s="56"/>
      <c r="D64" s="38"/>
      <c r="E64" s="38"/>
      <c r="F64" s="38"/>
      <c r="G64" s="38"/>
      <c r="H64" s="38"/>
      <c r="I64" s="38"/>
      <c r="J64" s="38"/>
      <c r="K64" s="38"/>
      <c r="L64" s="38"/>
      <c r="M64" s="38"/>
    </row>
  </sheetData>
  <phoneticPr fontId="4" type="noConversion"/>
  <printOptions horizontalCentered="1"/>
  <pageMargins left="0.5" right="0.5" top="1" bottom="0.5" header="0.5" footer="0.5"/>
  <pageSetup scale="69" fitToHeight="2" orientation="landscape" r:id="rId1"/>
  <headerFooter alignWithMargins="0">
    <oddHeader>&amp;L&amp;"Arial,Bold"4. Income Statement: Affordable Rental Housing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6"/>
  <sheetViews>
    <sheetView view="pageBreakPreview" zoomScale="85" zoomScaleNormal="100" zoomScaleSheetLayoutView="85" workbookViewId="0">
      <selection activeCell="C40" sqref="C40"/>
    </sheetView>
  </sheetViews>
  <sheetFormatPr defaultColWidth="9.1796875" defaultRowHeight="12.5" outlineLevelRow="1"/>
  <cols>
    <col min="1" max="1" width="23.453125" style="89" customWidth="1"/>
    <col min="2" max="2" width="12.81640625" style="90" customWidth="1"/>
    <col min="3" max="3" width="13.7265625" style="90" customWidth="1"/>
    <col min="4" max="13" width="13.7265625" style="89" customWidth="1"/>
    <col min="14" max="16384" width="9.1796875" style="89"/>
  </cols>
  <sheetData>
    <row r="1" spans="1:13" ht="14.15" customHeight="1" thickBot="1">
      <c r="A1" s="38"/>
      <c r="B1" s="56"/>
      <c r="C1" s="56"/>
      <c r="D1" s="38"/>
      <c r="E1" s="38"/>
      <c r="F1" s="38"/>
      <c r="G1" s="38"/>
      <c r="H1" s="38"/>
      <c r="I1" s="38"/>
      <c r="J1" s="38"/>
      <c r="K1" s="38"/>
      <c r="L1" s="135" t="s">
        <v>98</v>
      </c>
      <c r="M1" s="319">
        <f>'1.Infrastructure Costs'!$N$1</f>
        <v>202</v>
      </c>
    </row>
    <row r="2" spans="1:13" ht="14.15" customHeight="1" thickBot="1">
      <c r="A2" s="38"/>
      <c r="B2" s="56"/>
      <c r="C2" s="56"/>
      <c r="D2" s="38"/>
      <c r="E2" s="38"/>
      <c r="F2" s="38"/>
      <c r="G2" s="38"/>
      <c r="H2" s="38"/>
      <c r="I2" s="38"/>
      <c r="J2" s="38"/>
      <c r="K2" s="38"/>
      <c r="L2" s="337"/>
      <c r="M2" s="338"/>
    </row>
    <row r="3" spans="1:13" ht="14.15" customHeight="1" thickBot="1">
      <c r="A3" s="123"/>
      <c r="B3" s="203"/>
      <c r="C3" s="44" t="s">
        <v>55</v>
      </c>
      <c r="D3" s="96" t="s">
        <v>36</v>
      </c>
      <c r="E3" s="97"/>
      <c r="F3" s="41"/>
      <c r="G3" s="96" t="s">
        <v>77</v>
      </c>
      <c r="H3" s="144"/>
      <c r="I3" s="41"/>
      <c r="J3" s="96" t="s">
        <v>78</v>
      </c>
      <c r="K3" s="39"/>
      <c r="L3" s="40"/>
      <c r="M3" s="41"/>
    </row>
    <row r="4" spans="1:13" ht="14.15" customHeight="1" thickBot="1">
      <c r="A4" s="62"/>
      <c r="B4" s="63"/>
      <c r="C4" s="286">
        <v>0</v>
      </c>
      <c r="D4" s="94">
        <f>C4+1</f>
        <v>1</v>
      </c>
      <c r="E4" s="93">
        <f t="shared" ref="E4:M5" si="0">D4+1</f>
        <v>2</v>
      </c>
      <c r="F4" s="95">
        <f t="shared" si="0"/>
        <v>3</v>
      </c>
      <c r="G4" s="94">
        <f t="shared" si="0"/>
        <v>4</v>
      </c>
      <c r="H4" s="136">
        <f t="shared" si="0"/>
        <v>5</v>
      </c>
      <c r="I4" s="95">
        <f t="shared" si="0"/>
        <v>6</v>
      </c>
      <c r="J4" s="94">
        <f t="shared" si="0"/>
        <v>7</v>
      </c>
      <c r="K4" s="93">
        <f t="shared" si="0"/>
        <v>8</v>
      </c>
      <c r="L4" s="93">
        <f t="shared" si="0"/>
        <v>9</v>
      </c>
      <c r="M4" s="95">
        <f t="shared" si="0"/>
        <v>10</v>
      </c>
    </row>
    <row r="5" spans="1:13" ht="14.15" customHeight="1" thickBot="1">
      <c r="A5" s="62"/>
      <c r="B5" s="339"/>
      <c r="C5" s="342" t="s">
        <v>379</v>
      </c>
      <c r="D5" s="333">
        <v>2022</v>
      </c>
      <c r="E5" s="334">
        <f>D5+1</f>
        <v>2023</v>
      </c>
      <c r="F5" s="336">
        <f t="shared" si="0"/>
        <v>2024</v>
      </c>
      <c r="G5" s="335">
        <f t="shared" si="0"/>
        <v>2025</v>
      </c>
      <c r="H5" s="334">
        <f t="shared" si="0"/>
        <v>2026</v>
      </c>
      <c r="I5" s="336">
        <f t="shared" si="0"/>
        <v>2027</v>
      </c>
      <c r="J5" s="335">
        <f t="shared" si="0"/>
        <v>2028</v>
      </c>
      <c r="K5" s="334">
        <f t="shared" si="0"/>
        <v>2029</v>
      </c>
      <c r="L5" s="334">
        <f>K5+1</f>
        <v>2030</v>
      </c>
      <c r="M5" s="336">
        <f>L5+1</f>
        <v>2031</v>
      </c>
    </row>
    <row r="6" spans="1:13" ht="13.5" thickBot="1">
      <c r="A6" s="198" t="s">
        <v>10</v>
      </c>
      <c r="B6" s="195"/>
      <c r="C6" s="287"/>
      <c r="D6" s="207"/>
      <c r="E6" s="196"/>
      <c r="F6" s="197"/>
      <c r="G6" s="207"/>
      <c r="H6" s="196"/>
      <c r="I6" s="197"/>
      <c r="J6" s="207"/>
      <c r="K6" s="196"/>
      <c r="L6" s="196"/>
      <c r="M6" s="197"/>
    </row>
    <row r="7" spans="1:13" ht="13">
      <c r="A7" s="313" t="str">
        <f>A55</f>
        <v>Office (LTE West)</v>
      </c>
      <c r="B7" s="203"/>
      <c r="C7" s="343"/>
      <c r="D7" s="123"/>
      <c r="E7" s="315"/>
      <c r="F7" s="316"/>
      <c r="G7" s="123"/>
      <c r="H7" s="315"/>
      <c r="I7" s="316"/>
      <c r="J7" s="123"/>
      <c r="K7" s="315"/>
      <c r="L7" s="315"/>
      <c r="M7" s="316"/>
    </row>
    <row r="8" spans="1:13" ht="14.15" customHeight="1">
      <c r="A8" s="173" t="s">
        <v>11</v>
      </c>
      <c r="B8" s="122">
        <v>0.03</v>
      </c>
      <c r="C8" s="288"/>
      <c r="D8" s="133"/>
      <c r="E8" s="99"/>
      <c r="F8" s="104"/>
      <c r="G8" s="133"/>
      <c r="H8" s="99"/>
      <c r="I8" s="104"/>
      <c r="J8" s="133"/>
      <c r="K8" s="99"/>
      <c r="L8" s="99"/>
      <c r="M8" s="104"/>
    </row>
    <row r="9" spans="1:13" ht="14.15" customHeight="1">
      <c r="A9" s="173" t="s">
        <v>118</v>
      </c>
      <c r="B9" s="63"/>
      <c r="C9" s="318">
        <v>0</v>
      </c>
      <c r="D9" s="211">
        <f>C9</f>
        <v>0</v>
      </c>
      <c r="E9" s="184">
        <f>C55</f>
        <v>98408.700000000012</v>
      </c>
      <c r="F9" s="189">
        <f t="shared" ref="F9:M9" si="1">E9</f>
        <v>98408.700000000012</v>
      </c>
      <c r="G9" s="211">
        <f t="shared" si="1"/>
        <v>98408.700000000012</v>
      </c>
      <c r="H9" s="184">
        <f t="shared" si="1"/>
        <v>98408.700000000012</v>
      </c>
      <c r="I9" s="189">
        <f t="shared" si="1"/>
        <v>98408.700000000012</v>
      </c>
      <c r="J9" s="211">
        <f t="shared" si="1"/>
        <v>98408.700000000012</v>
      </c>
      <c r="K9" s="184">
        <f t="shared" si="1"/>
        <v>98408.700000000012</v>
      </c>
      <c r="L9" s="184">
        <f t="shared" si="1"/>
        <v>98408.700000000012</v>
      </c>
      <c r="M9" s="189">
        <f t="shared" si="1"/>
        <v>98408.700000000012</v>
      </c>
    </row>
    <row r="10" spans="1:13" ht="14.15" customHeight="1">
      <c r="A10" s="173" t="s">
        <v>39</v>
      </c>
      <c r="B10" s="122">
        <v>0.9</v>
      </c>
      <c r="C10" s="318">
        <f>C9*B10</f>
        <v>0</v>
      </c>
      <c r="D10" s="211">
        <f>C10</f>
        <v>0</v>
      </c>
      <c r="E10" s="184">
        <f>E9*B10</f>
        <v>88567.830000000016</v>
      </c>
      <c r="F10" s="189">
        <f t="shared" ref="F10:M10" si="2">E10</f>
        <v>88567.830000000016</v>
      </c>
      <c r="G10" s="211">
        <f t="shared" si="2"/>
        <v>88567.830000000016</v>
      </c>
      <c r="H10" s="184">
        <f t="shared" si="2"/>
        <v>88567.830000000016</v>
      </c>
      <c r="I10" s="189">
        <f t="shared" si="2"/>
        <v>88567.830000000016</v>
      </c>
      <c r="J10" s="211">
        <f t="shared" si="2"/>
        <v>88567.830000000016</v>
      </c>
      <c r="K10" s="184">
        <f t="shared" si="2"/>
        <v>88567.830000000016</v>
      </c>
      <c r="L10" s="184">
        <f t="shared" si="2"/>
        <v>88567.830000000016</v>
      </c>
      <c r="M10" s="189">
        <f t="shared" si="2"/>
        <v>88567.830000000016</v>
      </c>
    </row>
    <row r="11" spans="1:13" ht="14.15" customHeight="1">
      <c r="A11" s="173" t="s">
        <v>44</v>
      </c>
      <c r="B11" s="98"/>
      <c r="C11" s="218">
        <v>0</v>
      </c>
      <c r="D11" s="264">
        <v>0</v>
      </c>
      <c r="E11" s="101">
        <v>0.1</v>
      </c>
      <c r="F11" s="219">
        <f t="shared" ref="F11:M11" si="3">E11</f>
        <v>0.1</v>
      </c>
      <c r="G11" s="264">
        <f t="shared" si="3"/>
        <v>0.1</v>
      </c>
      <c r="H11" s="101">
        <f t="shared" si="3"/>
        <v>0.1</v>
      </c>
      <c r="I11" s="219">
        <f t="shared" si="3"/>
        <v>0.1</v>
      </c>
      <c r="J11" s="264">
        <f t="shared" si="3"/>
        <v>0.1</v>
      </c>
      <c r="K11" s="101">
        <f t="shared" si="3"/>
        <v>0.1</v>
      </c>
      <c r="L11" s="101">
        <f t="shared" si="3"/>
        <v>0.1</v>
      </c>
      <c r="M11" s="219">
        <f t="shared" si="3"/>
        <v>0.1</v>
      </c>
    </row>
    <row r="12" spans="1:13" ht="13" thickBot="1">
      <c r="A12" s="134" t="s">
        <v>119</v>
      </c>
      <c r="B12" s="66"/>
      <c r="C12" s="289">
        <v>50</v>
      </c>
      <c r="D12" s="295">
        <f>$C$12*(1+$B$8)^D$4</f>
        <v>51.5</v>
      </c>
      <c r="E12" s="283">
        <f t="shared" ref="E12:M12" si="4">$C$12*(1+$B$8)^E$4</f>
        <v>53.044999999999995</v>
      </c>
      <c r="F12" s="284">
        <f t="shared" si="4"/>
        <v>54.63635</v>
      </c>
      <c r="G12" s="295">
        <f t="shared" si="4"/>
        <v>56.275440499999995</v>
      </c>
      <c r="H12" s="283">
        <f t="shared" si="4"/>
        <v>57.963703714999994</v>
      </c>
      <c r="I12" s="284">
        <f t="shared" si="4"/>
        <v>59.702614826449995</v>
      </c>
      <c r="J12" s="295">
        <f t="shared" si="4"/>
        <v>61.493693271243501</v>
      </c>
      <c r="K12" s="283">
        <f t="shared" si="4"/>
        <v>63.338504069380797</v>
      </c>
      <c r="L12" s="283">
        <f t="shared" si="4"/>
        <v>65.238659191462219</v>
      </c>
      <c r="M12" s="284">
        <f t="shared" si="4"/>
        <v>67.195818967206094</v>
      </c>
    </row>
    <row r="13" spans="1:13" ht="14.15" hidden="1" customHeight="1" outlineLevel="1">
      <c r="A13" s="173" t="s">
        <v>16</v>
      </c>
      <c r="B13" s="63"/>
      <c r="C13" s="257">
        <f>C10*(1-C11)*C12</f>
        <v>0</v>
      </c>
      <c r="D13" s="261">
        <f t="shared" ref="D13:M13" si="5">D10*(1-D11)*D12</f>
        <v>0</v>
      </c>
      <c r="E13" s="230">
        <f t="shared" si="5"/>
        <v>4228272.4881150005</v>
      </c>
      <c r="F13" s="233">
        <f t="shared" si="5"/>
        <v>4355120.662758451</v>
      </c>
      <c r="G13" s="261">
        <f t="shared" si="5"/>
        <v>4485774.2826412041</v>
      </c>
      <c r="H13" s="230">
        <f t="shared" si="5"/>
        <v>4620347.5111204404</v>
      </c>
      <c r="I13" s="233">
        <f t="shared" si="5"/>
        <v>4758957.936454054</v>
      </c>
      <c r="J13" s="261">
        <f t="shared" si="5"/>
        <v>4901726.674547676</v>
      </c>
      <c r="K13" s="230">
        <f t="shared" si="5"/>
        <v>5048778.4747841051</v>
      </c>
      <c r="L13" s="230">
        <f t="shared" si="5"/>
        <v>5200241.8290276285</v>
      </c>
      <c r="M13" s="233">
        <f t="shared" si="5"/>
        <v>5356249.0838984577</v>
      </c>
    </row>
    <row r="14" spans="1:13" ht="14.15" hidden="1" customHeight="1" outlineLevel="1">
      <c r="A14" s="173" t="s">
        <v>168</v>
      </c>
      <c r="B14" s="63"/>
      <c r="C14" s="249">
        <f t="shared" ref="C14:M14" si="6">C10*(1-C11)*($D$60*(1+$B$8)^C$4)</f>
        <v>0</v>
      </c>
      <c r="D14" s="247">
        <f t="shared" si="6"/>
        <v>0</v>
      </c>
      <c r="E14" s="238">
        <f t="shared" si="6"/>
        <v>930219.9473853003</v>
      </c>
      <c r="F14" s="248">
        <f t="shared" si="6"/>
        <v>958126.54580685927</v>
      </c>
      <c r="G14" s="247">
        <f t="shared" si="6"/>
        <v>986870.342181065</v>
      </c>
      <c r="H14" s="238">
        <f t="shared" si="6"/>
        <v>1016476.4524464968</v>
      </c>
      <c r="I14" s="248">
        <f t="shared" si="6"/>
        <v>1046970.7460198917</v>
      </c>
      <c r="J14" s="247">
        <f t="shared" si="6"/>
        <v>1078379.8684004885</v>
      </c>
      <c r="K14" s="238">
        <f t="shared" si="6"/>
        <v>1110731.2644525031</v>
      </c>
      <c r="L14" s="238">
        <f t="shared" si="6"/>
        <v>1144053.2023860782</v>
      </c>
      <c r="M14" s="248">
        <f t="shared" si="6"/>
        <v>1178374.7984576607</v>
      </c>
    </row>
    <row r="15" spans="1:13" ht="14.15" hidden="1" customHeight="1" outlineLevel="1" thickBot="1">
      <c r="A15" s="134" t="s">
        <v>169</v>
      </c>
      <c r="B15" s="66"/>
      <c r="C15" s="408">
        <f t="shared" ref="C15:M15" si="7">C10*($D$60*(1+$B$8)^C$4)</f>
        <v>0</v>
      </c>
      <c r="D15" s="409">
        <f t="shared" si="7"/>
        <v>0</v>
      </c>
      <c r="E15" s="410">
        <f t="shared" si="7"/>
        <v>1033577.7193170002</v>
      </c>
      <c r="F15" s="411">
        <f t="shared" si="7"/>
        <v>1064585.0508965102</v>
      </c>
      <c r="G15" s="409">
        <f t="shared" si="7"/>
        <v>1096522.6024234055</v>
      </c>
      <c r="H15" s="410">
        <f t="shared" si="7"/>
        <v>1129418.2804961074</v>
      </c>
      <c r="I15" s="411">
        <f t="shared" si="7"/>
        <v>1163300.8289109909</v>
      </c>
      <c r="J15" s="409">
        <f t="shared" si="7"/>
        <v>1198199.8537783206</v>
      </c>
      <c r="K15" s="410">
        <f t="shared" si="7"/>
        <v>1234145.84939167</v>
      </c>
      <c r="L15" s="410">
        <f t="shared" si="7"/>
        <v>1271170.2248734201</v>
      </c>
      <c r="M15" s="411">
        <f t="shared" si="7"/>
        <v>1309305.3316196229</v>
      </c>
    </row>
    <row r="16" spans="1:13" ht="13" collapsed="1">
      <c r="A16" s="61" t="str">
        <f>A56</f>
        <v>Office (Train Station)</v>
      </c>
      <c r="B16" s="63"/>
      <c r="C16" s="209"/>
      <c r="D16" s="62"/>
      <c r="E16" s="68"/>
      <c r="F16" s="105"/>
      <c r="G16" s="62"/>
      <c r="H16" s="68"/>
      <c r="I16" s="105"/>
      <c r="J16" s="62"/>
      <c r="K16" s="68"/>
      <c r="L16" s="68"/>
      <c r="M16" s="105"/>
    </row>
    <row r="17" spans="1:13" ht="14.15" customHeight="1">
      <c r="A17" s="173" t="s">
        <v>11</v>
      </c>
      <c r="B17" s="122">
        <v>0.03</v>
      </c>
      <c r="C17" s="288"/>
      <c r="D17" s="133"/>
      <c r="E17" s="99"/>
      <c r="F17" s="104"/>
      <c r="G17" s="133"/>
      <c r="H17" s="99"/>
      <c r="I17" s="104"/>
      <c r="J17" s="133"/>
      <c r="K17" s="99"/>
      <c r="L17" s="99"/>
      <c r="M17" s="104"/>
    </row>
    <row r="18" spans="1:13" ht="14.15" customHeight="1">
      <c r="A18" s="173" t="s">
        <v>118</v>
      </c>
      <c r="B18" s="63"/>
      <c r="C18" s="318">
        <v>0</v>
      </c>
      <c r="D18" s="211">
        <f>C56</f>
        <v>14131.800000000001</v>
      </c>
      <c r="E18" s="184">
        <f t="shared" ref="E18:M18" si="8">D18</f>
        <v>14131.800000000001</v>
      </c>
      <c r="F18" s="189">
        <f t="shared" si="8"/>
        <v>14131.800000000001</v>
      </c>
      <c r="G18" s="211">
        <f t="shared" si="8"/>
        <v>14131.800000000001</v>
      </c>
      <c r="H18" s="184">
        <f t="shared" si="8"/>
        <v>14131.800000000001</v>
      </c>
      <c r="I18" s="189">
        <f t="shared" si="8"/>
        <v>14131.800000000001</v>
      </c>
      <c r="J18" s="211">
        <f t="shared" si="8"/>
        <v>14131.800000000001</v>
      </c>
      <c r="K18" s="184">
        <f t="shared" si="8"/>
        <v>14131.800000000001</v>
      </c>
      <c r="L18" s="184">
        <f t="shared" si="8"/>
        <v>14131.800000000001</v>
      </c>
      <c r="M18" s="189">
        <f t="shared" si="8"/>
        <v>14131.800000000001</v>
      </c>
    </row>
    <row r="19" spans="1:13" ht="14.15" customHeight="1">
      <c r="A19" s="173" t="s">
        <v>39</v>
      </c>
      <c r="B19" s="122">
        <v>0.9</v>
      </c>
      <c r="C19" s="318">
        <f>C18*B19</f>
        <v>0</v>
      </c>
      <c r="D19" s="211">
        <f>D18*B19</f>
        <v>12718.62</v>
      </c>
      <c r="E19" s="184">
        <f>D19</f>
        <v>12718.62</v>
      </c>
      <c r="F19" s="189">
        <f>E19</f>
        <v>12718.62</v>
      </c>
      <c r="G19" s="211">
        <f t="shared" ref="G19:M19" si="9">F19</f>
        <v>12718.62</v>
      </c>
      <c r="H19" s="184">
        <f t="shared" si="9"/>
        <v>12718.62</v>
      </c>
      <c r="I19" s="189">
        <f t="shared" si="9"/>
        <v>12718.62</v>
      </c>
      <c r="J19" s="211">
        <f t="shared" si="9"/>
        <v>12718.62</v>
      </c>
      <c r="K19" s="184">
        <f t="shared" si="9"/>
        <v>12718.62</v>
      </c>
      <c r="L19" s="184">
        <f t="shared" si="9"/>
        <v>12718.62</v>
      </c>
      <c r="M19" s="189">
        <f t="shared" si="9"/>
        <v>12718.62</v>
      </c>
    </row>
    <row r="20" spans="1:13" ht="14.15" customHeight="1">
      <c r="A20" s="173" t="s">
        <v>44</v>
      </c>
      <c r="B20" s="98"/>
      <c r="C20" s="218">
        <v>1</v>
      </c>
      <c r="D20" s="264">
        <f>C20</f>
        <v>1</v>
      </c>
      <c r="E20" s="101">
        <v>0.65</v>
      </c>
      <c r="F20" s="216">
        <v>0.35</v>
      </c>
      <c r="G20" s="218">
        <v>0.09</v>
      </c>
      <c r="H20" s="101">
        <f t="shared" ref="H20:M20" si="10">G20</f>
        <v>0.09</v>
      </c>
      <c r="I20" s="219">
        <f t="shared" si="10"/>
        <v>0.09</v>
      </c>
      <c r="J20" s="264">
        <f t="shared" si="10"/>
        <v>0.09</v>
      </c>
      <c r="K20" s="101">
        <f t="shared" si="10"/>
        <v>0.09</v>
      </c>
      <c r="L20" s="101">
        <f t="shared" si="10"/>
        <v>0.09</v>
      </c>
      <c r="M20" s="219">
        <f t="shared" si="10"/>
        <v>0.09</v>
      </c>
    </row>
    <row r="21" spans="1:13" s="341" customFormat="1" ht="13.5" customHeight="1" thickBot="1">
      <c r="A21" s="134" t="s">
        <v>119</v>
      </c>
      <c r="B21" s="66"/>
      <c r="C21" s="289">
        <v>20</v>
      </c>
      <c r="D21" s="295">
        <f t="shared" ref="D21:M21" si="11">$C$21*(1+$B$17)^D$4</f>
        <v>20.6</v>
      </c>
      <c r="E21" s="283">
        <f t="shared" si="11"/>
        <v>21.218</v>
      </c>
      <c r="F21" s="284">
        <f t="shared" si="11"/>
        <v>21.85454</v>
      </c>
      <c r="G21" s="295">
        <f t="shared" si="11"/>
        <v>22.510176199999997</v>
      </c>
      <c r="H21" s="283">
        <f t="shared" si="11"/>
        <v>23.185481485999997</v>
      </c>
      <c r="I21" s="284">
        <f t="shared" si="11"/>
        <v>23.881045930579997</v>
      </c>
      <c r="J21" s="295">
        <f t="shared" si="11"/>
        <v>24.5974773084974</v>
      </c>
      <c r="K21" s="283">
        <f t="shared" si="11"/>
        <v>25.335401627752319</v>
      </c>
      <c r="L21" s="283">
        <f t="shared" si="11"/>
        <v>26.095463676584888</v>
      </c>
      <c r="M21" s="284">
        <f t="shared" si="11"/>
        <v>26.878327586882435</v>
      </c>
    </row>
    <row r="22" spans="1:13" ht="14.15" hidden="1" customHeight="1" outlineLevel="1">
      <c r="A22" s="320" t="s">
        <v>16</v>
      </c>
      <c r="B22" s="203"/>
      <c r="C22" s="412">
        <f>C19*(1-C20)*C21</f>
        <v>0</v>
      </c>
      <c r="D22" s="244">
        <f t="shared" ref="D22:M22" si="12">D19*(1-D20)*D21</f>
        <v>0</v>
      </c>
      <c r="E22" s="245">
        <f t="shared" si="12"/>
        <v>94452.287706000003</v>
      </c>
      <c r="F22" s="246">
        <f t="shared" si="12"/>
        <v>180673.73319762002</v>
      </c>
      <c r="G22" s="244">
        <f t="shared" si="12"/>
        <v>260531.52327096803</v>
      </c>
      <c r="H22" s="245">
        <f t="shared" si="12"/>
        <v>268347.46896909707</v>
      </c>
      <c r="I22" s="246">
        <f t="shared" si="12"/>
        <v>276397.89303817</v>
      </c>
      <c r="J22" s="244">
        <f t="shared" si="12"/>
        <v>284689.82982931513</v>
      </c>
      <c r="K22" s="245">
        <f t="shared" si="12"/>
        <v>293230.52472419455</v>
      </c>
      <c r="L22" s="245">
        <f t="shared" si="12"/>
        <v>302027.44046592037</v>
      </c>
      <c r="M22" s="246">
        <f t="shared" si="12"/>
        <v>311088.26367989799</v>
      </c>
    </row>
    <row r="23" spans="1:13" ht="14.15" hidden="1" customHeight="1" outlineLevel="1">
      <c r="A23" s="173" t="s">
        <v>168</v>
      </c>
      <c r="B23" s="63"/>
      <c r="C23" s="249">
        <f t="shared" ref="C23:M23" si="13">C19*(1-C20)*($D$60*(1+$B$17)^C$4)</f>
        <v>0</v>
      </c>
      <c r="D23" s="247">
        <f t="shared" si="13"/>
        <v>0</v>
      </c>
      <c r="E23" s="238">
        <f t="shared" si="13"/>
        <v>51948.758238299997</v>
      </c>
      <c r="F23" s="248">
        <f t="shared" si="13"/>
        <v>99370.553258691012</v>
      </c>
      <c r="G23" s="247">
        <f t="shared" si="13"/>
        <v>143292.33779903245</v>
      </c>
      <c r="H23" s="238">
        <f t="shared" si="13"/>
        <v>147591.1079330034</v>
      </c>
      <c r="I23" s="248">
        <f t="shared" si="13"/>
        <v>152018.84117099349</v>
      </c>
      <c r="J23" s="247">
        <f t="shared" si="13"/>
        <v>156579.40640612331</v>
      </c>
      <c r="K23" s="238">
        <f t="shared" si="13"/>
        <v>161276.788598307</v>
      </c>
      <c r="L23" s="238">
        <f t="shared" si="13"/>
        <v>166115.0922562562</v>
      </c>
      <c r="M23" s="248">
        <f t="shared" si="13"/>
        <v>171098.54502394391</v>
      </c>
    </row>
    <row r="24" spans="1:13" ht="13" hidden="1" outlineLevel="1" thickBot="1">
      <c r="A24" s="134" t="s">
        <v>169</v>
      </c>
      <c r="B24" s="66"/>
      <c r="C24" s="408">
        <f t="shared" ref="C24:M24" si="14">C19*($D$60*(1+$B$17)^C$4)</f>
        <v>0</v>
      </c>
      <c r="D24" s="409">
        <f t="shared" si="14"/>
        <v>144101.96460000001</v>
      </c>
      <c r="E24" s="410">
        <f t="shared" si="14"/>
        <v>148425.02353800001</v>
      </c>
      <c r="F24" s="411">
        <f t="shared" si="14"/>
        <v>152877.77424414002</v>
      </c>
      <c r="G24" s="409">
        <f t="shared" si="14"/>
        <v>157464.1074714642</v>
      </c>
      <c r="H24" s="410">
        <f t="shared" si="14"/>
        <v>162188.03069560809</v>
      </c>
      <c r="I24" s="411">
        <f t="shared" si="14"/>
        <v>167053.67161647635</v>
      </c>
      <c r="J24" s="409">
        <f t="shared" si="14"/>
        <v>172065.28176497066</v>
      </c>
      <c r="K24" s="410">
        <f t="shared" si="14"/>
        <v>177227.24021791978</v>
      </c>
      <c r="L24" s="410">
        <f t="shared" si="14"/>
        <v>182544.05742445737</v>
      </c>
      <c r="M24" s="411">
        <f t="shared" si="14"/>
        <v>188020.3791471911</v>
      </c>
    </row>
    <row r="25" spans="1:13" ht="13" collapsed="1">
      <c r="A25" s="61" t="str">
        <f>A57</f>
        <v>Los Tres Enlaces Incubator</v>
      </c>
      <c r="B25" s="63"/>
      <c r="C25" s="209"/>
      <c r="D25" s="62"/>
      <c r="E25" s="68"/>
      <c r="F25" s="105"/>
      <c r="G25" s="62"/>
      <c r="H25" s="68"/>
      <c r="I25" s="105"/>
      <c r="J25" s="62"/>
      <c r="K25" s="68"/>
      <c r="L25" s="68"/>
      <c r="M25" s="105"/>
    </row>
    <row r="26" spans="1:13">
      <c r="A26" s="173" t="s">
        <v>11</v>
      </c>
      <c r="B26" s="122">
        <v>0.03</v>
      </c>
      <c r="C26" s="288"/>
      <c r="D26" s="133"/>
      <c r="E26" s="99"/>
      <c r="F26" s="104"/>
      <c r="G26" s="133"/>
      <c r="H26" s="99"/>
      <c r="I26" s="104"/>
      <c r="J26" s="133"/>
      <c r="K26" s="99"/>
      <c r="L26" s="99"/>
      <c r="M26" s="104"/>
    </row>
    <row r="27" spans="1:13">
      <c r="A27" s="173" t="s">
        <v>118</v>
      </c>
      <c r="B27" s="63"/>
      <c r="C27" s="318">
        <v>0</v>
      </c>
      <c r="D27" s="211">
        <f>C27</f>
        <v>0</v>
      </c>
      <c r="E27" s="184">
        <f t="shared" ref="E27:M27" si="15">D27</f>
        <v>0</v>
      </c>
      <c r="F27" s="189">
        <f>C57</f>
        <v>14774.8</v>
      </c>
      <c r="G27" s="211">
        <f t="shared" si="15"/>
        <v>14774.8</v>
      </c>
      <c r="H27" s="184">
        <f t="shared" si="15"/>
        <v>14774.8</v>
      </c>
      <c r="I27" s="189">
        <f t="shared" si="15"/>
        <v>14774.8</v>
      </c>
      <c r="J27" s="211">
        <f t="shared" si="15"/>
        <v>14774.8</v>
      </c>
      <c r="K27" s="184">
        <f t="shared" si="15"/>
        <v>14774.8</v>
      </c>
      <c r="L27" s="184">
        <f t="shared" si="15"/>
        <v>14774.8</v>
      </c>
      <c r="M27" s="189">
        <f t="shared" si="15"/>
        <v>14774.8</v>
      </c>
    </row>
    <row r="28" spans="1:13">
      <c r="A28" s="173" t="s">
        <v>39</v>
      </c>
      <c r="B28" s="122">
        <v>0.9</v>
      </c>
      <c r="C28" s="318">
        <v>0</v>
      </c>
      <c r="D28" s="211">
        <f>C28</f>
        <v>0</v>
      </c>
      <c r="E28" s="184">
        <f t="shared" ref="E28:M28" si="16">D28</f>
        <v>0</v>
      </c>
      <c r="F28" s="189">
        <f>F27*B28</f>
        <v>13297.32</v>
      </c>
      <c r="G28" s="211">
        <f t="shared" si="16"/>
        <v>13297.32</v>
      </c>
      <c r="H28" s="184">
        <f t="shared" si="16"/>
        <v>13297.32</v>
      </c>
      <c r="I28" s="189">
        <f t="shared" si="16"/>
        <v>13297.32</v>
      </c>
      <c r="J28" s="211">
        <f t="shared" si="16"/>
        <v>13297.32</v>
      </c>
      <c r="K28" s="184">
        <f t="shared" si="16"/>
        <v>13297.32</v>
      </c>
      <c r="L28" s="184">
        <f t="shared" si="16"/>
        <v>13297.32</v>
      </c>
      <c r="M28" s="189">
        <f t="shared" si="16"/>
        <v>13297.32</v>
      </c>
    </row>
    <row r="29" spans="1:13">
      <c r="A29" s="173" t="s">
        <v>44</v>
      </c>
      <c r="B29" s="98"/>
      <c r="C29" s="218">
        <v>1</v>
      </c>
      <c r="D29" s="264">
        <f>C29</f>
        <v>1</v>
      </c>
      <c r="E29" s="101">
        <f>D29</f>
        <v>1</v>
      </c>
      <c r="F29" s="216">
        <v>0.5</v>
      </c>
      <c r="G29" s="218">
        <v>0.2</v>
      </c>
      <c r="H29" s="122">
        <v>0.09</v>
      </c>
      <c r="I29" s="219">
        <f t="shared" ref="I29:M29" si="17">H29</f>
        <v>0.09</v>
      </c>
      <c r="J29" s="264">
        <f t="shared" si="17"/>
        <v>0.09</v>
      </c>
      <c r="K29" s="101">
        <f t="shared" si="17"/>
        <v>0.09</v>
      </c>
      <c r="L29" s="101">
        <f t="shared" si="17"/>
        <v>0.09</v>
      </c>
      <c r="M29" s="219">
        <f t="shared" si="17"/>
        <v>0.09</v>
      </c>
    </row>
    <row r="30" spans="1:13" ht="13" thickBot="1">
      <c r="A30" s="173" t="s">
        <v>119</v>
      </c>
      <c r="B30" s="63"/>
      <c r="C30" s="407">
        <v>20</v>
      </c>
      <c r="D30" s="212">
        <f>$C$30*(1+$B$17)^D$4</f>
        <v>20.6</v>
      </c>
      <c r="E30" s="199">
        <f t="shared" ref="E30:M30" si="18">$C$30*(1+$B$17)^E$4</f>
        <v>21.218</v>
      </c>
      <c r="F30" s="200">
        <f t="shared" si="18"/>
        <v>21.85454</v>
      </c>
      <c r="G30" s="212">
        <f t="shared" si="18"/>
        <v>22.510176199999997</v>
      </c>
      <c r="H30" s="199">
        <f t="shared" si="18"/>
        <v>23.185481485999997</v>
      </c>
      <c r="I30" s="200">
        <f t="shared" si="18"/>
        <v>23.881045930579997</v>
      </c>
      <c r="J30" s="212">
        <f t="shared" si="18"/>
        <v>24.5974773084974</v>
      </c>
      <c r="K30" s="199">
        <f t="shared" si="18"/>
        <v>25.335401627752319</v>
      </c>
      <c r="L30" s="199">
        <f t="shared" si="18"/>
        <v>26.095463676584888</v>
      </c>
      <c r="M30" s="200">
        <f t="shared" si="18"/>
        <v>26.878327586882435</v>
      </c>
    </row>
    <row r="31" spans="1:13" hidden="1" outlineLevel="1">
      <c r="A31" s="320" t="s">
        <v>16</v>
      </c>
      <c r="B31" s="203"/>
      <c r="C31" s="412">
        <f>C28*(1-C29)*C30</f>
        <v>0</v>
      </c>
      <c r="D31" s="244">
        <f t="shared" ref="D31:M31" si="19">D28*(1-D29)*D30</f>
        <v>0</v>
      </c>
      <c r="E31" s="245">
        <f t="shared" si="19"/>
        <v>0</v>
      </c>
      <c r="F31" s="246">
        <f t="shared" si="19"/>
        <v>145303.40591639999</v>
      </c>
      <c r="G31" s="244">
        <f t="shared" si="19"/>
        <v>239460.01295022716</v>
      </c>
      <c r="H31" s="245">
        <f t="shared" si="19"/>
        <v>280557.3376728099</v>
      </c>
      <c r="I31" s="246">
        <f t="shared" si="19"/>
        <v>288974.05780299421</v>
      </c>
      <c r="J31" s="244">
        <f t="shared" si="19"/>
        <v>297643.27953708405</v>
      </c>
      <c r="K31" s="245">
        <f t="shared" si="19"/>
        <v>306572.57792319654</v>
      </c>
      <c r="L31" s="245">
        <f t="shared" si="19"/>
        <v>315769.75526089245</v>
      </c>
      <c r="M31" s="246">
        <f t="shared" si="19"/>
        <v>325242.84791871923</v>
      </c>
    </row>
    <row r="32" spans="1:13" hidden="1" outlineLevel="1">
      <c r="A32" s="173" t="s">
        <v>168</v>
      </c>
      <c r="B32" s="63"/>
      <c r="C32" s="249">
        <f t="shared" ref="C32:M32" si="20">C28*(1-C29)*($D$60*(1+$B$26)^C$4)</f>
        <v>0</v>
      </c>
      <c r="D32" s="247">
        <f t="shared" si="20"/>
        <v>0</v>
      </c>
      <c r="E32" s="238">
        <f t="shared" si="20"/>
        <v>0</v>
      </c>
      <c r="F32" s="248">
        <f t="shared" si="20"/>
        <v>79916.87325402</v>
      </c>
      <c r="G32" s="247">
        <f t="shared" si="20"/>
        <v>131703.00712262496</v>
      </c>
      <c r="H32" s="238">
        <f t="shared" si="20"/>
        <v>154306.53572004545</v>
      </c>
      <c r="I32" s="248">
        <f t="shared" si="20"/>
        <v>158935.7317916468</v>
      </c>
      <c r="J32" s="247">
        <f t="shared" si="20"/>
        <v>163703.80374539623</v>
      </c>
      <c r="K32" s="238">
        <f t="shared" si="20"/>
        <v>168614.91785775809</v>
      </c>
      <c r="L32" s="238">
        <f t="shared" si="20"/>
        <v>173673.36539349085</v>
      </c>
      <c r="M32" s="248">
        <f t="shared" si="20"/>
        <v>178883.56635529557</v>
      </c>
    </row>
    <row r="33" spans="1:13" ht="14.15" hidden="1" customHeight="1" outlineLevel="1" thickBot="1">
      <c r="A33" s="134" t="s">
        <v>169</v>
      </c>
      <c r="B33" s="66"/>
      <c r="C33" s="408">
        <f t="shared" ref="C33:M33" si="21">C28*($D$60*(1+$B$26)^C$4)</f>
        <v>0</v>
      </c>
      <c r="D33" s="409">
        <f t="shared" si="21"/>
        <v>0</v>
      </c>
      <c r="E33" s="410">
        <f t="shared" si="21"/>
        <v>0</v>
      </c>
      <c r="F33" s="411">
        <f t="shared" si="21"/>
        <v>159833.74650804</v>
      </c>
      <c r="G33" s="409">
        <f t="shared" si="21"/>
        <v>164628.75890328118</v>
      </c>
      <c r="H33" s="410">
        <f t="shared" si="21"/>
        <v>169567.62167037959</v>
      </c>
      <c r="I33" s="411">
        <f t="shared" si="21"/>
        <v>174654.650320491</v>
      </c>
      <c r="J33" s="409">
        <f t="shared" si="21"/>
        <v>179894.28983010573</v>
      </c>
      <c r="K33" s="410">
        <f t="shared" si="21"/>
        <v>185291.1185250089</v>
      </c>
      <c r="L33" s="410">
        <f t="shared" si="21"/>
        <v>190849.85208075916</v>
      </c>
      <c r="M33" s="411">
        <f t="shared" si="21"/>
        <v>196575.34764318194</v>
      </c>
    </row>
    <row r="34" spans="1:13" ht="13.5" collapsed="1" thickBot="1">
      <c r="A34" s="198" t="s">
        <v>0</v>
      </c>
      <c r="B34" s="195"/>
      <c r="C34" s="204"/>
      <c r="D34" s="242"/>
      <c r="E34" s="201"/>
      <c r="F34" s="202"/>
      <c r="G34" s="242"/>
      <c r="H34" s="201"/>
      <c r="I34" s="202"/>
      <c r="J34" s="242"/>
      <c r="K34" s="201"/>
      <c r="L34" s="201"/>
      <c r="M34" s="202"/>
    </row>
    <row r="35" spans="1:13">
      <c r="A35" s="173" t="s">
        <v>16</v>
      </c>
      <c r="B35" s="63"/>
      <c r="C35" s="138">
        <f t="shared" ref="C35:M35" si="22">SUM(C13,C22,C31)</f>
        <v>0</v>
      </c>
      <c r="D35" s="257">
        <f t="shared" si="22"/>
        <v>0</v>
      </c>
      <c r="E35" s="229">
        <f t="shared" si="22"/>
        <v>4322724.7758210003</v>
      </c>
      <c r="F35" s="241">
        <f t="shared" si="22"/>
        <v>4681097.8018724713</v>
      </c>
      <c r="G35" s="257">
        <f t="shared" si="22"/>
        <v>4985765.8188624</v>
      </c>
      <c r="H35" s="229">
        <f t="shared" si="22"/>
        <v>5169252.3177623479</v>
      </c>
      <c r="I35" s="241">
        <f t="shared" si="22"/>
        <v>5324329.8872952182</v>
      </c>
      <c r="J35" s="257">
        <f t="shared" si="22"/>
        <v>5484059.7839140743</v>
      </c>
      <c r="K35" s="229">
        <f t="shared" si="22"/>
        <v>5648581.5774314962</v>
      </c>
      <c r="L35" s="229">
        <f t="shared" si="22"/>
        <v>5818039.0247544413</v>
      </c>
      <c r="M35" s="241">
        <f t="shared" si="22"/>
        <v>5992580.1954970751</v>
      </c>
    </row>
    <row r="36" spans="1:13">
      <c r="A36" s="173" t="s">
        <v>123</v>
      </c>
      <c r="B36" s="63"/>
      <c r="C36" s="139">
        <f t="shared" ref="C36:M36" si="23">SUM(C14,C23,C32)</f>
        <v>0</v>
      </c>
      <c r="D36" s="247">
        <f t="shared" si="23"/>
        <v>0</v>
      </c>
      <c r="E36" s="238">
        <f t="shared" si="23"/>
        <v>982168.70562360028</v>
      </c>
      <c r="F36" s="248">
        <f t="shared" si="23"/>
        <v>1137413.9723195704</v>
      </c>
      <c r="G36" s="247">
        <f t="shared" si="23"/>
        <v>1261865.6871027222</v>
      </c>
      <c r="H36" s="238">
        <f t="shared" si="23"/>
        <v>1318374.0960995457</v>
      </c>
      <c r="I36" s="248">
        <f t="shared" si="23"/>
        <v>1357925.3189825318</v>
      </c>
      <c r="J36" s="247">
        <f t="shared" si="23"/>
        <v>1398663.0785520079</v>
      </c>
      <c r="K36" s="238">
        <f t="shared" si="23"/>
        <v>1440622.970908568</v>
      </c>
      <c r="L36" s="238">
        <f t="shared" si="23"/>
        <v>1483841.6600358251</v>
      </c>
      <c r="M36" s="248">
        <f t="shared" si="23"/>
        <v>1528356.9098369002</v>
      </c>
    </row>
    <row r="37" spans="1:13" s="340" customFormat="1">
      <c r="A37" s="234" t="s">
        <v>124</v>
      </c>
      <c r="B37" s="346"/>
      <c r="C37" s="349">
        <f t="shared" ref="C37:M37" si="24">-SUM(C15,C24,C33)</f>
        <v>0</v>
      </c>
      <c r="D37" s="350">
        <f t="shared" si="24"/>
        <v>-144101.96460000001</v>
      </c>
      <c r="E37" s="347">
        <f t="shared" si="24"/>
        <v>-1182002.7428550003</v>
      </c>
      <c r="F37" s="348">
        <f t="shared" si="24"/>
        <v>-1377296.5716486904</v>
      </c>
      <c r="G37" s="350">
        <f t="shared" si="24"/>
        <v>-1418615.4687981508</v>
      </c>
      <c r="H37" s="347">
        <f t="shared" si="24"/>
        <v>-1461173.9328620951</v>
      </c>
      <c r="I37" s="348">
        <f t="shared" si="24"/>
        <v>-1505009.1508479582</v>
      </c>
      <c r="J37" s="350">
        <f t="shared" si="24"/>
        <v>-1550159.4253733968</v>
      </c>
      <c r="K37" s="347">
        <f t="shared" si="24"/>
        <v>-1596664.2081345986</v>
      </c>
      <c r="L37" s="347">
        <f t="shared" si="24"/>
        <v>-1644564.1343786365</v>
      </c>
      <c r="M37" s="348">
        <f t="shared" si="24"/>
        <v>-1693901.0584099959</v>
      </c>
    </row>
    <row r="38" spans="1:13" ht="14.15" customHeight="1" thickBot="1">
      <c r="A38" s="273" t="s">
        <v>5</v>
      </c>
      <c r="B38" s="66"/>
      <c r="C38" s="258">
        <f>SUM(C35:C37)</f>
        <v>0</v>
      </c>
      <c r="D38" s="259">
        <f t="shared" ref="D38:M38" si="25">SUM(D35:D37)</f>
        <v>-144101.96460000001</v>
      </c>
      <c r="E38" s="236">
        <f t="shared" si="25"/>
        <v>4122890.7385896007</v>
      </c>
      <c r="F38" s="237">
        <f t="shared" si="25"/>
        <v>4441215.2025433518</v>
      </c>
      <c r="G38" s="259">
        <f t="shared" si="25"/>
        <v>4829016.0371669717</v>
      </c>
      <c r="H38" s="236">
        <f t="shared" si="25"/>
        <v>5026452.4809997976</v>
      </c>
      <c r="I38" s="237">
        <f t="shared" si="25"/>
        <v>5177246.055429792</v>
      </c>
      <c r="J38" s="259">
        <f t="shared" si="25"/>
        <v>5332563.4370926851</v>
      </c>
      <c r="K38" s="236">
        <f t="shared" si="25"/>
        <v>5492540.3402054664</v>
      </c>
      <c r="L38" s="236">
        <f t="shared" si="25"/>
        <v>5657316.5504116304</v>
      </c>
      <c r="M38" s="237">
        <f t="shared" si="25"/>
        <v>5827036.0469239801</v>
      </c>
    </row>
    <row r="39" spans="1:13" ht="13.5" thickBot="1">
      <c r="A39" s="198" t="s">
        <v>2</v>
      </c>
      <c r="B39" s="195"/>
      <c r="C39" s="204"/>
      <c r="D39" s="242"/>
      <c r="E39" s="201"/>
      <c r="F39" s="202"/>
      <c r="G39" s="242"/>
      <c r="H39" s="201"/>
      <c r="I39" s="202"/>
      <c r="J39" s="242"/>
      <c r="K39" s="201"/>
      <c r="L39" s="201"/>
      <c r="M39" s="202"/>
    </row>
    <row r="40" spans="1:13">
      <c r="A40" s="173" t="s">
        <v>108</v>
      </c>
      <c r="B40" s="63"/>
      <c r="C40" s="220">
        <f>'Development Costs'!E26</f>
        <v>248</v>
      </c>
      <c r="D40" s="212">
        <f>$C$40*(1+$B$8)^D4</f>
        <v>255.44</v>
      </c>
      <c r="E40" s="199">
        <f t="shared" ref="E40:M40" si="26">$C$40*(1+$B$8)^E4</f>
        <v>263.10320000000002</v>
      </c>
      <c r="F40" s="200">
        <f t="shared" si="26"/>
        <v>270.99629600000003</v>
      </c>
      <c r="G40" s="212">
        <f t="shared" si="26"/>
        <v>279.12618487999998</v>
      </c>
      <c r="H40" s="199">
        <f t="shared" si="26"/>
        <v>287.49997042639995</v>
      </c>
      <c r="I40" s="200">
        <f t="shared" si="26"/>
        <v>296.12496953919197</v>
      </c>
      <c r="J40" s="212">
        <f t="shared" si="26"/>
        <v>305.00871862536775</v>
      </c>
      <c r="K40" s="199">
        <f t="shared" si="26"/>
        <v>314.15898018412872</v>
      </c>
      <c r="L40" s="199">
        <f t="shared" si="26"/>
        <v>323.5837495896526</v>
      </c>
      <c r="M40" s="200">
        <f t="shared" si="26"/>
        <v>333.2912620773422</v>
      </c>
    </row>
    <row r="41" spans="1:13" ht="14.15" customHeight="1">
      <c r="A41" s="173" t="s">
        <v>13</v>
      </c>
      <c r="B41" s="63"/>
      <c r="C41" s="255">
        <f>C42/SUM($C$42:$M$42)</f>
        <v>0</v>
      </c>
      <c r="D41" s="256">
        <f t="shared" ref="D41:M41" si="27">D42/SUM($C$42:$M$42)</f>
        <v>0.12236091576336978</v>
      </c>
      <c r="E41" s="186">
        <f t="shared" si="27"/>
        <v>0.87763908423663028</v>
      </c>
      <c r="F41" s="240">
        <f t="shared" si="27"/>
        <v>0</v>
      </c>
      <c r="G41" s="256">
        <f t="shared" si="27"/>
        <v>0</v>
      </c>
      <c r="H41" s="186">
        <f t="shared" si="27"/>
        <v>0</v>
      </c>
      <c r="I41" s="240">
        <f t="shared" si="27"/>
        <v>0</v>
      </c>
      <c r="J41" s="256">
        <f t="shared" si="27"/>
        <v>0</v>
      </c>
      <c r="K41" s="186">
        <f t="shared" si="27"/>
        <v>0</v>
      </c>
      <c r="L41" s="186">
        <f t="shared" si="27"/>
        <v>0</v>
      </c>
      <c r="M41" s="240">
        <f t="shared" si="27"/>
        <v>0</v>
      </c>
    </row>
    <row r="42" spans="1:13" ht="14.15" customHeight="1">
      <c r="A42" s="173" t="s">
        <v>2</v>
      </c>
      <c r="B42" s="63"/>
      <c r="C42" s="159">
        <f>SUM('Development Schedule'!D8,'Development Schedule'!D9)*C40</f>
        <v>0</v>
      </c>
      <c r="D42" s="300">
        <f>SUM('Development Schedule'!E8,'Development Schedule'!E9)*D40</f>
        <v>3609826.9920000001</v>
      </c>
      <c r="E42" s="301">
        <f>SUM('Development Schedule'!F8,'Development Schedule'!F9)*E40</f>
        <v>25891643.877840005</v>
      </c>
      <c r="F42" s="302">
        <f>SUM('Development Schedule'!G8,'Development Schedule'!G9)*F40</f>
        <v>0</v>
      </c>
      <c r="G42" s="300">
        <f>SUM('Development Schedule'!H8,'Development Schedule'!H9)*G40</f>
        <v>0</v>
      </c>
      <c r="H42" s="301">
        <f>SUM('Development Schedule'!I8,'Development Schedule'!I9)*H40</f>
        <v>0</v>
      </c>
      <c r="I42" s="302">
        <f>SUM('Development Schedule'!J8,'Development Schedule'!J9)*I40</f>
        <v>0</v>
      </c>
      <c r="J42" s="300">
        <f>SUM('Development Schedule'!K8,'Development Schedule'!K9)*J40</f>
        <v>0</v>
      </c>
      <c r="K42" s="301">
        <f>SUM('Development Schedule'!L8,'Development Schedule'!L9)*K40</f>
        <v>0</v>
      </c>
      <c r="L42" s="301">
        <f>SUM('Development Schedule'!M8,'Development Schedule'!M9)*L40</f>
        <v>0</v>
      </c>
      <c r="M42" s="302">
        <f>SUM('Development Schedule'!N8,'Development Schedule'!N9)*M40</f>
        <v>0</v>
      </c>
    </row>
    <row r="43" spans="1:13" ht="14.15" customHeight="1" thickBot="1">
      <c r="A43" s="273" t="s">
        <v>3</v>
      </c>
      <c r="B43" s="66"/>
      <c r="C43" s="259">
        <f>C42</f>
        <v>0</v>
      </c>
      <c r="D43" s="259">
        <f t="shared" ref="D43:M43" si="28">D42</f>
        <v>3609826.9920000001</v>
      </c>
      <c r="E43" s="236">
        <f t="shared" si="28"/>
        <v>25891643.877840005</v>
      </c>
      <c r="F43" s="237">
        <f t="shared" si="28"/>
        <v>0</v>
      </c>
      <c r="G43" s="259">
        <f t="shared" si="28"/>
        <v>0</v>
      </c>
      <c r="H43" s="236">
        <f t="shared" si="28"/>
        <v>0</v>
      </c>
      <c r="I43" s="237">
        <f t="shared" si="28"/>
        <v>0</v>
      </c>
      <c r="J43" s="259">
        <f t="shared" si="28"/>
        <v>0</v>
      </c>
      <c r="K43" s="236">
        <f t="shared" si="28"/>
        <v>0</v>
      </c>
      <c r="L43" s="236">
        <f t="shared" si="28"/>
        <v>0</v>
      </c>
      <c r="M43" s="237">
        <f t="shared" si="28"/>
        <v>0</v>
      </c>
    </row>
    <row r="44" spans="1:13" ht="13.5" thickBot="1">
      <c r="A44" s="198" t="s">
        <v>4</v>
      </c>
      <c r="B44" s="195"/>
      <c r="C44" s="204"/>
      <c r="D44" s="242"/>
      <c r="E44" s="201"/>
      <c r="F44" s="202"/>
      <c r="G44" s="242"/>
      <c r="H44" s="201"/>
      <c r="I44" s="202"/>
      <c r="J44" s="242"/>
      <c r="K44" s="201"/>
      <c r="L44" s="201"/>
      <c r="M44" s="202"/>
    </row>
    <row r="45" spans="1:13" ht="14.15" customHeight="1">
      <c r="A45" s="173" t="s">
        <v>5</v>
      </c>
      <c r="B45" s="63"/>
      <c r="C45" s="138">
        <f t="shared" ref="C45:M45" si="29">C38</f>
        <v>0</v>
      </c>
      <c r="D45" s="257">
        <f t="shared" si="29"/>
        <v>-144101.96460000001</v>
      </c>
      <c r="E45" s="229">
        <f t="shared" si="29"/>
        <v>4122890.7385896007</v>
      </c>
      <c r="F45" s="241">
        <f t="shared" si="29"/>
        <v>4441215.2025433518</v>
      </c>
      <c r="G45" s="257">
        <f t="shared" si="29"/>
        <v>4829016.0371669717</v>
      </c>
      <c r="H45" s="229">
        <f t="shared" si="29"/>
        <v>5026452.4809997976</v>
      </c>
      <c r="I45" s="241">
        <f t="shared" si="29"/>
        <v>5177246.055429792</v>
      </c>
      <c r="J45" s="257">
        <f t="shared" si="29"/>
        <v>5332563.4370926851</v>
      </c>
      <c r="K45" s="229">
        <f t="shared" si="29"/>
        <v>5492540.3402054664</v>
      </c>
      <c r="L45" s="229">
        <f t="shared" si="29"/>
        <v>5657316.5504116304</v>
      </c>
      <c r="M45" s="241">
        <f t="shared" si="29"/>
        <v>5827036.0469239801</v>
      </c>
    </row>
    <row r="46" spans="1:13" ht="14.15" customHeight="1">
      <c r="A46" s="173" t="s">
        <v>57</v>
      </c>
      <c r="B46" s="101">
        <f>D61</f>
        <v>0.06</v>
      </c>
      <c r="C46" s="143">
        <v>0</v>
      </c>
      <c r="D46" s="247">
        <f>C46</f>
        <v>0</v>
      </c>
      <c r="E46" s="238">
        <f t="shared" ref="E46:L47" si="30">D46</f>
        <v>0</v>
      </c>
      <c r="F46" s="248">
        <f t="shared" si="30"/>
        <v>0</v>
      </c>
      <c r="G46" s="247">
        <f t="shared" si="30"/>
        <v>0</v>
      </c>
      <c r="H46" s="238">
        <f t="shared" si="30"/>
        <v>0</v>
      </c>
      <c r="I46" s="248">
        <f t="shared" si="30"/>
        <v>0</v>
      </c>
      <c r="J46" s="247">
        <f t="shared" si="30"/>
        <v>0</v>
      </c>
      <c r="K46" s="238">
        <f t="shared" si="30"/>
        <v>0</v>
      </c>
      <c r="L46" s="238">
        <f t="shared" si="30"/>
        <v>0</v>
      </c>
      <c r="M46" s="248">
        <f>M45/B46</f>
        <v>97117267.448733002</v>
      </c>
    </row>
    <row r="47" spans="1:13" ht="14.15" customHeight="1">
      <c r="A47" s="173" t="s">
        <v>58</v>
      </c>
      <c r="B47" s="101">
        <f>D62</f>
        <v>0.03</v>
      </c>
      <c r="C47" s="143">
        <v>0</v>
      </c>
      <c r="D47" s="247">
        <f>C47</f>
        <v>0</v>
      </c>
      <c r="E47" s="238">
        <f t="shared" si="30"/>
        <v>0</v>
      </c>
      <c r="F47" s="248">
        <f t="shared" si="30"/>
        <v>0</v>
      </c>
      <c r="G47" s="247">
        <f t="shared" si="30"/>
        <v>0</v>
      </c>
      <c r="H47" s="238">
        <f t="shared" si="30"/>
        <v>0</v>
      </c>
      <c r="I47" s="248">
        <f t="shared" si="30"/>
        <v>0</v>
      </c>
      <c r="J47" s="247">
        <f t="shared" si="30"/>
        <v>0</v>
      </c>
      <c r="K47" s="238">
        <f t="shared" si="30"/>
        <v>0</v>
      </c>
      <c r="L47" s="238">
        <f t="shared" si="30"/>
        <v>0</v>
      </c>
      <c r="M47" s="248">
        <f>M46*-B47</f>
        <v>-2913518.0234619901</v>
      </c>
    </row>
    <row r="48" spans="1:13" ht="14.15" customHeight="1">
      <c r="A48" s="234" t="s">
        <v>109</v>
      </c>
      <c r="B48" s="296"/>
      <c r="C48" s="262">
        <f>-C43</f>
        <v>0</v>
      </c>
      <c r="D48" s="263">
        <f t="shared" ref="D48:M48" si="31">-D43</f>
        <v>-3609826.9920000001</v>
      </c>
      <c r="E48" s="232">
        <f t="shared" si="31"/>
        <v>-25891643.877840005</v>
      </c>
      <c r="F48" s="235">
        <f t="shared" si="31"/>
        <v>0</v>
      </c>
      <c r="G48" s="263">
        <f t="shared" si="31"/>
        <v>0</v>
      </c>
      <c r="H48" s="232">
        <f t="shared" si="31"/>
        <v>0</v>
      </c>
      <c r="I48" s="235">
        <f t="shared" si="31"/>
        <v>0</v>
      </c>
      <c r="J48" s="263">
        <f t="shared" si="31"/>
        <v>0</v>
      </c>
      <c r="K48" s="232">
        <f t="shared" si="31"/>
        <v>0</v>
      </c>
      <c r="L48" s="232">
        <f t="shared" si="31"/>
        <v>0</v>
      </c>
      <c r="M48" s="235">
        <f t="shared" si="31"/>
        <v>0</v>
      </c>
    </row>
    <row r="49" spans="1:13" ht="14.15" customHeight="1" thickBot="1">
      <c r="A49" s="273" t="s">
        <v>6</v>
      </c>
      <c r="B49" s="112"/>
      <c r="C49" s="258">
        <f>SUM(C45:C48)</f>
        <v>0</v>
      </c>
      <c r="D49" s="259">
        <f t="shared" ref="D49:M49" si="32">SUM(D45:D48)</f>
        <v>-3753928.9566000002</v>
      </c>
      <c r="E49" s="236">
        <f t="shared" si="32"/>
        <v>-21768753.139250405</v>
      </c>
      <c r="F49" s="237">
        <f t="shared" si="32"/>
        <v>4441215.2025433518</v>
      </c>
      <c r="G49" s="259">
        <f t="shared" si="32"/>
        <v>4829016.0371669717</v>
      </c>
      <c r="H49" s="236">
        <f t="shared" si="32"/>
        <v>5026452.4809997976</v>
      </c>
      <c r="I49" s="237">
        <f t="shared" si="32"/>
        <v>5177246.055429792</v>
      </c>
      <c r="J49" s="259">
        <f t="shared" si="32"/>
        <v>5332563.4370926851</v>
      </c>
      <c r="K49" s="236">
        <f t="shared" si="32"/>
        <v>5492540.3402054664</v>
      </c>
      <c r="L49" s="236">
        <f t="shared" si="32"/>
        <v>5657316.5504116304</v>
      </c>
      <c r="M49" s="237">
        <f t="shared" si="32"/>
        <v>100030785.472195</v>
      </c>
    </row>
    <row r="50" spans="1:13" ht="13.5" thickBot="1">
      <c r="A50" s="109" t="s">
        <v>26</v>
      </c>
      <c r="B50" s="98"/>
      <c r="C50" s="354">
        <f>C49+NPV(D63,D49:M49)</f>
        <v>41970492.198317997</v>
      </c>
      <c r="D50" s="351"/>
      <c r="E50" s="352"/>
      <c r="F50" s="353"/>
      <c r="G50" s="351"/>
      <c r="H50" s="352"/>
      <c r="I50" s="353"/>
      <c r="J50" s="100"/>
      <c r="K50" s="100"/>
      <c r="L50" s="100"/>
      <c r="M50" s="188"/>
    </row>
    <row r="51" spans="1:13" ht="13.5" thickBot="1">
      <c r="A51" s="80" t="s">
        <v>59</v>
      </c>
      <c r="B51" s="153"/>
      <c r="C51" s="269">
        <f>IRR(C49:M49,0)</f>
        <v>0.29530908506192932</v>
      </c>
      <c r="D51" s="251"/>
      <c r="E51" s="153"/>
      <c r="F51" s="172"/>
      <c r="G51" s="251"/>
      <c r="H51" s="153"/>
      <c r="I51" s="172"/>
      <c r="J51" s="153"/>
      <c r="K51" s="153"/>
      <c r="L51" s="153"/>
      <c r="M51" s="172"/>
    </row>
    <row r="52" spans="1:13" ht="13" thickBot="1">
      <c r="A52" s="38"/>
      <c r="B52" s="56"/>
      <c r="C52" s="56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3.5" thickBot="1">
      <c r="A53" s="183" t="s">
        <v>101</v>
      </c>
      <c r="B53" s="158"/>
      <c r="C53" s="158"/>
      <c r="D53" s="182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3.5" thickBot="1">
      <c r="A54" s="78"/>
      <c r="B54" s="153"/>
      <c r="C54" s="83" t="s">
        <v>120</v>
      </c>
      <c r="D54" s="84" t="s">
        <v>121</v>
      </c>
      <c r="E54" s="38"/>
      <c r="F54" s="38"/>
      <c r="G54" s="38"/>
      <c r="H54" s="38"/>
      <c r="I54" s="38"/>
      <c r="J54" s="38"/>
      <c r="K54" s="38"/>
      <c r="L54" s="38"/>
      <c r="M54" s="38"/>
    </row>
    <row r="55" spans="1:13">
      <c r="A55" s="62" t="s">
        <v>564</v>
      </c>
      <c r="B55" s="63"/>
      <c r="C55" s="317">
        <f>'Development Schedule'!C8</f>
        <v>98408.700000000012</v>
      </c>
      <c r="D55" s="869">
        <f>C55*$B$10</f>
        <v>88567.830000000016</v>
      </c>
      <c r="E55" s="38"/>
      <c r="F55" s="38"/>
      <c r="G55" s="38"/>
      <c r="H55" s="38"/>
      <c r="I55" s="38"/>
      <c r="J55" s="38"/>
      <c r="K55" s="38"/>
      <c r="L55" s="38"/>
      <c r="M55" s="38"/>
    </row>
    <row r="56" spans="1:13">
      <c r="A56" s="62" t="s">
        <v>528</v>
      </c>
      <c r="B56" s="63"/>
      <c r="C56" s="317">
        <f>'Development Schedule'!C9</f>
        <v>14131.800000000001</v>
      </c>
      <c r="D56" s="189">
        <f>C56*$B$19</f>
        <v>12718.62</v>
      </c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3" thickBot="1">
      <c r="A57" s="65" t="s">
        <v>565</v>
      </c>
      <c r="B57" s="66"/>
      <c r="C57" s="848">
        <f>'Development Schedule'!C30</f>
        <v>14774.8</v>
      </c>
      <c r="D57" s="271">
        <f>C57*$B$28</f>
        <v>13297.32</v>
      </c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3" thickBot="1">
      <c r="A58" s="38"/>
      <c r="B58" s="56"/>
      <c r="C58" s="56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3.5" thickBot="1">
      <c r="A59" s="183" t="s">
        <v>110</v>
      </c>
      <c r="B59" s="253"/>
      <c r="C59" s="253"/>
      <c r="D59" s="254"/>
      <c r="E59" s="38"/>
      <c r="F59" s="38"/>
      <c r="G59" s="38"/>
      <c r="H59" s="38"/>
      <c r="I59" s="38"/>
      <c r="J59" s="38"/>
      <c r="K59" s="38"/>
      <c r="L59" s="38"/>
      <c r="M59" s="38"/>
    </row>
    <row r="60" spans="1:13">
      <c r="A60" s="62" t="s">
        <v>122</v>
      </c>
      <c r="B60" s="63"/>
      <c r="C60" s="63"/>
      <c r="D60" s="889">
        <v>11</v>
      </c>
      <c r="E60" s="38"/>
      <c r="F60" s="38"/>
      <c r="G60" s="38"/>
      <c r="H60" s="38"/>
      <c r="I60" s="38"/>
      <c r="J60" s="38"/>
      <c r="K60" s="38"/>
      <c r="L60" s="38"/>
      <c r="M60" s="38"/>
    </row>
    <row r="61" spans="1:13">
      <c r="A61" s="62" t="s">
        <v>111</v>
      </c>
      <c r="B61" s="63"/>
      <c r="C61" s="63"/>
      <c r="D61" s="345">
        <v>0.06</v>
      </c>
      <c r="E61" s="38"/>
      <c r="F61" s="38"/>
      <c r="G61" s="38"/>
      <c r="H61" s="38"/>
      <c r="I61" s="38"/>
      <c r="J61" s="38"/>
      <c r="K61" s="38"/>
      <c r="L61" s="38"/>
      <c r="M61" s="38"/>
    </row>
    <row r="62" spans="1:13">
      <c r="A62" s="62" t="s">
        <v>112</v>
      </c>
      <c r="B62" s="63"/>
      <c r="C62" s="63"/>
      <c r="D62" s="345">
        <v>0.03</v>
      </c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13" thickBot="1">
      <c r="A63" s="65" t="s">
        <v>97</v>
      </c>
      <c r="B63" s="66"/>
      <c r="C63" s="66"/>
      <c r="D63" s="125">
        <v>0.09</v>
      </c>
      <c r="E63" s="38"/>
      <c r="F63" s="38"/>
      <c r="G63" s="38"/>
      <c r="H63" s="38"/>
      <c r="I63" s="38"/>
      <c r="J63" s="38"/>
      <c r="K63" s="38"/>
      <c r="L63" s="38"/>
      <c r="M63" s="38"/>
    </row>
    <row r="64" spans="1:13">
      <c r="A64" s="38"/>
      <c r="B64" s="56"/>
      <c r="C64" s="56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>
      <c r="A65" s="38"/>
      <c r="B65" s="56"/>
      <c r="C65" s="56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>
      <c r="A66" s="38"/>
      <c r="B66" s="56"/>
      <c r="C66" s="56"/>
      <c r="D66" s="38"/>
      <c r="E66" s="38"/>
      <c r="F66" s="38"/>
      <c r="G66" s="38"/>
      <c r="H66" s="38"/>
      <c r="I66" s="38"/>
      <c r="J66" s="38"/>
      <c r="K66" s="38"/>
      <c r="L66" s="38"/>
      <c r="M66" s="38"/>
    </row>
  </sheetData>
  <phoneticPr fontId="4" type="noConversion"/>
  <printOptions horizontalCentered="1"/>
  <pageMargins left="0.5" right="0.5" top="1" bottom="0.5" header="0.5" footer="0.5"/>
  <pageSetup scale="65" orientation="landscape" r:id="rId1"/>
  <headerFooter alignWithMargins="0">
    <oddHeader>&amp;L&amp;"Arial,Bold"5. Income Statement: Office/Commercial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41"/>
  <sheetViews>
    <sheetView view="pageBreakPreview" zoomScale="85" zoomScaleNormal="100" zoomScaleSheetLayoutView="85" zoomScalePageLayoutView="85" workbookViewId="0">
      <selection activeCell="B11" sqref="B11"/>
    </sheetView>
  </sheetViews>
  <sheetFormatPr defaultColWidth="9.1796875" defaultRowHeight="12.5" outlineLevelRow="1"/>
  <cols>
    <col min="1" max="1" width="23" style="89" customWidth="1"/>
    <col min="2" max="2" width="12.7265625" style="90" customWidth="1"/>
    <col min="3" max="3" width="13.7265625" style="90" customWidth="1"/>
    <col min="4" max="13" width="13.7265625" style="89" customWidth="1"/>
    <col min="14" max="14" width="14.26953125" style="89" bestFit="1" customWidth="1"/>
    <col min="15" max="16384" width="9.1796875" style="89"/>
  </cols>
  <sheetData>
    <row r="1" spans="1:22" ht="14.15" customHeight="1" thickBot="1">
      <c r="A1" s="38"/>
      <c r="B1" s="56"/>
      <c r="C1" s="56"/>
      <c r="D1" s="38"/>
      <c r="E1" s="38"/>
      <c r="F1" s="38"/>
      <c r="G1" s="38"/>
      <c r="H1" s="38"/>
      <c r="I1" s="38"/>
      <c r="J1" s="38"/>
      <c r="K1" s="38"/>
      <c r="L1" s="135" t="s">
        <v>98</v>
      </c>
      <c r="M1" s="319">
        <f>'1.Infrastructure Costs'!$N$1</f>
        <v>202</v>
      </c>
    </row>
    <row r="2" spans="1:22" ht="14.15" customHeight="1" thickBot="1">
      <c r="A2" s="38"/>
      <c r="B2" s="56"/>
      <c r="C2" s="56"/>
      <c r="D2" s="38"/>
      <c r="E2" s="38"/>
      <c r="F2" s="38"/>
      <c r="G2" s="38"/>
      <c r="H2" s="38"/>
      <c r="I2" s="38"/>
      <c r="J2" s="38"/>
      <c r="K2" s="38"/>
      <c r="L2" s="337"/>
      <c r="M2" s="338"/>
    </row>
    <row r="3" spans="1:22" ht="14.15" customHeight="1" thickBot="1">
      <c r="A3" s="123"/>
      <c r="B3" s="203"/>
      <c r="C3" s="129" t="s">
        <v>55</v>
      </c>
      <c r="D3" s="39" t="s">
        <v>36</v>
      </c>
      <c r="E3" s="97"/>
      <c r="F3" s="40"/>
      <c r="G3" s="96" t="s">
        <v>77</v>
      </c>
      <c r="H3" s="144"/>
      <c r="I3" s="41"/>
      <c r="J3" s="39" t="s">
        <v>78</v>
      </c>
      <c r="K3" s="39"/>
      <c r="L3" s="40"/>
      <c r="M3" s="41"/>
    </row>
    <row r="4" spans="1:22" ht="14.15" customHeight="1" thickBot="1">
      <c r="A4" s="62"/>
      <c r="B4" s="63"/>
      <c r="C4" s="137">
        <v>0</v>
      </c>
      <c r="D4" s="93">
        <f>C4+1</f>
        <v>1</v>
      </c>
      <c r="E4" s="93">
        <f t="shared" ref="E4:M5" si="0">D4+1</f>
        <v>2</v>
      </c>
      <c r="F4" s="93">
        <f t="shared" si="0"/>
        <v>3</v>
      </c>
      <c r="G4" s="94">
        <f t="shared" si="0"/>
        <v>4</v>
      </c>
      <c r="H4" s="136">
        <f t="shared" si="0"/>
        <v>5</v>
      </c>
      <c r="I4" s="95">
        <f t="shared" si="0"/>
        <v>6</v>
      </c>
      <c r="J4" s="93">
        <f t="shared" si="0"/>
        <v>7</v>
      </c>
      <c r="K4" s="93">
        <f t="shared" si="0"/>
        <v>8</v>
      </c>
      <c r="L4" s="93">
        <f t="shared" si="0"/>
        <v>9</v>
      </c>
      <c r="M4" s="95">
        <f t="shared" si="0"/>
        <v>10</v>
      </c>
    </row>
    <row r="5" spans="1:22" ht="14.15" customHeight="1" thickBot="1">
      <c r="A5" s="65"/>
      <c r="B5" s="136"/>
      <c r="C5" s="137" t="s">
        <v>379</v>
      </c>
      <c r="D5" s="356">
        <v>2022</v>
      </c>
      <c r="E5" s="93">
        <f>D5+1</f>
        <v>2023</v>
      </c>
      <c r="F5" s="93">
        <f t="shared" si="0"/>
        <v>2024</v>
      </c>
      <c r="G5" s="94">
        <f t="shared" si="0"/>
        <v>2025</v>
      </c>
      <c r="H5" s="93">
        <f t="shared" si="0"/>
        <v>2026</v>
      </c>
      <c r="I5" s="95">
        <f t="shared" si="0"/>
        <v>2027</v>
      </c>
      <c r="J5" s="93">
        <f t="shared" si="0"/>
        <v>2028</v>
      </c>
      <c r="K5" s="93">
        <f t="shared" si="0"/>
        <v>2029</v>
      </c>
      <c r="L5" s="93">
        <f>K5+1</f>
        <v>2030</v>
      </c>
      <c r="M5" s="95">
        <f>L5+1</f>
        <v>2031</v>
      </c>
    </row>
    <row r="6" spans="1:22" ht="13.5" thickBot="1">
      <c r="A6" s="198" t="s">
        <v>10</v>
      </c>
      <c r="B6" s="195"/>
      <c r="C6" s="204"/>
      <c r="D6" s="196"/>
      <c r="E6" s="196"/>
      <c r="F6" s="196"/>
      <c r="G6" s="207"/>
      <c r="H6" s="196"/>
      <c r="I6" s="197"/>
      <c r="J6" s="196"/>
      <c r="K6" s="196"/>
      <c r="L6" s="196"/>
      <c r="M6" s="197"/>
    </row>
    <row r="7" spans="1:22" ht="14.15" customHeight="1">
      <c r="A7" s="313" t="str">
        <f>A121</f>
        <v>Phase I Art Gallery</v>
      </c>
      <c r="B7" s="203"/>
      <c r="C7" s="314"/>
      <c r="D7" s="315"/>
      <c r="E7" s="315"/>
      <c r="F7" s="315"/>
      <c r="G7" s="123"/>
      <c r="H7" s="315"/>
      <c r="I7" s="316"/>
      <c r="J7" s="315"/>
      <c r="K7" s="315"/>
      <c r="L7" s="315"/>
      <c r="M7" s="316"/>
    </row>
    <row r="8" spans="1:22" ht="14.15" customHeight="1">
      <c r="A8" s="173" t="s">
        <v>11</v>
      </c>
      <c r="B8" s="122">
        <v>0.03</v>
      </c>
      <c r="C8" s="130"/>
      <c r="D8" s="99"/>
      <c r="E8" s="99"/>
      <c r="F8" s="99"/>
      <c r="G8" s="133"/>
      <c r="H8" s="99"/>
      <c r="I8" s="104"/>
      <c r="J8" s="99"/>
      <c r="K8" s="99"/>
      <c r="L8" s="99"/>
      <c r="M8" s="104"/>
    </row>
    <row r="9" spans="1:22" ht="14.15" customHeight="1">
      <c r="A9" s="173" t="s">
        <v>118</v>
      </c>
      <c r="B9" s="63"/>
      <c r="C9" s="357">
        <v>0</v>
      </c>
      <c r="D9" s="184">
        <f>C121</f>
        <v>28518.6</v>
      </c>
      <c r="E9" s="184">
        <f t="shared" ref="E9:M11" si="1">D9</f>
        <v>28518.6</v>
      </c>
      <c r="F9" s="184">
        <f t="shared" si="1"/>
        <v>28518.6</v>
      </c>
      <c r="G9" s="211">
        <f t="shared" si="1"/>
        <v>28518.6</v>
      </c>
      <c r="H9" s="184">
        <f t="shared" si="1"/>
        <v>28518.6</v>
      </c>
      <c r="I9" s="189">
        <f t="shared" si="1"/>
        <v>28518.6</v>
      </c>
      <c r="J9" s="184">
        <f t="shared" si="1"/>
        <v>28518.6</v>
      </c>
      <c r="K9" s="184">
        <f t="shared" si="1"/>
        <v>28518.6</v>
      </c>
      <c r="L9" s="184">
        <f t="shared" si="1"/>
        <v>28518.6</v>
      </c>
      <c r="M9" s="189">
        <f t="shared" si="1"/>
        <v>28518.6</v>
      </c>
    </row>
    <row r="10" spans="1:22" ht="14.15" customHeight="1">
      <c r="A10" s="173" t="s">
        <v>39</v>
      </c>
      <c r="B10" s="122">
        <v>0.95</v>
      </c>
      <c r="C10" s="358">
        <f>C9*$B$10</f>
        <v>0</v>
      </c>
      <c r="D10" s="184">
        <f t="shared" ref="D10:M10" si="2">D9*$B$10</f>
        <v>27092.67</v>
      </c>
      <c r="E10" s="184">
        <f t="shared" si="2"/>
        <v>27092.67</v>
      </c>
      <c r="F10" s="184">
        <f t="shared" si="2"/>
        <v>27092.67</v>
      </c>
      <c r="G10" s="211">
        <f t="shared" si="2"/>
        <v>27092.67</v>
      </c>
      <c r="H10" s="184">
        <f t="shared" si="2"/>
        <v>27092.67</v>
      </c>
      <c r="I10" s="189">
        <f t="shared" si="2"/>
        <v>27092.67</v>
      </c>
      <c r="J10" s="184">
        <f t="shared" si="2"/>
        <v>27092.67</v>
      </c>
      <c r="K10" s="184">
        <f t="shared" si="2"/>
        <v>27092.67</v>
      </c>
      <c r="L10" s="184">
        <f t="shared" si="2"/>
        <v>27092.67</v>
      </c>
      <c r="M10" s="189">
        <f t="shared" si="2"/>
        <v>27092.67</v>
      </c>
    </row>
    <row r="11" spans="1:22" ht="14.15" customHeight="1">
      <c r="A11" s="173" t="s">
        <v>44</v>
      </c>
      <c r="B11" s="98"/>
      <c r="C11" s="359">
        <v>1</v>
      </c>
      <c r="D11" s="101">
        <f>C11</f>
        <v>1</v>
      </c>
      <c r="E11" s="122">
        <v>0.3</v>
      </c>
      <c r="F11" s="122">
        <v>9.6000000000000002E-2</v>
      </c>
      <c r="G11" s="264">
        <f t="shared" si="1"/>
        <v>9.6000000000000002E-2</v>
      </c>
      <c r="H11" s="101">
        <f t="shared" si="1"/>
        <v>9.6000000000000002E-2</v>
      </c>
      <c r="I11" s="219">
        <f t="shared" si="1"/>
        <v>9.6000000000000002E-2</v>
      </c>
      <c r="J11" s="101">
        <f t="shared" si="1"/>
        <v>9.6000000000000002E-2</v>
      </c>
      <c r="K11" s="101">
        <f t="shared" si="1"/>
        <v>9.6000000000000002E-2</v>
      </c>
      <c r="L11" s="101">
        <f t="shared" si="1"/>
        <v>9.6000000000000002E-2</v>
      </c>
      <c r="M11" s="219">
        <f t="shared" si="1"/>
        <v>9.6000000000000002E-2</v>
      </c>
    </row>
    <row r="12" spans="1:22" s="341" customFormat="1" ht="13" thickBot="1">
      <c r="A12" s="134" t="s">
        <v>119</v>
      </c>
      <c r="B12" s="66"/>
      <c r="C12" s="891">
        <v>45</v>
      </c>
      <c r="D12" s="283">
        <f>$C$12*(1+$B$8)^D$4</f>
        <v>46.35</v>
      </c>
      <c r="E12" s="283">
        <f t="shared" ref="E12:M12" si="3">$C$12*(1+$B$8)^E$4</f>
        <v>47.740499999999997</v>
      </c>
      <c r="F12" s="283">
        <f t="shared" si="3"/>
        <v>49.172714999999997</v>
      </c>
      <c r="G12" s="295">
        <f t="shared" si="3"/>
        <v>50.647896449999998</v>
      </c>
      <c r="H12" s="283">
        <f t="shared" si="3"/>
        <v>52.16733334349999</v>
      </c>
      <c r="I12" s="284">
        <f t="shared" si="3"/>
        <v>53.732353343804995</v>
      </c>
      <c r="J12" s="283">
        <f t="shared" si="3"/>
        <v>55.344323944119147</v>
      </c>
      <c r="K12" s="283">
        <f t="shared" si="3"/>
        <v>57.00465366244272</v>
      </c>
      <c r="L12" s="283">
        <f t="shared" si="3"/>
        <v>58.714793272316001</v>
      </c>
      <c r="M12" s="284">
        <f t="shared" si="3"/>
        <v>60.476237070485482</v>
      </c>
      <c r="N12" s="414"/>
      <c r="O12" s="414"/>
      <c r="P12" s="414"/>
      <c r="Q12" s="414"/>
      <c r="R12" s="414"/>
      <c r="S12" s="414"/>
      <c r="T12" s="414"/>
      <c r="U12" s="414"/>
      <c r="V12" s="414"/>
    </row>
    <row r="13" spans="1:22" s="341" customFormat="1" hidden="1" outlineLevel="1">
      <c r="A13" s="320" t="s">
        <v>16</v>
      </c>
      <c r="B13" s="203"/>
      <c r="C13" s="243">
        <f>C10*(1-C11)*C12</f>
        <v>0</v>
      </c>
      <c r="D13" s="245">
        <f t="shared" ref="D13:M13" si="4">D10*(1-D11)*D12</f>
        <v>0</v>
      </c>
      <c r="E13" s="245">
        <f t="shared" si="4"/>
        <v>905392.3284944999</v>
      </c>
      <c r="F13" s="245">
        <f t="shared" si="4"/>
        <v>1204327.0070111409</v>
      </c>
      <c r="G13" s="244">
        <f t="shared" si="4"/>
        <v>1240456.8172214753</v>
      </c>
      <c r="H13" s="245">
        <f t="shared" si="4"/>
        <v>1277670.5217381194</v>
      </c>
      <c r="I13" s="246">
        <f t="shared" si="4"/>
        <v>1316000.6373902631</v>
      </c>
      <c r="J13" s="245">
        <f t="shared" si="4"/>
        <v>1355480.656511971</v>
      </c>
      <c r="K13" s="245">
        <f t="shared" si="4"/>
        <v>1396145.0762073302</v>
      </c>
      <c r="L13" s="245">
        <f t="shared" si="4"/>
        <v>1438029.42849355</v>
      </c>
      <c r="M13" s="246">
        <f t="shared" si="4"/>
        <v>1481170.3113483565</v>
      </c>
      <c r="N13" s="414"/>
      <c r="O13" s="414"/>
      <c r="P13" s="414"/>
      <c r="Q13" s="414"/>
      <c r="R13" s="414"/>
      <c r="S13" s="414"/>
      <c r="T13" s="414"/>
      <c r="U13" s="414"/>
      <c r="V13" s="414"/>
    </row>
    <row r="14" spans="1:22" s="341" customFormat="1" hidden="1" outlineLevel="1">
      <c r="A14" s="173" t="s">
        <v>168</v>
      </c>
      <c r="B14" s="63"/>
      <c r="C14" s="143">
        <f t="shared" ref="C14:M14" si="5">C10*(1-C11)*($D$133*(1+$B8)^C$4)</f>
        <v>0</v>
      </c>
      <c r="D14" s="238">
        <f t="shared" si="5"/>
        <v>0</v>
      </c>
      <c r="E14" s="238">
        <f t="shared" si="5"/>
        <v>301797.44283149997</v>
      </c>
      <c r="F14" s="238">
        <f t="shared" si="5"/>
        <v>401442.33567038039</v>
      </c>
      <c r="G14" s="247">
        <f t="shared" si="5"/>
        <v>413485.60574049177</v>
      </c>
      <c r="H14" s="238">
        <f t="shared" si="5"/>
        <v>425890.17391270644</v>
      </c>
      <c r="I14" s="248">
        <f t="shared" si="5"/>
        <v>438666.87913008768</v>
      </c>
      <c r="J14" s="238">
        <f t="shared" si="5"/>
        <v>451826.88550399034</v>
      </c>
      <c r="K14" s="238">
        <f t="shared" si="5"/>
        <v>465381.69206910999</v>
      </c>
      <c r="L14" s="238">
        <f t="shared" si="5"/>
        <v>479343.14283118333</v>
      </c>
      <c r="M14" s="248">
        <f t="shared" si="5"/>
        <v>493723.43711611879</v>
      </c>
      <c r="N14" s="414"/>
      <c r="O14" s="414"/>
      <c r="P14" s="414"/>
      <c r="Q14" s="414"/>
      <c r="R14" s="414"/>
      <c r="S14" s="414"/>
      <c r="T14" s="414"/>
      <c r="U14" s="414"/>
      <c r="V14" s="414"/>
    </row>
    <row r="15" spans="1:22" s="341" customFormat="1" ht="13" hidden="1" outlineLevel="1" thickBot="1">
      <c r="A15" s="134" t="s">
        <v>169</v>
      </c>
      <c r="B15" s="66"/>
      <c r="C15" s="415">
        <f t="shared" ref="C15:M15" si="6">C10*($D$133*(1+$B8)^C$4)</f>
        <v>0</v>
      </c>
      <c r="D15" s="410">
        <f t="shared" si="6"/>
        <v>418581.75150000001</v>
      </c>
      <c r="E15" s="410">
        <f t="shared" si="6"/>
        <v>431139.20404499996</v>
      </c>
      <c r="F15" s="410">
        <f t="shared" si="6"/>
        <v>444073.38016634999</v>
      </c>
      <c r="G15" s="409">
        <f t="shared" si="6"/>
        <v>457395.58157134044</v>
      </c>
      <c r="H15" s="410">
        <f t="shared" si="6"/>
        <v>471117.44901848061</v>
      </c>
      <c r="I15" s="411">
        <f t="shared" si="6"/>
        <v>485250.97248903505</v>
      </c>
      <c r="J15" s="410">
        <f t="shared" si="6"/>
        <v>499808.50166370615</v>
      </c>
      <c r="K15" s="410">
        <f t="shared" si="6"/>
        <v>514802.7567136173</v>
      </c>
      <c r="L15" s="410">
        <f t="shared" si="6"/>
        <v>530246.83941502578</v>
      </c>
      <c r="M15" s="411">
        <f t="shared" si="6"/>
        <v>546154.24459747656</v>
      </c>
      <c r="N15" s="414"/>
      <c r="O15" s="414"/>
      <c r="P15" s="414"/>
      <c r="Q15" s="414"/>
      <c r="R15" s="414"/>
      <c r="S15" s="414"/>
      <c r="T15" s="414"/>
      <c r="U15" s="414"/>
      <c r="V15" s="414"/>
    </row>
    <row r="16" spans="1:22" ht="14.15" customHeight="1" collapsed="1">
      <c r="A16" s="61" t="str">
        <f>A122</f>
        <v>Phase I Grocery Store</v>
      </c>
      <c r="B16" s="63"/>
      <c r="C16" s="131"/>
      <c r="D16" s="68"/>
      <c r="E16" s="68"/>
      <c r="F16" s="68"/>
      <c r="G16" s="62"/>
      <c r="H16" s="68"/>
      <c r="I16" s="105"/>
      <c r="J16" s="68"/>
      <c r="K16" s="68"/>
      <c r="L16" s="68"/>
      <c r="M16" s="105"/>
    </row>
    <row r="17" spans="1:22" ht="14.15" customHeight="1">
      <c r="A17" s="173" t="s">
        <v>11</v>
      </c>
      <c r="B17" s="122">
        <v>0.03</v>
      </c>
      <c r="C17" s="130"/>
      <c r="D17" s="99"/>
      <c r="E17" s="99"/>
      <c r="F17" s="99"/>
      <c r="G17" s="133"/>
      <c r="H17" s="99"/>
      <c r="I17" s="104"/>
      <c r="J17" s="99"/>
      <c r="K17" s="99"/>
      <c r="L17" s="99"/>
      <c r="M17" s="104"/>
    </row>
    <row r="18" spans="1:22" ht="14.15" customHeight="1">
      <c r="A18" s="173" t="s">
        <v>118</v>
      </c>
      <c r="B18" s="63"/>
      <c r="C18" s="357">
        <v>0</v>
      </c>
      <c r="D18" s="184">
        <f>C122</f>
        <v>19757</v>
      </c>
      <c r="E18" s="184">
        <f t="shared" ref="E18:M18" si="7">D18</f>
        <v>19757</v>
      </c>
      <c r="F18" s="184">
        <f t="shared" si="7"/>
        <v>19757</v>
      </c>
      <c r="G18" s="211">
        <f t="shared" si="7"/>
        <v>19757</v>
      </c>
      <c r="H18" s="184">
        <f t="shared" si="7"/>
        <v>19757</v>
      </c>
      <c r="I18" s="189">
        <f t="shared" si="7"/>
        <v>19757</v>
      </c>
      <c r="J18" s="184">
        <f t="shared" si="7"/>
        <v>19757</v>
      </c>
      <c r="K18" s="184">
        <f t="shared" si="7"/>
        <v>19757</v>
      </c>
      <c r="L18" s="184">
        <f t="shared" si="7"/>
        <v>19757</v>
      </c>
      <c r="M18" s="189">
        <f t="shared" si="7"/>
        <v>19757</v>
      </c>
    </row>
    <row r="19" spans="1:22" ht="14.15" customHeight="1">
      <c r="A19" s="173" t="s">
        <v>39</v>
      </c>
      <c r="B19" s="122">
        <v>0.9</v>
      </c>
      <c r="C19" s="358">
        <f>C18*$B$19</f>
        <v>0</v>
      </c>
      <c r="D19" s="184">
        <f t="shared" ref="D19:M19" si="8">D18*$B$19</f>
        <v>17781.3</v>
      </c>
      <c r="E19" s="184">
        <f t="shared" si="8"/>
        <v>17781.3</v>
      </c>
      <c r="F19" s="184">
        <f t="shared" si="8"/>
        <v>17781.3</v>
      </c>
      <c r="G19" s="211">
        <f t="shared" si="8"/>
        <v>17781.3</v>
      </c>
      <c r="H19" s="184">
        <f t="shared" si="8"/>
        <v>17781.3</v>
      </c>
      <c r="I19" s="189">
        <f t="shared" si="8"/>
        <v>17781.3</v>
      </c>
      <c r="J19" s="184">
        <f t="shared" si="8"/>
        <v>17781.3</v>
      </c>
      <c r="K19" s="184">
        <f t="shared" si="8"/>
        <v>17781.3</v>
      </c>
      <c r="L19" s="184">
        <f t="shared" si="8"/>
        <v>17781.3</v>
      </c>
      <c r="M19" s="189">
        <f t="shared" si="8"/>
        <v>17781.3</v>
      </c>
    </row>
    <row r="20" spans="1:22" ht="14.15" customHeight="1">
      <c r="A20" s="173" t="s">
        <v>44</v>
      </c>
      <c r="B20" s="98"/>
      <c r="C20" s="359">
        <v>1</v>
      </c>
      <c r="D20" s="101">
        <f>C20</f>
        <v>1</v>
      </c>
      <c r="E20" s="122">
        <v>0.25</v>
      </c>
      <c r="F20" s="122">
        <v>9.6000000000000002E-2</v>
      </c>
      <c r="G20" s="264">
        <f t="shared" ref="G20:M20" si="9">F20</f>
        <v>9.6000000000000002E-2</v>
      </c>
      <c r="H20" s="101">
        <f t="shared" si="9"/>
        <v>9.6000000000000002E-2</v>
      </c>
      <c r="I20" s="219">
        <f t="shared" si="9"/>
        <v>9.6000000000000002E-2</v>
      </c>
      <c r="J20" s="101">
        <f t="shared" si="9"/>
        <v>9.6000000000000002E-2</v>
      </c>
      <c r="K20" s="101">
        <f t="shared" si="9"/>
        <v>9.6000000000000002E-2</v>
      </c>
      <c r="L20" s="101">
        <f t="shared" si="9"/>
        <v>9.6000000000000002E-2</v>
      </c>
      <c r="M20" s="219">
        <f t="shared" si="9"/>
        <v>9.6000000000000002E-2</v>
      </c>
    </row>
    <row r="21" spans="1:22" ht="13" thickBot="1">
      <c r="A21" s="134" t="s">
        <v>119</v>
      </c>
      <c r="B21" s="66"/>
      <c r="C21" s="891">
        <v>40</v>
      </c>
      <c r="D21" s="283">
        <f t="shared" ref="D21:M21" si="10">$C$21*(1+$B$17)^D$4</f>
        <v>41.2</v>
      </c>
      <c r="E21" s="283">
        <f t="shared" si="10"/>
        <v>42.436</v>
      </c>
      <c r="F21" s="283">
        <f t="shared" si="10"/>
        <v>43.70908</v>
      </c>
      <c r="G21" s="295">
        <f t="shared" si="10"/>
        <v>45.020352399999993</v>
      </c>
      <c r="H21" s="283">
        <f t="shared" si="10"/>
        <v>46.370962971999994</v>
      </c>
      <c r="I21" s="284">
        <f t="shared" si="10"/>
        <v>47.762091861159995</v>
      </c>
      <c r="J21" s="283">
        <f t="shared" si="10"/>
        <v>49.194954616994799</v>
      </c>
      <c r="K21" s="283">
        <f t="shared" si="10"/>
        <v>50.670803255504637</v>
      </c>
      <c r="L21" s="283">
        <f t="shared" si="10"/>
        <v>52.190927353169776</v>
      </c>
      <c r="M21" s="284">
        <f t="shared" si="10"/>
        <v>53.756655173764869</v>
      </c>
      <c r="N21" s="367"/>
      <c r="O21" s="367"/>
      <c r="P21" s="367"/>
      <c r="Q21" s="367"/>
      <c r="R21" s="367"/>
      <c r="S21" s="367"/>
      <c r="T21" s="367"/>
      <c r="U21" s="367"/>
      <c r="V21" s="367"/>
    </row>
    <row r="22" spans="1:22" s="341" customFormat="1" hidden="1" outlineLevel="1">
      <c r="A22" s="320" t="s">
        <v>16</v>
      </c>
      <c r="B22" s="203"/>
      <c r="C22" s="243">
        <f t="shared" ref="C22:M22" si="11">C19*(1-C20)*C21</f>
        <v>0</v>
      </c>
      <c r="D22" s="245">
        <f t="shared" si="11"/>
        <v>0</v>
      </c>
      <c r="E22" s="245">
        <f t="shared" si="11"/>
        <v>565925.43509999989</v>
      </c>
      <c r="F22" s="245">
        <f t="shared" si="11"/>
        <v>702592.65484041604</v>
      </c>
      <c r="G22" s="244">
        <f t="shared" si="11"/>
        <v>723670.43448562839</v>
      </c>
      <c r="H22" s="245">
        <f t="shared" si="11"/>
        <v>745380.54752019723</v>
      </c>
      <c r="I22" s="246">
        <f t="shared" si="11"/>
        <v>767741.96394580323</v>
      </c>
      <c r="J22" s="245">
        <f t="shared" si="11"/>
        <v>790774.22286417731</v>
      </c>
      <c r="K22" s="245">
        <f t="shared" si="11"/>
        <v>814497.44955010258</v>
      </c>
      <c r="L22" s="245">
        <f t="shared" si="11"/>
        <v>838932.37303660566</v>
      </c>
      <c r="M22" s="246">
        <f t="shared" si="11"/>
        <v>864100.34422770387</v>
      </c>
      <c r="N22" s="414"/>
      <c r="O22" s="414"/>
      <c r="P22" s="414"/>
      <c r="Q22" s="414"/>
      <c r="R22" s="414"/>
      <c r="S22" s="414"/>
      <c r="T22" s="414"/>
      <c r="U22" s="414"/>
      <c r="V22" s="414"/>
    </row>
    <row r="23" spans="1:22" s="341" customFormat="1" hidden="1" outlineLevel="1">
      <c r="A23" s="173" t="s">
        <v>168</v>
      </c>
      <c r="B23" s="63"/>
      <c r="C23" s="143">
        <f t="shared" ref="C23:M23" si="12">C19*(1-C20)*($D$133*(1+$B17)^C$4)</f>
        <v>0</v>
      </c>
      <c r="D23" s="238">
        <f t="shared" si="12"/>
        <v>0</v>
      </c>
      <c r="E23" s="238">
        <f t="shared" si="12"/>
        <v>212222.03816249996</v>
      </c>
      <c r="F23" s="238">
        <f t="shared" si="12"/>
        <v>263472.24556515599</v>
      </c>
      <c r="G23" s="247">
        <f t="shared" si="12"/>
        <v>271376.41293211066</v>
      </c>
      <c r="H23" s="238">
        <f t="shared" si="12"/>
        <v>279517.70532007393</v>
      </c>
      <c r="I23" s="248">
        <f t="shared" si="12"/>
        <v>287903.23647967615</v>
      </c>
      <c r="J23" s="238">
        <f t="shared" si="12"/>
        <v>296540.33357406652</v>
      </c>
      <c r="K23" s="238">
        <f t="shared" si="12"/>
        <v>305436.54358128848</v>
      </c>
      <c r="L23" s="238">
        <f t="shared" si="12"/>
        <v>314599.63988872716</v>
      </c>
      <c r="M23" s="248">
        <f t="shared" si="12"/>
        <v>324037.62908538897</v>
      </c>
      <c r="N23" s="414"/>
      <c r="O23" s="414"/>
      <c r="P23" s="414"/>
      <c r="Q23" s="414"/>
      <c r="R23" s="414"/>
      <c r="S23" s="414"/>
      <c r="T23" s="414"/>
      <c r="U23" s="414"/>
      <c r="V23" s="414"/>
    </row>
    <row r="24" spans="1:22" s="341" customFormat="1" ht="13" hidden="1" outlineLevel="1" thickBot="1">
      <c r="A24" s="134" t="s">
        <v>169</v>
      </c>
      <c r="B24" s="66"/>
      <c r="C24" s="415">
        <f t="shared" ref="C24:M24" si="13">C19*($D$133*(1+$B17)^C$4)</f>
        <v>0</v>
      </c>
      <c r="D24" s="410">
        <f t="shared" si="13"/>
        <v>274721.08500000002</v>
      </c>
      <c r="E24" s="410">
        <f t="shared" si="13"/>
        <v>282962.71755</v>
      </c>
      <c r="F24" s="410">
        <f t="shared" si="13"/>
        <v>291451.59907649999</v>
      </c>
      <c r="G24" s="409">
        <f t="shared" si="13"/>
        <v>300195.14704879496</v>
      </c>
      <c r="H24" s="410">
        <f t="shared" si="13"/>
        <v>309201.00146025879</v>
      </c>
      <c r="I24" s="411">
        <f t="shared" si="13"/>
        <v>318477.03150406654</v>
      </c>
      <c r="J24" s="410">
        <f t="shared" si="13"/>
        <v>328031.34244918858</v>
      </c>
      <c r="K24" s="410">
        <f t="shared" si="13"/>
        <v>337872.28272266424</v>
      </c>
      <c r="L24" s="410">
        <f t="shared" si="13"/>
        <v>348008.45120434416</v>
      </c>
      <c r="M24" s="411">
        <f t="shared" si="13"/>
        <v>358448.70474047447</v>
      </c>
      <c r="N24" s="414"/>
      <c r="O24" s="414"/>
      <c r="P24" s="414"/>
      <c r="Q24" s="414"/>
      <c r="R24" s="414"/>
      <c r="S24" s="414"/>
      <c r="T24" s="414"/>
      <c r="U24" s="414"/>
      <c r="V24" s="414"/>
    </row>
    <row r="25" spans="1:22" ht="14.15" customHeight="1" collapsed="1">
      <c r="A25" s="61" t="str">
        <f>A123</f>
        <v>Phase I Retail</v>
      </c>
      <c r="B25" s="63"/>
      <c r="C25" s="131"/>
      <c r="D25" s="68"/>
      <c r="E25" s="68"/>
      <c r="F25" s="68"/>
      <c r="G25" s="62"/>
      <c r="H25" s="68"/>
      <c r="I25" s="105"/>
      <c r="J25" s="68"/>
      <c r="K25" s="68"/>
      <c r="L25" s="68"/>
      <c r="M25" s="105"/>
    </row>
    <row r="26" spans="1:22" ht="14.15" customHeight="1">
      <c r="A26" s="173" t="s">
        <v>11</v>
      </c>
      <c r="B26" s="122">
        <v>0.03</v>
      </c>
      <c r="C26" s="130"/>
      <c r="D26" s="99"/>
      <c r="E26" s="99"/>
      <c r="F26" s="99"/>
      <c r="G26" s="133"/>
      <c r="H26" s="99"/>
      <c r="I26" s="104"/>
      <c r="J26" s="99"/>
      <c r="K26" s="99"/>
      <c r="L26" s="99"/>
      <c r="M26" s="104"/>
    </row>
    <row r="27" spans="1:22" ht="14.15" customHeight="1">
      <c r="A27" s="173" t="s">
        <v>118</v>
      </c>
      <c r="B27" s="63"/>
      <c r="C27" s="357">
        <v>0</v>
      </c>
      <c r="D27" s="184">
        <v>0</v>
      </c>
      <c r="E27" s="184">
        <v>0</v>
      </c>
      <c r="F27" s="184">
        <v>0</v>
      </c>
      <c r="G27" s="211">
        <f>C123</f>
        <v>18000</v>
      </c>
      <c r="H27" s="184">
        <f t="shared" ref="H27:M27" si="14">G27</f>
        <v>18000</v>
      </c>
      <c r="I27" s="189">
        <f t="shared" si="14"/>
        <v>18000</v>
      </c>
      <c r="J27" s="184">
        <f t="shared" si="14"/>
        <v>18000</v>
      </c>
      <c r="K27" s="184">
        <f t="shared" si="14"/>
        <v>18000</v>
      </c>
      <c r="L27" s="184">
        <f t="shared" si="14"/>
        <v>18000</v>
      </c>
      <c r="M27" s="189">
        <f t="shared" si="14"/>
        <v>18000</v>
      </c>
    </row>
    <row r="28" spans="1:22" ht="14.15" customHeight="1">
      <c r="A28" s="173" t="s">
        <v>39</v>
      </c>
      <c r="B28" s="122">
        <v>0.9</v>
      </c>
      <c r="C28" s="358">
        <f>C27*$B$28</f>
        <v>0</v>
      </c>
      <c r="D28" s="184">
        <f t="shared" ref="D28:M28" si="15">D27*$B$28</f>
        <v>0</v>
      </c>
      <c r="E28" s="184">
        <f t="shared" si="15"/>
        <v>0</v>
      </c>
      <c r="F28" s="184">
        <f t="shared" si="15"/>
        <v>0</v>
      </c>
      <c r="G28" s="211">
        <f t="shared" si="15"/>
        <v>16200</v>
      </c>
      <c r="H28" s="184">
        <f t="shared" si="15"/>
        <v>16200</v>
      </c>
      <c r="I28" s="189">
        <f t="shared" si="15"/>
        <v>16200</v>
      </c>
      <c r="J28" s="184">
        <f t="shared" si="15"/>
        <v>16200</v>
      </c>
      <c r="K28" s="184">
        <f t="shared" si="15"/>
        <v>16200</v>
      </c>
      <c r="L28" s="184">
        <f t="shared" si="15"/>
        <v>16200</v>
      </c>
      <c r="M28" s="189">
        <f t="shared" si="15"/>
        <v>16200</v>
      </c>
    </row>
    <row r="29" spans="1:22" ht="14.15" customHeight="1">
      <c r="A29" s="173" t="s">
        <v>44</v>
      </c>
      <c r="B29" s="98"/>
      <c r="C29" s="359">
        <v>1</v>
      </c>
      <c r="D29" s="101">
        <f>C29</f>
        <v>1</v>
      </c>
      <c r="E29" s="101">
        <f t="shared" ref="E29:F29" si="16">D29</f>
        <v>1</v>
      </c>
      <c r="F29" s="101">
        <f t="shared" si="16"/>
        <v>1</v>
      </c>
      <c r="G29" s="218">
        <v>0.35</v>
      </c>
      <c r="H29" s="122">
        <v>9.6000000000000002E-2</v>
      </c>
      <c r="I29" s="219">
        <f t="shared" ref="I29:M29" si="17">H29</f>
        <v>9.6000000000000002E-2</v>
      </c>
      <c r="J29" s="101">
        <f t="shared" si="17"/>
        <v>9.6000000000000002E-2</v>
      </c>
      <c r="K29" s="101">
        <f t="shared" si="17"/>
        <v>9.6000000000000002E-2</v>
      </c>
      <c r="L29" s="101">
        <f t="shared" si="17"/>
        <v>9.6000000000000002E-2</v>
      </c>
      <c r="M29" s="219">
        <f t="shared" si="17"/>
        <v>9.6000000000000002E-2</v>
      </c>
    </row>
    <row r="30" spans="1:22" ht="13" thickBot="1">
      <c r="A30" s="134" t="s">
        <v>119</v>
      </c>
      <c r="B30" s="66"/>
      <c r="C30" s="891">
        <v>45</v>
      </c>
      <c r="D30" s="283">
        <f t="shared" ref="D30:M30" si="18">$C$30*(1+$B$26)^D$4</f>
        <v>46.35</v>
      </c>
      <c r="E30" s="283">
        <f t="shared" si="18"/>
        <v>47.740499999999997</v>
      </c>
      <c r="F30" s="283">
        <f t="shared" si="18"/>
        <v>49.172714999999997</v>
      </c>
      <c r="G30" s="295">
        <f t="shared" si="18"/>
        <v>50.647896449999998</v>
      </c>
      <c r="H30" s="283">
        <f t="shared" si="18"/>
        <v>52.16733334349999</v>
      </c>
      <c r="I30" s="284">
        <f t="shared" si="18"/>
        <v>53.732353343804995</v>
      </c>
      <c r="J30" s="283">
        <f t="shared" si="18"/>
        <v>55.344323944119147</v>
      </c>
      <c r="K30" s="283">
        <f t="shared" si="18"/>
        <v>57.00465366244272</v>
      </c>
      <c r="L30" s="283">
        <f t="shared" si="18"/>
        <v>58.714793272316001</v>
      </c>
      <c r="M30" s="284">
        <f t="shared" si="18"/>
        <v>60.476237070485482</v>
      </c>
      <c r="N30" s="367"/>
      <c r="O30" s="367"/>
      <c r="P30" s="367"/>
      <c r="Q30" s="367"/>
      <c r="R30" s="367"/>
      <c r="S30" s="367"/>
      <c r="T30" s="367"/>
      <c r="U30" s="367"/>
      <c r="V30" s="367"/>
    </row>
    <row r="31" spans="1:22" s="341" customFormat="1" hidden="1" outlineLevel="1">
      <c r="A31" s="320" t="s">
        <v>16</v>
      </c>
      <c r="B31" s="203"/>
      <c r="C31" s="243">
        <f>C28*(1-C29)*C30</f>
        <v>0</v>
      </c>
      <c r="D31" s="245">
        <f t="shared" ref="D31:M31" si="19">D28*(1-D29)*D30</f>
        <v>0</v>
      </c>
      <c r="E31" s="245">
        <f t="shared" si="19"/>
        <v>0</v>
      </c>
      <c r="F31" s="245">
        <f t="shared" si="19"/>
        <v>0</v>
      </c>
      <c r="G31" s="244">
        <f t="shared" si="19"/>
        <v>533322.34961849998</v>
      </c>
      <c r="H31" s="245">
        <f t="shared" si="19"/>
        <v>763980.16334888875</v>
      </c>
      <c r="I31" s="246">
        <f t="shared" si="19"/>
        <v>786899.56824935542</v>
      </c>
      <c r="J31" s="245">
        <f t="shared" si="19"/>
        <v>810506.55529683619</v>
      </c>
      <c r="K31" s="245">
        <f t="shared" si="19"/>
        <v>834821.7519557412</v>
      </c>
      <c r="L31" s="245">
        <f t="shared" si="19"/>
        <v>859866.40451441344</v>
      </c>
      <c r="M31" s="246">
        <f t="shared" si="19"/>
        <v>885662.39664984588</v>
      </c>
      <c r="N31" s="414"/>
      <c r="O31" s="414"/>
      <c r="P31" s="414"/>
      <c r="Q31" s="414"/>
      <c r="R31" s="414"/>
      <c r="S31" s="414"/>
      <c r="T31" s="414"/>
      <c r="U31" s="414"/>
      <c r="V31" s="414"/>
    </row>
    <row r="32" spans="1:22" s="341" customFormat="1" hidden="1" outlineLevel="1">
      <c r="A32" s="173" t="s">
        <v>168</v>
      </c>
      <c r="B32" s="63"/>
      <c r="C32" s="143">
        <f t="shared" ref="C32:M32" si="20">C28*(1-C29)*($D$133*(1+$B26)^C$4)</f>
        <v>0</v>
      </c>
      <c r="D32" s="238">
        <f t="shared" si="20"/>
        <v>0</v>
      </c>
      <c r="E32" s="238">
        <f t="shared" si="20"/>
        <v>0</v>
      </c>
      <c r="F32" s="238">
        <f t="shared" si="20"/>
        <v>0</v>
      </c>
      <c r="G32" s="247">
        <f t="shared" si="20"/>
        <v>177774.11653949998</v>
      </c>
      <c r="H32" s="238">
        <f t="shared" si="20"/>
        <v>254660.05444962956</v>
      </c>
      <c r="I32" s="248">
        <f t="shared" si="20"/>
        <v>262299.85608311847</v>
      </c>
      <c r="J32" s="238">
        <f t="shared" si="20"/>
        <v>270168.85176561202</v>
      </c>
      <c r="K32" s="238">
        <f t="shared" si="20"/>
        <v>278273.91731858038</v>
      </c>
      <c r="L32" s="238">
        <f t="shared" si="20"/>
        <v>286622.13483813783</v>
      </c>
      <c r="M32" s="248">
        <f t="shared" si="20"/>
        <v>295220.79888328194</v>
      </c>
      <c r="N32" s="414"/>
      <c r="O32" s="414"/>
      <c r="P32" s="414"/>
      <c r="Q32" s="414"/>
      <c r="R32" s="414"/>
      <c r="S32" s="414"/>
      <c r="T32" s="414"/>
      <c r="U32" s="414"/>
      <c r="V32" s="414"/>
    </row>
    <row r="33" spans="1:22" s="341" customFormat="1" ht="13" hidden="1" outlineLevel="1" thickBot="1">
      <c r="A33" s="134" t="s">
        <v>169</v>
      </c>
      <c r="B33" s="66"/>
      <c r="C33" s="415">
        <f t="shared" ref="C33:M33" si="21">C28*($D$133*(1+$B26)^C$4)</f>
        <v>0</v>
      </c>
      <c r="D33" s="410">
        <f t="shared" si="21"/>
        <v>0</v>
      </c>
      <c r="E33" s="410">
        <f t="shared" si="21"/>
        <v>0</v>
      </c>
      <c r="F33" s="410">
        <f t="shared" si="21"/>
        <v>0</v>
      </c>
      <c r="G33" s="409">
        <f t="shared" si="21"/>
        <v>273498.64082999999</v>
      </c>
      <c r="H33" s="410">
        <f t="shared" si="21"/>
        <v>281703.60005489993</v>
      </c>
      <c r="I33" s="411">
        <f t="shared" si="21"/>
        <v>290154.70805654698</v>
      </c>
      <c r="J33" s="410">
        <f t="shared" si="21"/>
        <v>298859.34929824341</v>
      </c>
      <c r="K33" s="410">
        <f t="shared" si="21"/>
        <v>307825.12977719068</v>
      </c>
      <c r="L33" s="410">
        <f t="shared" si="21"/>
        <v>317059.88367050642</v>
      </c>
      <c r="M33" s="411">
        <f t="shared" si="21"/>
        <v>326571.68018062157</v>
      </c>
      <c r="N33" s="414"/>
      <c r="O33" s="414"/>
      <c r="P33" s="414"/>
      <c r="Q33" s="414"/>
      <c r="R33" s="414"/>
      <c r="S33" s="414"/>
      <c r="T33" s="414"/>
      <c r="U33" s="414"/>
      <c r="V33" s="414"/>
    </row>
    <row r="34" spans="1:22" ht="14.15" customHeight="1" collapsed="1">
      <c r="A34" s="61" t="str">
        <f>A124</f>
        <v>Phase I Restaurants</v>
      </c>
      <c r="B34" s="63"/>
      <c r="C34" s="131"/>
      <c r="D34" s="68"/>
      <c r="E34" s="68"/>
      <c r="F34" s="68"/>
      <c r="G34" s="62"/>
      <c r="H34" s="68"/>
      <c r="I34" s="105"/>
      <c r="J34" s="68"/>
      <c r="K34" s="68"/>
      <c r="L34" s="68"/>
      <c r="M34" s="105"/>
    </row>
    <row r="35" spans="1:22" ht="14.15" customHeight="1">
      <c r="A35" s="173" t="s">
        <v>11</v>
      </c>
      <c r="B35" s="122">
        <v>0.03</v>
      </c>
      <c r="C35" s="130"/>
      <c r="D35" s="99"/>
      <c r="E35" s="99"/>
      <c r="F35" s="99"/>
      <c r="G35" s="133"/>
      <c r="H35" s="99"/>
      <c r="I35" s="104"/>
      <c r="J35" s="99"/>
      <c r="K35" s="99"/>
      <c r="L35" s="99"/>
      <c r="M35" s="104"/>
    </row>
    <row r="36" spans="1:22" ht="14.15" customHeight="1">
      <c r="A36" s="173" t="s">
        <v>118</v>
      </c>
      <c r="B36" s="63"/>
      <c r="C36" s="357">
        <v>0</v>
      </c>
      <c r="D36" s="184">
        <f>C36</f>
        <v>0</v>
      </c>
      <c r="E36" s="184">
        <v>0</v>
      </c>
      <c r="F36" s="184">
        <v>0</v>
      </c>
      <c r="G36" s="211">
        <v>0</v>
      </c>
      <c r="H36" s="184">
        <f>C124</f>
        <v>33018.5</v>
      </c>
      <c r="I36" s="189">
        <f t="shared" ref="I36:M36" si="22">H36</f>
        <v>33018.5</v>
      </c>
      <c r="J36" s="184">
        <f t="shared" si="22"/>
        <v>33018.5</v>
      </c>
      <c r="K36" s="184">
        <f t="shared" si="22"/>
        <v>33018.5</v>
      </c>
      <c r="L36" s="184">
        <f t="shared" si="22"/>
        <v>33018.5</v>
      </c>
      <c r="M36" s="189">
        <f t="shared" si="22"/>
        <v>33018.5</v>
      </c>
    </row>
    <row r="37" spans="1:22" ht="14.15" customHeight="1">
      <c r="A37" s="173" t="s">
        <v>39</v>
      </c>
      <c r="B37" s="122">
        <v>0.9</v>
      </c>
      <c r="C37" s="358">
        <f>C36*$B$37</f>
        <v>0</v>
      </c>
      <c r="D37" s="184">
        <f t="shared" ref="D37:M37" si="23">D36*$B$37</f>
        <v>0</v>
      </c>
      <c r="E37" s="184">
        <f t="shared" si="23"/>
        <v>0</v>
      </c>
      <c r="F37" s="184">
        <f t="shared" si="23"/>
        <v>0</v>
      </c>
      <c r="G37" s="211">
        <f t="shared" si="23"/>
        <v>0</v>
      </c>
      <c r="H37" s="184">
        <f t="shared" si="23"/>
        <v>29716.65</v>
      </c>
      <c r="I37" s="189">
        <f t="shared" si="23"/>
        <v>29716.65</v>
      </c>
      <c r="J37" s="184">
        <f t="shared" si="23"/>
        <v>29716.65</v>
      </c>
      <c r="K37" s="184">
        <f t="shared" si="23"/>
        <v>29716.65</v>
      </c>
      <c r="L37" s="184">
        <f t="shared" si="23"/>
        <v>29716.65</v>
      </c>
      <c r="M37" s="189">
        <f t="shared" si="23"/>
        <v>29716.65</v>
      </c>
    </row>
    <row r="38" spans="1:22" ht="14.15" customHeight="1">
      <c r="A38" s="173" t="s">
        <v>44</v>
      </c>
      <c r="B38" s="98"/>
      <c r="C38" s="359">
        <v>1</v>
      </c>
      <c r="D38" s="101">
        <f>C38</f>
        <v>1</v>
      </c>
      <c r="E38" s="122">
        <v>1</v>
      </c>
      <c r="F38" s="122">
        <v>1</v>
      </c>
      <c r="G38" s="218">
        <f t="shared" ref="G38:M38" si="24">F38</f>
        <v>1</v>
      </c>
      <c r="H38" s="122">
        <v>0.25</v>
      </c>
      <c r="I38" s="216">
        <v>0.05</v>
      </c>
      <c r="J38" s="101">
        <f t="shared" si="24"/>
        <v>0.05</v>
      </c>
      <c r="K38" s="101">
        <f t="shared" si="24"/>
        <v>0.05</v>
      </c>
      <c r="L38" s="101">
        <f t="shared" si="24"/>
        <v>0.05</v>
      </c>
      <c r="M38" s="219">
        <f t="shared" si="24"/>
        <v>0.05</v>
      </c>
    </row>
    <row r="39" spans="1:22" ht="18" customHeight="1" thickBot="1">
      <c r="A39" s="134" t="s">
        <v>119</v>
      </c>
      <c r="B39" s="66"/>
      <c r="C39" s="891">
        <v>40</v>
      </c>
      <c r="D39" s="283">
        <f t="shared" ref="D39:M39" si="25">$C$39*(1+$B$35)^D$4</f>
        <v>41.2</v>
      </c>
      <c r="E39" s="283">
        <f t="shared" si="25"/>
        <v>42.436</v>
      </c>
      <c r="F39" s="283">
        <f t="shared" si="25"/>
        <v>43.70908</v>
      </c>
      <c r="G39" s="295">
        <f t="shared" si="25"/>
        <v>45.020352399999993</v>
      </c>
      <c r="H39" s="283">
        <f t="shared" si="25"/>
        <v>46.370962971999994</v>
      </c>
      <c r="I39" s="284">
        <f t="shared" si="25"/>
        <v>47.762091861159995</v>
      </c>
      <c r="J39" s="283">
        <f t="shared" si="25"/>
        <v>49.194954616994799</v>
      </c>
      <c r="K39" s="283">
        <f t="shared" si="25"/>
        <v>50.670803255504637</v>
      </c>
      <c r="L39" s="283">
        <f t="shared" si="25"/>
        <v>52.190927353169776</v>
      </c>
      <c r="M39" s="284">
        <f t="shared" si="25"/>
        <v>53.756655173764869</v>
      </c>
      <c r="N39" s="367"/>
      <c r="O39" s="367"/>
      <c r="P39" s="367"/>
      <c r="Q39" s="367"/>
      <c r="R39" s="367"/>
      <c r="S39" s="367"/>
      <c r="T39" s="367"/>
      <c r="U39" s="367"/>
      <c r="V39" s="367"/>
    </row>
    <row r="40" spans="1:22" s="341" customFormat="1" hidden="1" outlineLevel="1">
      <c r="A40" s="320" t="s">
        <v>16</v>
      </c>
      <c r="B40" s="203"/>
      <c r="C40" s="243">
        <f>C37*(1-C38)*C39</f>
        <v>0</v>
      </c>
      <c r="D40" s="245">
        <f t="shared" ref="D40:M40" si="26">D37*(1-D38)*D39</f>
        <v>0</v>
      </c>
      <c r="E40" s="245">
        <f t="shared" si="26"/>
        <v>0</v>
      </c>
      <c r="F40" s="245">
        <f t="shared" si="26"/>
        <v>0</v>
      </c>
      <c r="G40" s="244">
        <f t="shared" si="26"/>
        <v>0</v>
      </c>
      <c r="H40" s="245">
        <f t="shared" si="26"/>
        <v>1033492.2576014128</v>
      </c>
      <c r="I40" s="246">
        <f t="shared" si="26"/>
        <v>1348362.8987506432</v>
      </c>
      <c r="J40" s="245">
        <f t="shared" si="26"/>
        <v>1388813.7857131627</v>
      </c>
      <c r="K40" s="245">
        <f t="shared" si="26"/>
        <v>1430478.1992845573</v>
      </c>
      <c r="L40" s="245">
        <f t="shared" si="26"/>
        <v>1473392.5452630941</v>
      </c>
      <c r="M40" s="246">
        <f t="shared" si="26"/>
        <v>1517594.3216209868</v>
      </c>
      <c r="N40" s="414"/>
      <c r="O40" s="414"/>
      <c r="P40" s="414"/>
      <c r="Q40" s="414"/>
      <c r="R40" s="414"/>
      <c r="S40" s="414"/>
      <c r="T40" s="414"/>
      <c r="U40" s="414"/>
      <c r="V40" s="414"/>
    </row>
    <row r="41" spans="1:22" s="341" customFormat="1" hidden="1" outlineLevel="1">
      <c r="A41" s="173" t="s">
        <v>168</v>
      </c>
      <c r="B41" s="63"/>
      <c r="C41" s="143">
        <f t="shared" ref="C41:M41" si="27">C37*(1-C38)*($D$133*(1+$B35)^C$4)</f>
        <v>0</v>
      </c>
      <c r="D41" s="238">
        <f t="shared" si="27"/>
        <v>0</v>
      </c>
      <c r="E41" s="238">
        <f t="shared" si="27"/>
        <v>0</v>
      </c>
      <c r="F41" s="238">
        <f t="shared" si="27"/>
        <v>0</v>
      </c>
      <c r="G41" s="247">
        <f t="shared" si="27"/>
        <v>0</v>
      </c>
      <c r="H41" s="238">
        <f t="shared" si="27"/>
        <v>387559.5966005298</v>
      </c>
      <c r="I41" s="248">
        <f t="shared" si="27"/>
        <v>505636.08703149116</v>
      </c>
      <c r="J41" s="238">
        <f t="shared" si="27"/>
        <v>520805.16964243597</v>
      </c>
      <c r="K41" s="238">
        <f t="shared" si="27"/>
        <v>536429.32473170897</v>
      </c>
      <c r="L41" s="238">
        <f t="shared" si="27"/>
        <v>552522.20447366033</v>
      </c>
      <c r="M41" s="248">
        <f t="shared" si="27"/>
        <v>569097.87060787005</v>
      </c>
      <c r="N41" s="414"/>
      <c r="O41" s="414"/>
      <c r="P41" s="414"/>
      <c r="Q41" s="414"/>
      <c r="R41" s="414"/>
      <c r="S41" s="414"/>
      <c r="T41" s="414"/>
      <c r="U41" s="414"/>
      <c r="V41" s="414"/>
    </row>
    <row r="42" spans="1:22" s="341" customFormat="1" ht="13" hidden="1" outlineLevel="1" thickBot="1">
      <c r="A42" s="134" t="s">
        <v>169</v>
      </c>
      <c r="B42" s="66"/>
      <c r="C42" s="415">
        <f t="shared" ref="C42:M42" si="28">C37*($D$133*(1+$B35)^C$4)</f>
        <v>0</v>
      </c>
      <c r="D42" s="410">
        <f t="shared" si="28"/>
        <v>0</v>
      </c>
      <c r="E42" s="410">
        <f t="shared" si="28"/>
        <v>0</v>
      </c>
      <c r="F42" s="410">
        <f t="shared" si="28"/>
        <v>0</v>
      </c>
      <c r="G42" s="409">
        <f t="shared" si="28"/>
        <v>0</v>
      </c>
      <c r="H42" s="410">
        <f t="shared" si="28"/>
        <v>516746.12880070636</v>
      </c>
      <c r="I42" s="411">
        <f t="shared" si="28"/>
        <v>532248.51266472752</v>
      </c>
      <c r="J42" s="410">
        <f t="shared" si="28"/>
        <v>548215.96804466948</v>
      </c>
      <c r="K42" s="410">
        <f t="shared" si="28"/>
        <v>564662.44708600943</v>
      </c>
      <c r="L42" s="410">
        <f t="shared" si="28"/>
        <v>581602.32049858978</v>
      </c>
      <c r="M42" s="411">
        <f t="shared" si="28"/>
        <v>599050.39011354744</v>
      </c>
      <c r="N42" s="414"/>
      <c r="O42" s="414"/>
      <c r="P42" s="414"/>
      <c r="Q42" s="414"/>
      <c r="R42" s="414"/>
      <c r="S42" s="414"/>
      <c r="T42" s="414"/>
      <c r="U42" s="414"/>
      <c r="V42" s="414"/>
    </row>
    <row r="43" spans="1:22" ht="14.15" customHeight="1" collapsed="1">
      <c r="A43" s="61" t="str">
        <f>A125</f>
        <v>Phase II Retail</v>
      </c>
      <c r="B43" s="63"/>
      <c r="C43" s="131"/>
      <c r="D43" s="68"/>
      <c r="E43" s="68"/>
      <c r="F43" s="68"/>
      <c r="G43" s="62"/>
      <c r="H43" s="68"/>
      <c r="I43" s="105"/>
      <c r="J43" s="68"/>
      <c r="K43" s="68"/>
      <c r="L43" s="68"/>
      <c r="M43" s="105"/>
    </row>
    <row r="44" spans="1:22" ht="14.15" customHeight="1">
      <c r="A44" s="173" t="s">
        <v>11</v>
      </c>
      <c r="B44" s="122">
        <v>0.03</v>
      </c>
      <c r="C44" s="130"/>
      <c r="D44" s="99"/>
      <c r="E44" s="99"/>
      <c r="F44" s="99"/>
      <c r="G44" s="133"/>
      <c r="H44" s="99"/>
      <c r="I44" s="104"/>
      <c r="J44" s="99"/>
      <c r="K44" s="99"/>
      <c r="L44" s="99"/>
      <c r="M44" s="104"/>
    </row>
    <row r="45" spans="1:22" ht="14.15" customHeight="1">
      <c r="A45" s="173" t="s">
        <v>118</v>
      </c>
      <c r="B45" s="63"/>
      <c r="C45" s="357">
        <v>0</v>
      </c>
      <c r="D45" s="184">
        <f>C45</f>
        <v>0</v>
      </c>
      <c r="E45" s="184">
        <f>D45</f>
        <v>0</v>
      </c>
      <c r="F45" s="184">
        <v>0</v>
      </c>
      <c r="G45" s="211">
        <v>0</v>
      </c>
      <c r="H45" s="184">
        <v>0</v>
      </c>
      <c r="I45" s="189">
        <f>C125</f>
        <v>30224.1</v>
      </c>
      <c r="J45" s="184">
        <f t="shared" ref="J45:M45" si="29">I45</f>
        <v>30224.1</v>
      </c>
      <c r="K45" s="184">
        <f t="shared" si="29"/>
        <v>30224.1</v>
      </c>
      <c r="L45" s="184">
        <f t="shared" si="29"/>
        <v>30224.1</v>
      </c>
      <c r="M45" s="189">
        <f t="shared" si="29"/>
        <v>30224.1</v>
      </c>
    </row>
    <row r="46" spans="1:22" ht="14.15" customHeight="1">
      <c r="A46" s="173" t="s">
        <v>39</v>
      </c>
      <c r="B46" s="122">
        <v>0.9</v>
      </c>
      <c r="C46" s="358">
        <f>C45*$B$46</f>
        <v>0</v>
      </c>
      <c r="D46" s="184">
        <f t="shared" ref="D46:M46" si="30">D45*$B$46</f>
        <v>0</v>
      </c>
      <c r="E46" s="184">
        <f t="shared" si="30"/>
        <v>0</v>
      </c>
      <c r="F46" s="184">
        <f t="shared" si="30"/>
        <v>0</v>
      </c>
      <c r="G46" s="211">
        <f t="shared" si="30"/>
        <v>0</v>
      </c>
      <c r="H46" s="184">
        <f t="shared" si="30"/>
        <v>0</v>
      </c>
      <c r="I46" s="189">
        <f t="shared" si="30"/>
        <v>27201.69</v>
      </c>
      <c r="J46" s="184">
        <f t="shared" si="30"/>
        <v>27201.69</v>
      </c>
      <c r="K46" s="184">
        <f t="shared" si="30"/>
        <v>27201.69</v>
      </c>
      <c r="L46" s="184">
        <f t="shared" si="30"/>
        <v>27201.69</v>
      </c>
      <c r="M46" s="189">
        <f t="shared" si="30"/>
        <v>27201.69</v>
      </c>
    </row>
    <row r="47" spans="1:22" ht="14.15" customHeight="1">
      <c r="A47" s="173" t="s">
        <v>44</v>
      </c>
      <c r="B47" s="98"/>
      <c r="C47" s="359">
        <v>1</v>
      </c>
      <c r="D47" s="101">
        <f>C47</f>
        <v>1</v>
      </c>
      <c r="E47" s="101">
        <f>D47</f>
        <v>1</v>
      </c>
      <c r="F47" s="101">
        <v>1</v>
      </c>
      <c r="G47" s="264">
        <v>1</v>
      </c>
      <c r="H47" s="101">
        <f t="shared" ref="H47:M47" si="31">G47</f>
        <v>1</v>
      </c>
      <c r="I47" s="216">
        <f t="shared" si="31"/>
        <v>1</v>
      </c>
      <c r="J47" s="122">
        <v>0.3</v>
      </c>
      <c r="K47" s="122">
        <v>9.6000000000000002E-2</v>
      </c>
      <c r="L47" s="101">
        <f t="shared" si="31"/>
        <v>9.6000000000000002E-2</v>
      </c>
      <c r="M47" s="219">
        <f t="shared" si="31"/>
        <v>9.6000000000000002E-2</v>
      </c>
    </row>
    <row r="48" spans="1:22" ht="13" thickBot="1">
      <c r="A48" s="134" t="s">
        <v>119</v>
      </c>
      <c r="B48" s="66"/>
      <c r="C48" s="891">
        <v>45</v>
      </c>
      <c r="D48" s="283">
        <f t="shared" ref="D48:M48" si="32">$C$48*(1+$B$44)^D$4</f>
        <v>46.35</v>
      </c>
      <c r="E48" s="283">
        <f t="shared" si="32"/>
        <v>47.740499999999997</v>
      </c>
      <c r="F48" s="283">
        <f t="shared" si="32"/>
        <v>49.172714999999997</v>
      </c>
      <c r="G48" s="295">
        <f t="shared" si="32"/>
        <v>50.647896449999998</v>
      </c>
      <c r="H48" s="283">
        <f t="shared" si="32"/>
        <v>52.16733334349999</v>
      </c>
      <c r="I48" s="284">
        <f t="shared" si="32"/>
        <v>53.732353343804995</v>
      </c>
      <c r="J48" s="283">
        <f t="shared" si="32"/>
        <v>55.344323944119147</v>
      </c>
      <c r="K48" s="283">
        <f t="shared" si="32"/>
        <v>57.00465366244272</v>
      </c>
      <c r="L48" s="283">
        <f t="shared" si="32"/>
        <v>58.714793272316001</v>
      </c>
      <c r="M48" s="284">
        <f t="shared" si="32"/>
        <v>60.476237070485482</v>
      </c>
      <c r="N48" s="367"/>
      <c r="O48" s="367"/>
      <c r="P48" s="367"/>
      <c r="Q48" s="367"/>
      <c r="R48" s="367"/>
      <c r="S48" s="367"/>
      <c r="T48" s="367"/>
      <c r="U48" s="367"/>
      <c r="V48" s="367"/>
    </row>
    <row r="49" spans="1:22" s="341" customFormat="1" hidden="1" outlineLevel="1">
      <c r="A49" s="320" t="s">
        <v>16</v>
      </c>
      <c r="B49" s="203"/>
      <c r="C49" s="243">
        <f t="shared" ref="C49:M49" si="33">C46*(1-C47)*C48</f>
        <v>0</v>
      </c>
      <c r="D49" s="245">
        <f t="shared" si="33"/>
        <v>0</v>
      </c>
      <c r="E49" s="245">
        <f t="shared" si="33"/>
        <v>0</v>
      </c>
      <c r="F49" s="245">
        <f t="shared" si="33"/>
        <v>0</v>
      </c>
      <c r="G49" s="244">
        <f t="shared" si="33"/>
        <v>0</v>
      </c>
      <c r="H49" s="245">
        <f t="shared" si="33"/>
        <v>0</v>
      </c>
      <c r="I49" s="246">
        <f t="shared" si="33"/>
        <v>0</v>
      </c>
      <c r="J49" s="245">
        <f t="shared" si="33"/>
        <v>1053821.4002312543</v>
      </c>
      <c r="K49" s="245">
        <f t="shared" si="33"/>
        <v>1401763.117404751</v>
      </c>
      <c r="L49" s="245">
        <f t="shared" si="33"/>
        <v>1443816.0109268934</v>
      </c>
      <c r="M49" s="246">
        <f t="shared" si="33"/>
        <v>1487130.4912547001</v>
      </c>
      <c r="N49" s="414"/>
      <c r="O49" s="414"/>
      <c r="P49" s="414"/>
      <c r="Q49" s="414"/>
      <c r="R49" s="414"/>
      <c r="S49" s="414"/>
      <c r="T49" s="414"/>
      <c r="U49" s="414"/>
      <c r="V49" s="414"/>
    </row>
    <row r="50" spans="1:22" s="341" customFormat="1" hidden="1" outlineLevel="1">
      <c r="A50" s="173" t="s">
        <v>168</v>
      </c>
      <c r="B50" s="63"/>
      <c r="C50" s="143">
        <f t="shared" ref="C50:M50" si="34">C46*(1-C47)*($D$133*(1+$B44)^C$4)</f>
        <v>0</v>
      </c>
      <c r="D50" s="238">
        <f t="shared" si="34"/>
        <v>0</v>
      </c>
      <c r="E50" s="238">
        <f t="shared" si="34"/>
        <v>0</v>
      </c>
      <c r="F50" s="238">
        <f t="shared" si="34"/>
        <v>0</v>
      </c>
      <c r="G50" s="247">
        <f t="shared" si="34"/>
        <v>0</v>
      </c>
      <c r="H50" s="238">
        <f t="shared" si="34"/>
        <v>0</v>
      </c>
      <c r="I50" s="248">
        <f t="shared" si="34"/>
        <v>0</v>
      </c>
      <c r="J50" s="238">
        <f t="shared" si="34"/>
        <v>351273.80007708474</v>
      </c>
      <c r="K50" s="238">
        <f t="shared" si="34"/>
        <v>467254.37246825028</v>
      </c>
      <c r="L50" s="238">
        <f t="shared" si="34"/>
        <v>481272.00364229782</v>
      </c>
      <c r="M50" s="248">
        <f t="shared" si="34"/>
        <v>495710.16375156672</v>
      </c>
      <c r="N50" s="414"/>
      <c r="O50" s="414"/>
      <c r="P50" s="414"/>
      <c r="Q50" s="414"/>
      <c r="R50" s="414"/>
      <c r="S50" s="414"/>
      <c r="T50" s="414"/>
      <c r="U50" s="414"/>
      <c r="V50" s="414"/>
    </row>
    <row r="51" spans="1:22" s="341" customFormat="1" ht="13" hidden="1" outlineLevel="1" thickBot="1">
      <c r="A51" s="134" t="s">
        <v>169</v>
      </c>
      <c r="B51" s="66"/>
      <c r="C51" s="415">
        <f t="shared" ref="C51:M51" si="35">C46*($D$133*(1+$B44)^C$4)</f>
        <v>0</v>
      </c>
      <c r="D51" s="410">
        <f t="shared" si="35"/>
        <v>0</v>
      </c>
      <c r="E51" s="410">
        <f t="shared" si="35"/>
        <v>0</v>
      </c>
      <c r="F51" s="410">
        <f t="shared" si="35"/>
        <v>0</v>
      </c>
      <c r="G51" s="409">
        <f t="shared" si="35"/>
        <v>0</v>
      </c>
      <c r="H51" s="410">
        <f t="shared" si="35"/>
        <v>0</v>
      </c>
      <c r="I51" s="411">
        <f t="shared" si="35"/>
        <v>487203.60620954889</v>
      </c>
      <c r="J51" s="410">
        <f t="shared" si="35"/>
        <v>501819.71439583541</v>
      </c>
      <c r="K51" s="410">
        <f t="shared" si="35"/>
        <v>516874.30582771043</v>
      </c>
      <c r="L51" s="410">
        <f t="shared" si="35"/>
        <v>532380.53500254184</v>
      </c>
      <c r="M51" s="411">
        <f t="shared" si="35"/>
        <v>548351.95105261798</v>
      </c>
      <c r="N51" s="414"/>
      <c r="O51" s="414"/>
      <c r="P51" s="414"/>
      <c r="Q51" s="414"/>
      <c r="R51" s="414"/>
      <c r="S51" s="414"/>
      <c r="T51" s="414"/>
      <c r="U51" s="414"/>
      <c r="V51" s="414"/>
    </row>
    <row r="52" spans="1:22" ht="14.15" customHeight="1" collapsed="1">
      <c r="A52" s="61" t="str">
        <f>A126</f>
        <v>Phase II Restaurants 2</v>
      </c>
      <c r="B52" s="63"/>
      <c r="C52" s="131"/>
      <c r="D52" s="68"/>
      <c r="E52" s="68"/>
      <c r="F52" s="68"/>
      <c r="G52" s="62"/>
      <c r="H52" s="68"/>
      <c r="I52" s="105"/>
      <c r="J52" s="68"/>
      <c r="K52" s="68"/>
      <c r="L52" s="68"/>
      <c r="M52" s="105"/>
    </row>
    <row r="53" spans="1:22" ht="14.15" customHeight="1">
      <c r="A53" s="173" t="s">
        <v>11</v>
      </c>
      <c r="B53" s="122">
        <v>0.03</v>
      </c>
      <c r="C53" s="130"/>
      <c r="D53" s="99"/>
      <c r="E53" s="99"/>
      <c r="F53" s="99"/>
      <c r="G53" s="133"/>
      <c r="H53" s="99"/>
      <c r="I53" s="104"/>
      <c r="J53" s="99"/>
      <c r="K53" s="99"/>
      <c r="L53" s="99"/>
      <c r="M53" s="104"/>
    </row>
    <row r="54" spans="1:22" ht="14.15" customHeight="1">
      <c r="A54" s="173" t="s">
        <v>118</v>
      </c>
      <c r="B54" s="63"/>
      <c r="C54" s="357">
        <v>0</v>
      </c>
      <c r="D54" s="184">
        <f>C54</f>
        <v>0</v>
      </c>
      <c r="E54" s="184">
        <f>D54</f>
        <v>0</v>
      </c>
      <c r="F54" s="184">
        <v>0</v>
      </c>
      <c r="G54" s="211">
        <f t="shared" ref="G54:M54" si="36">F54</f>
        <v>0</v>
      </c>
      <c r="H54" s="184">
        <f t="shared" si="36"/>
        <v>0</v>
      </c>
      <c r="I54" s="189">
        <f t="shared" si="36"/>
        <v>0</v>
      </c>
      <c r="J54" s="184">
        <f t="shared" si="36"/>
        <v>0</v>
      </c>
      <c r="K54" s="184">
        <f>C126</f>
        <v>26406.799999999999</v>
      </c>
      <c r="L54" s="184">
        <f t="shared" si="36"/>
        <v>26406.799999999999</v>
      </c>
      <c r="M54" s="189">
        <f t="shared" si="36"/>
        <v>26406.799999999999</v>
      </c>
    </row>
    <row r="55" spans="1:22" ht="14.15" customHeight="1">
      <c r="A55" s="173" t="s">
        <v>39</v>
      </c>
      <c r="B55" s="122">
        <v>0.9</v>
      </c>
      <c r="C55" s="358">
        <f>C54*$B$55</f>
        <v>0</v>
      </c>
      <c r="D55" s="184">
        <f t="shared" ref="D55:M55" si="37">D54*$B$55</f>
        <v>0</v>
      </c>
      <c r="E55" s="184">
        <f t="shared" si="37"/>
        <v>0</v>
      </c>
      <c r="F55" s="184">
        <f t="shared" si="37"/>
        <v>0</v>
      </c>
      <c r="G55" s="211">
        <f t="shared" si="37"/>
        <v>0</v>
      </c>
      <c r="H55" s="184">
        <f t="shared" si="37"/>
        <v>0</v>
      </c>
      <c r="I55" s="189">
        <f t="shared" si="37"/>
        <v>0</v>
      </c>
      <c r="J55" s="184">
        <f t="shared" si="37"/>
        <v>0</v>
      </c>
      <c r="K55" s="184">
        <f t="shared" si="37"/>
        <v>23766.12</v>
      </c>
      <c r="L55" s="184">
        <f t="shared" si="37"/>
        <v>23766.12</v>
      </c>
      <c r="M55" s="189">
        <f t="shared" si="37"/>
        <v>23766.12</v>
      </c>
    </row>
    <row r="56" spans="1:22" ht="14.15" customHeight="1">
      <c r="A56" s="173" t="s">
        <v>44</v>
      </c>
      <c r="B56" s="98"/>
      <c r="C56" s="359">
        <v>1</v>
      </c>
      <c r="D56" s="101">
        <f>C56</f>
        <v>1</v>
      </c>
      <c r="E56" s="101">
        <f>D56</f>
        <v>1</v>
      </c>
      <c r="F56" s="101">
        <f t="shared" ref="F56:J56" si="38">E56</f>
        <v>1</v>
      </c>
      <c r="G56" s="264">
        <f t="shared" si="38"/>
        <v>1</v>
      </c>
      <c r="H56" s="101">
        <f t="shared" si="38"/>
        <v>1</v>
      </c>
      <c r="I56" s="219">
        <f t="shared" si="38"/>
        <v>1</v>
      </c>
      <c r="J56" s="101">
        <f t="shared" si="38"/>
        <v>1</v>
      </c>
      <c r="K56" s="101">
        <v>0.3</v>
      </c>
      <c r="L56" s="101">
        <v>0.05</v>
      </c>
      <c r="M56" s="219">
        <f t="shared" ref="M56" si="39">L56</f>
        <v>0.05</v>
      </c>
    </row>
    <row r="57" spans="1:22" ht="18" customHeight="1" thickBot="1">
      <c r="A57" s="134" t="s">
        <v>119</v>
      </c>
      <c r="B57" s="66"/>
      <c r="C57" s="891">
        <v>40</v>
      </c>
      <c r="D57" s="283">
        <f t="shared" ref="D57:M57" si="40">$C$57*(1+$B$53)^D$4</f>
        <v>41.2</v>
      </c>
      <c r="E57" s="283">
        <f t="shared" si="40"/>
        <v>42.436</v>
      </c>
      <c r="F57" s="283">
        <f t="shared" si="40"/>
        <v>43.70908</v>
      </c>
      <c r="G57" s="295">
        <f t="shared" si="40"/>
        <v>45.020352399999993</v>
      </c>
      <c r="H57" s="283">
        <f t="shared" si="40"/>
        <v>46.370962971999994</v>
      </c>
      <c r="I57" s="284">
        <f t="shared" si="40"/>
        <v>47.762091861159995</v>
      </c>
      <c r="J57" s="283">
        <f t="shared" si="40"/>
        <v>49.194954616994799</v>
      </c>
      <c r="K57" s="283">
        <f t="shared" si="40"/>
        <v>50.670803255504637</v>
      </c>
      <c r="L57" s="283">
        <f t="shared" si="40"/>
        <v>52.190927353169776</v>
      </c>
      <c r="M57" s="284">
        <f t="shared" si="40"/>
        <v>53.756655173764869</v>
      </c>
      <c r="N57" s="367"/>
      <c r="O57" s="367"/>
      <c r="P57" s="367"/>
      <c r="Q57" s="367"/>
      <c r="R57" s="367"/>
      <c r="S57" s="367"/>
      <c r="T57" s="367"/>
      <c r="U57" s="367"/>
      <c r="V57" s="367"/>
    </row>
    <row r="58" spans="1:22" s="341" customFormat="1" hidden="1" outlineLevel="1">
      <c r="A58" s="320" t="s">
        <v>16</v>
      </c>
      <c r="B58" s="203"/>
      <c r="C58" s="243">
        <f t="shared" ref="C58:M58" si="41">C55*(1-C56)*C57</f>
        <v>0</v>
      </c>
      <c r="D58" s="245">
        <f t="shared" si="41"/>
        <v>0</v>
      </c>
      <c r="E58" s="245">
        <f t="shared" si="41"/>
        <v>0</v>
      </c>
      <c r="F58" s="245">
        <f t="shared" si="41"/>
        <v>0</v>
      </c>
      <c r="G58" s="244">
        <f t="shared" si="41"/>
        <v>0</v>
      </c>
      <c r="H58" s="245">
        <f t="shared" si="41"/>
        <v>0</v>
      </c>
      <c r="I58" s="246">
        <f t="shared" si="41"/>
        <v>0</v>
      </c>
      <c r="J58" s="245">
        <f t="shared" si="41"/>
        <v>0</v>
      </c>
      <c r="K58" s="245">
        <f t="shared" si="41"/>
        <v>842973.87346669973</v>
      </c>
      <c r="L58" s="245">
        <f t="shared" si="41"/>
        <v>1178357.0502673795</v>
      </c>
      <c r="M58" s="246">
        <f t="shared" si="41"/>
        <v>1213707.7617754007</v>
      </c>
      <c r="N58" s="414"/>
      <c r="O58" s="414"/>
      <c r="P58" s="414"/>
      <c r="Q58" s="414"/>
      <c r="R58" s="414"/>
      <c r="S58" s="414"/>
      <c r="T58" s="414"/>
      <c r="U58" s="414"/>
      <c r="V58" s="414"/>
    </row>
    <row r="59" spans="1:22" s="341" customFormat="1" hidden="1" outlineLevel="1">
      <c r="A59" s="173" t="s">
        <v>168</v>
      </c>
      <c r="B59" s="63"/>
      <c r="C59" s="143">
        <f t="shared" ref="C59:M59" si="42">C55*(1-C56)*($D$133*(1+$B53)^C$4)</f>
        <v>0</v>
      </c>
      <c r="D59" s="238">
        <f t="shared" si="42"/>
        <v>0</v>
      </c>
      <c r="E59" s="238">
        <f t="shared" si="42"/>
        <v>0</v>
      </c>
      <c r="F59" s="238">
        <f t="shared" si="42"/>
        <v>0</v>
      </c>
      <c r="G59" s="247">
        <f t="shared" si="42"/>
        <v>0</v>
      </c>
      <c r="H59" s="238">
        <f t="shared" si="42"/>
        <v>0</v>
      </c>
      <c r="I59" s="248">
        <f t="shared" si="42"/>
        <v>0</v>
      </c>
      <c r="J59" s="238">
        <f t="shared" si="42"/>
        <v>0</v>
      </c>
      <c r="K59" s="238">
        <f t="shared" si="42"/>
        <v>316115.20255001239</v>
      </c>
      <c r="L59" s="238">
        <f t="shared" si="42"/>
        <v>441883.89385026728</v>
      </c>
      <c r="M59" s="248">
        <f t="shared" si="42"/>
        <v>455140.4106657753</v>
      </c>
      <c r="N59" s="414"/>
      <c r="O59" s="414"/>
      <c r="P59" s="414"/>
      <c r="Q59" s="414"/>
      <c r="R59" s="414"/>
      <c r="S59" s="414"/>
      <c r="T59" s="414"/>
      <c r="U59" s="414"/>
      <c r="V59" s="414"/>
    </row>
    <row r="60" spans="1:22" s="341" customFormat="1" ht="13" hidden="1" outlineLevel="1" thickBot="1">
      <c r="A60" s="134" t="s">
        <v>169</v>
      </c>
      <c r="B60" s="66"/>
      <c r="C60" s="415">
        <f t="shared" ref="C60:M60" si="43">C55*($D$133*(1+$B53)^C$4)</f>
        <v>0</v>
      </c>
      <c r="D60" s="410">
        <f t="shared" si="43"/>
        <v>0</v>
      </c>
      <c r="E60" s="410">
        <f t="shared" si="43"/>
        <v>0</v>
      </c>
      <c r="F60" s="410">
        <f t="shared" si="43"/>
        <v>0</v>
      </c>
      <c r="G60" s="409">
        <f t="shared" si="43"/>
        <v>0</v>
      </c>
      <c r="H60" s="410">
        <f t="shared" si="43"/>
        <v>0</v>
      </c>
      <c r="I60" s="411">
        <f t="shared" si="43"/>
        <v>0</v>
      </c>
      <c r="J60" s="410">
        <f t="shared" si="43"/>
        <v>0</v>
      </c>
      <c r="K60" s="410">
        <f t="shared" si="43"/>
        <v>451593.14650001767</v>
      </c>
      <c r="L60" s="410">
        <f t="shared" si="43"/>
        <v>465140.94089501823</v>
      </c>
      <c r="M60" s="411">
        <f t="shared" si="43"/>
        <v>479095.16912186873</v>
      </c>
      <c r="N60" s="414"/>
      <c r="O60" s="414"/>
      <c r="P60" s="414"/>
      <c r="Q60" s="414"/>
      <c r="R60" s="414"/>
      <c r="S60" s="414"/>
      <c r="T60" s="414"/>
      <c r="U60" s="414"/>
      <c r="V60" s="414"/>
    </row>
    <row r="61" spans="1:22" ht="14.15" customHeight="1" collapsed="1">
      <c r="A61" s="61" t="str">
        <f>A127</f>
        <v>Phase III Retail</v>
      </c>
      <c r="B61" s="63"/>
      <c r="C61" s="131"/>
      <c r="D61" s="68"/>
      <c r="E61" s="68"/>
      <c r="F61" s="68"/>
      <c r="G61" s="62"/>
      <c r="H61" s="68"/>
      <c r="I61" s="105"/>
      <c r="J61" s="68"/>
      <c r="K61" s="68"/>
      <c r="L61" s="68"/>
      <c r="M61" s="105"/>
    </row>
    <row r="62" spans="1:22" ht="14.15" customHeight="1">
      <c r="A62" s="173" t="s">
        <v>11</v>
      </c>
      <c r="B62" s="122">
        <v>0.03</v>
      </c>
      <c r="C62" s="130"/>
      <c r="D62" s="99"/>
      <c r="E62" s="99"/>
      <c r="F62" s="99"/>
      <c r="G62" s="133"/>
      <c r="H62" s="99"/>
      <c r="I62" s="104"/>
      <c r="J62" s="99"/>
      <c r="K62" s="99"/>
      <c r="L62" s="99"/>
      <c r="M62" s="104"/>
    </row>
    <row r="63" spans="1:22" ht="14.15" customHeight="1">
      <c r="A63" s="173" t="s">
        <v>118</v>
      </c>
      <c r="B63" s="63"/>
      <c r="C63" s="357">
        <v>0</v>
      </c>
      <c r="D63" s="184">
        <f>C63</f>
        <v>0</v>
      </c>
      <c r="E63" s="184">
        <v>0</v>
      </c>
      <c r="F63" s="184">
        <f>E63</f>
        <v>0</v>
      </c>
      <c r="G63" s="211">
        <f t="shared" ref="G63:M63" si="44">F63</f>
        <v>0</v>
      </c>
      <c r="H63" s="184">
        <f t="shared" si="44"/>
        <v>0</v>
      </c>
      <c r="I63" s="189">
        <f t="shared" si="44"/>
        <v>0</v>
      </c>
      <c r="J63" s="184">
        <f>C127</f>
        <v>16000</v>
      </c>
      <c r="K63" s="184">
        <f t="shared" si="44"/>
        <v>16000</v>
      </c>
      <c r="L63" s="184">
        <f t="shared" si="44"/>
        <v>16000</v>
      </c>
      <c r="M63" s="189">
        <f t="shared" si="44"/>
        <v>16000</v>
      </c>
    </row>
    <row r="64" spans="1:22" ht="14.15" customHeight="1">
      <c r="A64" s="173" t="s">
        <v>39</v>
      </c>
      <c r="B64" s="122">
        <v>0.9</v>
      </c>
      <c r="C64" s="358">
        <f>C63*$B$64</f>
        <v>0</v>
      </c>
      <c r="D64" s="184">
        <f t="shared" ref="D64:M64" si="45">D63*$B$64</f>
        <v>0</v>
      </c>
      <c r="E64" s="184">
        <f t="shared" si="45"/>
        <v>0</v>
      </c>
      <c r="F64" s="184">
        <f t="shared" si="45"/>
        <v>0</v>
      </c>
      <c r="G64" s="211">
        <f t="shared" si="45"/>
        <v>0</v>
      </c>
      <c r="H64" s="184">
        <f t="shared" si="45"/>
        <v>0</v>
      </c>
      <c r="I64" s="189">
        <f t="shared" si="45"/>
        <v>0</v>
      </c>
      <c r="J64" s="184">
        <f t="shared" si="45"/>
        <v>14400</v>
      </c>
      <c r="K64" s="184">
        <f t="shared" si="45"/>
        <v>14400</v>
      </c>
      <c r="L64" s="184">
        <f t="shared" si="45"/>
        <v>14400</v>
      </c>
      <c r="M64" s="189">
        <f t="shared" si="45"/>
        <v>14400</v>
      </c>
    </row>
    <row r="65" spans="1:22" ht="14.15" customHeight="1">
      <c r="A65" s="173" t="s">
        <v>44</v>
      </c>
      <c r="B65" s="98"/>
      <c r="C65" s="359">
        <v>1</v>
      </c>
      <c r="D65" s="101">
        <f>C65</f>
        <v>1</v>
      </c>
      <c r="E65" s="101">
        <f>D65</f>
        <v>1</v>
      </c>
      <c r="F65" s="101">
        <f t="shared" ref="F65:H65" si="46">E65</f>
        <v>1</v>
      </c>
      <c r="G65" s="264">
        <f t="shared" si="46"/>
        <v>1</v>
      </c>
      <c r="H65" s="101">
        <f t="shared" si="46"/>
        <v>1</v>
      </c>
      <c r="I65" s="219">
        <v>1</v>
      </c>
      <c r="J65" s="101">
        <v>0.25</v>
      </c>
      <c r="K65" s="122">
        <v>9.6000000000000002E-2</v>
      </c>
      <c r="L65" s="101">
        <f t="shared" ref="L65:M65" si="47">K65</f>
        <v>9.6000000000000002E-2</v>
      </c>
      <c r="M65" s="219">
        <f t="shared" si="47"/>
        <v>9.6000000000000002E-2</v>
      </c>
    </row>
    <row r="66" spans="1:22" ht="13" thickBot="1">
      <c r="A66" s="134" t="s">
        <v>119</v>
      </c>
      <c r="B66" s="66"/>
      <c r="C66" s="891">
        <v>45</v>
      </c>
      <c r="D66" s="283">
        <f t="shared" ref="D66:M66" si="48">$C$66*(1+$B$62)^D$4</f>
        <v>46.35</v>
      </c>
      <c r="E66" s="283">
        <f t="shared" si="48"/>
        <v>47.740499999999997</v>
      </c>
      <c r="F66" s="283">
        <f t="shared" si="48"/>
        <v>49.172714999999997</v>
      </c>
      <c r="G66" s="295">
        <f t="shared" si="48"/>
        <v>50.647896449999998</v>
      </c>
      <c r="H66" s="283">
        <f t="shared" si="48"/>
        <v>52.16733334349999</v>
      </c>
      <c r="I66" s="284">
        <f t="shared" si="48"/>
        <v>53.732353343804995</v>
      </c>
      <c r="J66" s="283">
        <f t="shared" si="48"/>
        <v>55.344323944119147</v>
      </c>
      <c r="K66" s="283">
        <f t="shared" si="48"/>
        <v>57.00465366244272</v>
      </c>
      <c r="L66" s="283">
        <f t="shared" si="48"/>
        <v>58.714793272316001</v>
      </c>
      <c r="M66" s="284">
        <f t="shared" si="48"/>
        <v>60.476237070485482</v>
      </c>
      <c r="N66" s="367"/>
      <c r="O66" s="367"/>
      <c r="P66" s="367"/>
      <c r="Q66" s="367"/>
      <c r="R66" s="367"/>
      <c r="S66" s="367"/>
      <c r="T66" s="367"/>
      <c r="U66" s="367"/>
      <c r="V66" s="367"/>
    </row>
    <row r="67" spans="1:22" s="341" customFormat="1" hidden="1" outlineLevel="1">
      <c r="A67" s="320" t="s">
        <v>16</v>
      </c>
      <c r="B67" s="203"/>
      <c r="C67" s="243">
        <f t="shared" ref="C67:M67" si="49">C64*(1-C65)*C66</f>
        <v>0</v>
      </c>
      <c r="D67" s="245">
        <f t="shared" si="49"/>
        <v>0</v>
      </c>
      <c r="E67" s="245">
        <f t="shared" si="49"/>
        <v>0</v>
      </c>
      <c r="F67" s="245">
        <f t="shared" si="49"/>
        <v>0</v>
      </c>
      <c r="G67" s="244">
        <f t="shared" si="49"/>
        <v>0</v>
      </c>
      <c r="H67" s="245">
        <f t="shared" si="49"/>
        <v>0</v>
      </c>
      <c r="I67" s="246">
        <f t="shared" si="49"/>
        <v>0</v>
      </c>
      <c r="J67" s="245">
        <f t="shared" si="49"/>
        <v>597718.69859648682</v>
      </c>
      <c r="K67" s="245">
        <f t="shared" si="49"/>
        <v>742063.77951621439</v>
      </c>
      <c r="L67" s="245">
        <f t="shared" si="49"/>
        <v>764325.69290170085</v>
      </c>
      <c r="M67" s="246">
        <f t="shared" si="49"/>
        <v>787255.4636887518</v>
      </c>
      <c r="N67" s="414"/>
      <c r="O67" s="414"/>
      <c r="P67" s="414"/>
      <c r="Q67" s="414"/>
      <c r="R67" s="414"/>
      <c r="S67" s="414"/>
      <c r="T67" s="414"/>
      <c r="U67" s="414"/>
      <c r="V67" s="414"/>
    </row>
    <row r="68" spans="1:22" s="341" customFormat="1" hidden="1" outlineLevel="1">
      <c r="A68" s="173" t="s">
        <v>168</v>
      </c>
      <c r="B68" s="63"/>
      <c r="C68" s="143">
        <f t="shared" ref="C68:M68" si="50">C64*(1-C65)*($D$133*(1+$B62)^C$4)</f>
        <v>0</v>
      </c>
      <c r="D68" s="238">
        <f t="shared" si="50"/>
        <v>0</v>
      </c>
      <c r="E68" s="238">
        <f t="shared" si="50"/>
        <v>0</v>
      </c>
      <c r="F68" s="238">
        <f t="shared" si="50"/>
        <v>0</v>
      </c>
      <c r="G68" s="247">
        <f t="shared" si="50"/>
        <v>0</v>
      </c>
      <c r="H68" s="238">
        <f t="shared" si="50"/>
        <v>0</v>
      </c>
      <c r="I68" s="248">
        <f t="shared" si="50"/>
        <v>0</v>
      </c>
      <c r="J68" s="238">
        <f t="shared" si="50"/>
        <v>199239.56619882892</v>
      </c>
      <c r="K68" s="238">
        <f t="shared" si="50"/>
        <v>247354.59317207144</v>
      </c>
      <c r="L68" s="238">
        <f t="shared" si="50"/>
        <v>254775.2309672336</v>
      </c>
      <c r="M68" s="248">
        <f t="shared" si="50"/>
        <v>262418.48789625062</v>
      </c>
      <c r="N68" s="414"/>
      <c r="O68" s="414"/>
      <c r="P68" s="414"/>
      <c r="Q68" s="414"/>
      <c r="R68" s="414"/>
      <c r="S68" s="414"/>
      <c r="T68" s="414"/>
      <c r="U68" s="414"/>
      <c r="V68" s="414"/>
    </row>
    <row r="69" spans="1:22" s="341" customFormat="1" ht="13" hidden="1" outlineLevel="1" thickBot="1">
      <c r="A69" s="134" t="s">
        <v>169</v>
      </c>
      <c r="B69" s="66"/>
      <c r="C69" s="415">
        <f t="shared" ref="C69:M69" si="51">C64*($D$133*(1+$B62)^C$4)</f>
        <v>0</v>
      </c>
      <c r="D69" s="410">
        <f t="shared" si="51"/>
        <v>0</v>
      </c>
      <c r="E69" s="410">
        <f t="shared" si="51"/>
        <v>0</v>
      </c>
      <c r="F69" s="410">
        <f t="shared" si="51"/>
        <v>0</v>
      </c>
      <c r="G69" s="409">
        <f t="shared" si="51"/>
        <v>0</v>
      </c>
      <c r="H69" s="410">
        <f t="shared" si="51"/>
        <v>0</v>
      </c>
      <c r="I69" s="411">
        <f t="shared" si="51"/>
        <v>0</v>
      </c>
      <c r="J69" s="410">
        <f t="shared" si="51"/>
        <v>265652.75493177189</v>
      </c>
      <c r="K69" s="410">
        <f t="shared" si="51"/>
        <v>273622.33757972502</v>
      </c>
      <c r="L69" s="410">
        <f t="shared" si="51"/>
        <v>281831.00770711678</v>
      </c>
      <c r="M69" s="411">
        <f t="shared" si="51"/>
        <v>290285.93793833029</v>
      </c>
      <c r="N69" s="414"/>
      <c r="O69" s="414"/>
      <c r="P69" s="414"/>
      <c r="Q69" s="414"/>
      <c r="R69" s="414"/>
      <c r="S69" s="414"/>
      <c r="T69" s="414"/>
      <c r="U69" s="414"/>
      <c r="V69" s="414"/>
    </row>
    <row r="70" spans="1:22" ht="14.15" customHeight="1" collapsed="1">
      <c r="A70" s="61" t="str">
        <f>A128</f>
        <v>Phase III Retail</v>
      </c>
      <c r="B70" s="63"/>
      <c r="C70" s="131"/>
      <c r="D70" s="68"/>
      <c r="E70" s="68"/>
      <c r="F70" s="68"/>
      <c r="G70" s="62"/>
      <c r="H70" s="68"/>
      <c r="I70" s="105"/>
      <c r="J70" s="68"/>
      <c r="K70" s="68"/>
      <c r="L70" s="68"/>
      <c r="M70" s="105"/>
    </row>
    <row r="71" spans="1:22" ht="14.15" customHeight="1">
      <c r="A71" s="173" t="s">
        <v>11</v>
      </c>
      <c r="B71" s="122">
        <v>0.03</v>
      </c>
      <c r="C71" s="130"/>
      <c r="D71" s="99"/>
      <c r="E71" s="99"/>
      <c r="F71" s="99"/>
      <c r="G71" s="133"/>
      <c r="H71" s="99"/>
      <c r="I71" s="104"/>
      <c r="J71" s="99"/>
      <c r="K71" s="99"/>
      <c r="L71" s="99"/>
      <c r="M71" s="104"/>
    </row>
    <row r="72" spans="1:22" ht="14.15" customHeight="1">
      <c r="A72" s="173" t="s">
        <v>118</v>
      </c>
      <c r="B72" s="63"/>
      <c r="C72" s="357">
        <v>0</v>
      </c>
      <c r="D72" s="184">
        <f>C72</f>
        <v>0</v>
      </c>
      <c r="E72" s="184">
        <f>D72</f>
        <v>0</v>
      </c>
      <c r="F72" s="184">
        <f>E72</f>
        <v>0</v>
      </c>
      <c r="G72" s="211">
        <v>0</v>
      </c>
      <c r="H72" s="184">
        <f t="shared" ref="H72:M72" si="52">G72</f>
        <v>0</v>
      </c>
      <c r="I72" s="189">
        <f t="shared" si="52"/>
        <v>0</v>
      </c>
      <c r="J72" s="184">
        <f t="shared" si="52"/>
        <v>0</v>
      </c>
      <c r="K72" s="184">
        <f t="shared" si="52"/>
        <v>0</v>
      </c>
      <c r="L72" s="184">
        <f>C128</f>
        <v>28503</v>
      </c>
      <c r="M72" s="189">
        <f t="shared" si="52"/>
        <v>28503</v>
      </c>
    </row>
    <row r="73" spans="1:22" ht="14.15" customHeight="1">
      <c r="A73" s="173" t="s">
        <v>39</v>
      </c>
      <c r="B73" s="122">
        <v>0.9</v>
      </c>
      <c r="C73" s="358">
        <f>C72*$B$73</f>
        <v>0</v>
      </c>
      <c r="D73" s="184">
        <f t="shared" ref="D73:M73" si="53">D72*$B$73</f>
        <v>0</v>
      </c>
      <c r="E73" s="184">
        <f t="shared" si="53"/>
        <v>0</v>
      </c>
      <c r="F73" s="184">
        <f t="shared" si="53"/>
        <v>0</v>
      </c>
      <c r="G73" s="211">
        <f t="shared" si="53"/>
        <v>0</v>
      </c>
      <c r="H73" s="184">
        <f t="shared" si="53"/>
        <v>0</v>
      </c>
      <c r="I73" s="189">
        <f t="shared" si="53"/>
        <v>0</v>
      </c>
      <c r="J73" s="184">
        <f t="shared" si="53"/>
        <v>0</v>
      </c>
      <c r="K73" s="184">
        <f t="shared" si="53"/>
        <v>0</v>
      </c>
      <c r="L73" s="184">
        <f t="shared" si="53"/>
        <v>25652.7</v>
      </c>
      <c r="M73" s="189">
        <f t="shared" si="53"/>
        <v>25652.7</v>
      </c>
    </row>
    <row r="74" spans="1:22" ht="14.15" customHeight="1">
      <c r="A74" s="173" t="s">
        <v>44</v>
      </c>
      <c r="B74" s="98"/>
      <c r="C74" s="359">
        <v>1</v>
      </c>
      <c r="D74" s="101">
        <f>C74</f>
        <v>1</v>
      </c>
      <c r="E74" s="101">
        <f>D74</f>
        <v>1</v>
      </c>
      <c r="F74" s="101">
        <f>E74</f>
        <v>1</v>
      </c>
      <c r="G74" s="264">
        <f>F74</f>
        <v>1</v>
      </c>
      <c r="H74" s="101">
        <v>1</v>
      </c>
      <c r="I74" s="219">
        <f>H74</f>
        <v>1</v>
      </c>
      <c r="J74" s="101">
        <f>I74</f>
        <v>1</v>
      </c>
      <c r="K74" s="101">
        <f>J74</f>
        <v>1</v>
      </c>
      <c r="L74" s="101">
        <v>1</v>
      </c>
      <c r="M74" s="219">
        <v>0.25</v>
      </c>
    </row>
    <row r="75" spans="1:22" ht="13" thickBot="1">
      <c r="A75" s="134" t="s">
        <v>119</v>
      </c>
      <c r="B75" s="66"/>
      <c r="C75" s="891">
        <v>45</v>
      </c>
      <c r="D75" s="283">
        <f t="shared" ref="D75:M75" si="54">$C$75*(1+$B$71)^D$4</f>
        <v>46.35</v>
      </c>
      <c r="E75" s="283">
        <f t="shared" si="54"/>
        <v>47.740499999999997</v>
      </c>
      <c r="F75" s="283">
        <f t="shared" si="54"/>
        <v>49.172714999999997</v>
      </c>
      <c r="G75" s="295">
        <f t="shared" si="54"/>
        <v>50.647896449999998</v>
      </c>
      <c r="H75" s="283">
        <f t="shared" si="54"/>
        <v>52.16733334349999</v>
      </c>
      <c r="I75" s="284">
        <f t="shared" si="54"/>
        <v>53.732353343804995</v>
      </c>
      <c r="J75" s="283">
        <f t="shared" si="54"/>
        <v>55.344323944119147</v>
      </c>
      <c r="K75" s="283">
        <f t="shared" si="54"/>
        <v>57.00465366244272</v>
      </c>
      <c r="L75" s="283">
        <f t="shared" si="54"/>
        <v>58.714793272316001</v>
      </c>
      <c r="M75" s="284">
        <f t="shared" si="54"/>
        <v>60.476237070485482</v>
      </c>
      <c r="N75" s="367"/>
      <c r="O75" s="367"/>
      <c r="P75" s="367"/>
      <c r="Q75" s="367"/>
      <c r="R75" s="367"/>
      <c r="S75" s="367"/>
      <c r="T75" s="367"/>
      <c r="U75" s="367"/>
      <c r="V75" s="367"/>
    </row>
    <row r="76" spans="1:22" s="341" customFormat="1" hidden="1" outlineLevel="1">
      <c r="A76" s="320" t="s">
        <v>16</v>
      </c>
      <c r="B76" s="203"/>
      <c r="C76" s="243">
        <f t="shared" ref="C76:M76" si="55">C73*(1-C74)*C75</f>
        <v>0</v>
      </c>
      <c r="D76" s="245">
        <f t="shared" si="55"/>
        <v>0</v>
      </c>
      <c r="E76" s="245">
        <f t="shared" si="55"/>
        <v>0</v>
      </c>
      <c r="F76" s="245">
        <f t="shared" si="55"/>
        <v>0</v>
      </c>
      <c r="G76" s="244">
        <f t="shared" si="55"/>
        <v>0</v>
      </c>
      <c r="H76" s="245">
        <f t="shared" si="55"/>
        <v>0</v>
      </c>
      <c r="I76" s="246">
        <f t="shared" si="55"/>
        <v>0</v>
      </c>
      <c r="J76" s="245">
        <f t="shared" si="55"/>
        <v>0</v>
      </c>
      <c r="K76" s="245">
        <f t="shared" si="55"/>
        <v>0</v>
      </c>
      <c r="L76" s="245">
        <f t="shared" si="55"/>
        <v>0</v>
      </c>
      <c r="M76" s="246">
        <f t="shared" si="55"/>
        <v>1163534.0750235324</v>
      </c>
      <c r="N76" s="414"/>
      <c r="O76" s="414"/>
      <c r="P76" s="414"/>
      <c r="Q76" s="414"/>
      <c r="R76" s="414"/>
      <c r="S76" s="414"/>
      <c r="T76" s="414"/>
      <c r="U76" s="414"/>
      <c r="V76" s="414"/>
    </row>
    <row r="77" spans="1:22" s="341" customFormat="1" hidden="1" outlineLevel="1">
      <c r="A77" s="173" t="s">
        <v>168</v>
      </c>
      <c r="B77" s="63"/>
      <c r="C77" s="143">
        <f t="shared" ref="C77:M77" si="56">C73*(1-C74)*($D$133*(1+$B71)^C$4)</f>
        <v>0</v>
      </c>
      <c r="D77" s="238">
        <f t="shared" si="56"/>
        <v>0</v>
      </c>
      <c r="E77" s="238">
        <f t="shared" si="56"/>
        <v>0</v>
      </c>
      <c r="F77" s="238">
        <f t="shared" si="56"/>
        <v>0</v>
      </c>
      <c r="G77" s="247">
        <f t="shared" si="56"/>
        <v>0</v>
      </c>
      <c r="H77" s="238">
        <f t="shared" si="56"/>
        <v>0</v>
      </c>
      <c r="I77" s="248">
        <f t="shared" si="56"/>
        <v>0</v>
      </c>
      <c r="J77" s="238">
        <f t="shared" si="56"/>
        <v>0</v>
      </c>
      <c r="K77" s="238">
        <f t="shared" si="56"/>
        <v>0</v>
      </c>
      <c r="L77" s="238">
        <f t="shared" si="56"/>
        <v>0</v>
      </c>
      <c r="M77" s="248">
        <f t="shared" si="56"/>
        <v>387844.69167451072</v>
      </c>
      <c r="N77" s="414"/>
      <c r="O77" s="414"/>
      <c r="P77" s="414"/>
      <c r="Q77" s="414"/>
      <c r="R77" s="414"/>
      <c r="S77" s="414"/>
      <c r="T77" s="414"/>
      <c r="U77" s="414"/>
      <c r="V77" s="414"/>
    </row>
    <row r="78" spans="1:22" s="341" customFormat="1" ht="13" hidden="1" outlineLevel="1" thickBot="1">
      <c r="A78" s="134" t="s">
        <v>169</v>
      </c>
      <c r="B78" s="66"/>
      <c r="C78" s="415">
        <f t="shared" ref="C78:M78" si="57">C73*($D$133*(1+$B71)^C$4)</f>
        <v>0</v>
      </c>
      <c r="D78" s="410">
        <f t="shared" si="57"/>
        <v>0</v>
      </c>
      <c r="E78" s="410">
        <f t="shared" si="57"/>
        <v>0</v>
      </c>
      <c r="F78" s="410">
        <f t="shared" si="57"/>
        <v>0</v>
      </c>
      <c r="G78" s="409">
        <f t="shared" si="57"/>
        <v>0</v>
      </c>
      <c r="H78" s="410">
        <f t="shared" si="57"/>
        <v>0</v>
      </c>
      <c r="I78" s="411">
        <f t="shared" si="57"/>
        <v>0</v>
      </c>
      <c r="J78" s="410">
        <f t="shared" si="57"/>
        <v>0</v>
      </c>
      <c r="K78" s="410">
        <f t="shared" si="57"/>
        <v>0</v>
      </c>
      <c r="L78" s="410">
        <f t="shared" si="57"/>
        <v>502064.32579224691</v>
      </c>
      <c r="M78" s="411">
        <f t="shared" si="57"/>
        <v>517126.25556601427</v>
      </c>
      <c r="N78" s="414"/>
      <c r="O78" s="414"/>
      <c r="P78" s="414"/>
      <c r="Q78" s="414"/>
      <c r="R78" s="414"/>
      <c r="S78" s="414"/>
      <c r="T78" s="414"/>
      <c r="U78" s="414"/>
      <c r="V78" s="414"/>
    </row>
    <row r="79" spans="1:22" ht="13.5" customHeight="1" collapsed="1">
      <c r="A79" s="61" t="str">
        <f>A129</f>
        <v>Phase III Retail</v>
      </c>
      <c r="B79" s="63"/>
      <c r="C79" s="131"/>
      <c r="D79" s="68"/>
      <c r="E79" s="68"/>
      <c r="F79" s="68"/>
      <c r="G79" s="62"/>
      <c r="H79" s="68"/>
      <c r="I79" s="105"/>
      <c r="J79" s="68"/>
      <c r="K79" s="68"/>
      <c r="L79" s="68"/>
      <c r="M79" s="105"/>
    </row>
    <row r="80" spans="1:22" ht="13.5" customHeight="1">
      <c r="A80" s="173" t="s">
        <v>11</v>
      </c>
      <c r="B80" s="122">
        <v>0.03</v>
      </c>
      <c r="C80" s="130"/>
      <c r="D80" s="99"/>
      <c r="E80" s="99"/>
      <c r="F80" s="99"/>
      <c r="G80" s="133"/>
      <c r="H80" s="99"/>
      <c r="I80" s="104"/>
      <c r="J80" s="99"/>
      <c r="K80" s="99"/>
      <c r="L80" s="99"/>
      <c r="M80" s="104"/>
    </row>
    <row r="81" spans="1:22" ht="14.15" customHeight="1">
      <c r="A81" s="173" t="s">
        <v>118</v>
      </c>
      <c r="B81" s="63"/>
      <c r="C81" s="357">
        <v>0</v>
      </c>
      <c r="D81" s="184">
        <f>C81</f>
        <v>0</v>
      </c>
      <c r="E81" s="184">
        <f>D81</f>
        <v>0</v>
      </c>
      <c r="F81" s="184">
        <f>E81</f>
        <v>0</v>
      </c>
      <c r="G81" s="211">
        <f>C131</f>
        <v>0</v>
      </c>
      <c r="H81" s="184">
        <v>0</v>
      </c>
      <c r="I81" s="189">
        <f>H81</f>
        <v>0</v>
      </c>
      <c r="J81" s="184">
        <f>C129</f>
        <v>34898.400000000001</v>
      </c>
      <c r="K81" s="184">
        <f>J81</f>
        <v>34898.400000000001</v>
      </c>
      <c r="L81" s="184">
        <f>K81</f>
        <v>34898.400000000001</v>
      </c>
      <c r="M81" s="189">
        <f>L81</f>
        <v>34898.400000000001</v>
      </c>
    </row>
    <row r="82" spans="1:22" ht="14.15" customHeight="1">
      <c r="A82" s="173" t="s">
        <v>39</v>
      </c>
      <c r="B82" s="122">
        <v>0.9</v>
      </c>
      <c r="C82" s="358">
        <f>C81*$B$82</f>
        <v>0</v>
      </c>
      <c r="D82" s="184">
        <f t="shared" ref="D82:M82" si="58">D81*$B$82</f>
        <v>0</v>
      </c>
      <c r="E82" s="184">
        <f t="shared" si="58"/>
        <v>0</v>
      </c>
      <c r="F82" s="184">
        <f t="shared" si="58"/>
        <v>0</v>
      </c>
      <c r="G82" s="211">
        <f t="shared" si="58"/>
        <v>0</v>
      </c>
      <c r="H82" s="184">
        <f t="shared" si="58"/>
        <v>0</v>
      </c>
      <c r="I82" s="189">
        <f t="shared" si="58"/>
        <v>0</v>
      </c>
      <c r="J82" s="184">
        <f t="shared" si="58"/>
        <v>31408.560000000001</v>
      </c>
      <c r="K82" s="184">
        <f t="shared" si="58"/>
        <v>31408.560000000001</v>
      </c>
      <c r="L82" s="184">
        <f t="shared" si="58"/>
        <v>31408.560000000001</v>
      </c>
      <c r="M82" s="189">
        <f t="shared" si="58"/>
        <v>31408.560000000001</v>
      </c>
    </row>
    <row r="83" spans="1:22" ht="14.15" customHeight="1">
      <c r="A83" s="173" t="s">
        <v>44</v>
      </c>
      <c r="B83" s="98"/>
      <c r="C83" s="359">
        <v>1</v>
      </c>
      <c r="D83" s="101">
        <f>C83</f>
        <v>1</v>
      </c>
      <c r="E83" s="101">
        <f>D83</f>
        <v>1</v>
      </c>
      <c r="F83" s="101">
        <f>E83</f>
        <v>1</v>
      </c>
      <c r="G83" s="264">
        <f>F83</f>
        <v>1</v>
      </c>
      <c r="H83" s="101">
        <f t="shared" ref="H83:I83" si="59">G83</f>
        <v>1</v>
      </c>
      <c r="I83" s="219">
        <f t="shared" si="59"/>
        <v>1</v>
      </c>
      <c r="J83" s="101">
        <v>1</v>
      </c>
      <c r="K83" s="101">
        <v>0.25</v>
      </c>
      <c r="L83" s="122">
        <v>9.6000000000000002E-2</v>
      </c>
      <c r="M83" s="219">
        <f>L83</f>
        <v>9.6000000000000002E-2</v>
      </c>
    </row>
    <row r="84" spans="1:22" ht="13" thickBot="1">
      <c r="A84" s="134" t="s">
        <v>119</v>
      </c>
      <c r="B84" s="66"/>
      <c r="C84" s="891">
        <v>45</v>
      </c>
      <c r="D84" s="283">
        <f t="shared" ref="D84:M84" si="60">$C$84*(1+$B$80)^D$4</f>
        <v>46.35</v>
      </c>
      <c r="E84" s="283">
        <f t="shared" si="60"/>
        <v>47.740499999999997</v>
      </c>
      <c r="F84" s="283">
        <f t="shared" si="60"/>
        <v>49.172714999999997</v>
      </c>
      <c r="G84" s="295">
        <f t="shared" si="60"/>
        <v>50.647896449999998</v>
      </c>
      <c r="H84" s="283">
        <f t="shared" si="60"/>
        <v>52.16733334349999</v>
      </c>
      <c r="I84" s="284">
        <f t="shared" si="60"/>
        <v>53.732353343804995</v>
      </c>
      <c r="J84" s="283">
        <f t="shared" si="60"/>
        <v>55.344323944119147</v>
      </c>
      <c r="K84" s="283">
        <f t="shared" si="60"/>
        <v>57.00465366244272</v>
      </c>
      <c r="L84" s="283">
        <f t="shared" si="60"/>
        <v>58.714793272316001</v>
      </c>
      <c r="M84" s="284">
        <f t="shared" si="60"/>
        <v>60.476237070485482</v>
      </c>
      <c r="N84" s="367"/>
      <c r="O84" s="367"/>
      <c r="P84" s="367"/>
      <c r="Q84" s="367"/>
      <c r="R84" s="367"/>
      <c r="S84" s="367"/>
      <c r="T84" s="367"/>
      <c r="U84" s="367"/>
      <c r="V84" s="367"/>
    </row>
    <row r="85" spans="1:22" s="341" customFormat="1" hidden="1" outlineLevel="1">
      <c r="A85" s="320" t="s">
        <v>16</v>
      </c>
      <c r="B85" s="203"/>
      <c r="C85" s="243">
        <f t="shared" ref="C85:M85" si="61">C82*(1-C83)*C84</f>
        <v>0</v>
      </c>
      <c r="D85" s="245">
        <f t="shared" si="61"/>
        <v>0</v>
      </c>
      <c r="E85" s="245">
        <f t="shared" si="61"/>
        <v>0</v>
      </c>
      <c r="F85" s="245">
        <f t="shared" si="61"/>
        <v>0</v>
      </c>
      <c r="G85" s="244">
        <f t="shared" si="61"/>
        <v>0</v>
      </c>
      <c r="H85" s="245">
        <f t="shared" si="61"/>
        <v>0</v>
      </c>
      <c r="I85" s="246">
        <f t="shared" si="61"/>
        <v>0</v>
      </c>
      <c r="J85" s="245">
        <f t="shared" si="61"/>
        <v>0</v>
      </c>
      <c r="K85" s="245">
        <f t="shared" si="61"/>
        <v>1342825.5636270391</v>
      </c>
      <c r="L85" s="245">
        <f t="shared" si="61"/>
        <v>1667108.9850725448</v>
      </c>
      <c r="M85" s="246">
        <f t="shared" si="61"/>
        <v>1717122.2546247211</v>
      </c>
      <c r="N85" s="414"/>
      <c r="O85" s="414"/>
      <c r="P85" s="414"/>
      <c r="Q85" s="414"/>
      <c r="R85" s="414"/>
      <c r="S85" s="414"/>
      <c r="T85" s="414"/>
      <c r="U85" s="414"/>
      <c r="V85" s="414"/>
    </row>
    <row r="86" spans="1:22" s="341" customFormat="1" hidden="1" outlineLevel="1">
      <c r="A86" s="173" t="s">
        <v>168</v>
      </c>
      <c r="B86" s="63"/>
      <c r="C86" s="143">
        <f t="shared" ref="C86:M86" si="62">C82*(1-C83)*($D$133*(1+$B80)^C$4)</f>
        <v>0</v>
      </c>
      <c r="D86" s="238">
        <f t="shared" si="62"/>
        <v>0</v>
      </c>
      <c r="E86" s="238">
        <f t="shared" si="62"/>
        <v>0</v>
      </c>
      <c r="F86" s="238">
        <f t="shared" si="62"/>
        <v>0</v>
      </c>
      <c r="G86" s="247">
        <f t="shared" si="62"/>
        <v>0</v>
      </c>
      <c r="H86" s="238">
        <f t="shared" si="62"/>
        <v>0</v>
      </c>
      <c r="I86" s="248">
        <f t="shared" si="62"/>
        <v>0</v>
      </c>
      <c r="J86" s="238">
        <f t="shared" si="62"/>
        <v>0</v>
      </c>
      <c r="K86" s="238">
        <f t="shared" si="62"/>
        <v>447608.52120901301</v>
      </c>
      <c r="L86" s="238">
        <f t="shared" si="62"/>
        <v>555702.99502418155</v>
      </c>
      <c r="M86" s="248">
        <f t="shared" si="62"/>
        <v>572374.08487490704</v>
      </c>
      <c r="N86" s="414"/>
      <c r="O86" s="414"/>
      <c r="P86" s="414"/>
      <c r="Q86" s="414"/>
      <c r="R86" s="414"/>
      <c r="S86" s="414"/>
      <c r="T86" s="414"/>
      <c r="U86" s="414"/>
      <c r="V86" s="414"/>
    </row>
    <row r="87" spans="1:22" s="341" customFormat="1" ht="13" hidden="1" outlineLevel="1" thickBot="1">
      <c r="A87" s="134" t="s">
        <v>169</v>
      </c>
      <c r="B87" s="66"/>
      <c r="C87" s="415">
        <f t="shared" ref="C87:M87" si="63">C82*($D$133*(1+$B80)^C$4)</f>
        <v>0</v>
      </c>
      <c r="D87" s="410">
        <f t="shared" si="63"/>
        <v>0</v>
      </c>
      <c r="E87" s="410">
        <f t="shared" si="63"/>
        <v>0</v>
      </c>
      <c r="F87" s="410">
        <f t="shared" si="63"/>
        <v>0</v>
      </c>
      <c r="G87" s="409">
        <f t="shared" si="63"/>
        <v>0</v>
      </c>
      <c r="H87" s="410">
        <f t="shared" si="63"/>
        <v>0</v>
      </c>
      <c r="I87" s="411">
        <f t="shared" si="63"/>
        <v>0</v>
      </c>
      <c r="J87" s="410">
        <f t="shared" si="63"/>
        <v>579428.50641943433</v>
      </c>
      <c r="K87" s="410">
        <f t="shared" si="63"/>
        <v>596811.36161201727</v>
      </c>
      <c r="L87" s="410">
        <f t="shared" si="63"/>
        <v>614715.70246037783</v>
      </c>
      <c r="M87" s="411">
        <f t="shared" si="63"/>
        <v>633157.17353418912</v>
      </c>
      <c r="N87" s="414"/>
      <c r="O87" s="414"/>
      <c r="P87" s="414"/>
      <c r="Q87" s="414"/>
      <c r="R87" s="414"/>
      <c r="S87" s="414"/>
      <c r="T87" s="414"/>
      <c r="U87" s="414"/>
      <c r="V87" s="414"/>
    </row>
    <row r="88" spans="1:22" s="38" customFormat="1" ht="13.5" customHeight="1" collapsed="1">
      <c r="A88" s="61" t="str">
        <f>A130</f>
        <v>Phase III Restaurants</v>
      </c>
      <c r="B88" s="63"/>
      <c r="C88" s="131"/>
      <c r="D88" s="68"/>
      <c r="E88" s="68"/>
      <c r="F88" s="68"/>
      <c r="G88" s="62"/>
      <c r="H88" s="68"/>
      <c r="I88" s="105"/>
      <c r="J88" s="68"/>
      <c r="K88" s="68"/>
      <c r="L88" s="68"/>
      <c r="M88" s="105"/>
    </row>
    <row r="89" spans="1:22" s="38" customFormat="1" ht="13.5" customHeight="1">
      <c r="A89" s="173" t="s">
        <v>11</v>
      </c>
      <c r="B89" s="122">
        <v>0.03</v>
      </c>
      <c r="C89" s="130"/>
      <c r="D89" s="99"/>
      <c r="E89" s="99"/>
      <c r="F89" s="99"/>
      <c r="G89" s="133"/>
      <c r="H89" s="99"/>
      <c r="I89" s="104"/>
      <c r="J89" s="99"/>
      <c r="K89" s="99"/>
      <c r="L89" s="99"/>
      <c r="M89" s="104"/>
    </row>
    <row r="90" spans="1:22" s="38" customFormat="1" ht="14.15" customHeight="1">
      <c r="A90" s="173" t="s">
        <v>118</v>
      </c>
      <c r="B90" s="63"/>
      <c r="C90" s="357">
        <v>0</v>
      </c>
      <c r="D90" s="184">
        <f>C90</f>
        <v>0</v>
      </c>
      <c r="E90" s="184">
        <f>D90</f>
        <v>0</v>
      </c>
      <c r="F90" s="184">
        <f>E90</f>
        <v>0</v>
      </c>
      <c r="G90" s="211">
        <f>C138</f>
        <v>0</v>
      </c>
      <c r="H90" s="184">
        <v>0</v>
      </c>
      <c r="I90" s="189">
        <f>H90</f>
        <v>0</v>
      </c>
      <c r="J90" s="184">
        <f>I90</f>
        <v>0</v>
      </c>
      <c r="K90" s="184">
        <f>C130</f>
        <v>34779.5</v>
      </c>
      <c r="L90" s="184">
        <f>K90</f>
        <v>34779.5</v>
      </c>
      <c r="M90" s="189">
        <f>L90</f>
        <v>34779.5</v>
      </c>
    </row>
    <row r="91" spans="1:22" s="38" customFormat="1" ht="14.15" customHeight="1">
      <c r="A91" s="173" t="s">
        <v>39</v>
      </c>
      <c r="B91" s="122">
        <v>0.9</v>
      </c>
      <c r="C91" s="358">
        <f>C90*$B$91</f>
        <v>0</v>
      </c>
      <c r="D91" s="184">
        <f t="shared" ref="D91:M91" si="64">D90*$B$91</f>
        <v>0</v>
      </c>
      <c r="E91" s="184">
        <f t="shared" si="64"/>
        <v>0</v>
      </c>
      <c r="F91" s="184">
        <f t="shared" si="64"/>
        <v>0</v>
      </c>
      <c r="G91" s="211">
        <f t="shared" si="64"/>
        <v>0</v>
      </c>
      <c r="H91" s="184">
        <f t="shared" si="64"/>
        <v>0</v>
      </c>
      <c r="I91" s="189">
        <f t="shared" si="64"/>
        <v>0</v>
      </c>
      <c r="J91" s="184">
        <f t="shared" si="64"/>
        <v>0</v>
      </c>
      <c r="K91" s="184">
        <f t="shared" si="64"/>
        <v>31301.55</v>
      </c>
      <c r="L91" s="184">
        <f t="shared" si="64"/>
        <v>31301.55</v>
      </c>
      <c r="M91" s="189">
        <f t="shared" si="64"/>
        <v>31301.55</v>
      </c>
    </row>
    <row r="92" spans="1:22" s="38" customFormat="1" ht="14.15" customHeight="1">
      <c r="A92" s="173" t="s">
        <v>44</v>
      </c>
      <c r="B92" s="98"/>
      <c r="C92" s="359">
        <v>1</v>
      </c>
      <c r="D92" s="101">
        <f>C92</f>
        <v>1</v>
      </c>
      <c r="E92" s="101">
        <f>D92</f>
        <v>1</v>
      </c>
      <c r="F92" s="101">
        <f>E92</f>
        <v>1</v>
      </c>
      <c r="G92" s="264">
        <f>F92</f>
        <v>1</v>
      </c>
      <c r="H92" s="101">
        <f t="shared" ref="H92:J92" si="65">G92</f>
        <v>1</v>
      </c>
      <c r="I92" s="219">
        <f t="shared" si="65"/>
        <v>1</v>
      </c>
      <c r="J92" s="101">
        <f t="shared" si="65"/>
        <v>1</v>
      </c>
      <c r="K92" s="101">
        <v>1</v>
      </c>
      <c r="L92" s="101">
        <v>0.25</v>
      </c>
      <c r="M92" s="122">
        <v>9.6000000000000002E-2</v>
      </c>
    </row>
    <row r="93" spans="1:22" s="38" customFormat="1" ht="13" thickBot="1">
      <c r="A93" s="134" t="s">
        <v>119</v>
      </c>
      <c r="B93" s="66"/>
      <c r="C93" s="891">
        <v>40</v>
      </c>
      <c r="D93" s="283">
        <f t="shared" ref="D93:M93" si="66">$C$93*(1+$B89)^D$4</f>
        <v>41.2</v>
      </c>
      <c r="E93" s="283">
        <f t="shared" si="66"/>
        <v>42.436</v>
      </c>
      <c r="F93" s="283">
        <f t="shared" si="66"/>
        <v>43.70908</v>
      </c>
      <c r="G93" s="295">
        <f t="shared" si="66"/>
        <v>45.020352399999993</v>
      </c>
      <c r="H93" s="283">
        <f t="shared" si="66"/>
        <v>46.370962971999994</v>
      </c>
      <c r="I93" s="284">
        <f t="shared" si="66"/>
        <v>47.762091861159995</v>
      </c>
      <c r="J93" s="283">
        <f t="shared" si="66"/>
        <v>49.194954616994799</v>
      </c>
      <c r="K93" s="283">
        <f t="shared" si="66"/>
        <v>50.670803255504637</v>
      </c>
      <c r="L93" s="283">
        <f t="shared" si="66"/>
        <v>52.190927353169776</v>
      </c>
      <c r="M93" s="284">
        <f t="shared" si="66"/>
        <v>53.756655173764869</v>
      </c>
      <c r="N93" s="325"/>
      <c r="O93" s="325"/>
      <c r="P93" s="325"/>
      <c r="Q93" s="325"/>
      <c r="R93" s="325"/>
      <c r="S93" s="325"/>
      <c r="T93" s="325"/>
      <c r="U93" s="325"/>
      <c r="V93" s="325"/>
    </row>
    <row r="94" spans="1:22" s="68" customFormat="1" hidden="1" outlineLevel="1">
      <c r="A94" s="320" t="s">
        <v>16</v>
      </c>
      <c r="B94" s="203"/>
      <c r="C94" s="243">
        <f t="shared" ref="C94:M94" si="67">C91*(1-C92)*C93</f>
        <v>0</v>
      </c>
      <c r="D94" s="245">
        <f t="shared" si="67"/>
        <v>0</v>
      </c>
      <c r="E94" s="245">
        <f t="shared" si="67"/>
        <v>0</v>
      </c>
      <c r="F94" s="245">
        <f t="shared" si="67"/>
        <v>0</v>
      </c>
      <c r="G94" s="244">
        <f t="shared" si="67"/>
        <v>0</v>
      </c>
      <c r="H94" s="245">
        <f t="shared" si="67"/>
        <v>0</v>
      </c>
      <c r="I94" s="246">
        <f t="shared" si="67"/>
        <v>0</v>
      </c>
      <c r="J94" s="245">
        <f t="shared" si="67"/>
        <v>0</v>
      </c>
      <c r="K94" s="245">
        <f t="shared" si="67"/>
        <v>0</v>
      </c>
      <c r="L94" s="245">
        <f t="shared" si="67"/>
        <v>1225242.6915687085</v>
      </c>
      <c r="M94" s="246">
        <f t="shared" si="67"/>
        <v>1521130.6332979412</v>
      </c>
      <c r="N94" s="326"/>
      <c r="O94" s="326"/>
      <c r="P94" s="326"/>
      <c r="Q94" s="326"/>
      <c r="R94" s="326"/>
      <c r="S94" s="326"/>
      <c r="T94" s="326"/>
      <c r="U94" s="326"/>
      <c r="V94" s="326"/>
    </row>
    <row r="95" spans="1:22" s="68" customFormat="1" hidden="1" outlineLevel="1">
      <c r="A95" s="173" t="s">
        <v>168</v>
      </c>
      <c r="B95" s="63"/>
      <c r="C95" s="143">
        <f t="shared" ref="C95:M95" si="68">C91*(1-C92)*($D$133*(1+$B89)^C$4)</f>
        <v>0</v>
      </c>
      <c r="D95" s="238">
        <f t="shared" si="68"/>
        <v>0</v>
      </c>
      <c r="E95" s="238">
        <f t="shared" si="68"/>
        <v>0</v>
      </c>
      <c r="F95" s="238">
        <f t="shared" si="68"/>
        <v>0</v>
      </c>
      <c r="G95" s="247">
        <f t="shared" si="68"/>
        <v>0</v>
      </c>
      <c r="H95" s="238">
        <f t="shared" si="68"/>
        <v>0</v>
      </c>
      <c r="I95" s="248">
        <f t="shared" si="68"/>
        <v>0</v>
      </c>
      <c r="J95" s="238">
        <f t="shared" si="68"/>
        <v>0</v>
      </c>
      <c r="K95" s="238">
        <f t="shared" si="68"/>
        <v>0</v>
      </c>
      <c r="L95" s="238">
        <f t="shared" si="68"/>
        <v>459466.00933826569</v>
      </c>
      <c r="M95" s="248">
        <f t="shared" si="68"/>
        <v>570423.987486728</v>
      </c>
      <c r="N95" s="326"/>
      <c r="O95" s="326"/>
      <c r="P95" s="326"/>
      <c r="Q95" s="326"/>
      <c r="R95" s="326"/>
      <c r="S95" s="326"/>
      <c r="T95" s="326"/>
      <c r="U95" s="326"/>
      <c r="V95" s="326"/>
    </row>
    <row r="96" spans="1:22" s="68" customFormat="1" ht="13" hidden="1" outlineLevel="1" thickBot="1">
      <c r="A96" s="134" t="s">
        <v>169</v>
      </c>
      <c r="B96" s="66"/>
      <c r="C96" s="415">
        <f t="shared" ref="C96:M96" si="69">C91*($D$133*(1+$B89)^C$4)</f>
        <v>0</v>
      </c>
      <c r="D96" s="410">
        <f t="shared" si="69"/>
        <v>0</v>
      </c>
      <c r="E96" s="410">
        <f t="shared" si="69"/>
        <v>0</v>
      </c>
      <c r="F96" s="410">
        <f t="shared" si="69"/>
        <v>0</v>
      </c>
      <c r="G96" s="409">
        <f t="shared" si="69"/>
        <v>0</v>
      </c>
      <c r="H96" s="410">
        <f t="shared" si="69"/>
        <v>0</v>
      </c>
      <c r="I96" s="411">
        <f t="shared" si="69"/>
        <v>0</v>
      </c>
      <c r="J96" s="410">
        <f t="shared" si="69"/>
        <v>0</v>
      </c>
      <c r="K96" s="410">
        <f t="shared" si="69"/>
        <v>594778.00561587792</v>
      </c>
      <c r="L96" s="410">
        <f t="shared" si="69"/>
        <v>612621.34578435426</v>
      </c>
      <c r="M96" s="411">
        <f t="shared" si="69"/>
        <v>630999.98615788494</v>
      </c>
      <c r="N96" s="326"/>
      <c r="O96" s="326"/>
      <c r="P96" s="326"/>
      <c r="Q96" s="326"/>
      <c r="R96" s="326"/>
      <c r="S96" s="326"/>
      <c r="T96" s="326"/>
      <c r="U96" s="326"/>
      <c r="V96" s="326"/>
    </row>
    <row r="97" spans="1:14" ht="13.5" collapsed="1" thickBot="1">
      <c r="A97" s="198" t="s">
        <v>0</v>
      </c>
      <c r="B97" s="195"/>
      <c r="C97" s="204"/>
      <c r="D97" s="242"/>
      <c r="E97" s="201"/>
      <c r="F97" s="202"/>
      <c r="G97" s="242"/>
      <c r="H97" s="201"/>
      <c r="I97" s="202"/>
      <c r="J97" s="242"/>
      <c r="K97" s="201"/>
      <c r="L97" s="201"/>
      <c r="M97" s="202"/>
    </row>
    <row r="98" spans="1:14">
      <c r="A98" s="173" t="s">
        <v>16</v>
      </c>
      <c r="B98" s="63"/>
      <c r="C98" s="138">
        <f t="shared" ref="C98:M98" si="70">SUM(C13,C22,C31,C40,C49,C58,C67,C76,C85,C94)</f>
        <v>0</v>
      </c>
      <c r="D98" s="257">
        <f t="shared" si="70"/>
        <v>0</v>
      </c>
      <c r="E98" s="229">
        <f t="shared" si="70"/>
        <v>1471317.7635944998</v>
      </c>
      <c r="F98" s="241">
        <f t="shared" si="70"/>
        <v>1906919.661851557</v>
      </c>
      <c r="G98" s="257">
        <f t="shared" si="70"/>
        <v>2497449.6013256037</v>
      </c>
      <c r="H98" s="229">
        <f t="shared" si="70"/>
        <v>3820523.4902086183</v>
      </c>
      <c r="I98" s="241">
        <f t="shared" si="70"/>
        <v>4219005.0683360649</v>
      </c>
      <c r="J98" s="257">
        <f t="shared" si="70"/>
        <v>5997115.3192138886</v>
      </c>
      <c r="K98" s="229">
        <f t="shared" si="70"/>
        <v>8805568.8110124357</v>
      </c>
      <c r="L98" s="229">
        <f t="shared" si="70"/>
        <v>10889071.182044892</v>
      </c>
      <c r="M98" s="241">
        <f t="shared" si="70"/>
        <v>12638408.05351194</v>
      </c>
    </row>
    <row r="99" spans="1:14">
      <c r="A99" s="173" t="s">
        <v>123</v>
      </c>
      <c r="B99" s="63"/>
      <c r="C99" s="143">
        <f t="shared" ref="C99:M99" si="71">SUM(C14,C23,C32,C41,C50,C59,C68,C77,C86,C95)</f>
        <v>0</v>
      </c>
      <c r="D99" s="247">
        <f t="shared" si="71"/>
        <v>0</v>
      </c>
      <c r="E99" s="238">
        <f t="shared" si="71"/>
        <v>514019.48099399992</v>
      </c>
      <c r="F99" s="248">
        <f t="shared" si="71"/>
        <v>664914.58123553637</v>
      </c>
      <c r="G99" s="247">
        <f t="shared" si="71"/>
        <v>862636.13521210244</v>
      </c>
      <c r="H99" s="238">
        <f t="shared" si="71"/>
        <v>1347627.5302829396</v>
      </c>
      <c r="I99" s="248">
        <f t="shared" si="71"/>
        <v>1494506.0587243736</v>
      </c>
      <c r="J99" s="247">
        <f t="shared" si="71"/>
        <v>2089854.6067620185</v>
      </c>
      <c r="K99" s="238">
        <f t="shared" si="71"/>
        <v>3063854.1671000351</v>
      </c>
      <c r="L99" s="238">
        <f t="shared" si="71"/>
        <v>3826187.2548539545</v>
      </c>
      <c r="M99" s="248">
        <f t="shared" si="71"/>
        <v>4425991.5620423984</v>
      </c>
    </row>
    <row r="100" spans="1:14" s="340" customFormat="1">
      <c r="A100" s="234" t="s">
        <v>124</v>
      </c>
      <c r="B100" s="346"/>
      <c r="C100" s="149">
        <f t="shared" ref="C100:M100" si="72">-SUM(C15,C24,C33,C42,C51,C60,C69,C78,C87,C96)</f>
        <v>0</v>
      </c>
      <c r="D100" s="303">
        <f t="shared" si="72"/>
        <v>-693302.83649999998</v>
      </c>
      <c r="E100" s="304">
        <f t="shared" si="72"/>
        <v>-714101.92159499996</v>
      </c>
      <c r="F100" s="305">
        <f t="shared" si="72"/>
        <v>-735524.97924284998</v>
      </c>
      <c r="G100" s="303">
        <f t="shared" si="72"/>
        <v>-1031089.3694501354</v>
      </c>
      <c r="H100" s="304">
        <f t="shared" si="72"/>
        <v>-1578768.1793343457</v>
      </c>
      <c r="I100" s="305">
        <f t="shared" si="72"/>
        <v>-2113334.8309239252</v>
      </c>
      <c r="J100" s="303">
        <f t="shared" si="72"/>
        <v>-3021816.1372028496</v>
      </c>
      <c r="K100" s="304">
        <f t="shared" si="72"/>
        <v>-4158841.7734348294</v>
      </c>
      <c r="L100" s="304">
        <f t="shared" si="72"/>
        <v>-4785671.352430122</v>
      </c>
      <c r="M100" s="305">
        <f t="shared" si="72"/>
        <v>-4929241.4930030257</v>
      </c>
      <c r="N100" s="361"/>
    </row>
    <row r="101" spans="1:14" ht="14.15" customHeight="1" thickBot="1">
      <c r="A101" s="360" t="s">
        <v>5</v>
      </c>
      <c r="B101" s="66"/>
      <c r="C101" s="258">
        <f>SUM(C98:C100)</f>
        <v>0</v>
      </c>
      <c r="D101" s="259">
        <f t="shared" ref="D101:M101" si="73">SUM(D98:D100)</f>
        <v>-693302.83649999998</v>
      </c>
      <c r="E101" s="236">
        <f t="shared" si="73"/>
        <v>1271235.3229934997</v>
      </c>
      <c r="F101" s="237">
        <f t="shared" si="73"/>
        <v>1836309.2638442433</v>
      </c>
      <c r="G101" s="259">
        <f t="shared" si="73"/>
        <v>2328996.367087571</v>
      </c>
      <c r="H101" s="236">
        <f t="shared" si="73"/>
        <v>3589382.8411572124</v>
      </c>
      <c r="I101" s="237">
        <f t="shared" si="73"/>
        <v>3600176.2961365134</v>
      </c>
      <c r="J101" s="259">
        <f t="shared" si="73"/>
        <v>5065153.788773058</v>
      </c>
      <c r="K101" s="236">
        <f t="shared" si="73"/>
        <v>7710581.2046776414</v>
      </c>
      <c r="L101" s="236">
        <f t="shared" si="73"/>
        <v>9929587.0844687242</v>
      </c>
      <c r="M101" s="237">
        <f t="shared" si="73"/>
        <v>12135158.122551315</v>
      </c>
    </row>
    <row r="102" spans="1:14" ht="13.5" thickBot="1">
      <c r="A102" s="198" t="s">
        <v>2</v>
      </c>
      <c r="B102" s="195"/>
      <c r="C102" s="204"/>
      <c r="D102" s="242"/>
      <c r="E102" s="201"/>
      <c r="F102" s="202"/>
      <c r="G102" s="242"/>
      <c r="H102" s="201"/>
      <c r="I102" s="202"/>
      <c r="J102" s="242"/>
      <c r="K102" s="201"/>
      <c r="L102" s="201"/>
      <c r="M102" s="202"/>
    </row>
    <row r="103" spans="1:14" ht="14.15" customHeight="1">
      <c r="A103" s="173" t="s">
        <v>128</v>
      </c>
      <c r="B103" s="63"/>
      <c r="C103" s="220">
        <f>'Development Costs'!E28</f>
        <v>198.4</v>
      </c>
      <c r="D103" s="212">
        <f>$C103*(1+$B$8)^D$4</f>
        <v>204.352</v>
      </c>
      <c r="E103" s="199">
        <f t="shared" ref="E103:M106" si="74">$C103*(1+$B$8)^E$4</f>
        <v>210.48256000000001</v>
      </c>
      <c r="F103" s="200">
        <f t="shared" si="74"/>
        <v>216.7970368</v>
      </c>
      <c r="G103" s="212">
        <f t="shared" si="74"/>
        <v>223.300947904</v>
      </c>
      <c r="H103" s="199">
        <f t="shared" si="74"/>
        <v>229.99997634111998</v>
      </c>
      <c r="I103" s="200">
        <f t="shared" si="74"/>
        <v>236.89997563135358</v>
      </c>
      <c r="J103" s="212">
        <f t="shared" si="74"/>
        <v>244.00697490029421</v>
      </c>
      <c r="K103" s="199">
        <f t="shared" si="74"/>
        <v>251.327184147303</v>
      </c>
      <c r="L103" s="199">
        <f t="shared" si="74"/>
        <v>258.86699967172211</v>
      </c>
      <c r="M103" s="200">
        <f t="shared" si="74"/>
        <v>266.63300966187376</v>
      </c>
    </row>
    <row r="104" spans="1:14" ht="14.15" customHeight="1">
      <c r="A104" s="173" t="s">
        <v>129</v>
      </c>
      <c r="B104" s="63"/>
      <c r="C104" s="879">
        <f>'Development Costs'!E26</f>
        <v>248</v>
      </c>
      <c r="D104" s="363">
        <f>$C104*(1+$B$8)^D$4</f>
        <v>255.44</v>
      </c>
      <c r="E104" s="364">
        <f t="shared" si="74"/>
        <v>263.10320000000002</v>
      </c>
      <c r="F104" s="365">
        <f t="shared" si="74"/>
        <v>270.99629600000003</v>
      </c>
      <c r="G104" s="363">
        <f t="shared" si="74"/>
        <v>279.12618487999998</v>
      </c>
      <c r="H104" s="364">
        <f t="shared" si="74"/>
        <v>287.49997042639995</v>
      </c>
      <c r="I104" s="365">
        <f t="shared" si="74"/>
        <v>296.12496953919197</v>
      </c>
      <c r="J104" s="363">
        <f t="shared" si="74"/>
        <v>305.00871862536775</v>
      </c>
      <c r="K104" s="364">
        <f t="shared" si="74"/>
        <v>314.15898018412872</v>
      </c>
      <c r="L104" s="364">
        <f t="shared" si="74"/>
        <v>323.5837495896526</v>
      </c>
      <c r="M104" s="365">
        <f t="shared" si="74"/>
        <v>333.2912620773422</v>
      </c>
    </row>
    <row r="105" spans="1:14" ht="14.15" customHeight="1">
      <c r="A105" s="173" t="s">
        <v>130</v>
      </c>
      <c r="B105" s="63"/>
      <c r="C105" s="362">
        <f>'Development Costs'!E31</f>
        <v>161.19999999999999</v>
      </c>
      <c r="D105" s="363">
        <f>$C105*(1+$B$8)^D$4</f>
        <v>166.036</v>
      </c>
      <c r="E105" s="364">
        <f t="shared" si="74"/>
        <v>171.01707999999999</v>
      </c>
      <c r="F105" s="365">
        <f t="shared" si="74"/>
        <v>176.14759239999998</v>
      </c>
      <c r="G105" s="363">
        <f t="shared" si="74"/>
        <v>181.43202017199997</v>
      </c>
      <c r="H105" s="364">
        <f t="shared" si="74"/>
        <v>186.87498077715995</v>
      </c>
      <c r="I105" s="365">
        <f t="shared" si="74"/>
        <v>192.48123020047478</v>
      </c>
      <c r="J105" s="363">
        <f t="shared" si="74"/>
        <v>198.25566710648903</v>
      </c>
      <c r="K105" s="364">
        <f t="shared" si="74"/>
        <v>204.20333711968368</v>
      </c>
      <c r="L105" s="364">
        <f t="shared" si="74"/>
        <v>210.32943723327418</v>
      </c>
      <c r="M105" s="365">
        <f t="shared" si="74"/>
        <v>216.63932035027241</v>
      </c>
    </row>
    <row r="106" spans="1:14" ht="14.15" customHeight="1">
      <c r="A106" s="173" t="s">
        <v>517</v>
      </c>
      <c r="B106" s="63"/>
      <c r="C106" s="829">
        <v>120</v>
      </c>
      <c r="D106" s="363">
        <f>$C106*(1+$B$8)^D$4</f>
        <v>123.60000000000001</v>
      </c>
      <c r="E106" s="364">
        <f t="shared" si="74"/>
        <v>127.30799999999999</v>
      </c>
      <c r="F106" s="365">
        <f t="shared" si="74"/>
        <v>131.12724</v>
      </c>
      <c r="G106" s="363">
        <f t="shared" si="74"/>
        <v>135.06105719999999</v>
      </c>
      <c r="H106" s="364">
        <f t="shared" si="74"/>
        <v>139.11288891599997</v>
      </c>
      <c r="I106" s="365">
        <f t="shared" si="74"/>
        <v>143.28627558347998</v>
      </c>
      <c r="J106" s="363">
        <f t="shared" si="74"/>
        <v>147.58486385098439</v>
      </c>
      <c r="K106" s="364">
        <f t="shared" si="74"/>
        <v>152.01240976651391</v>
      </c>
      <c r="L106" s="364">
        <f t="shared" si="74"/>
        <v>156.57278205950934</v>
      </c>
      <c r="M106" s="365">
        <f t="shared" si="74"/>
        <v>161.26996552129461</v>
      </c>
    </row>
    <row r="107" spans="1:14" ht="14.15" customHeight="1">
      <c r="A107" s="173" t="s">
        <v>13</v>
      </c>
      <c r="B107" s="63"/>
      <c r="C107" s="255">
        <f>C108/SUM($C$108:$M$108)</f>
        <v>0</v>
      </c>
      <c r="D107" s="256">
        <f t="shared" ref="D107:M107" si="75">D108/SUM($C$108:$M$108)</f>
        <v>0.11587399363932656</v>
      </c>
      <c r="E107" s="186">
        <f t="shared" si="75"/>
        <v>0</v>
      </c>
      <c r="F107" s="240">
        <f t="shared" si="75"/>
        <v>0</v>
      </c>
      <c r="G107" s="256">
        <f t="shared" si="75"/>
        <v>6.8438982688486527E-2</v>
      </c>
      <c r="H107" s="186">
        <f t="shared" si="75"/>
        <v>7.8210521720322099E-2</v>
      </c>
      <c r="I107" s="240">
        <f t="shared" si="75"/>
        <v>0.12191548400369989</v>
      </c>
      <c r="J107" s="256">
        <f t="shared" si="75"/>
        <v>0.22808798135393879</v>
      </c>
      <c r="K107" s="186">
        <f t="shared" si="75"/>
        <v>0.26183887769264669</v>
      </c>
      <c r="L107" s="186">
        <f t="shared" si="75"/>
        <v>0.12563415890157953</v>
      </c>
      <c r="M107" s="240">
        <f t="shared" si="75"/>
        <v>0</v>
      </c>
    </row>
    <row r="108" spans="1:14" ht="14.15" customHeight="1">
      <c r="A108" s="173" t="s">
        <v>2</v>
      </c>
      <c r="B108" s="63"/>
      <c r="C108" s="366">
        <v>0</v>
      </c>
      <c r="D108" s="261">
        <f>((SUM(D27,D45,D63,D72,D81)-SUM(C27,C45,C63,C72,C81))*D103)+((D18-C18)*D105)+((D9-C9)*D106)+((SUM(D36,D54,D90,D63)-SUM(C36,C54,C90,C63)*D104))</f>
        <v>6805272.2119999994</v>
      </c>
      <c r="E108" s="230">
        <f t="shared" ref="E108:M108" si="76">((SUM(E27, E45,E54, E72,E90,E81)-SUM(D27,D45,D54,D72,D90,D81))*E103)+((E18-D18)*E105)+((SUM(E9,E36)-SUM(D9, D36))*E106)+((E63-D63)*E104)</f>
        <v>0</v>
      </c>
      <c r="F108" s="233">
        <f t="shared" si="76"/>
        <v>0</v>
      </c>
      <c r="G108" s="261">
        <f t="shared" si="76"/>
        <v>4019417.0622720001</v>
      </c>
      <c r="H108" s="230">
        <f t="shared" si="76"/>
        <v>4593298.9226729451</v>
      </c>
      <c r="I108" s="233">
        <f t="shared" si="76"/>
        <v>7160088.5534795932</v>
      </c>
      <c r="J108" s="261">
        <f t="shared" si="76"/>
        <v>13395592.510866312</v>
      </c>
      <c r="K108" s="230">
        <f t="shared" si="76"/>
        <v>15377780.487392122</v>
      </c>
      <c r="L108" s="230">
        <f t="shared" si="76"/>
        <v>7378486.091643095</v>
      </c>
      <c r="M108" s="233">
        <f t="shared" si="76"/>
        <v>0</v>
      </c>
    </row>
    <row r="109" spans="1:14" ht="13.5" thickBot="1">
      <c r="A109" s="360" t="s">
        <v>3</v>
      </c>
      <c r="B109" s="66"/>
      <c r="C109" s="258">
        <f>C108</f>
        <v>0</v>
      </c>
      <c r="D109" s="259">
        <f t="shared" ref="D109:M109" si="77">D108</f>
        <v>6805272.2119999994</v>
      </c>
      <c r="E109" s="236">
        <f t="shared" si="77"/>
        <v>0</v>
      </c>
      <c r="F109" s="237">
        <f t="shared" si="77"/>
        <v>0</v>
      </c>
      <c r="G109" s="259">
        <f t="shared" si="77"/>
        <v>4019417.0622720001</v>
      </c>
      <c r="H109" s="236">
        <f t="shared" si="77"/>
        <v>4593298.9226729451</v>
      </c>
      <c r="I109" s="237">
        <f t="shared" si="77"/>
        <v>7160088.5534795932</v>
      </c>
      <c r="J109" s="259">
        <f t="shared" si="77"/>
        <v>13395592.510866312</v>
      </c>
      <c r="K109" s="236">
        <f t="shared" si="77"/>
        <v>15377780.487392122</v>
      </c>
      <c r="L109" s="236">
        <f t="shared" si="77"/>
        <v>7378486.091643095</v>
      </c>
      <c r="M109" s="237">
        <f t="shared" si="77"/>
        <v>0</v>
      </c>
    </row>
    <row r="110" spans="1:14" ht="14.15" customHeight="1" thickBot="1">
      <c r="A110" s="198" t="s">
        <v>4</v>
      </c>
      <c r="B110" s="195"/>
      <c r="C110" s="204"/>
      <c r="D110" s="242"/>
      <c r="E110" s="201"/>
      <c r="F110" s="202"/>
      <c r="G110" s="242"/>
      <c r="H110" s="201"/>
      <c r="I110" s="202"/>
      <c r="J110" s="242"/>
      <c r="K110" s="201"/>
      <c r="L110" s="201"/>
      <c r="M110" s="202"/>
    </row>
    <row r="111" spans="1:14" ht="14.15" customHeight="1">
      <c r="A111" s="173" t="s">
        <v>5</v>
      </c>
      <c r="B111" s="63"/>
      <c r="C111" s="138">
        <f t="shared" ref="C111:M111" si="78">C101</f>
        <v>0</v>
      </c>
      <c r="D111" s="257">
        <f t="shared" si="78"/>
        <v>-693302.83649999998</v>
      </c>
      <c r="E111" s="229">
        <f t="shared" si="78"/>
        <v>1271235.3229934997</v>
      </c>
      <c r="F111" s="241">
        <f t="shared" si="78"/>
        <v>1836309.2638442433</v>
      </c>
      <c r="G111" s="257">
        <f t="shared" si="78"/>
        <v>2328996.367087571</v>
      </c>
      <c r="H111" s="229">
        <f t="shared" si="78"/>
        <v>3589382.8411572124</v>
      </c>
      <c r="I111" s="241">
        <f t="shared" si="78"/>
        <v>3600176.2961365134</v>
      </c>
      <c r="J111" s="257">
        <f t="shared" si="78"/>
        <v>5065153.788773058</v>
      </c>
      <c r="K111" s="229">
        <f t="shared" si="78"/>
        <v>7710581.2046776414</v>
      </c>
      <c r="L111" s="229">
        <f t="shared" si="78"/>
        <v>9929587.0844687242</v>
      </c>
      <c r="M111" s="241">
        <f t="shared" si="78"/>
        <v>12135158.122551315</v>
      </c>
    </row>
    <row r="112" spans="1:14" ht="14.15" customHeight="1">
      <c r="A112" s="173" t="s">
        <v>57</v>
      </c>
      <c r="B112" s="101">
        <f>D134</f>
        <v>5.5E-2</v>
      </c>
      <c r="C112" s="143">
        <v>0</v>
      </c>
      <c r="D112" s="247">
        <f>C112</f>
        <v>0</v>
      </c>
      <c r="E112" s="238">
        <f t="shared" ref="E112:L113" si="79">D112</f>
        <v>0</v>
      </c>
      <c r="F112" s="248">
        <f t="shared" si="79"/>
        <v>0</v>
      </c>
      <c r="G112" s="247">
        <f t="shared" si="79"/>
        <v>0</v>
      </c>
      <c r="H112" s="238">
        <f t="shared" si="79"/>
        <v>0</v>
      </c>
      <c r="I112" s="248">
        <f t="shared" si="79"/>
        <v>0</v>
      </c>
      <c r="J112" s="247">
        <f t="shared" si="79"/>
        <v>0</v>
      </c>
      <c r="K112" s="238">
        <f t="shared" si="79"/>
        <v>0</v>
      </c>
      <c r="L112" s="238">
        <f t="shared" si="79"/>
        <v>0</v>
      </c>
      <c r="M112" s="248">
        <f>M111/B112</f>
        <v>220639238.59184209</v>
      </c>
    </row>
    <row r="113" spans="1:13" ht="14.15" customHeight="1">
      <c r="A113" s="173" t="s">
        <v>58</v>
      </c>
      <c r="B113" s="101">
        <f>D135</f>
        <v>0.03</v>
      </c>
      <c r="C113" s="143">
        <v>0</v>
      </c>
      <c r="D113" s="247">
        <f>C113</f>
        <v>0</v>
      </c>
      <c r="E113" s="238">
        <f t="shared" si="79"/>
        <v>0</v>
      </c>
      <c r="F113" s="248">
        <f t="shared" si="79"/>
        <v>0</v>
      </c>
      <c r="G113" s="247">
        <f t="shared" si="79"/>
        <v>0</v>
      </c>
      <c r="H113" s="238">
        <f t="shared" si="79"/>
        <v>0</v>
      </c>
      <c r="I113" s="248">
        <f t="shared" si="79"/>
        <v>0</v>
      </c>
      <c r="J113" s="247">
        <f t="shared" si="79"/>
        <v>0</v>
      </c>
      <c r="K113" s="238">
        <f t="shared" si="79"/>
        <v>0</v>
      </c>
      <c r="L113" s="238">
        <f t="shared" si="79"/>
        <v>0</v>
      </c>
      <c r="M113" s="248">
        <f>M112*-B113</f>
        <v>-6619177.1577552622</v>
      </c>
    </row>
    <row r="114" spans="1:13">
      <c r="A114" s="234" t="s">
        <v>109</v>
      </c>
      <c r="B114" s="296"/>
      <c r="C114" s="262">
        <f>-C109</f>
        <v>0</v>
      </c>
      <c r="D114" s="263">
        <f t="shared" ref="D114:M114" si="80">-D109</f>
        <v>-6805272.2119999994</v>
      </c>
      <c r="E114" s="232">
        <f t="shared" si="80"/>
        <v>0</v>
      </c>
      <c r="F114" s="235">
        <f t="shared" si="80"/>
        <v>0</v>
      </c>
      <c r="G114" s="263">
        <f t="shared" si="80"/>
        <v>-4019417.0622720001</v>
      </c>
      <c r="H114" s="232">
        <f t="shared" si="80"/>
        <v>-4593298.9226729451</v>
      </c>
      <c r="I114" s="235">
        <f t="shared" si="80"/>
        <v>-7160088.5534795932</v>
      </c>
      <c r="J114" s="263">
        <f t="shared" si="80"/>
        <v>-13395592.510866312</v>
      </c>
      <c r="K114" s="232">
        <f t="shared" si="80"/>
        <v>-15377780.487392122</v>
      </c>
      <c r="L114" s="232">
        <f t="shared" si="80"/>
        <v>-7378486.091643095</v>
      </c>
      <c r="M114" s="235">
        <f t="shared" si="80"/>
        <v>0</v>
      </c>
    </row>
    <row r="115" spans="1:13" ht="13.5" thickBot="1">
      <c r="A115" s="360" t="s">
        <v>6</v>
      </c>
      <c r="B115" s="112"/>
      <c r="C115" s="258">
        <f>SUM(C111:C114)</f>
        <v>0</v>
      </c>
      <c r="D115" s="259">
        <f t="shared" ref="D115:M115" si="81">SUM(D111:D114)</f>
        <v>-7498575.0484999996</v>
      </c>
      <c r="E115" s="236">
        <f t="shared" si="81"/>
        <v>1271235.3229934997</v>
      </c>
      <c r="F115" s="237">
        <f t="shared" si="81"/>
        <v>1836309.2638442433</v>
      </c>
      <c r="G115" s="259">
        <f t="shared" si="81"/>
        <v>-1690420.6951844292</v>
      </c>
      <c r="H115" s="236">
        <f t="shared" si="81"/>
        <v>-1003916.0815157327</v>
      </c>
      <c r="I115" s="237">
        <f t="shared" si="81"/>
        <v>-3559912.2573430799</v>
      </c>
      <c r="J115" s="259">
        <f t="shared" si="81"/>
        <v>-8330438.7220932543</v>
      </c>
      <c r="K115" s="236">
        <f t="shared" si="81"/>
        <v>-7667199.2827144805</v>
      </c>
      <c r="L115" s="236">
        <f t="shared" si="81"/>
        <v>2551100.9928256292</v>
      </c>
      <c r="M115" s="237">
        <f t="shared" si="81"/>
        <v>226155219.55663815</v>
      </c>
    </row>
    <row r="116" spans="1:13" ht="13.5" thickBot="1">
      <c r="A116" s="109" t="s">
        <v>26</v>
      </c>
      <c r="B116" s="98"/>
      <c r="C116" s="354">
        <f>C115+NPV(D136,D115:M115)</f>
        <v>79935904.298909068</v>
      </c>
      <c r="D116" s="351"/>
      <c r="E116" s="352"/>
      <c r="F116" s="353"/>
      <c r="G116" s="351"/>
      <c r="H116" s="352"/>
      <c r="I116" s="353"/>
      <c r="J116" s="100"/>
      <c r="K116" s="100"/>
      <c r="L116" s="100"/>
      <c r="M116" s="188"/>
    </row>
    <row r="117" spans="1:13" ht="13.5" thickBot="1">
      <c r="A117" s="80" t="s">
        <v>59</v>
      </c>
      <c r="B117" s="153"/>
      <c r="C117" s="269">
        <f>IRR(C115:M115,0)</f>
        <v>0.43991955314085218</v>
      </c>
      <c r="D117" s="251"/>
      <c r="E117" s="153"/>
      <c r="F117" s="172"/>
      <c r="G117" s="251"/>
      <c r="H117" s="153"/>
      <c r="I117" s="172"/>
      <c r="J117" s="153"/>
      <c r="K117" s="153"/>
      <c r="L117" s="153"/>
      <c r="M117" s="172"/>
    </row>
    <row r="118" spans="1:13" ht="13.5" thickBot="1">
      <c r="A118" s="355"/>
      <c r="B118" s="63"/>
      <c r="C118" s="368"/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13.5" thickBot="1">
      <c r="A119" s="183" t="s">
        <v>101</v>
      </c>
      <c r="B119" s="158"/>
      <c r="C119" s="158"/>
      <c r="D119" s="182"/>
      <c r="E119" s="38"/>
      <c r="F119" s="38"/>
      <c r="G119" s="325"/>
      <c r="H119" s="38"/>
      <c r="I119" s="38"/>
      <c r="J119" s="38"/>
      <c r="K119" s="38"/>
      <c r="L119" s="38"/>
      <c r="M119" s="38"/>
    </row>
    <row r="120" spans="1:13" ht="13.5" thickBot="1">
      <c r="A120" s="78"/>
      <c r="B120" s="153"/>
      <c r="C120" s="83" t="s">
        <v>120</v>
      </c>
      <c r="D120" s="84" t="s">
        <v>121</v>
      </c>
      <c r="E120" s="38"/>
      <c r="F120" s="38"/>
      <c r="G120" s="38"/>
      <c r="H120" s="38"/>
      <c r="I120" s="38"/>
      <c r="J120" s="38"/>
      <c r="K120" s="38"/>
      <c r="L120" s="38"/>
      <c r="M120" s="38"/>
    </row>
    <row r="121" spans="1:13">
      <c r="A121" s="62" t="s">
        <v>515</v>
      </c>
      <c r="B121" s="63"/>
      <c r="C121" s="317">
        <f>'Development Schedule'!C12</f>
        <v>28518.6</v>
      </c>
      <c r="D121" s="189">
        <f>C121*$B$10</f>
        <v>27092.67</v>
      </c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1:13">
      <c r="A122" s="62" t="s">
        <v>516</v>
      </c>
      <c r="B122" s="63"/>
      <c r="C122" s="317">
        <f>'Development Schedule'!C14</f>
        <v>19757</v>
      </c>
      <c r="D122" s="189">
        <f>C122*$B$19</f>
        <v>17781.3</v>
      </c>
      <c r="E122" s="38"/>
      <c r="F122" s="38"/>
      <c r="G122" s="38"/>
      <c r="H122" s="38"/>
      <c r="I122" s="38"/>
      <c r="J122" s="38"/>
      <c r="K122" s="38"/>
      <c r="L122" s="38"/>
      <c r="M122" s="38"/>
    </row>
    <row r="123" spans="1:13">
      <c r="A123" s="62" t="s">
        <v>536</v>
      </c>
      <c r="B123" s="63"/>
      <c r="C123" s="317">
        <f>'Development Schedule'!C13</f>
        <v>18000</v>
      </c>
      <c r="D123" s="189">
        <f>C123*$B$28</f>
        <v>16200</v>
      </c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1:13">
      <c r="A124" s="62" t="s">
        <v>537</v>
      </c>
      <c r="B124" s="63"/>
      <c r="C124" s="317">
        <f>'Development Schedule'!C15</f>
        <v>33018.5</v>
      </c>
      <c r="D124" s="189">
        <f>C124*$B$37</f>
        <v>29716.65</v>
      </c>
      <c r="E124" s="38"/>
      <c r="F124" s="38"/>
      <c r="G124" s="38"/>
      <c r="H124" s="38"/>
      <c r="I124" s="38"/>
      <c r="J124" s="38"/>
      <c r="K124" s="38"/>
      <c r="L124" s="38"/>
      <c r="M124" s="38"/>
    </row>
    <row r="125" spans="1:13">
      <c r="A125" s="62" t="s">
        <v>514</v>
      </c>
      <c r="B125" s="63"/>
      <c r="C125" s="317">
        <f>'Development Schedule'!C26</f>
        <v>30224.1</v>
      </c>
      <c r="D125" s="189">
        <f>C125*$B$46</f>
        <v>27201.69</v>
      </c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1:13">
      <c r="A126" s="62" t="s">
        <v>127</v>
      </c>
      <c r="B126" s="63"/>
      <c r="C126" s="317">
        <f>'Development Schedule'!C29</f>
        <v>26406.799999999999</v>
      </c>
      <c r="D126" s="189">
        <f>C126*$B$55</f>
        <v>23766.12</v>
      </c>
      <c r="E126" s="38"/>
      <c r="F126" s="38"/>
      <c r="G126" s="38"/>
      <c r="H126" s="38"/>
      <c r="I126" s="38"/>
      <c r="J126" s="38"/>
      <c r="K126" s="38"/>
      <c r="L126" s="38"/>
      <c r="M126" s="38"/>
    </row>
    <row r="127" spans="1:13">
      <c r="A127" s="62" t="s">
        <v>126</v>
      </c>
      <c r="B127" s="63"/>
      <c r="C127" s="317">
        <f>'Development Schedule'!C39</f>
        <v>16000</v>
      </c>
      <c r="D127" s="189">
        <f>C127*$B$64</f>
        <v>14400</v>
      </c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1:13">
      <c r="A128" s="62" t="s">
        <v>126</v>
      </c>
      <c r="B128" s="63"/>
      <c r="C128" s="317">
        <f>'Development Schedule'!C40</f>
        <v>28503</v>
      </c>
      <c r="D128" s="189">
        <f>C128*$B$73</f>
        <v>25652.7</v>
      </c>
      <c r="E128" s="38"/>
      <c r="F128" s="38"/>
      <c r="G128" s="38"/>
      <c r="H128" s="38"/>
      <c r="I128" s="38"/>
      <c r="J128" s="38"/>
      <c r="K128" s="38"/>
      <c r="L128" s="38"/>
      <c r="M128" s="38"/>
    </row>
    <row r="129" spans="1:13">
      <c r="A129" s="62" t="s">
        <v>126</v>
      </c>
      <c r="B129" s="63"/>
      <c r="C129" s="317">
        <f>'Development Schedule'!C43</f>
        <v>34898.400000000001</v>
      </c>
      <c r="D129" s="189">
        <f>C129*$B$82</f>
        <v>31408.560000000001</v>
      </c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1:13" ht="13" thickBot="1">
      <c r="A130" s="65" t="s">
        <v>125</v>
      </c>
      <c r="B130" s="66"/>
      <c r="C130" s="848">
        <f>'Development Schedule'!C44</f>
        <v>34779.5</v>
      </c>
      <c r="D130" s="271">
        <f>C130*$B$91</f>
        <v>31301.55</v>
      </c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1:13" ht="13" thickBot="1">
      <c r="A131" s="38"/>
      <c r="B131" s="56"/>
      <c r="C131" s="56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1:13" ht="13.5" thickBot="1">
      <c r="A132" s="183" t="s">
        <v>110</v>
      </c>
      <c r="B132" s="253"/>
      <c r="C132" s="253"/>
      <c r="D132" s="254"/>
      <c r="E132" s="38"/>
      <c r="F132" s="38"/>
      <c r="G132" s="38"/>
      <c r="H132" s="38"/>
      <c r="I132" s="38"/>
      <c r="J132" s="38"/>
      <c r="K132" s="38"/>
      <c r="L132" s="38"/>
      <c r="M132" s="38"/>
    </row>
    <row r="133" spans="1:13">
      <c r="A133" s="62" t="s">
        <v>122</v>
      </c>
      <c r="B133" s="63"/>
      <c r="C133" s="63"/>
      <c r="D133" s="889">
        <v>15</v>
      </c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1:13">
      <c r="A134" s="62" t="s">
        <v>111</v>
      </c>
      <c r="B134" s="63"/>
      <c r="C134" s="63"/>
      <c r="D134" s="345">
        <v>5.5E-2</v>
      </c>
      <c r="E134" s="38"/>
      <c r="F134" s="38"/>
      <c r="G134" s="38"/>
      <c r="H134" s="38"/>
      <c r="I134" s="38"/>
      <c r="J134" s="38"/>
      <c r="K134" s="38"/>
      <c r="L134" s="38"/>
      <c r="M134" s="38"/>
    </row>
    <row r="135" spans="1:13">
      <c r="A135" s="62" t="s">
        <v>112</v>
      </c>
      <c r="B135" s="63"/>
      <c r="C135" s="63"/>
      <c r="D135" s="345">
        <v>0.03</v>
      </c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1:13" ht="13" thickBot="1">
      <c r="A136" s="65" t="s">
        <v>97</v>
      </c>
      <c r="B136" s="66"/>
      <c r="C136" s="66"/>
      <c r="D136" s="125">
        <v>0.09</v>
      </c>
      <c r="E136" s="38"/>
      <c r="F136" s="38"/>
      <c r="G136" s="38"/>
      <c r="H136" s="38"/>
      <c r="I136" s="38"/>
      <c r="J136" s="38"/>
      <c r="K136" s="38"/>
      <c r="L136" s="38"/>
      <c r="M136" s="38"/>
    </row>
    <row r="137" spans="1:13">
      <c r="A137" s="38"/>
      <c r="B137" s="56"/>
      <c r="C137" s="56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1:13">
      <c r="A138" s="38"/>
      <c r="B138" s="56"/>
      <c r="C138" s="56"/>
      <c r="D138" s="38"/>
      <c r="E138" s="38"/>
      <c r="F138" s="38"/>
      <c r="G138" s="38"/>
      <c r="H138" s="38"/>
      <c r="I138" s="38"/>
      <c r="J138" s="38"/>
      <c r="K138" s="38"/>
      <c r="L138" s="38"/>
      <c r="M138" s="38"/>
    </row>
    <row r="139" spans="1:13">
      <c r="A139" s="38"/>
      <c r="B139" s="56"/>
      <c r="C139" s="56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1:13">
      <c r="A140" s="38"/>
      <c r="B140" s="56"/>
      <c r="C140" s="56"/>
      <c r="D140" s="38"/>
      <c r="E140" s="38"/>
      <c r="F140" s="38"/>
      <c r="G140" s="38"/>
      <c r="H140" s="38"/>
      <c r="I140" s="38"/>
      <c r="J140" s="38"/>
      <c r="K140" s="38"/>
      <c r="L140" s="38"/>
      <c r="M140" s="38"/>
    </row>
    <row r="141" spans="1:13">
      <c r="A141" s="38"/>
      <c r="B141" s="56"/>
      <c r="C141" s="56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</sheetData>
  <phoneticPr fontId="4" type="noConversion"/>
  <printOptions horizontalCentered="1"/>
  <pageMargins left="0.5" right="0.5" top="1" bottom="0.5" header="0.5" footer="0.5"/>
  <pageSetup scale="51" fitToHeight="2" orientation="landscape" r:id="rId1"/>
  <headerFooter alignWithMargins="0">
    <oddHeader>&amp;L&amp;"Arial,Bold"6. Income Statement: Retail</oddHeader>
  </headerFooter>
  <rowBreaks count="1" manualBreakCount="1">
    <brk id="93" max="12" man="1"/>
  </rowBreaks>
  <ignoredErrors>
    <ignoredError sqref="F10 G10:M10 G19:M19 G28:M28 D37:M37 D46:M46 D55:M55 D64:M64 D73:M73 D82:M82 D91:M9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8"/>
  <sheetViews>
    <sheetView view="pageBreakPreview" zoomScale="85" zoomScaleNormal="100" zoomScaleSheetLayoutView="85" workbookViewId="0">
      <selection activeCell="N5" sqref="N1:N5"/>
    </sheetView>
  </sheetViews>
  <sheetFormatPr defaultColWidth="9.1796875" defaultRowHeight="12.5"/>
  <cols>
    <col min="1" max="1" width="28.08984375" style="89" customWidth="1"/>
    <col min="2" max="2" width="12.7265625" style="90" customWidth="1"/>
    <col min="3" max="3" width="13.7265625" style="90" customWidth="1"/>
    <col min="4" max="13" width="13.7265625" style="89" customWidth="1"/>
    <col min="14" max="14" width="14.26953125" style="38" bestFit="1" customWidth="1"/>
    <col min="15" max="16384" width="9.1796875" style="89"/>
  </cols>
  <sheetData>
    <row r="1" spans="1:14" ht="14.15" customHeight="1" thickBot="1">
      <c r="A1" s="38"/>
      <c r="B1" s="56"/>
      <c r="C1" s="56"/>
      <c r="D1" s="38"/>
      <c r="E1" s="38"/>
      <c r="F1" s="38"/>
      <c r="G1" s="38"/>
      <c r="H1" s="38"/>
      <c r="I1" s="38"/>
      <c r="J1" s="38"/>
      <c r="K1" s="38"/>
      <c r="L1" s="135" t="s">
        <v>98</v>
      </c>
      <c r="M1" s="319">
        <f>'1.Infrastructure Costs'!$N$1</f>
        <v>202</v>
      </c>
    </row>
    <row r="2" spans="1:14" ht="14.15" customHeight="1" thickBot="1">
      <c r="A2" s="38"/>
      <c r="B2" s="56"/>
      <c r="C2" s="56"/>
      <c r="D2" s="38"/>
      <c r="E2" s="38"/>
      <c r="F2" s="38"/>
      <c r="G2" s="38"/>
      <c r="H2" s="38"/>
      <c r="I2" s="38"/>
      <c r="J2" s="38"/>
      <c r="K2" s="38"/>
      <c r="L2" s="337"/>
      <c r="M2" s="338"/>
    </row>
    <row r="3" spans="1:14" ht="14.15" customHeight="1" thickBot="1">
      <c r="A3" s="123"/>
      <c r="B3" s="203"/>
      <c r="C3" s="129" t="s">
        <v>55</v>
      </c>
      <c r="D3" s="96" t="s">
        <v>36</v>
      </c>
      <c r="E3" s="97"/>
      <c r="F3" s="41"/>
      <c r="G3" s="96" t="s">
        <v>77</v>
      </c>
      <c r="H3" s="144"/>
      <c r="I3" s="41"/>
      <c r="J3" s="39" t="s">
        <v>78</v>
      </c>
      <c r="K3" s="39"/>
      <c r="L3" s="40"/>
      <c r="M3" s="41"/>
    </row>
    <row r="4" spans="1:14" ht="14.15" customHeight="1" thickBot="1">
      <c r="A4" s="62"/>
      <c r="B4" s="63"/>
      <c r="C4" s="137">
        <v>0</v>
      </c>
      <c r="D4" s="44">
        <f>C4+1</f>
        <v>1</v>
      </c>
      <c r="E4" s="43">
        <f t="shared" ref="E4:M5" si="0">D4+1</f>
        <v>2</v>
      </c>
      <c r="F4" s="45">
        <f t="shared" si="0"/>
        <v>3</v>
      </c>
      <c r="G4" s="94">
        <f t="shared" si="0"/>
        <v>4</v>
      </c>
      <c r="H4" s="136">
        <f t="shared" si="0"/>
        <v>5</v>
      </c>
      <c r="I4" s="95">
        <f t="shared" si="0"/>
        <v>6</v>
      </c>
      <c r="J4" s="93">
        <f t="shared" si="0"/>
        <v>7</v>
      </c>
      <c r="K4" s="93">
        <f t="shared" si="0"/>
        <v>8</v>
      </c>
      <c r="L4" s="93">
        <f t="shared" si="0"/>
        <v>9</v>
      </c>
      <c r="M4" s="95">
        <f t="shared" si="0"/>
        <v>10</v>
      </c>
    </row>
    <row r="5" spans="1:14" ht="14.15" customHeight="1" thickBot="1">
      <c r="A5" s="65"/>
      <c r="B5" s="136"/>
      <c r="C5" s="137" t="s">
        <v>379</v>
      </c>
      <c r="D5" s="276">
        <v>2022</v>
      </c>
      <c r="E5" s="93">
        <f>D5+1</f>
        <v>2023</v>
      </c>
      <c r="F5" s="95">
        <f t="shared" si="0"/>
        <v>2024</v>
      </c>
      <c r="G5" s="94">
        <f t="shared" si="0"/>
        <v>2025</v>
      </c>
      <c r="H5" s="93">
        <f t="shared" si="0"/>
        <v>2026</v>
      </c>
      <c r="I5" s="95">
        <f t="shared" si="0"/>
        <v>2027</v>
      </c>
      <c r="J5" s="93">
        <f t="shared" si="0"/>
        <v>2028</v>
      </c>
      <c r="K5" s="93">
        <f t="shared" si="0"/>
        <v>2029</v>
      </c>
      <c r="L5" s="93">
        <f>K5+1</f>
        <v>2030</v>
      </c>
      <c r="M5" s="95">
        <f>L5+1</f>
        <v>2031</v>
      </c>
    </row>
    <row r="6" spans="1:14" ht="18" customHeight="1" thickBot="1">
      <c r="A6" s="198" t="s">
        <v>10</v>
      </c>
      <c r="B6" s="195"/>
      <c r="C6" s="204"/>
      <c r="D6" s="207"/>
      <c r="E6" s="196"/>
      <c r="F6" s="197"/>
      <c r="G6" s="207"/>
      <c r="H6" s="196"/>
      <c r="I6" s="197"/>
      <c r="J6" s="196"/>
      <c r="K6" s="196"/>
      <c r="L6" s="196"/>
      <c r="M6" s="197"/>
      <c r="N6" s="89"/>
    </row>
    <row r="7" spans="1:14" s="38" customFormat="1" ht="14.15" customHeight="1">
      <c r="A7" s="173" t="s">
        <v>11</v>
      </c>
      <c r="B7" s="122">
        <v>0.03</v>
      </c>
      <c r="C7" s="130"/>
      <c r="D7" s="133"/>
      <c r="E7" s="99"/>
      <c r="F7" s="104"/>
      <c r="G7" s="133"/>
      <c r="H7" s="99"/>
      <c r="I7" s="104"/>
      <c r="J7" s="99"/>
      <c r="K7" s="99"/>
      <c r="L7" s="99"/>
      <c r="M7" s="104"/>
    </row>
    <row r="8" spans="1:14" s="38" customFormat="1" ht="14.15" customHeight="1">
      <c r="A8" s="173" t="s">
        <v>45</v>
      </c>
      <c r="B8" s="63"/>
      <c r="C8" s="833">
        <f>'Development Schedule'!D45/$B$32</f>
        <v>0</v>
      </c>
      <c r="D8" s="208">
        <f>'Development Schedule'!E45/$B$32</f>
        <v>0</v>
      </c>
      <c r="E8" s="185">
        <f>'Development Schedule'!F45/$B$32</f>
        <v>0</v>
      </c>
      <c r="F8" s="834">
        <f>'Development Schedule'!G45/$B$32</f>
        <v>0</v>
      </c>
      <c r="G8" s="835">
        <f>'Development Schedule'!H45/$B$32</f>
        <v>0</v>
      </c>
      <c r="H8" s="836">
        <f>'Development Schedule'!I45/$B$32</f>
        <v>0</v>
      </c>
      <c r="I8" s="834">
        <f>'Development Schedule'!J45/$B$32</f>
        <v>0</v>
      </c>
      <c r="J8" s="836">
        <f>'Development Schedule'!K45/$B$32</f>
        <v>0</v>
      </c>
      <c r="K8" s="185">
        <f>'Development Schedule'!L45/$B$32</f>
        <v>233.14599999999996</v>
      </c>
      <c r="L8" s="185">
        <f>'Development Schedule'!M45/$B$32</f>
        <v>116.57299999999998</v>
      </c>
      <c r="M8" s="834">
        <f>'Development Schedule'!N45/$B$32</f>
        <v>0</v>
      </c>
    </row>
    <row r="9" spans="1:14" s="38" customFormat="1" ht="14.15" customHeight="1">
      <c r="A9" s="173" t="s">
        <v>44</v>
      </c>
      <c r="B9" s="98"/>
      <c r="C9" s="359">
        <v>1</v>
      </c>
      <c r="D9" s="218">
        <f>C9</f>
        <v>1</v>
      </c>
      <c r="E9" s="122">
        <v>1</v>
      </c>
      <c r="F9" s="216">
        <v>1</v>
      </c>
      <c r="G9" s="218">
        <f>F9</f>
        <v>1</v>
      </c>
      <c r="H9" s="122">
        <f t="shared" ref="H9:L9" si="1">G9</f>
        <v>1</v>
      </c>
      <c r="I9" s="216">
        <f t="shared" si="1"/>
        <v>1</v>
      </c>
      <c r="J9" s="122">
        <f t="shared" si="1"/>
        <v>1</v>
      </c>
      <c r="K9" s="122">
        <f t="shared" si="1"/>
        <v>1</v>
      </c>
      <c r="L9" s="122">
        <f t="shared" si="1"/>
        <v>1</v>
      </c>
      <c r="M9" s="216">
        <v>0.55000000000000004</v>
      </c>
    </row>
    <row r="10" spans="1:14" s="38" customFormat="1" ht="14.15" customHeight="1">
      <c r="A10" s="173" t="s">
        <v>40</v>
      </c>
      <c r="B10" s="98"/>
      <c r="C10" s="132">
        <f>1-C9</f>
        <v>0</v>
      </c>
      <c r="D10" s="264">
        <f t="shared" ref="D10:M10" si="2">1-D9</f>
        <v>0</v>
      </c>
      <c r="E10" s="101">
        <f t="shared" si="2"/>
        <v>0</v>
      </c>
      <c r="F10" s="219">
        <f t="shared" si="2"/>
        <v>0</v>
      </c>
      <c r="G10" s="264">
        <f t="shared" si="2"/>
        <v>0</v>
      </c>
      <c r="H10" s="101">
        <f t="shared" si="2"/>
        <v>0</v>
      </c>
      <c r="I10" s="219">
        <f t="shared" si="2"/>
        <v>0</v>
      </c>
      <c r="J10" s="101">
        <f t="shared" si="2"/>
        <v>0</v>
      </c>
      <c r="K10" s="101">
        <f t="shared" si="2"/>
        <v>0</v>
      </c>
      <c r="L10" s="101">
        <f t="shared" si="2"/>
        <v>0</v>
      </c>
      <c r="M10" s="219">
        <f t="shared" si="2"/>
        <v>0.44999999999999996</v>
      </c>
    </row>
    <row r="11" spans="1:14" s="38" customFormat="1" ht="14.15" customHeight="1" thickBot="1">
      <c r="A11" s="173" t="s">
        <v>46</v>
      </c>
      <c r="B11" s="63"/>
      <c r="C11" s="220">
        <v>250</v>
      </c>
      <c r="D11" s="212">
        <f>$C$11*(1+$B$7)^D4</f>
        <v>257.5</v>
      </c>
      <c r="E11" s="199">
        <f t="shared" ref="E11:M11" si="3">$C$11*(1+$B$7)^E4</f>
        <v>265.22499999999997</v>
      </c>
      <c r="F11" s="200">
        <f t="shared" si="3"/>
        <v>273.18175000000002</v>
      </c>
      <c r="G11" s="212">
        <f t="shared" si="3"/>
        <v>281.37720249999995</v>
      </c>
      <c r="H11" s="199">
        <f t="shared" si="3"/>
        <v>289.81851857499998</v>
      </c>
      <c r="I11" s="200">
        <f t="shared" si="3"/>
        <v>298.51307413224998</v>
      </c>
      <c r="J11" s="199">
        <f t="shared" si="3"/>
        <v>307.4684663562175</v>
      </c>
      <c r="K11" s="199">
        <f t="shared" si="3"/>
        <v>316.69252034690396</v>
      </c>
      <c r="L11" s="199">
        <f t="shared" si="3"/>
        <v>326.19329595731114</v>
      </c>
      <c r="M11" s="200">
        <f t="shared" si="3"/>
        <v>335.97909483603047</v>
      </c>
    </row>
    <row r="12" spans="1:14" s="38" customFormat="1" ht="13.5" thickBot="1">
      <c r="A12" s="80" t="s">
        <v>0</v>
      </c>
      <c r="B12" s="153"/>
      <c r="C12" s="837"/>
      <c r="D12" s="838"/>
      <c r="E12" s="839"/>
      <c r="F12" s="840"/>
      <c r="G12" s="838"/>
      <c r="H12" s="839"/>
      <c r="I12" s="840"/>
      <c r="J12" s="839"/>
      <c r="K12" s="839"/>
      <c r="L12" s="839"/>
      <c r="M12" s="840"/>
    </row>
    <row r="13" spans="1:14" s="38" customFormat="1" ht="14.15" customHeight="1">
      <c r="A13" s="173" t="s">
        <v>17</v>
      </c>
      <c r="B13" s="63"/>
      <c r="C13" s="260">
        <f>SUM($C$8:C8)*C10*C11*365</f>
        <v>0</v>
      </c>
      <c r="D13" s="244">
        <f>SUM($C$8:D8)*D10*D11*365</f>
        <v>0</v>
      </c>
      <c r="E13" s="245">
        <f>SUM($C$8:E8)*E10*E11*365</f>
        <v>0</v>
      </c>
      <c r="F13" s="246">
        <f>SUM($C$8:F8)*F10*F11*365</f>
        <v>0</v>
      </c>
      <c r="G13" s="244">
        <f>SUM($C$8:G8)*G10*G11*365</f>
        <v>0</v>
      </c>
      <c r="H13" s="245">
        <f>SUM($C$8:H8)*H10*H11*365</f>
        <v>0</v>
      </c>
      <c r="I13" s="246">
        <f>SUM($C$8:I8)*I10*I11*365</f>
        <v>0</v>
      </c>
      <c r="J13" s="230">
        <f>SUM($C$8:J8)*J10*J11*365</f>
        <v>0</v>
      </c>
      <c r="K13" s="230">
        <f>SUM($C$8:K8)*K10*K11*365</f>
        <v>0</v>
      </c>
      <c r="L13" s="230">
        <f>SUM($C$8:L8)*L10*L11*365</f>
        <v>0</v>
      </c>
      <c r="M13" s="233">
        <f>SUM($C$8:M8)*M10*M11*365</f>
        <v>19299091.351248462</v>
      </c>
      <c r="N13" s="325"/>
    </row>
    <row r="14" spans="1:14" s="841" customFormat="1" ht="14.15" customHeight="1">
      <c r="A14" s="234" t="s">
        <v>594</v>
      </c>
      <c r="B14" s="917">
        <v>0.65</v>
      </c>
      <c r="C14" s="262">
        <f>C13*-$B$14</f>
        <v>0</v>
      </c>
      <c r="D14" s="263">
        <f t="shared" ref="D14:M14" si="4">D13*-$B$14</f>
        <v>0</v>
      </c>
      <c r="E14" s="232">
        <f t="shared" si="4"/>
        <v>0</v>
      </c>
      <c r="F14" s="235">
        <f t="shared" si="4"/>
        <v>0</v>
      </c>
      <c r="G14" s="263">
        <f t="shared" si="4"/>
        <v>0</v>
      </c>
      <c r="H14" s="232">
        <f t="shared" si="4"/>
        <v>0</v>
      </c>
      <c r="I14" s="235">
        <f t="shared" si="4"/>
        <v>0</v>
      </c>
      <c r="J14" s="232">
        <f t="shared" si="4"/>
        <v>0</v>
      </c>
      <c r="K14" s="232">
        <f t="shared" si="4"/>
        <v>0</v>
      </c>
      <c r="L14" s="232">
        <f t="shared" si="4"/>
        <v>0</v>
      </c>
      <c r="M14" s="235">
        <f t="shared" si="4"/>
        <v>-12544409.3783115</v>
      </c>
    </row>
    <row r="15" spans="1:14" s="841" customFormat="1" ht="14.15" customHeight="1" thickBot="1">
      <c r="A15" s="815" t="s">
        <v>5</v>
      </c>
      <c r="B15" s="66"/>
      <c r="C15" s="258">
        <f>SUM(C13:C14)</f>
        <v>0</v>
      </c>
      <c r="D15" s="259">
        <f t="shared" ref="D15:M15" si="5">SUM(D13:D14)</f>
        <v>0</v>
      </c>
      <c r="E15" s="236">
        <f t="shared" si="5"/>
        <v>0</v>
      </c>
      <c r="F15" s="237">
        <f t="shared" si="5"/>
        <v>0</v>
      </c>
      <c r="G15" s="259">
        <f t="shared" si="5"/>
        <v>0</v>
      </c>
      <c r="H15" s="236">
        <f t="shared" si="5"/>
        <v>0</v>
      </c>
      <c r="I15" s="237">
        <f t="shared" si="5"/>
        <v>0</v>
      </c>
      <c r="J15" s="236">
        <f t="shared" si="5"/>
        <v>0</v>
      </c>
      <c r="K15" s="236">
        <f t="shared" si="5"/>
        <v>0</v>
      </c>
      <c r="L15" s="236">
        <f t="shared" si="5"/>
        <v>0</v>
      </c>
      <c r="M15" s="237">
        <f t="shared" si="5"/>
        <v>6754681.9729369618</v>
      </c>
    </row>
    <row r="16" spans="1:14" s="38" customFormat="1" ht="13.5" thickBot="1">
      <c r="A16" s="80" t="s">
        <v>2</v>
      </c>
      <c r="B16" s="153"/>
      <c r="C16" s="837"/>
      <c r="D16" s="838"/>
      <c r="E16" s="839"/>
      <c r="F16" s="840"/>
      <c r="G16" s="838"/>
      <c r="H16" s="839"/>
      <c r="I16" s="840"/>
      <c r="J16" s="838"/>
      <c r="K16" s="839"/>
      <c r="L16" s="839"/>
      <c r="M16" s="840"/>
    </row>
    <row r="17" spans="1:14" s="38" customFormat="1" ht="14.15" customHeight="1">
      <c r="A17" s="173" t="s">
        <v>108</v>
      </c>
      <c r="B17" s="63"/>
      <c r="C17" s="220">
        <f>'Development Costs'!E18</f>
        <v>500.96000000000004</v>
      </c>
      <c r="D17" s="212">
        <f>$C$17*(1+$B$7)^D4</f>
        <v>515.98880000000008</v>
      </c>
      <c r="E17" s="199">
        <f t="shared" ref="E17:M17" si="6">$C$17*(1+$B$7)^E4</f>
        <v>531.46846400000004</v>
      </c>
      <c r="F17" s="200">
        <f t="shared" si="6"/>
        <v>547.41251792000003</v>
      </c>
      <c r="G17" s="212">
        <f t="shared" si="6"/>
        <v>563.83489345759995</v>
      </c>
      <c r="H17" s="199">
        <f t="shared" si="6"/>
        <v>580.74994026132799</v>
      </c>
      <c r="I17" s="200">
        <f t="shared" si="6"/>
        <v>598.17243846916779</v>
      </c>
      <c r="J17" s="212">
        <f t="shared" si="6"/>
        <v>616.11761162324296</v>
      </c>
      <c r="K17" s="199">
        <f t="shared" si="6"/>
        <v>634.60113997194014</v>
      </c>
      <c r="L17" s="199">
        <f t="shared" si="6"/>
        <v>653.63917417109838</v>
      </c>
      <c r="M17" s="200">
        <f t="shared" si="6"/>
        <v>673.24834939623133</v>
      </c>
    </row>
    <row r="18" spans="1:14" s="38" customFormat="1" ht="14.15" customHeight="1">
      <c r="A18" s="173" t="s">
        <v>13</v>
      </c>
      <c r="B18" s="63"/>
      <c r="C18" s="255">
        <f>C19/SUM($C$19:$M$19)</f>
        <v>0</v>
      </c>
      <c r="D18" s="256">
        <f t="shared" ref="D18:M18" si="7">D19/SUM($C$19:$M$19)</f>
        <v>0</v>
      </c>
      <c r="E18" s="186">
        <f t="shared" si="7"/>
        <v>0</v>
      </c>
      <c r="F18" s="240">
        <f t="shared" si="7"/>
        <v>0</v>
      </c>
      <c r="G18" s="256">
        <f t="shared" si="7"/>
        <v>0</v>
      </c>
      <c r="H18" s="186">
        <f t="shared" si="7"/>
        <v>0</v>
      </c>
      <c r="I18" s="240">
        <f t="shared" si="7"/>
        <v>0</v>
      </c>
      <c r="J18" s="256">
        <f t="shared" si="7"/>
        <v>0</v>
      </c>
      <c r="K18" s="186">
        <f t="shared" si="7"/>
        <v>0.66006600660066006</v>
      </c>
      <c r="L18" s="186">
        <f t="shared" si="7"/>
        <v>0.33993399339933994</v>
      </c>
      <c r="M18" s="240">
        <f t="shared" si="7"/>
        <v>0</v>
      </c>
    </row>
    <row r="19" spans="1:14" s="38" customFormat="1" ht="14.15" customHeight="1">
      <c r="A19" s="173" t="s">
        <v>2</v>
      </c>
      <c r="B19" s="63"/>
      <c r="C19" s="159">
        <f>'Development Schedule'!D45*C17</f>
        <v>0</v>
      </c>
      <c r="D19" s="300">
        <f>'Development Schedule'!E45*D17</f>
        <v>0</v>
      </c>
      <c r="E19" s="301">
        <f>'Development Schedule'!F45*E17</f>
        <v>0</v>
      </c>
      <c r="F19" s="302">
        <f>'Development Schedule'!G45*F17</f>
        <v>0</v>
      </c>
      <c r="G19" s="300">
        <f>'Development Schedule'!H45*G17</f>
        <v>0</v>
      </c>
      <c r="H19" s="301">
        <f>'Development Schedule'!I45*H17</f>
        <v>0</v>
      </c>
      <c r="I19" s="302">
        <f>'Development Schedule'!J45*I17</f>
        <v>0</v>
      </c>
      <c r="J19" s="300">
        <f>'Development Schedule'!K45*J17</f>
        <v>0</v>
      </c>
      <c r="K19" s="301">
        <f>'Development Schedule'!L45*K17</f>
        <v>59181886.95195917</v>
      </c>
      <c r="L19" s="301">
        <f>'Development Schedule'!M45*L17</f>
        <v>30478671.780258972</v>
      </c>
      <c r="M19" s="302">
        <f>'Development Schedule'!N45*M17</f>
        <v>0</v>
      </c>
    </row>
    <row r="20" spans="1:14" s="38" customFormat="1" ht="13.5" thickBot="1">
      <c r="A20" s="815" t="s">
        <v>3</v>
      </c>
      <c r="B20" s="66"/>
      <c r="C20" s="259">
        <f>C19</f>
        <v>0</v>
      </c>
      <c r="D20" s="259">
        <f t="shared" ref="D20:M20" si="8">D19</f>
        <v>0</v>
      </c>
      <c r="E20" s="236">
        <f t="shared" si="8"/>
        <v>0</v>
      </c>
      <c r="F20" s="237">
        <f t="shared" si="8"/>
        <v>0</v>
      </c>
      <c r="G20" s="259">
        <f t="shared" si="8"/>
        <v>0</v>
      </c>
      <c r="H20" s="236">
        <f t="shared" si="8"/>
        <v>0</v>
      </c>
      <c r="I20" s="237">
        <f t="shared" si="8"/>
        <v>0</v>
      </c>
      <c r="J20" s="259">
        <f t="shared" si="8"/>
        <v>0</v>
      </c>
      <c r="K20" s="236">
        <f t="shared" si="8"/>
        <v>59181886.95195917</v>
      </c>
      <c r="L20" s="236">
        <f t="shared" si="8"/>
        <v>30478671.780258972</v>
      </c>
      <c r="M20" s="237">
        <f t="shared" si="8"/>
        <v>0</v>
      </c>
    </row>
    <row r="21" spans="1:14" s="38" customFormat="1" ht="13.5" thickBot="1">
      <c r="A21" s="80" t="s">
        <v>4</v>
      </c>
      <c r="B21" s="153"/>
      <c r="C21" s="837"/>
      <c r="D21" s="838"/>
      <c r="E21" s="839"/>
      <c r="F21" s="840"/>
      <c r="G21" s="838"/>
      <c r="H21" s="839"/>
      <c r="I21" s="840"/>
      <c r="J21" s="838"/>
      <c r="K21" s="839"/>
      <c r="L21" s="839"/>
      <c r="M21" s="840"/>
    </row>
    <row r="22" spans="1:14" s="38" customFormat="1" ht="14.15" customHeight="1">
      <c r="A22" s="173" t="s">
        <v>5</v>
      </c>
      <c r="B22" s="63"/>
      <c r="C22" s="138">
        <f t="shared" ref="C22:M22" si="9">C15</f>
        <v>0</v>
      </c>
      <c r="D22" s="257">
        <f t="shared" si="9"/>
        <v>0</v>
      </c>
      <c r="E22" s="229">
        <f t="shared" si="9"/>
        <v>0</v>
      </c>
      <c r="F22" s="241">
        <f t="shared" si="9"/>
        <v>0</v>
      </c>
      <c r="G22" s="257">
        <f t="shared" si="9"/>
        <v>0</v>
      </c>
      <c r="H22" s="229">
        <f t="shared" si="9"/>
        <v>0</v>
      </c>
      <c r="I22" s="241">
        <f t="shared" si="9"/>
        <v>0</v>
      </c>
      <c r="J22" s="257">
        <f t="shared" si="9"/>
        <v>0</v>
      </c>
      <c r="K22" s="229">
        <f t="shared" si="9"/>
        <v>0</v>
      </c>
      <c r="L22" s="229">
        <f t="shared" si="9"/>
        <v>0</v>
      </c>
      <c r="M22" s="241">
        <f t="shared" si="9"/>
        <v>6754681.9729369618</v>
      </c>
    </row>
    <row r="23" spans="1:14" s="38" customFormat="1" ht="14.15" customHeight="1">
      <c r="A23" s="173" t="s">
        <v>57</v>
      </c>
      <c r="B23" s="101">
        <f>D35</f>
        <v>6.5000000000000002E-2</v>
      </c>
      <c r="C23" s="143">
        <v>0</v>
      </c>
      <c r="D23" s="247">
        <f>C23</f>
        <v>0</v>
      </c>
      <c r="E23" s="238">
        <f t="shared" ref="E23:L24" si="10">D23</f>
        <v>0</v>
      </c>
      <c r="F23" s="248">
        <f t="shared" si="10"/>
        <v>0</v>
      </c>
      <c r="G23" s="247">
        <f t="shared" si="10"/>
        <v>0</v>
      </c>
      <c r="H23" s="238">
        <f t="shared" si="10"/>
        <v>0</v>
      </c>
      <c r="I23" s="248">
        <f t="shared" si="10"/>
        <v>0</v>
      </c>
      <c r="J23" s="247">
        <f t="shared" si="10"/>
        <v>0</v>
      </c>
      <c r="K23" s="238">
        <f t="shared" si="10"/>
        <v>0</v>
      </c>
      <c r="L23" s="238">
        <f t="shared" si="10"/>
        <v>0</v>
      </c>
      <c r="M23" s="248">
        <f>M22/B23</f>
        <v>103918184.19903018</v>
      </c>
    </row>
    <row r="24" spans="1:14" s="38" customFormat="1" ht="14.15" customHeight="1">
      <c r="A24" s="173" t="s">
        <v>58</v>
      </c>
      <c r="B24" s="101">
        <f>D36</f>
        <v>0.03</v>
      </c>
      <c r="C24" s="143">
        <v>0</v>
      </c>
      <c r="D24" s="247">
        <f>C24</f>
        <v>0</v>
      </c>
      <c r="E24" s="238">
        <f t="shared" si="10"/>
        <v>0</v>
      </c>
      <c r="F24" s="248">
        <f t="shared" si="10"/>
        <v>0</v>
      </c>
      <c r="G24" s="247">
        <f t="shared" si="10"/>
        <v>0</v>
      </c>
      <c r="H24" s="238">
        <f t="shared" si="10"/>
        <v>0</v>
      </c>
      <c r="I24" s="248">
        <f t="shared" si="10"/>
        <v>0</v>
      </c>
      <c r="J24" s="247">
        <f t="shared" si="10"/>
        <v>0</v>
      </c>
      <c r="K24" s="238">
        <f t="shared" si="10"/>
        <v>0</v>
      </c>
      <c r="L24" s="238">
        <f t="shared" si="10"/>
        <v>0</v>
      </c>
      <c r="M24" s="248">
        <f>M23*-B24</f>
        <v>-3117545.5259709051</v>
      </c>
    </row>
    <row r="25" spans="1:14" s="38" customFormat="1" ht="14.15" customHeight="1">
      <c r="A25" s="234" t="s">
        <v>109</v>
      </c>
      <c r="B25" s="296"/>
      <c r="C25" s="262">
        <f>-C20</f>
        <v>0</v>
      </c>
      <c r="D25" s="263">
        <f t="shared" ref="D25:M25" si="11">-D20</f>
        <v>0</v>
      </c>
      <c r="E25" s="232">
        <f t="shared" si="11"/>
        <v>0</v>
      </c>
      <c r="F25" s="235">
        <f t="shared" si="11"/>
        <v>0</v>
      </c>
      <c r="G25" s="263">
        <f t="shared" si="11"/>
        <v>0</v>
      </c>
      <c r="H25" s="232">
        <f t="shared" si="11"/>
        <v>0</v>
      </c>
      <c r="I25" s="235">
        <f t="shared" si="11"/>
        <v>0</v>
      </c>
      <c r="J25" s="263">
        <f t="shared" si="11"/>
        <v>0</v>
      </c>
      <c r="K25" s="232">
        <f t="shared" si="11"/>
        <v>-59181886.95195917</v>
      </c>
      <c r="L25" s="232">
        <f t="shared" si="11"/>
        <v>-30478671.780258972</v>
      </c>
      <c r="M25" s="235">
        <f t="shared" si="11"/>
        <v>0</v>
      </c>
    </row>
    <row r="26" spans="1:14" s="38" customFormat="1" ht="13.5" thickBot="1">
      <c r="A26" s="815" t="s">
        <v>6</v>
      </c>
      <c r="B26" s="112"/>
      <c r="C26" s="258">
        <f>SUM(C22:C25)</f>
        <v>0</v>
      </c>
      <c r="D26" s="259">
        <f t="shared" ref="D26:M26" si="12">SUM(D22:D25)</f>
        <v>0</v>
      </c>
      <c r="E26" s="236">
        <f t="shared" si="12"/>
        <v>0</v>
      </c>
      <c r="F26" s="237">
        <f t="shared" si="12"/>
        <v>0</v>
      </c>
      <c r="G26" s="259">
        <f t="shared" si="12"/>
        <v>0</v>
      </c>
      <c r="H26" s="236">
        <f t="shared" si="12"/>
        <v>0</v>
      </c>
      <c r="I26" s="237">
        <f t="shared" si="12"/>
        <v>0</v>
      </c>
      <c r="J26" s="259">
        <f t="shared" si="12"/>
        <v>0</v>
      </c>
      <c r="K26" s="236">
        <f t="shared" si="12"/>
        <v>-59181886.95195917</v>
      </c>
      <c r="L26" s="236">
        <f t="shared" si="12"/>
        <v>-30478671.780258972</v>
      </c>
      <c r="M26" s="237">
        <f t="shared" si="12"/>
        <v>107555320.64599623</v>
      </c>
    </row>
    <row r="27" spans="1:14" s="38" customFormat="1" ht="13.5" thickBot="1">
      <c r="A27" s="109" t="s">
        <v>26</v>
      </c>
      <c r="B27" s="98"/>
      <c r="C27" s="354">
        <f>C26+NPV(D37,D26:M26)</f>
        <v>1697909.1810149474</v>
      </c>
      <c r="D27" s="351"/>
      <c r="E27" s="352"/>
      <c r="F27" s="353"/>
      <c r="G27" s="351"/>
      <c r="H27" s="352"/>
      <c r="I27" s="353"/>
      <c r="J27" s="100"/>
      <c r="K27" s="100"/>
      <c r="L27" s="100"/>
      <c r="M27" s="188"/>
    </row>
    <row r="28" spans="1:14" s="38" customFormat="1" ht="13.5" thickBot="1">
      <c r="A28" s="80" t="s">
        <v>59</v>
      </c>
      <c r="B28" s="153"/>
      <c r="C28" s="269">
        <f>IRR(C26:M26,0)</f>
        <v>0.11497045417015483</v>
      </c>
      <c r="D28" s="251"/>
      <c r="E28" s="153"/>
      <c r="F28" s="172"/>
      <c r="G28" s="251"/>
      <c r="H28" s="153"/>
      <c r="I28" s="172"/>
      <c r="J28" s="153"/>
      <c r="K28" s="153"/>
      <c r="L28" s="153"/>
      <c r="M28" s="172"/>
    </row>
    <row r="29" spans="1:14" ht="13.5" thickBot="1">
      <c r="A29" s="80"/>
      <c r="B29" s="153"/>
      <c r="C29" s="371"/>
      <c r="D29" s="153"/>
      <c r="E29" s="63"/>
      <c r="F29" s="63"/>
      <c r="G29" s="63"/>
      <c r="H29" s="63"/>
      <c r="I29" s="63"/>
      <c r="J29" s="63"/>
      <c r="K29" s="63"/>
      <c r="L29" s="63"/>
      <c r="M29" s="63"/>
      <c r="N29" s="89"/>
    </row>
    <row r="30" spans="1:14" ht="13.5" thickBot="1">
      <c r="A30" s="183" t="s">
        <v>101</v>
      </c>
      <c r="B30" s="158"/>
      <c r="C30" s="158"/>
      <c r="D30" s="182"/>
      <c r="E30" s="38"/>
      <c r="F30" s="38"/>
      <c r="G30" s="38"/>
      <c r="H30" s="38"/>
      <c r="I30" s="38"/>
      <c r="J30" s="38"/>
      <c r="K30" s="38"/>
      <c r="L30" s="38"/>
      <c r="M30" s="38"/>
    </row>
    <row r="31" spans="1:14" ht="13.5" thickBot="1">
      <c r="A31" s="78"/>
      <c r="B31" s="83" t="s">
        <v>562</v>
      </c>
      <c r="C31" s="83" t="s">
        <v>99</v>
      </c>
      <c r="D31" s="84" t="s">
        <v>100</v>
      </c>
      <c r="E31" s="38"/>
      <c r="F31" s="38"/>
      <c r="G31" s="38"/>
      <c r="H31" s="38"/>
      <c r="I31" s="38"/>
      <c r="J31" s="38"/>
      <c r="K31" s="38"/>
      <c r="L31" s="38"/>
      <c r="M31" s="38"/>
    </row>
    <row r="32" spans="1:14" ht="13" thickBot="1">
      <c r="A32" s="65" t="s">
        <v>48</v>
      </c>
      <c r="B32" s="880">
        <v>400</v>
      </c>
      <c r="C32" s="816">
        <f>D32/B32</f>
        <v>349.71899999999994</v>
      </c>
      <c r="D32" s="228">
        <f>'Development Schedule'!C45</f>
        <v>139887.59999999998</v>
      </c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3" thickBot="1">
      <c r="A33" s="38"/>
      <c r="B33" s="56"/>
      <c r="C33" s="56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3.5" thickBot="1">
      <c r="A34" s="183" t="s">
        <v>110</v>
      </c>
      <c r="B34" s="253"/>
      <c r="C34" s="253"/>
      <c r="D34" s="254"/>
      <c r="E34" s="38"/>
      <c r="F34" s="38"/>
      <c r="G34" s="38"/>
      <c r="H34" s="38"/>
      <c r="I34" s="38"/>
      <c r="J34" s="38"/>
      <c r="K34" s="38"/>
      <c r="L34" s="38"/>
      <c r="M34" s="38"/>
    </row>
    <row r="35" spans="1:13">
      <c r="A35" s="62" t="s">
        <v>111</v>
      </c>
      <c r="B35" s="63"/>
      <c r="C35" s="63"/>
      <c r="D35" s="216">
        <v>6.5000000000000002E-2</v>
      </c>
      <c r="E35" s="38"/>
      <c r="F35" s="38"/>
      <c r="G35" s="38"/>
      <c r="H35" s="38"/>
      <c r="I35" s="38"/>
      <c r="J35" s="38"/>
      <c r="K35" s="38"/>
      <c r="L35" s="38"/>
      <c r="M35" s="38"/>
    </row>
    <row r="36" spans="1:13">
      <c r="A36" s="62" t="s">
        <v>112</v>
      </c>
      <c r="B36" s="63"/>
      <c r="C36" s="63"/>
      <c r="D36" s="216">
        <v>0.03</v>
      </c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3" thickBot="1">
      <c r="A37" s="65" t="s">
        <v>97</v>
      </c>
      <c r="B37" s="66"/>
      <c r="C37" s="66"/>
      <c r="D37" s="214">
        <v>0.09</v>
      </c>
      <c r="E37" s="38"/>
      <c r="F37" s="38"/>
      <c r="G37" s="38"/>
      <c r="H37" s="38"/>
      <c r="I37" s="38"/>
      <c r="J37" s="38"/>
      <c r="K37" s="38"/>
      <c r="L37" s="38"/>
      <c r="M37" s="38"/>
    </row>
    <row r="38" spans="1:13">
      <c r="A38" s="38"/>
      <c r="B38" s="56"/>
      <c r="C38" s="56"/>
      <c r="D38" s="38"/>
      <c r="E38" s="38"/>
      <c r="F38" s="38"/>
      <c r="G38" s="38"/>
      <c r="H38" s="38"/>
      <c r="I38" s="38"/>
      <c r="J38" s="38"/>
      <c r="K38" s="38"/>
      <c r="L38" s="38"/>
      <c r="M38" s="38"/>
    </row>
  </sheetData>
  <phoneticPr fontId="4" type="noConversion"/>
  <printOptions horizontalCentered="1"/>
  <pageMargins left="0.5" right="0.5" top="1" bottom="0.5" header="0.5" footer="0.5"/>
  <pageSetup scale="69" orientation="landscape" r:id="rId1"/>
  <headerFooter alignWithMargins="0">
    <oddHeader>&amp;L&amp;"Arial,Bold"7. Income Statement: Hotel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23</vt:i4>
      </vt:variant>
    </vt:vector>
  </HeadingPairs>
  <TitlesOfParts>
    <vt:vector size="45" baseType="lpstr">
      <vt:lpstr>ULI Summary Board</vt:lpstr>
      <vt:lpstr>Summary Board</vt:lpstr>
      <vt:lpstr>1.Infrastructure Costs</vt:lpstr>
      <vt:lpstr>2.Market-Rate Rental Housing</vt:lpstr>
      <vt:lpstr>3.Market-Rate For-Sale Housing</vt:lpstr>
      <vt:lpstr>4.Affordable Rental Housing</vt:lpstr>
      <vt:lpstr>5.Office</vt:lpstr>
      <vt:lpstr>6.Market-Rate Retail</vt:lpstr>
      <vt:lpstr>7.Hotel</vt:lpstr>
      <vt:lpstr>8.Vocational School</vt:lpstr>
      <vt:lpstr>9.Structured Parking</vt:lpstr>
      <vt:lpstr>Additional Data After Here</vt:lpstr>
      <vt:lpstr>Development Schedule</vt:lpstr>
      <vt:lpstr>Development Notes</vt:lpstr>
      <vt:lpstr>Land Acquisition</vt:lpstr>
      <vt:lpstr>Land Values</vt:lpstr>
      <vt:lpstr>Existing Building Market Values</vt:lpstr>
      <vt:lpstr>Development Costs</vt:lpstr>
      <vt:lpstr>Budget</vt:lpstr>
      <vt:lpstr>Financing</vt:lpstr>
      <vt:lpstr>Condo Comparable Data</vt:lpstr>
      <vt:lpstr>Market Assumptions</vt:lpstr>
      <vt:lpstr>'1.Infrastructure Costs'!Print_Area</vt:lpstr>
      <vt:lpstr>'2.Market-Rate Rental Housing'!Print_Area</vt:lpstr>
      <vt:lpstr>'3.Market-Rate For-Sale Housing'!Print_Area</vt:lpstr>
      <vt:lpstr>'4.Affordable Rental Housing'!Print_Area</vt:lpstr>
      <vt:lpstr>'5.Office'!Print_Area</vt:lpstr>
      <vt:lpstr>'6.Market-Rate Retail'!Print_Area</vt:lpstr>
      <vt:lpstr>'8.Vocational School'!Print_Area</vt:lpstr>
      <vt:lpstr>'9.Structured Parking'!Print_Area</vt:lpstr>
      <vt:lpstr>'Development Costs'!Print_Area</vt:lpstr>
      <vt:lpstr>'Development Schedule'!Print_Area</vt:lpstr>
      <vt:lpstr>'Existing Building Market Values'!Print_Area</vt:lpstr>
      <vt:lpstr>Financing!Print_Area</vt:lpstr>
      <vt:lpstr>'Land Acquisition'!Print_Area</vt:lpstr>
      <vt:lpstr>'Land Values'!Print_Area</vt:lpstr>
      <vt:lpstr>'Summary Board'!Print_Area</vt:lpstr>
      <vt:lpstr>'ULI Summary Board'!Print_Area</vt:lpstr>
      <vt:lpstr>'2.Market-Rate Rental Housing'!Print_Titles</vt:lpstr>
      <vt:lpstr>'4.Affordable Rental Housing'!Print_Titles</vt:lpstr>
      <vt:lpstr>'6.Market-Rate Retail'!Print_Titles</vt:lpstr>
      <vt:lpstr>'8.Vocational School'!Print_Titles</vt:lpstr>
      <vt:lpstr>'9.Structured Parking'!Print_Titles</vt:lpstr>
      <vt:lpstr>'Development Schedule'!Print_Titles</vt:lpstr>
      <vt:lpstr>'Land Values'!Print_Titles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Finkenbinder-Best</dc:creator>
  <cp:lastModifiedBy>Hank</cp:lastModifiedBy>
  <cp:lastPrinted>2020-01-27T20:29:04Z</cp:lastPrinted>
  <dcterms:created xsi:type="dcterms:W3CDTF">2007-12-12T14:49:40Z</dcterms:created>
  <dcterms:modified xsi:type="dcterms:W3CDTF">2020-01-27T20:29:45Z</dcterms:modified>
</cp:coreProperties>
</file>