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DC\Documents\Útil\Desenvolvimento\Financial Modeling\"/>
    </mc:Choice>
  </mc:AlternateContent>
  <xr:revisionPtr revIDLastSave="0" documentId="13_ncr:1_{A2C5306D-E1E6-4D3E-A20A-B3CE69B9755C}" xr6:coauthVersionLast="44" xr6:coauthVersionMax="44" xr10:uidLastSave="{00000000-0000-0000-0000-000000000000}"/>
  <bookViews>
    <workbookView xWindow="-120" yWindow="-120" windowWidth="20730" windowHeight="11760" tabRatio="702" firstSheet="2" activeTab="3" xr2:uid="{D4324FDE-F679-4D8E-B0E1-68614BC38C40}"/>
  </bookViews>
  <sheets>
    <sheet name="Development Schedule" sheetId="15" r:id="rId1"/>
    <sheet name="Land" sheetId="16" r:id="rId2"/>
    <sheet name="Financing and Budget" sheetId="14" r:id="rId3"/>
    <sheet name="Summary Board" sheetId="1" r:id="rId4"/>
    <sheet name="1. Infrastructure Costs" sheetId="2" r:id="rId5"/>
    <sheet name="2. Market-Rate Rental" sheetId="3" r:id="rId6"/>
    <sheet name="3. Market-Rate For-Sale" sheetId="4" r:id="rId7"/>
    <sheet name="4. Affordable Rental" sheetId="5" r:id="rId8"/>
    <sheet name="5. Affordable For-Sale" sheetId="6" r:id="rId9"/>
    <sheet name="6. Office_Commercial" sheetId="7" r:id="rId10"/>
    <sheet name="7. Retail" sheetId="8" r:id="rId11"/>
    <sheet name="8. Industrial_Gallery n School" sheetId="18" r:id="rId12"/>
    <sheet name="9. Hotel" sheetId="9" r:id="rId13"/>
    <sheet name="10. Structured Parking" sheetId="10" r:id="rId14"/>
    <sheet name="11. Surface Parking" sheetId="12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45" i="1" l="1"/>
  <c r="G102" i="3" l="1"/>
  <c r="L99" i="1" l="1"/>
  <c r="L100" i="1"/>
  <c r="L101" i="1"/>
  <c r="L102" i="1"/>
  <c r="L103" i="1"/>
  <c r="L104" i="1"/>
  <c r="L98" i="1"/>
  <c r="Q17" i="14"/>
  <c r="F138" i="1"/>
  <c r="E138" i="1"/>
  <c r="C62" i="8" l="1"/>
  <c r="C59" i="18"/>
  <c r="D13" i="16"/>
  <c r="I54" i="1"/>
  <c r="E143" i="1"/>
  <c r="G137" i="1"/>
  <c r="F137" i="1"/>
  <c r="E137" i="1"/>
  <c r="H136" i="1"/>
  <c r="H135" i="1"/>
  <c r="H133" i="1"/>
  <c r="H132" i="1"/>
  <c r="H131" i="1"/>
  <c r="H129" i="1"/>
  <c r="H137" i="1" l="1"/>
  <c r="G77" i="5"/>
  <c r="F117" i="1"/>
  <c r="G117" i="1"/>
  <c r="F119" i="1"/>
  <c r="G119" i="1"/>
  <c r="F118" i="1"/>
  <c r="G118" i="1"/>
  <c r="F120" i="1"/>
  <c r="G120" i="1"/>
  <c r="G116" i="1"/>
  <c r="F116" i="1"/>
  <c r="H118" i="1" l="1"/>
  <c r="H120" i="1" l="1"/>
  <c r="H117" i="1"/>
  <c r="H119" i="1"/>
  <c r="H116" i="1"/>
  <c r="O71" i="15" l="1"/>
  <c r="O72" i="15"/>
  <c r="N52" i="15"/>
  <c r="N70" i="15" s="1"/>
  <c r="O52" i="15"/>
  <c r="O70" i="15" s="1"/>
  <c r="O53" i="15"/>
  <c r="O54" i="15"/>
  <c r="N56" i="15"/>
  <c r="N74" i="15" s="1"/>
  <c r="O56" i="15"/>
  <c r="O74" i="15" s="1"/>
  <c r="K70" i="15"/>
  <c r="L70" i="15"/>
  <c r="K73" i="15"/>
  <c r="H74" i="15"/>
  <c r="K35" i="15"/>
  <c r="L35" i="15"/>
  <c r="L36" i="15"/>
  <c r="L71" i="15" s="1"/>
  <c r="L37" i="15"/>
  <c r="L72" i="15" s="1"/>
  <c r="K38" i="15"/>
  <c r="K39" i="15"/>
  <c r="K74" i="15" s="1"/>
  <c r="L39" i="15"/>
  <c r="L74" i="15" s="1"/>
  <c r="J38" i="15"/>
  <c r="J73" i="15" s="1"/>
  <c r="H18" i="15"/>
  <c r="H70" i="15" s="1"/>
  <c r="I18" i="15"/>
  <c r="I70" i="15" s="1"/>
  <c r="I19" i="15"/>
  <c r="I71" i="15" s="1"/>
  <c r="I20" i="15"/>
  <c r="I72" i="15" s="1"/>
  <c r="I21" i="15"/>
  <c r="I73" i="15" s="1"/>
  <c r="H22" i="15"/>
  <c r="I22" i="15"/>
  <c r="I74" i="15" s="1"/>
  <c r="G40" i="1"/>
  <c r="H40" i="1"/>
  <c r="I40" i="1"/>
  <c r="J40" i="1"/>
  <c r="K40" i="1"/>
  <c r="L40" i="1"/>
  <c r="M40" i="1"/>
  <c r="N40" i="1"/>
  <c r="O40" i="1"/>
  <c r="F40" i="1"/>
  <c r="G99" i="1"/>
  <c r="L105" i="1"/>
  <c r="D102" i="16" l="1"/>
  <c r="N50" i="15" l="1"/>
  <c r="N68" i="15" s="1"/>
  <c r="M50" i="15"/>
  <c r="E50" i="15" s="1"/>
  <c r="N48" i="15"/>
  <c r="N66" i="15" s="1"/>
  <c r="O48" i="15"/>
  <c r="O66" i="15" s="1"/>
  <c r="E46" i="15"/>
  <c r="E47" i="15"/>
  <c r="E49" i="15"/>
  <c r="E51" i="15"/>
  <c r="E52" i="15"/>
  <c r="E53" i="15"/>
  <c r="E54" i="15"/>
  <c r="E56" i="15"/>
  <c r="K33" i="15"/>
  <c r="K68" i="15" s="1"/>
  <c r="J33" i="15"/>
  <c r="J68" i="15" s="1"/>
  <c r="K31" i="15"/>
  <c r="K66" i="15" s="1"/>
  <c r="L31" i="15"/>
  <c r="L66" i="15" s="1"/>
  <c r="J30" i="15"/>
  <c r="E30" i="15" s="1"/>
  <c r="J29" i="15"/>
  <c r="E29" i="15" s="1"/>
  <c r="E37" i="15"/>
  <c r="E38" i="15"/>
  <c r="E39" i="15"/>
  <c r="E32" i="15"/>
  <c r="E34" i="15"/>
  <c r="E35" i="15"/>
  <c r="E36" i="15"/>
  <c r="F24" i="2"/>
  <c r="G24" i="2"/>
  <c r="H24" i="2"/>
  <c r="I24" i="2"/>
  <c r="J24" i="2"/>
  <c r="K24" i="2"/>
  <c r="L24" i="2"/>
  <c r="M24" i="2"/>
  <c r="N24" i="2"/>
  <c r="E24" i="2"/>
  <c r="C30" i="4"/>
  <c r="C22" i="4"/>
  <c r="C46" i="5"/>
  <c r="C46" i="3"/>
  <c r="M68" i="15" l="1"/>
  <c r="J64" i="15"/>
  <c r="J65" i="15"/>
  <c r="E31" i="15"/>
  <c r="E33" i="15"/>
  <c r="E48" i="15"/>
  <c r="B95" i="16"/>
  <c r="G78" i="1"/>
  <c r="H78" i="1"/>
  <c r="I78" i="1"/>
  <c r="J78" i="1"/>
  <c r="K78" i="1"/>
  <c r="L78" i="1"/>
  <c r="M78" i="1"/>
  <c r="N78" i="1"/>
  <c r="O78" i="1"/>
  <c r="F87" i="16"/>
  <c r="E87" i="16"/>
  <c r="D87" i="16"/>
  <c r="C111" i="10" l="1"/>
  <c r="C63" i="7"/>
  <c r="E85" i="1" l="1"/>
  <c r="D83" i="16" l="1"/>
  <c r="E13" i="16"/>
  <c r="E38" i="1" l="1"/>
  <c r="G100" i="1" s="1"/>
  <c r="Q24" i="14"/>
  <c r="L91" i="1" s="1"/>
  <c r="Q16" i="14"/>
  <c r="G109" i="1"/>
  <c r="G106" i="1"/>
  <c r="G105" i="1"/>
  <c r="G104" i="1"/>
  <c r="E20" i="15"/>
  <c r="E72" i="15" s="1"/>
  <c r="E21" i="15"/>
  <c r="E73" i="15" s="1"/>
  <c r="E22" i="15"/>
  <c r="E74" i="15" s="1"/>
  <c r="M48" i="2"/>
  <c r="L48" i="2"/>
  <c r="J48" i="2"/>
  <c r="I48" i="2"/>
  <c r="G48" i="2"/>
  <c r="F48" i="2"/>
  <c r="D48" i="2"/>
  <c r="E37" i="2"/>
  <c r="E18" i="15"/>
  <c r="E19" i="15"/>
  <c r="E71" i="15" s="1"/>
  <c r="C25" i="2"/>
  <c r="E23" i="2"/>
  <c r="E22" i="2"/>
  <c r="E21" i="2"/>
  <c r="E20" i="2"/>
  <c r="E34" i="2"/>
  <c r="E35" i="2"/>
  <c r="E36" i="2"/>
  <c r="E38" i="2"/>
  <c r="E33" i="2"/>
  <c r="D45" i="2"/>
  <c r="M45" i="2" s="1"/>
  <c r="D46" i="2"/>
  <c r="J46" i="2" s="1"/>
  <c r="D47" i="2"/>
  <c r="G47" i="2" s="1"/>
  <c r="D49" i="2"/>
  <c r="E49" i="2" s="1"/>
  <c r="E25" i="2" s="1"/>
  <c r="D44" i="2"/>
  <c r="M44" i="2" s="1"/>
  <c r="F37" i="2" l="1"/>
  <c r="G108" i="1" s="1"/>
  <c r="E27" i="2"/>
  <c r="E29" i="2" s="1"/>
  <c r="I47" i="2"/>
  <c r="H47" i="2"/>
  <c r="I44" i="2"/>
  <c r="J44" i="2"/>
  <c r="F44" i="2"/>
  <c r="L44" i="2"/>
  <c r="G44" i="2"/>
  <c r="M46" i="2"/>
  <c r="G45" i="2"/>
  <c r="J45" i="2"/>
  <c r="G46" i="2"/>
  <c r="C21" i="2" l="1"/>
  <c r="C22" i="2"/>
  <c r="C23" i="2"/>
  <c r="C20" i="2"/>
  <c r="F84" i="1" l="1"/>
  <c r="G84" i="1" s="1"/>
  <c r="H84" i="1" s="1"/>
  <c r="G79" i="1"/>
  <c r="H79" i="1"/>
  <c r="I79" i="1"/>
  <c r="J79" i="1"/>
  <c r="K79" i="1"/>
  <c r="L79" i="1"/>
  <c r="M79" i="1"/>
  <c r="N79" i="1"/>
  <c r="O79" i="1"/>
  <c r="G80" i="1"/>
  <c r="H80" i="1"/>
  <c r="I80" i="1"/>
  <c r="J80" i="1"/>
  <c r="K80" i="1"/>
  <c r="L80" i="1"/>
  <c r="M80" i="1"/>
  <c r="N80" i="1"/>
  <c r="O80" i="1"/>
  <c r="G81" i="1"/>
  <c r="H81" i="1"/>
  <c r="I81" i="1"/>
  <c r="J81" i="1"/>
  <c r="K81" i="1"/>
  <c r="L81" i="1"/>
  <c r="M81" i="1"/>
  <c r="N81" i="1"/>
  <c r="O81" i="1"/>
  <c r="G82" i="1"/>
  <c r="H82" i="1"/>
  <c r="I82" i="1"/>
  <c r="J82" i="1"/>
  <c r="K82" i="1"/>
  <c r="L82" i="1"/>
  <c r="M82" i="1"/>
  <c r="N82" i="1"/>
  <c r="O82" i="1"/>
  <c r="F82" i="1"/>
  <c r="F81" i="1"/>
  <c r="F80" i="1"/>
  <c r="F79" i="1"/>
  <c r="F78" i="1"/>
  <c r="D78" i="1" s="1"/>
  <c r="H76" i="1"/>
  <c r="I76" i="1"/>
  <c r="K76" i="1"/>
  <c r="L76" i="1"/>
  <c r="N76" i="1"/>
  <c r="O76" i="1"/>
  <c r="G77" i="1"/>
  <c r="H77" i="1"/>
  <c r="I77" i="1"/>
  <c r="K77" i="1"/>
  <c r="L77" i="1"/>
  <c r="N77" i="1"/>
  <c r="O77" i="1"/>
  <c r="F76" i="1"/>
  <c r="D83" i="1"/>
  <c r="C43" i="7"/>
  <c r="C48" i="7"/>
  <c r="C51" i="5"/>
  <c r="C47" i="6"/>
  <c r="D81" i="1" l="1"/>
  <c r="D79" i="1"/>
  <c r="D82" i="1"/>
  <c r="D80" i="1"/>
  <c r="I84" i="1"/>
  <c r="J84" i="1" s="1"/>
  <c r="K84" i="1" s="1"/>
  <c r="L84" i="1" s="1"/>
  <c r="M84" i="1" s="1"/>
  <c r="N84" i="1" s="1"/>
  <c r="O84" i="1" s="1"/>
  <c r="C47" i="4"/>
  <c r="C51" i="3"/>
  <c r="D84" i="1" l="1"/>
  <c r="C53" i="6"/>
  <c r="C14" i="6" s="1"/>
  <c r="G64" i="1"/>
  <c r="H64" i="1"/>
  <c r="I64" i="1"/>
  <c r="J64" i="1"/>
  <c r="K64" i="1"/>
  <c r="L64" i="1"/>
  <c r="M64" i="1"/>
  <c r="N64" i="1"/>
  <c r="O64" i="1"/>
  <c r="F64" i="1"/>
  <c r="D64" i="1" l="1"/>
  <c r="G102" i="1"/>
  <c r="C43" i="8"/>
  <c r="C48" i="8"/>
  <c r="C40" i="18"/>
  <c r="C45" i="18"/>
  <c r="E70" i="15" l="1"/>
  <c r="E15" i="15" l="1"/>
  <c r="E67" i="15" s="1"/>
  <c r="E14" i="15"/>
  <c r="E66" i="15" s="1"/>
  <c r="E17" i="15"/>
  <c r="E69" i="15" s="1"/>
  <c r="D32" i="14"/>
  <c r="E32" i="14"/>
  <c r="F32" i="14"/>
  <c r="G32" i="14"/>
  <c r="H32" i="14"/>
  <c r="I32" i="14"/>
  <c r="J32" i="14"/>
  <c r="K32" i="14"/>
  <c r="L32" i="14"/>
  <c r="C32" i="14"/>
  <c r="D31" i="14"/>
  <c r="E31" i="14"/>
  <c r="F31" i="14"/>
  <c r="G31" i="14"/>
  <c r="H31" i="14"/>
  <c r="I31" i="14"/>
  <c r="J31" i="14"/>
  <c r="K31" i="14"/>
  <c r="L31" i="14"/>
  <c r="E7" i="14"/>
  <c r="F7" i="14"/>
  <c r="G7" i="14"/>
  <c r="H7" i="14"/>
  <c r="I7" i="14"/>
  <c r="J7" i="14"/>
  <c r="K7" i="14"/>
  <c r="L7" i="14"/>
  <c r="M7" i="14"/>
  <c r="D7" i="14"/>
  <c r="C10" i="14" l="1"/>
  <c r="G71" i="1"/>
  <c r="H71" i="1"/>
  <c r="I71" i="1"/>
  <c r="J71" i="1"/>
  <c r="K71" i="1"/>
  <c r="L71" i="1"/>
  <c r="M71" i="1"/>
  <c r="N71" i="1"/>
  <c r="O71" i="1"/>
  <c r="F71" i="1"/>
  <c r="M113" i="10"/>
  <c r="N70" i="1" s="1"/>
  <c r="N113" i="10"/>
  <c r="O70" i="1" s="1"/>
  <c r="J113" i="10"/>
  <c r="K70" i="1" s="1"/>
  <c r="E113" i="10"/>
  <c r="F70" i="1" s="1"/>
  <c r="G69" i="1"/>
  <c r="H69" i="1"/>
  <c r="I69" i="1"/>
  <c r="J69" i="1"/>
  <c r="K69" i="1"/>
  <c r="L69" i="1"/>
  <c r="M69" i="1"/>
  <c r="N69" i="1"/>
  <c r="O69" i="1"/>
  <c r="F69" i="1"/>
  <c r="F67" i="1"/>
  <c r="D72" i="1"/>
  <c r="G58" i="1"/>
  <c r="H58" i="1" s="1"/>
  <c r="I58" i="1" s="1"/>
  <c r="J58" i="1" s="1"/>
  <c r="K58" i="1" s="1"/>
  <c r="L58" i="1" s="1"/>
  <c r="M58" i="1" s="1"/>
  <c r="N58" i="1" s="1"/>
  <c r="O58" i="1" s="1"/>
  <c r="L67" i="6"/>
  <c r="M63" i="1" s="1"/>
  <c r="N67" i="6"/>
  <c r="O63" i="1" s="1"/>
  <c r="K67" i="6"/>
  <c r="L63" i="1" s="1"/>
  <c r="I67" i="6"/>
  <c r="J63" i="1" s="1"/>
  <c r="H67" i="6"/>
  <c r="I63" i="1" s="1"/>
  <c r="G67" i="6"/>
  <c r="H63" i="1" s="1"/>
  <c r="E67" i="6"/>
  <c r="F63" i="1" s="1"/>
  <c r="N66" i="4"/>
  <c r="O61" i="1" s="1"/>
  <c r="K66" i="4"/>
  <c r="L61" i="1" s="1"/>
  <c r="H66" i="4"/>
  <c r="I61" i="1" s="1"/>
  <c r="E66" i="4"/>
  <c r="F61" i="1" s="1"/>
  <c r="G67" i="3"/>
  <c r="H74" i="1" s="1"/>
  <c r="J67" i="3"/>
  <c r="K74" i="1" s="1"/>
  <c r="L67" i="3"/>
  <c r="M74" i="1" s="1"/>
  <c r="M67" i="3"/>
  <c r="N74" i="1" s="1"/>
  <c r="N67" i="3"/>
  <c r="O74" i="1" s="1"/>
  <c r="L65" i="4"/>
  <c r="M75" i="1" s="1"/>
  <c r="M65" i="4"/>
  <c r="N75" i="1" s="1"/>
  <c r="N85" i="1" s="1"/>
  <c r="N65" i="4"/>
  <c r="O75" i="1" s="1"/>
  <c r="J65" i="4"/>
  <c r="K75" i="1" s="1"/>
  <c r="K85" i="1" s="1"/>
  <c r="H65" i="4"/>
  <c r="I75" i="1" s="1"/>
  <c r="F65" i="4"/>
  <c r="G75" i="1" s="1"/>
  <c r="G65" i="4"/>
  <c r="H75" i="1" s="1"/>
  <c r="M67" i="5"/>
  <c r="N67" i="5"/>
  <c r="J67" i="5"/>
  <c r="G67" i="5"/>
  <c r="K67" i="5"/>
  <c r="H67" i="5"/>
  <c r="E67" i="5"/>
  <c r="M66" i="6"/>
  <c r="N66" i="6"/>
  <c r="J66" i="6"/>
  <c r="F66" i="6"/>
  <c r="G66" i="6"/>
  <c r="K66" i="6"/>
  <c r="H66" i="6"/>
  <c r="L65" i="7"/>
  <c r="M66" i="1" s="1"/>
  <c r="M65" i="7"/>
  <c r="N66" i="1" s="1"/>
  <c r="N65" i="7"/>
  <c r="O66" i="1" s="1"/>
  <c r="I65" i="7"/>
  <c r="J66" i="1" s="1"/>
  <c r="J65" i="7"/>
  <c r="K66" i="1" s="1"/>
  <c r="F65" i="7"/>
  <c r="G66" i="1" s="1"/>
  <c r="G65" i="7"/>
  <c r="H66" i="1" s="1"/>
  <c r="K65" i="7"/>
  <c r="L66" i="1" s="1"/>
  <c r="L64" i="8"/>
  <c r="M67" i="1" s="1"/>
  <c r="M64" i="8"/>
  <c r="N67" i="1" s="1"/>
  <c r="N64" i="8"/>
  <c r="O67" i="1" s="1"/>
  <c r="I64" i="8"/>
  <c r="J67" i="1" s="1"/>
  <c r="J64" i="8"/>
  <c r="K67" i="1" s="1"/>
  <c r="K64" i="8"/>
  <c r="L67" i="1" s="1"/>
  <c r="E64" i="8"/>
  <c r="N61" i="18"/>
  <c r="O68" i="1" s="1"/>
  <c r="K61" i="18"/>
  <c r="L68" i="1" s="1"/>
  <c r="H61" i="18"/>
  <c r="I68" i="1" s="1"/>
  <c r="F61" i="18"/>
  <c r="G68" i="1" s="1"/>
  <c r="G61" i="18"/>
  <c r="H68" i="1" s="1"/>
  <c r="E61" i="18"/>
  <c r="F68" i="1" s="1"/>
  <c r="M114" i="10"/>
  <c r="N114" i="10"/>
  <c r="K114" i="10"/>
  <c r="J114" i="10"/>
  <c r="H114" i="10"/>
  <c r="F114" i="10"/>
  <c r="E114" i="10"/>
  <c r="I32" i="10"/>
  <c r="J32" i="10" s="1"/>
  <c r="K32" i="10" s="1"/>
  <c r="L32" i="10" s="1"/>
  <c r="G10" i="10"/>
  <c r="H10" i="10" s="1"/>
  <c r="L110" i="10"/>
  <c r="L113" i="10" s="1"/>
  <c r="M70" i="1" s="1"/>
  <c r="K110" i="10"/>
  <c r="K113" i="10" s="1"/>
  <c r="L70" i="1" s="1"/>
  <c r="I108" i="10"/>
  <c r="I113" i="10" s="1"/>
  <c r="J70" i="1" s="1"/>
  <c r="H108" i="10"/>
  <c r="H113" i="10" s="1"/>
  <c r="I70" i="1" s="1"/>
  <c r="F9" i="10"/>
  <c r="F53" i="10"/>
  <c r="F60" i="10" s="1"/>
  <c r="G53" i="10"/>
  <c r="G60" i="10" s="1"/>
  <c r="H53" i="10"/>
  <c r="H60" i="10" s="1"/>
  <c r="I53" i="10"/>
  <c r="I60" i="10" s="1"/>
  <c r="J53" i="10"/>
  <c r="J60" i="10" s="1"/>
  <c r="K53" i="10"/>
  <c r="K60" i="10" s="1"/>
  <c r="F54" i="10"/>
  <c r="G54" i="10"/>
  <c r="H54" i="10"/>
  <c r="I54" i="10"/>
  <c r="J54" i="10"/>
  <c r="K54" i="10"/>
  <c r="L54" i="10"/>
  <c r="M54" i="10" s="1"/>
  <c r="N54" i="10" s="1"/>
  <c r="E54" i="10"/>
  <c r="E53" i="10"/>
  <c r="E60" i="10" s="1"/>
  <c r="F31" i="10"/>
  <c r="F38" i="10" s="1"/>
  <c r="G31" i="10"/>
  <c r="G38" i="10" s="1"/>
  <c r="H31" i="10"/>
  <c r="H38" i="10" s="1"/>
  <c r="F32" i="10"/>
  <c r="G32" i="10"/>
  <c r="H32" i="10"/>
  <c r="E32" i="10"/>
  <c r="E31" i="10"/>
  <c r="E38" i="10" s="1"/>
  <c r="G106" i="10"/>
  <c r="I16" i="15" s="1"/>
  <c r="I68" i="15" s="1"/>
  <c r="F106" i="10"/>
  <c r="H16" i="15" s="1"/>
  <c r="H68" i="15" s="1"/>
  <c r="E10" i="10"/>
  <c r="E9" i="10"/>
  <c r="E16" i="10" s="1"/>
  <c r="H85" i="1" l="1"/>
  <c r="O85" i="1"/>
  <c r="E16" i="15"/>
  <c r="E68" i="15" s="1"/>
  <c r="G113" i="10"/>
  <c r="H70" i="1" s="1"/>
  <c r="F10" i="10"/>
  <c r="F113" i="10"/>
  <c r="G70" i="1" s="1"/>
  <c r="D69" i="1"/>
  <c r="D71" i="1"/>
  <c r="M32" i="10"/>
  <c r="I10" i="10"/>
  <c r="F16" i="10"/>
  <c r="D70" i="1" l="1"/>
  <c r="N32" i="10"/>
  <c r="J10" i="10"/>
  <c r="K10" i="10" l="1"/>
  <c r="L10" i="10" l="1"/>
  <c r="M10" i="10" l="1"/>
  <c r="N10" i="10" l="1"/>
  <c r="D105" i="10" l="1"/>
  <c r="G105" i="10" s="1"/>
  <c r="G9" i="10" l="1"/>
  <c r="G114" i="10"/>
  <c r="H9" i="10"/>
  <c r="G16" i="10"/>
  <c r="I9" i="10" l="1"/>
  <c r="H16" i="10"/>
  <c r="I16" i="10" l="1"/>
  <c r="J9" i="10"/>
  <c r="J16" i="10" l="1"/>
  <c r="K9" i="10"/>
  <c r="L9" i="10" l="1"/>
  <c r="K16" i="10"/>
  <c r="M9" i="10" l="1"/>
  <c r="L16" i="10"/>
  <c r="N9" i="10" l="1"/>
  <c r="N16" i="10" s="1"/>
  <c r="M16" i="10"/>
  <c r="C35" i="10" l="1"/>
  <c r="C57" i="10" s="1"/>
  <c r="C36" i="10"/>
  <c r="C58" i="10" s="1"/>
  <c r="C38" i="10"/>
  <c r="C60" i="10" s="1"/>
  <c r="C39" i="10"/>
  <c r="C61" i="10" s="1"/>
  <c r="C40" i="10"/>
  <c r="C62" i="10" s="1"/>
  <c r="C41" i="10"/>
  <c r="C63" i="10" s="1"/>
  <c r="C43" i="10"/>
  <c r="C65" i="10" s="1"/>
  <c r="C44" i="10"/>
  <c r="C66" i="10" s="1"/>
  <c r="C45" i="10"/>
  <c r="C67" i="10" s="1"/>
  <c r="C46" i="10"/>
  <c r="C68" i="10" s="1"/>
  <c r="C47" i="10"/>
  <c r="C69" i="10" s="1"/>
  <c r="C34" i="10"/>
  <c r="C56" i="10" s="1"/>
  <c r="E60" i="7"/>
  <c r="G12" i="15" l="1"/>
  <c r="E65" i="7"/>
  <c r="F66" i="1" s="1"/>
  <c r="E12" i="15" l="1"/>
  <c r="E64" i="15" s="1"/>
  <c r="G64" i="15"/>
  <c r="C30" i="6"/>
  <c r="D30" i="6" s="1"/>
  <c r="C22" i="6" l="1"/>
  <c r="D68" i="10"/>
  <c r="D67" i="10"/>
  <c r="D66" i="10"/>
  <c r="D65" i="10"/>
  <c r="D63" i="10"/>
  <c r="D62" i="10"/>
  <c r="D61" i="10"/>
  <c r="D60" i="10"/>
  <c r="D58" i="10"/>
  <c r="D57" i="10"/>
  <c r="D56" i="10"/>
  <c r="D46" i="10"/>
  <c r="D45" i="10"/>
  <c r="D44" i="10"/>
  <c r="D43" i="10"/>
  <c r="D41" i="10"/>
  <c r="D40" i="10"/>
  <c r="D39" i="10"/>
  <c r="D38" i="10"/>
  <c r="D36" i="10"/>
  <c r="D35" i="10"/>
  <c r="D34" i="10"/>
  <c r="D107" i="10"/>
  <c r="I107" i="10" s="1"/>
  <c r="D109" i="10"/>
  <c r="L109" i="10" s="1"/>
  <c r="I31" i="10" l="1"/>
  <c r="J31" i="10" s="1"/>
  <c r="I114" i="10"/>
  <c r="L53" i="10"/>
  <c r="L114" i="10"/>
  <c r="I38" i="10"/>
  <c r="L60" i="10"/>
  <c r="M53" i="10"/>
  <c r="D111" i="10"/>
  <c r="E12" i="1"/>
  <c r="M58" i="18"/>
  <c r="M61" i="18" s="1"/>
  <c r="N68" i="1" s="1"/>
  <c r="F23" i="18"/>
  <c r="G23" i="18"/>
  <c r="H23" i="18"/>
  <c r="I23" i="18"/>
  <c r="J23" i="18"/>
  <c r="K23" i="18"/>
  <c r="K16" i="18"/>
  <c r="L16" i="18" s="1"/>
  <c r="M16" i="18" s="1"/>
  <c r="N16" i="18" s="1"/>
  <c r="M60" i="10" l="1"/>
  <c r="N53" i="10"/>
  <c r="N60" i="10" s="1"/>
  <c r="J38" i="10"/>
  <c r="K31" i="10"/>
  <c r="J57" i="18"/>
  <c r="I57" i="18"/>
  <c r="I61" i="18" s="1"/>
  <c r="J68" i="1" s="1"/>
  <c r="L58" i="18"/>
  <c r="E23" i="18"/>
  <c r="F16" i="18"/>
  <c r="G16" i="18"/>
  <c r="H16" i="18"/>
  <c r="I16" i="18"/>
  <c r="E16" i="18"/>
  <c r="F9" i="18"/>
  <c r="G9" i="18"/>
  <c r="H9" i="18"/>
  <c r="I9" i="18"/>
  <c r="J9" i="18"/>
  <c r="K9" i="18"/>
  <c r="L9" i="18"/>
  <c r="M9" i="18"/>
  <c r="N9" i="18"/>
  <c r="H60" i="8"/>
  <c r="H64" i="8" s="1"/>
  <c r="I67" i="1" s="1"/>
  <c r="G88" i="3"/>
  <c r="H18" i="8" l="1"/>
  <c r="L61" i="18"/>
  <c r="M68" i="1" s="1"/>
  <c r="L23" i="18"/>
  <c r="M23" i="18" s="1"/>
  <c r="N23" i="18" s="1"/>
  <c r="J16" i="18"/>
  <c r="J61" i="18"/>
  <c r="K68" i="1" s="1"/>
  <c r="K38" i="10"/>
  <c r="L31" i="10"/>
  <c r="F10" i="18"/>
  <c r="D39" i="18"/>
  <c r="D37" i="18"/>
  <c r="D42" i="18" s="1"/>
  <c r="E32" i="1" s="1"/>
  <c r="D33" i="18"/>
  <c r="D26" i="18"/>
  <c r="J24" i="18"/>
  <c r="F24" i="18"/>
  <c r="E24" i="18"/>
  <c r="K24" i="18"/>
  <c r="I24" i="18"/>
  <c r="H24" i="18"/>
  <c r="G24" i="18"/>
  <c r="D19" i="18"/>
  <c r="G17" i="18"/>
  <c r="K17" i="18"/>
  <c r="I17" i="18"/>
  <c r="F17" i="18"/>
  <c r="E17" i="18"/>
  <c r="D12" i="18"/>
  <c r="E9" i="18"/>
  <c r="E10" i="18" s="1"/>
  <c r="E4" i="18"/>
  <c r="F4" i="18" s="1"/>
  <c r="F54" i="18" s="1"/>
  <c r="H61" i="7"/>
  <c r="E9" i="1"/>
  <c r="E8" i="1"/>
  <c r="F26" i="6"/>
  <c r="G26" i="6"/>
  <c r="H26" i="6"/>
  <c r="I26" i="6"/>
  <c r="J26" i="6"/>
  <c r="K26" i="6"/>
  <c r="L26" i="6"/>
  <c r="N26" i="6"/>
  <c r="E26" i="6"/>
  <c r="F18" i="6"/>
  <c r="G18" i="6"/>
  <c r="H18" i="6"/>
  <c r="I18" i="6"/>
  <c r="K18" i="6"/>
  <c r="L18" i="6"/>
  <c r="M18" i="6"/>
  <c r="N18" i="6"/>
  <c r="E18" i="6"/>
  <c r="H10" i="6"/>
  <c r="I10" i="6"/>
  <c r="J10" i="6"/>
  <c r="K10" i="6"/>
  <c r="L10" i="6"/>
  <c r="M10" i="6"/>
  <c r="N10" i="6"/>
  <c r="E10" i="6"/>
  <c r="E13" i="6" s="1"/>
  <c r="D43" i="6"/>
  <c r="D41" i="6"/>
  <c r="D44" i="6" s="1"/>
  <c r="E29" i="1" s="1"/>
  <c r="D37" i="6"/>
  <c r="F29" i="6"/>
  <c r="E29" i="6"/>
  <c r="C25" i="6"/>
  <c r="D22" i="6"/>
  <c r="C17" i="6"/>
  <c r="D14" i="6"/>
  <c r="C9" i="6"/>
  <c r="E5" i="6"/>
  <c r="F5" i="6" s="1"/>
  <c r="G5" i="6" s="1"/>
  <c r="H5" i="6" s="1"/>
  <c r="I5" i="6" s="1"/>
  <c r="J5" i="6" s="1"/>
  <c r="K5" i="6" s="1"/>
  <c r="L5" i="6" s="1"/>
  <c r="M5" i="6" s="1"/>
  <c r="N5" i="6" s="1"/>
  <c r="D5" i="6"/>
  <c r="D57" i="6" s="1"/>
  <c r="E4" i="6"/>
  <c r="F4" i="6" s="1"/>
  <c r="G4" i="6" s="1"/>
  <c r="G37" i="6" l="1"/>
  <c r="G39" i="6" s="1"/>
  <c r="D68" i="1"/>
  <c r="E12" i="18"/>
  <c r="E13" i="18" s="1"/>
  <c r="E19" i="18"/>
  <c r="E20" i="18" s="1"/>
  <c r="E54" i="18"/>
  <c r="H65" i="7"/>
  <c r="I66" i="1" s="1"/>
  <c r="D66" i="1" s="1"/>
  <c r="L38" i="10"/>
  <c r="M31" i="10"/>
  <c r="H18" i="7"/>
  <c r="H19" i="7" s="1"/>
  <c r="G10" i="18"/>
  <c r="I10" i="18"/>
  <c r="M17" i="18"/>
  <c r="N17" i="18"/>
  <c r="F26" i="18"/>
  <c r="F27" i="18" s="1"/>
  <c r="G4" i="18"/>
  <c r="G12" i="18" s="1"/>
  <c r="H10" i="18"/>
  <c r="H17" i="18"/>
  <c r="F33" i="18"/>
  <c r="F35" i="18" s="1"/>
  <c r="J17" i="18"/>
  <c r="F19" i="18"/>
  <c r="F20" i="18" s="1"/>
  <c r="E33" i="18"/>
  <c r="E35" i="18" s="1"/>
  <c r="F12" i="18"/>
  <c r="F13" i="18" s="1"/>
  <c r="L17" i="18"/>
  <c r="E26" i="18"/>
  <c r="E27" i="18" s="1"/>
  <c r="G33" i="18"/>
  <c r="G35" i="18" s="1"/>
  <c r="D44" i="18"/>
  <c r="F22" i="6"/>
  <c r="L29" i="6"/>
  <c r="I29" i="6"/>
  <c r="H4" i="6"/>
  <c r="I4" i="6" s="1"/>
  <c r="J4" i="6" s="1"/>
  <c r="J37" i="6" s="1"/>
  <c r="J39" i="6" s="1"/>
  <c r="G30" i="6"/>
  <c r="G14" i="6"/>
  <c r="G22" i="6"/>
  <c r="F14" i="6"/>
  <c r="J29" i="6"/>
  <c r="D46" i="6"/>
  <c r="F30" i="6"/>
  <c r="H14" i="6"/>
  <c r="H22" i="6"/>
  <c r="G29" i="6"/>
  <c r="K29" i="6"/>
  <c r="H30" i="6"/>
  <c r="E37" i="6"/>
  <c r="I37" i="6"/>
  <c r="E14" i="6"/>
  <c r="I14" i="6"/>
  <c r="E22" i="6"/>
  <c r="I22" i="6"/>
  <c r="H29" i="6"/>
  <c r="E30" i="6"/>
  <c r="I30" i="6"/>
  <c r="F37" i="6"/>
  <c r="F39" i="6" s="1"/>
  <c r="H37" i="6" l="1"/>
  <c r="H39" i="6" s="1"/>
  <c r="H41" i="6" s="1"/>
  <c r="H44" i="6" s="1"/>
  <c r="I29" i="1" s="1"/>
  <c r="M38" i="10"/>
  <c r="N31" i="10"/>
  <c r="N38" i="10" s="1"/>
  <c r="F29" i="18"/>
  <c r="F30" i="18" s="1"/>
  <c r="F31" i="18" s="1"/>
  <c r="G13" i="18"/>
  <c r="G37" i="18"/>
  <c r="G42" i="18" s="1"/>
  <c r="H32" i="1" s="1"/>
  <c r="L24" i="18"/>
  <c r="G54" i="18"/>
  <c r="G19" i="18"/>
  <c r="G20" i="18" s="1"/>
  <c r="H4" i="18"/>
  <c r="G26" i="18"/>
  <c r="G27" i="18" s="1"/>
  <c r="E29" i="18"/>
  <c r="F37" i="18"/>
  <c r="F42" i="18" s="1"/>
  <c r="G32" i="1" s="1"/>
  <c r="E37" i="18"/>
  <c r="E42" i="18" s="1"/>
  <c r="F32" i="1" s="1"/>
  <c r="J10" i="18"/>
  <c r="J41" i="6"/>
  <c r="J44" i="6" s="1"/>
  <c r="K29" i="1" s="1"/>
  <c r="K4" i="6"/>
  <c r="J14" i="6"/>
  <c r="J22" i="6"/>
  <c r="J30" i="6"/>
  <c r="F39" i="18" l="1"/>
  <c r="F44" i="18" s="1"/>
  <c r="G12" i="1"/>
  <c r="G29" i="18"/>
  <c r="G30" i="18" s="1"/>
  <c r="G31" i="18" s="1"/>
  <c r="K10" i="18"/>
  <c r="E30" i="18"/>
  <c r="E31" i="18" s="1"/>
  <c r="H54" i="18"/>
  <c r="I4" i="18"/>
  <c r="H12" i="18"/>
  <c r="H13" i="18" s="1"/>
  <c r="H19" i="18"/>
  <c r="H20" i="18" s="1"/>
  <c r="H33" i="18"/>
  <c r="H35" i="18" s="1"/>
  <c r="H26" i="18"/>
  <c r="H27" i="18" s="1"/>
  <c r="N24" i="18"/>
  <c r="M24" i="18"/>
  <c r="L4" i="6"/>
  <c r="K22" i="6"/>
  <c r="K14" i="6"/>
  <c r="K30" i="6"/>
  <c r="K37" i="6"/>
  <c r="K39" i="6" s="1"/>
  <c r="E39" i="18" l="1"/>
  <c r="E44" i="18" s="1"/>
  <c r="F12" i="1"/>
  <c r="G39" i="18"/>
  <c r="G44" i="18" s="1"/>
  <c r="H12" i="1"/>
  <c r="H37" i="18"/>
  <c r="H42" i="18" s="1"/>
  <c r="I32" i="1" s="1"/>
  <c r="L10" i="18"/>
  <c r="H29" i="18"/>
  <c r="I54" i="18"/>
  <c r="J4" i="18"/>
  <c r="I33" i="18"/>
  <c r="I35" i="18" s="1"/>
  <c r="I12" i="18"/>
  <c r="I13" i="18" s="1"/>
  <c r="I26" i="18"/>
  <c r="I27" i="18" s="1"/>
  <c r="I19" i="18"/>
  <c r="I20" i="18" s="1"/>
  <c r="M4" i="6"/>
  <c r="L37" i="6"/>
  <c r="L14" i="6"/>
  <c r="L22" i="6"/>
  <c r="L30" i="6"/>
  <c r="K41" i="6"/>
  <c r="K44" i="6" s="1"/>
  <c r="L29" i="1" s="1"/>
  <c r="J54" i="18" l="1"/>
  <c r="J12" i="18"/>
  <c r="J13" i="18" s="1"/>
  <c r="K4" i="18"/>
  <c r="J33" i="18"/>
  <c r="J35" i="18" s="1"/>
  <c r="J19" i="18"/>
  <c r="J20" i="18" s="1"/>
  <c r="J26" i="18"/>
  <c r="J27" i="18" s="1"/>
  <c r="I37" i="18"/>
  <c r="I42" i="18" s="1"/>
  <c r="J32" i="1" s="1"/>
  <c r="I29" i="18"/>
  <c r="H30" i="18"/>
  <c r="H31" i="18" s="1"/>
  <c r="M10" i="18"/>
  <c r="N10" i="18"/>
  <c r="N4" i="6"/>
  <c r="M14" i="6"/>
  <c r="M30" i="6"/>
  <c r="M22" i="6"/>
  <c r="M37" i="6"/>
  <c r="M39" i="6" s="1"/>
  <c r="H39" i="18" l="1"/>
  <c r="H44" i="18" s="1"/>
  <c r="I12" i="1"/>
  <c r="I30" i="18"/>
  <c r="I31" i="18" s="1"/>
  <c r="J29" i="18"/>
  <c r="K54" i="18"/>
  <c r="K19" i="18"/>
  <c r="K20" i="18" s="1"/>
  <c r="K26" i="18"/>
  <c r="K27" i="18" s="1"/>
  <c r="L4" i="18"/>
  <c r="K33" i="18"/>
  <c r="K35" i="18" s="1"/>
  <c r="K12" i="18"/>
  <c r="K13" i="18" s="1"/>
  <c r="J37" i="18"/>
  <c r="J42" i="18" s="1"/>
  <c r="K32" i="1" s="1"/>
  <c r="M41" i="6"/>
  <c r="M44" i="6" s="1"/>
  <c r="N29" i="1" s="1"/>
  <c r="N22" i="6"/>
  <c r="N30" i="6"/>
  <c r="N14" i="6"/>
  <c r="N37" i="6"/>
  <c r="N39" i="6" s="1"/>
  <c r="I39" i="18" l="1"/>
  <c r="I44" i="18" s="1"/>
  <c r="J12" i="1"/>
  <c r="K29" i="18"/>
  <c r="K37" i="18"/>
  <c r="K42" i="18" s="1"/>
  <c r="L32" i="1" s="1"/>
  <c r="L54" i="18"/>
  <c r="M4" i="18"/>
  <c r="L26" i="18"/>
  <c r="L27" i="18" s="1"/>
  <c r="L12" i="18"/>
  <c r="L13" i="18" s="1"/>
  <c r="L19" i="18"/>
  <c r="L20" i="18" s="1"/>
  <c r="L33" i="18"/>
  <c r="L35" i="18" s="1"/>
  <c r="J30" i="18"/>
  <c r="J31" i="18" s="1"/>
  <c r="N41" i="6"/>
  <c r="N44" i="6" s="1"/>
  <c r="O29" i="1" s="1"/>
  <c r="J39" i="18" l="1"/>
  <c r="J44" i="18" s="1"/>
  <c r="K12" i="1"/>
  <c r="L29" i="18"/>
  <c r="L30" i="18" s="1"/>
  <c r="L31" i="18" s="1"/>
  <c r="K30" i="18"/>
  <c r="K31" i="18" s="1"/>
  <c r="L37" i="18"/>
  <c r="L42" i="18" s="1"/>
  <c r="M32" i="1" s="1"/>
  <c r="M54" i="18"/>
  <c r="M33" i="18"/>
  <c r="M35" i="18" s="1"/>
  <c r="N4" i="18"/>
  <c r="M19" i="18"/>
  <c r="M20" i="18" s="1"/>
  <c r="M12" i="18"/>
  <c r="M13" i="18" s="1"/>
  <c r="M26" i="18"/>
  <c r="M27" i="18" s="1"/>
  <c r="L39" i="18" l="1"/>
  <c r="M12" i="1"/>
  <c r="K39" i="18"/>
  <c r="K44" i="18" s="1"/>
  <c r="L12" i="1"/>
  <c r="M29" i="18"/>
  <c r="M30" i="18" s="1"/>
  <c r="M31" i="18" s="1"/>
  <c r="L44" i="18"/>
  <c r="N54" i="18"/>
  <c r="N26" i="18"/>
  <c r="N27" i="18" s="1"/>
  <c r="N12" i="18"/>
  <c r="N13" i="18" s="1"/>
  <c r="N33" i="18"/>
  <c r="N19" i="18"/>
  <c r="N20" i="18" s="1"/>
  <c r="M37" i="18"/>
  <c r="M42" i="18" s="1"/>
  <c r="N32" i="1" s="1"/>
  <c r="M39" i="18" l="1"/>
  <c r="M44" i="18" s="1"/>
  <c r="N12" i="1"/>
  <c r="N29" i="18"/>
  <c r="N30" i="18" s="1"/>
  <c r="N31" i="18" s="1"/>
  <c r="I34" i="18"/>
  <c r="N35" i="18"/>
  <c r="J34" i="18" s="1"/>
  <c r="N37" i="18"/>
  <c r="N42" i="18" s="1"/>
  <c r="O32" i="1" s="1"/>
  <c r="N34" i="18"/>
  <c r="G34" i="18"/>
  <c r="E34" i="18"/>
  <c r="K34" i="18"/>
  <c r="F34" i="18"/>
  <c r="H34" i="18"/>
  <c r="G95" i="1" l="1"/>
  <c r="E95" i="1" s="1"/>
  <c r="N39" i="18"/>
  <c r="O12" i="1"/>
  <c r="M34" i="18"/>
  <c r="D34" i="18"/>
  <c r="L34" i="18"/>
  <c r="N40" i="18"/>
  <c r="N41" i="18" l="1"/>
  <c r="N44" i="18" s="1"/>
  <c r="D46" i="18" s="1"/>
  <c r="D77" i="16" s="1"/>
  <c r="P12" i="1"/>
  <c r="D45" i="18" l="1"/>
  <c r="N26" i="4"/>
  <c r="K26" i="4"/>
  <c r="E26" i="4"/>
  <c r="F18" i="4"/>
  <c r="G18" i="4"/>
  <c r="H18" i="4"/>
  <c r="L18" i="4"/>
  <c r="M18" i="4"/>
  <c r="N18" i="4"/>
  <c r="E18" i="4"/>
  <c r="E29" i="4"/>
  <c r="D30" i="4"/>
  <c r="J26" i="4"/>
  <c r="I26" i="4"/>
  <c r="H26" i="4"/>
  <c r="G26" i="4"/>
  <c r="F26" i="4"/>
  <c r="C25" i="4"/>
  <c r="D22" i="4"/>
  <c r="C17" i="4"/>
  <c r="D45" i="5"/>
  <c r="D43" i="5"/>
  <c r="D48" i="5" s="1"/>
  <c r="E28" i="1" s="1"/>
  <c r="D39" i="5"/>
  <c r="E5" i="5"/>
  <c r="F5" i="5" s="1"/>
  <c r="G5" i="5" s="1"/>
  <c r="H5" i="5" s="1"/>
  <c r="I5" i="5" s="1"/>
  <c r="J5" i="5" s="1"/>
  <c r="K5" i="5" s="1"/>
  <c r="L5" i="5" s="1"/>
  <c r="M5" i="5" s="1"/>
  <c r="N5" i="5" s="1"/>
  <c r="N61" i="5" s="1"/>
  <c r="D5" i="5"/>
  <c r="D61" i="5" s="1"/>
  <c r="E4" i="5"/>
  <c r="F4" i="5" s="1"/>
  <c r="E83" i="3"/>
  <c r="E85" i="3" s="1"/>
  <c r="G85" i="3"/>
  <c r="G86" i="3"/>
  <c r="G84" i="3"/>
  <c r="I18" i="7"/>
  <c r="I19" i="7" s="1"/>
  <c r="F10" i="7"/>
  <c r="G10" i="7" s="1"/>
  <c r="H10" i="7" s="1"/>
  <c r="I10" i="7" s="1"/>
  <c r="J10" i="7" s="1"/>
  <c r="K10" i="7" s="1"/>
  <c r="L10" i="7" s="1"/>
  <c r="M10" i="7" s="1"/>
  <c r="N10" i="7" s="1"/>
  <c r="E10" i="7"/>
  <c r="F27" i="7"/>
  <c r="G27" i="7"/>
  <c r="H27" i="7"/>
  <c r="I27" i="7"/>
  <c r="J27" i="7"/>
  <c r="K27" i="7"/>
  <c r="L27" i="7"/>
  <c r="M27" i="7"/>
  <c r="N27" i="7"/>
  <c r="E27" i="7"/>
  <c r="E19" i="7"/>
  <c r="D29" i="7"/>
  <c r="D21" i="7"/>
  <c r="G19" i="7"/>
  <c r="F19" i="7"/>
  <c r="G59" i="8"/>
  <c r="F59" i="8"/>
  <c r="J18" i="8"/>
  <c r="H19" i="8"/>
  <c r="G10" i="8"/>
  <c r="H10" i="8" s="1"/>
  <c r="I10" i="8" s="1"/>
  <c r="J10" i="8" s="1"/>
  <c r="K10" i="8" s="1"/>
  <c r="L10" i="8" s="1"/>
  <c r="M10" i="8" s="1"/>
  <c r="N10" i="8" s="1"/>
  <c r="J19" i="8"/>
  <c r="D29" i="8"/>
  <c r="D21" i="8"/>
  <c r="G18" i="8"/>
  <c r="G19" i="8" s="1"/>
  <c r="F18" i="8"/>
  <c r="F19" i="8" s="1"/>
  <c r="E18" i="8"/>
  <c r="E19" i="8" s="1"/>
  <c r="K29" i="4" l="1"/>
  <c r="F21" i="4"/>
  <c r="H29" i="4"/>
  <c r="J29" i="4"/>
  <c r="F29" i="4"/>
  <c r="E21" i="4"/>
  <c r="I29" i="4"/>
  <c r="G21" i="4"/>
  <c r="G29" i="4"/>
  <c r="E39" i="5"/>
  <c r="I13" i="15"/>
  <c r="I65" i="15" s="1"/>
  <c r="G64" i="8"/>
  <c r="H67" i="1" s="1"/>
  <c r="H13" i="15"/>
  <c r="H65" i="15" s="1"/>
  <c r="F64" i="8"/>
  <c r="G67" i="1" s="1"/>
  <c r="J18" i="7"/>
  <c r="G4" i="5"/>
  <c r="H4" i="5" s="1"/>
  <c r="H39" i="5" s="1"/>
  <c r="F60" i="5"/>
  <c r="E60" i="5"/>
  <c r="I18" i="8"/>
  <c r="I19" i="8" s="1"/>
  <c r="H21" i="4"/>
  <c r="G60" i="5"/>
  <c r="K61" i="5"/>
  <c r="H61" i="5"/>
  <c r="L61" i="5"/>
  <c r="E61" i="5"/>
  <c r="I61" i="5"/>
  <c r="M61" i="5"/>
  <c r="G61" i="5"/>
  <c r="F61" i="5"/>
  <c r="J61" i="5"/>
  <c r="D50" i="5"/>
  <c r="F39" i="5"/>
  <c r="G39" i="5"/>
  <c r="E84" i="3"/>
  <c r="E86" i="3"/>
  <c r="K18" i="8"/>
  <c r="K19" i="8" s="1"/>
  <c r="D67" i="1" l="1"/>
  <c r="E13" i="15"/>
  <c r="E65" i="15" s="1"/>
  <c r="J19" i="7"/>
  <c r="K18" i="7"/>
  <c r="I4" i="5"/>
  <c r="H60" i="5"/>
  <c r="L18" i="8"/>
  <c r="L19" i="8" s="1"/>
  <c r="K19" i="7" l="1"/>
  <c r="L18" i="7"/>
  <c r="I60" i="5"/>
  <c r="J4" i="5"/>
  <c r="I39" i="5"/>
  <c r="M18" i="8"/>
  <c r="M19" i="8" s="1"/>
  <c r="M18" i="7" l="1"/>
  <c r="L19" i="7"/>
  <c r="K4" i="5"/>
  <c r="J60" i="5"/>
  <c r="J39" i="5"/>
  <c r="N18" i="8"/>
  <c r="M19" i="7" l="1"/>
  <c r="N18" i="7"/>
  <c r="N19" i="7" s="1"/>
  <c r="L4" i="5"/>
  <c r="K60" i="5"/>
  <c r="K39" i="5"/>
  <c r="N19" i="8"/>
  <c r="M4" i="5" l="1"/>
  <c r="L60" i="5"/>
  <c r="L39" i="5"/>
  <c r="M60" i="5" l="1"/>
  <c r="N4" i="5"/>
  <c r="M39" i="5"/>
  <c r="M41" i="5" s="1"/>
  <c r="M43" i="5" l="1"/>
  <c r="M48" i="5" s="1"/>
  <c r="N28" i="1" s="1"/>
  <c r="N60" i="5"/>
  <c r="N39" i="5"/>
  <c r="N41" i="5" s="1"/>
  <c r="N43" i="5" l="1"/>
  <c r="N48" i="5" s="1"/>
  <c r="O28" i="1" s="1"/>
  <c r="G78" i="3" l="1"/>
  <c r="D78" i="3" l="1"/>
  <c r="F81" i="3" s="1"/>
  <c r="E74" i="3"/>
  <c r="F74" i="3" s="1"/>
  <c r="E75" i="3"/>
  <c r="F75" i="3" s="1"/>
  <c r="E76" i="3"/>
  <c r="F76" i="3" s="1"/>
  <c r="E77" i="3"/>
  <c r="F77" i="3" s="1"/>
  <c r="H75" i="3"/>
  <c r="H76" i="3"/>
  <c r="H77" i="3"/>
  <c r="H74" i="3"/>
  <c r="F78" i="3" l="1"/>
  <c r="H78" i="3"/>
  <c r="C12" i="3"/>
  <c r="E78" i="3"/>
  <c r="C14" i="3" s="1"/>
  <c r="C23" i="3" s="1"/>
  <c r="G68" i="3" l="1"/>
  <c r="H60" i="1" s="1"/>
  <c r="N68" i="3"/>
  <c r="O60" i="1" s="1"/>
  <c r="J68" i="3"/>
  <c r="K60" i="1" s="1"/>
  <c r="M68" i="3"/>
  <c r="N60" i="1" s="1"/>
  <c r="L68" i="3"/>
  <c r="M60" i="1" s="1"/>
  <c r="I9" i="3"/>
  <c r="N9" i="3"/>
  <c r="C12" i="5"/>
  <c r="J9" i="3"/>
  <c r="L9" i="3"/>
  <c r="C21" i="3"/>
  <c r="M9" i="3"/>
  <c r="D23" i="3"/>
  <c r="C32" i="3"/>
  <c r="D32" i="3" s="1"/>
  <c r="F85" i="3"/>
  <c r="H86" i="3"/>
  <c r="H84" i="3"/>
  <c r="H85" i="3"/>
  <c r="F86" i="3"/>
  <c r="F91" i="3" s="1"/>
  <c r="F84" i="3"/>
  <c r="F83" i="5"/>
  <c r="G83" i="5" s="1"/>
  <c r="H83" i="5" s="1"/>
  <c r="E77" i="5" s="1"/>
  <c r="C14" i="5" s="1"/>
  <c r="L18" i="3" l="1"/>
  <c r="G18" i="3"/>
  <c r="E18" i="3"/>
  <c r="G22" i="3" s="1"/>
  <c r="G23" i="3" s="1"/>
  <c r="J18" i="3"/>
  <c r="M18" i="3"/>
  <c r="F18" i="3"/>
  <c r="N18" i="3"/>
  <c r="K18" i="3"/>
  <c r="G68" i="5"/>
  <c r="H62" i="1" s="1"/>
  <c r="M68" i="5"/>
  <c r="N62" i="1" s="1"/>
  <c r="K68" i="5"/>
  <c r="L62" i="1" s="1"/>
  <c r="H68" i="5"/>
  <c r="I62" i="1" s="1"/>
  <c r="N68" i="5"/>
  <c r="O62" i="1" s="1"/>
  <c r="J68" i="5"/>
  <c r="K62" i="1" s="1"/>
  <c r="E68" i="5"/>
  <c r="F62" i="1" s="1"/>
  <c r="D14" i="5"/>
  <c r="C23" i="5"/>
  <c r="H89" i="3"/>
  <c r="H94" i="3" s="1"/>
  <c r="H87" i="3"/>
  <c r="F87" i="3"/>
  <c r="F89" i="3"/>
  <c r="H91" i="3"/>
  <c r="G91" i="3" s="1"/>
  <c r="F18" i="5"/>
  <c r="M18" i="5"/>
  <c r="K9" i="5"/>
  <c r="N9" i="5"/>
  <c r="K18" i="5"/>
  <c r="L9" i="5"/>
  <c r="C21" i="5"/>
  <c r="J9" i="5"/>
  <c r="M9" i="5"/>
  <c r="G18" i="5"/>
  <c r="H9" i="5"/>
  <c r="L18" i="5"/>
  <c r="I9" i="5"/>
  <c r="N18" i="5"/>
  <c r="E18" i="5"/>
  <c r="F96" i="3"/>
  <c r="E91" i="3"/>
  <c r="F90" i="3"/>
  <c r="E90" i="3" s="1"/>
  <c r="C30" i="3"/>
  <c r="E22" i="3"/>
  <c r="E23" i="3" s="1"/>
  <c r="H90" i="3"/>
  <c r="G90" i="3" s="1"/>
  <c r="E80" i="5"/>
  <c r="F81" i="5"/>
  <c r="C30" i="5" l="1"/>
  <c r="D77" i="5"/>
  <c r="I27" i="3"/>
  <c r="M27" i="3"/>
  <c r="H27" i="3"/>
  <c r="F27" i="3"/>
  <c r="J27" i="3"/>
  <c r="N27" i="3"/>
  <c r="L27" i="3"/>
  <c r="G27" i="3"/>
  <c r="E27" i="3"/>
  <c r="F22" i="3"/>
  <c r="F23" i="3" s="1"/>
  <c r="F27" i="5"/>
  <c r="J27" i="5"/>
  <c r="E27" i="5"/>
  <c r="G27" i="5"/>
  <c r="K27" i="5"/>
  <c r="I27" i="5"/>
  <c r="H27" i="5"/>
  <c r="M27" i="5"/>
  <c r="N27" i="5"/>
  <c r="C32" i="5"/>
  <c r="D32" i="5" s="1"/>
  <c r="D23" i="5"/>
  <c r="F14" i="5"/>
  <c r="H14" i="5"/>
  <c r="E14" i="5"/>
  <c r="G14" i="5"/>
  <c r="I14" i="5"/>
  <c r="J14" i="5"/>
  <c r="K14" i="5"/>
  <c r="L14" i="5"/>
  <c r="M14" i="5"/>
  <c r="N14" i="5"/>
  <c r="H95" i="3"/>
  <c r="H96" i="3"/>
  <c r="G95" i="3"/>
  <c r="C59" i="4" s="1"/>
  <c r="I60" i="4" s="1"/>
  <c r="C60" i="6"/>
  <c r="D60" i="6" s="1"/>
  <c r="G96" i="3"/>
  <c r="C61" i="4" s="1"/>
  <c r="C62" i="6"/>
  <c r="C64" i="5"/>
  <c r="E96" i="3"/>
  <c r="C64" i="3" s="1"/>
  <c r="D91" i="3"/>
  <c r="F94" i="3"/>
  <c r="E89" i="3"/>
  <c r="F92" i="3"/>
  <c r="F101" i="3" s="1"/>
  <c r="F95" i="3"/>
  <c r="C63" i="5"/>
  <c r="I63" i="5" s="1"/>
  <c r="E95" i="3"/>
  <c r="D90" i="3"/>
  <c r="G22" i="5"/>
  <c r="G23" i="5" s="1"/>
  <c r="F22" i="5"/>
  <c r="F23" i="5" s="1"/>
  <c r="E22" i="5"/>
  <c r="E23" i="5" s="1"/>
  <c r="G89" i="3"/>
  <c r="H92" i="3"/>
  <c r="F102" i="3" s="1"/>
  <c r="F82" i="5"/>
  <c r="G82" i="5" s="1"/>
  <c r="H82" i="5" s="1"/>
  <c r="I67" i="5" l="1"/>
  <c r="K27" i="15"/>
  <c r="L64" i="5"/>
  <c r="L41" i="5" s="1"/>
  <c r="L43" i="5" s="1"/>
  <c r="L48" i="5" s="1"/>
  <c r="M28" i="1" s="1"/>
  <c r="H97" i="3"/>
  <c r="F100" i="3" s="1"/>
  <c r="I65" i="4"/>
  <c r="J75" i="1" s="1"/>
  <c r="H23" i="5"/>
  <c r="J23" i="5"/>
  <c r="I23" i="5"/>
  <c r="K23" i="5"/>
  <c r="L23" i="5"/>
  <c r="M23" i="5"/>
  <c r="N23" i="5"/>
  <c r="J32" i="5"/>
  <c r="I32" i="5"/>
  <c r="H32" i="5"/>
  <c r="K32" i="5"/>
  <c r="L32" i="5"/>
  <c r="M32" i="5"/>
  <c r="N32" i="5"/>
  <c r="L27" i="5"/>
  <c r="N31" i="5" s="1"/>
  <c r="D59" i="4"/>
  <c r="I59" i="4" s="1"/>
  <c r="K62" i="4"/>
  <c r="L63" i="6"/>
  <c r="D62" i="6"/>
  <c r="M62" i="6" s="1"/>
  <c r="G94" i="3"/>
  <c r="C57" i="4" s="1"/>
  <c r="C58" i="6"/>
  <c r="C64" i="6" s="1"/>
  <c r="J60" i="6"/>
  <c r="I61" i="6"/>
  <c r="D61" i="4"/>
  <c r="M61" i="4" s="1"/>
  <c r="F97" i="3"/>
  <c r="F99" i="3" s="1"/>
  <c r="K18" i="4"/>
  <c r="H31" i="5"/>
  <c r="G31" i="5"/>
  <c r="G32" i="5" s="1"/>
  <c r="F31" i="5"/>
  <c r="F32" i="5" s="1"/>
  <c r="I31" i="5"/>
  <c r="E31" i="5"/>
  <c r="E32" i="5" s="1"/>
  <c r="J31" i="5"/>
  <c r="K31" i="5"/>
  <c r="D95" i="3"/>
  <c r="C63" i="3"/>
  <c r="I31" i="3"/>
  <c r="F31" i="3"/>
  <c r="F32" i="3" s="1"/>
  <c r="J31" i="3"/>
  <c r="G31" i="3"/>
  <c r="G32" i="3" s="1"/>
  <c r="E31" i="3"/>
  <c r="E32" i="3" s="1"/>
  <c r="H31" i="3"/>
  <c r="K64" i="3"/>
  <c r="M42" i="15" s="1"/>
  <c r="D96" i="3"/>
  <c r="D63" i="5"/>
  <c r="C62" i="5"/>
  <c r="F62" i="5" s="1"/>
  <c r="D89" i="3"/>
  <c r="E94" i="3"/>
  <c r="D64" i="5"/>
  <c r="K41" i="5"/>
  <c r="G81" i="5"/>
  <c r="H81" i="5" s="1"/>
  <c r="F84" i="5"/>
  <c r="G84" i="5" s="1"/>
  <c r="H77" i="5" s="1"/>
  <c r="C65" i="5" l="1"/>
  <c r="E27" i="15"/>
  <c r="K62" i="15"/>
  <c r="I68" i="5"/>
  <c r="J62" i="1" s="1"/>
  <c r="J76" i="1"/>
  <c r="N45" i="15"/>
  <c r="K28" i="15"/>
  <c r="L67" i="5"/>
  <c r="N44" i="15"/>
  <c r="J26" i="15"/>
  <c r="M43" i="15"/>
  <c r="E42" i="15"/>
  <c r="M60" i="15"/>
  <c r="F103" i="3"/>
  <c r="G103" i="3" s="1"/>
  <c r="D57" i="4"/>
  <c r="G57" i="4" s="1"/>
  <c r="G66" i="4" s="1"/>
  <c r="H61" i="1" s="1"/>
  <c r="C63" i="4"/>
  <c r="K67" i="3"/>
  <c r="K27" i="3"/>
  <c r="F67" i="5"/>
  <c r="H10" i="15"/>
  <c r="J59" i="4"/>
  <c r="J18" i="4" s="1"/>
  <c r="J18" i="6"/>
  <c r="J67" i="6"/>
  <c r="K63" i="1" s="1"/>
  <c r="I18" i="4"/>
  <c r="I21" i="4" s="1"/>
  <c r="I66" i="4"/>
  <c r="J61" i="1" s="1"/>
  <c r="M26" i="6"/>
  <c r="M29" i="6" s="1"/>
  <c r="M67" i="6"/>
  <c r="N63" i="1" s="1"/>
  <c r="M26" i="4"/>
  <c r="M66" i="4"/>
  <c r="N61" i="1" s="1"/>
  <c r="I39" i="6"/>
  <c r="I41" i="6" s="1"/>
  <c r="I44" i="6" s="1"/>
  <c r="J29" i="1" s="1"/>
  <c r="I66" i="6"/>
  <c r="J77" i="1" s="1"/>
  <c r="K65" i="4"/>
  <c r="L75" i="1" s="1"/>
  <c r="L39" i="6"/>
  <c r="L41" i="6" s="1"/>
  <c r="L44" i="6" s="1"/>
  <c r="M29" i="1" s="1"/>
  <c r="L66" i="6"/>
  <c r="M77" i="1" s="1"/>
  <c r="D63" i="4"/>
  <c r="M31" i="5"/>
  <c r="L31" i="5"/>
  <c r="J41" i="5"/>
  <c r="J43" i="5" s="1"/>
  <c r="J48" i="5" s="1"/>
  <c r="K28" i="1" s="1"/>
  <c r="J18" i="5"/>
  <c r="L61" i="4"/>
  <c r="E58" i="4"/>
  <c r="G9" i="15" s="1"/>
  <c r="D58" i="6"/>
  <c r="F58" i="6" s="1"/>
  <c r="E59" i="6"/>
  <c r="G11" i="15" s="1"/>
  <c r="D62" i="5"/>
  <c r="H20" i="5"/>
  <c r="N20" i="5"/>
  <c r="C20" i="5" s="1"/>
  <c r="L20" i="5"/>
  <c r="G20" i="5"/>
  <c r="I20" i="5"/>
  <c r="F20" i="5"/>
  <c r="K20" i="5"/>
  <c r="M20" i="5"/>
  <c r="J20" i="5"/>
  <c r="E20" i="5"/>
  <c r="E19" i="5" s="1"/>
  <c r="F19" i="5" s="1"/>
  <c r="D64" i="3"/>
  <c r="K43" i="5"/>
  <c r="K48" i="5" s="1"/>
  <c r="L28" i="1" s="1"/>
  <c r="C62" i="3"/>
  <c r="C65" i="3" s="1"/>
  <c r="D94" i="3"/>
  <c r="I18" i="5"/>
  <c r="I41" i="5"/>
  <c r="H10" i="4"/>
  <c r="H41" i="5"/>
  <c r="H18" i="5"/>
  <c r="F29" i="5"/>
  <c r="G29" i="5"/>
  <c r="E29" i="5"/>
  <c r="E28" i="5" s="1"/>
  <c r="M29" i="5"/>
  <c r="L29" i="5"/>
  <c r="N29" i="5"/>
  <c r="C29" i="5" s="1"/>
  <c r="H29" i="5"/>
  <c r="K29" i="5"/>
  <c r="I29" i="5"/>
  <c r="J29" i="5"/>
  <c r="H63" i="3"/>
  <c r="J25" i="15" s="1"/>
  <c r="I63" i="3"/>
  <c r="K25" i="15" s="1"/>
  <c r="K60" i="15" s="1"/>
  <c r="D63" i="3"/>
  <c r="H84" i="5"/>
  <c r="C7" i="14"/>
  <c r="E19" i="16"/>
  <c r="E39" i="1" s="1"/>
  <c r="G101" i="1" s="1"/>
  <c r="D107" i="16" s="1"/>
  <c r="F13" i="16"/>
  <c r="E100" i="1" s="1"/>
  <c r="G13" i="16"/>
  <c r="H7" i="16"/>
  <c r="H8" i="16"/>
  <c r="H9" i="16"/>
  <c r="H11" i="16"/>
  <c r="H12" i="16"/>
  <c r="H5" i="16"/>
  <c r="F57" i="4" l="1"/>
  <c r="F66" i="4" s="1"/>
  <c r="G61" i="1" s="1"/>
  <c r="F68" i="5"/>
  <c r="G62" i="1" s="1"/>
  <c r="G76" i="1"/>
  <c r="E44" i="15"/>
  <c r="N62" i="15"/>
  <c r="L68" i="5"/>
  <c r="M62" i="1" s="1"/>
  <c r="D62" i="1" s="1"/>
  <c r="M76" i="1"/>
  <c r="E28" i="15"/>
  <c r="K63" i="15"/>
  <c r="N63" i="15"/>
  <c r="E45" i="15"/>
  <c r="J60" i="15"/>
  <c r="E25" i="15"/>
  <c r="E43" i="15"/>
  <c r="M61" i="15"/>
  <c r="E26" i="15"/>
  <c r="J61" i="15"/>
  <c r="E11" i="15"/>
  <c r="G63" i="15"/>
  <c r="E9" i="15"/>
  <c r="G61" i="15"/>
  <c r="E10" i="15"/>
  <c r="H62" i="15"/>
  <c r="K68" i="3"/>
  <c r="L60" i="1" s="1"/>
  <c r="L74" i="1"/>
  <c r="I67" i="3"/>
  <c r="I18" i="3"/>
  <c r="H67" i="3"/>
  <c r="H18" i="3"/>
  <c r="J66" i="4"/>
  <c r="K61" i="1" s="1"/>
  <c r="C8" i="14"/>
  <c r="J21" i="4"/>
  <c r="N29" i="6"/>
  <c r="L21" i="4"/>
  <c r="F10" i="6"/>
  <c r="F13" i="6" s="1"/>
  <c r="F67" i="6"/>
  <c r="L26" i="4"/>
  <c r="N29" i="4" s="1"/>
  <c r="L66" i="4"/>
  <c r="M61" i="1" s="1"/>
  <c r="K21" i="4"/>
  <c r="N21" i="4"/>
  <c r="M21" i="4"/>
  <c r="E39" i="6"/>
  <c r="E66" i="6"/>
  <c r="F77" i="1" s="1"/>
  <c r="D77" i="1" s="1"/>
  <c r="E65" i="4"/>
  <c r="F75" i="1" s="1"/>
  <c r="F62" i="3"/>
  <c r="E62" i="3"/>
  <c r="D64" i="6"/>
  <c r="G10" i="6"/>
  <c r="F28" i="5"/>
  <c r="G28" i="5" s="1"/>
  <c r="H29" i="3"/>
  <c r="L29" i="3"/>
  <c r="I29" i="3"/>
  <c r="M29" i="3"/>
  <c r="F29" i="3"/>
  <c r="J29" i="3"/>
  <c r="N29" i="3"/>
  <c r="G29" i="3"/>
  <c r="K29" i="3"/>
  <c r="E29" i="3"/>
  <c r="E28" i="3" s="1"/>
  <c r="C27" i="3"/>
  <c r="F9" i="5"/>
  <c r="F41" i="5"/>
  <c r="F20" i="3"/>
  <c r="J20" i="3"/>
  <c r="N20" i="3"/>
  <c r="G20" i="3"/>
  <c r="K20" i="3"/>
  <c r="H20" i="3"/>
  <c r="L20" i="3"/>
  <c r="E20" i="3"/>
  <c r="E19" i="3" s="1"/>
  <c r="I20" i="3"/>
  <c r="M20" i="3"/>
  <c r="C18" i="3"/>
  <c r="K22" i="5"/>
  <c r="J22" i="5"/>
  <c r="N22" i="5"/>
  <c r="I22" i="5"/>
  <c r="H22" i="5"/>
  <c r="M22" i="5"/>
  <c r="L22" i="5"/>
  <c r="D62" i="3"/>
  <c r="G9" i="5"/>
  <c r="G41" i="5"/>
  <c r="H43" i="5"/>
  <c r="H48" i="5" s="1"/>
  <c r="I28" i="1" s="1"/>
  <c r="I43" i="5"/>
  <c r="I48" i="5" s="1"/>
  <c r="J28" i="1" s="1"/>
  <c r="G19" i="5"/>
  <c r="J11" i="5"/>
  <c r="K11" i="5"/>
  <c r="K35" i="5" s="1"/>
  <c r="K36" i="5" s="1"/>
  <c r="K37" i="5" s="1"/>
  <c r="L8" i="1" s="1"/>
  <c r="H11" i="5"/>
  <c r="N11" i="5"/>
  <c r="E11" i="5"/>
  <c r="L11" i="5"/>
  <c r="I11" i="5"/>
  <c r="I35" i="5" s="1"/>
  <c r="D65" i="5"/>
  <c r="F11" i="5"/>
  <c r="G11" i="5"/>
  <c r="M11" i="5"/>
  <c r="M35" i="5" s="1"/>
  <c r="M36" i="5" s="1"/>
  <c r="M37" i="5" s="1"/>
  <c r="N8" i="1" s="1"/>
  <c r="E9" i="5"/>
  <c r="E41" i="5"/>
  <c r="F77" i="5"/>
  <c r="H13" i="16"/>
  <c r="E62" i="15" l="1"/>
  <c r="E63" i="15"/>
  <c r="E57" i="15"/>
  <c r="J76" i="15"/>
  <c r="E61" i="15"/>
  <c r="E40" i="15"/>
  <c r="D76" i="1"/>
  <c r="M85" i="1"/>
  <c r="M76" i="15"/>
  <c r="I68" i="3"/>
  <c r="J60" i="1" s="1"/>
  <c r="J74" i="1"/>
  <c r="J85" i="1" s="1"/>
  <c r="H68" i="3"/>
  <c r="I60" i="1" s="1"/>
  <c r="I74" i="1"/>
  <c r="I85" i="1" s="1"/>
  <c r="D61" i="1"/>
  <c r="L85" i="1"/>
  <c r="F85" i="1"/>
  <c r="D75" i="1"/>
  <c r="I40" i="5"/>
  <c r="E67" i="3"/>
  <c r="F74" i="1" s="1"/>
  <c r="G8" i="15"/>
  <c r="G60" i="15" s="1"/>
  <c r="G76" i="15" s="1"/>
  <c r="F67" i="3"/>
  <c r="H8" i="15"/>
  <c r="H60" i="15" s="1"/>
  <c r="L29" i="4"/>
  <c r="M29" i="4"/>
  <c r="G63" i="1"/>
  <c r="D63" i="1" s="1"/>
  <c r="F19" i="3"/>
  <c r="G19" i="3" s="1"/>
  <c r="M45" i="5"/>
  <c r="M50" i="5" s="1"/>
  <c r="I13" i="6"/>
  <c r="H13" i="6"/>
  <c r="G13" i="6"/>
  <c r="M13" i="6"/>
  <c r="J13" i="6"/>
  <c r="N13" i="6"/>
  <c r="L13" i="6"/>
  <c r="K13" i="6"/>
  <c r="K45" i="5"/>
  <c r="K50" i="5" s="1"/>
  <c r="L35" i="5"/>
  <c r="F35" i="5"/>
  <c r="F36" i="5" s="1"/>
  <c r="F37" i="5" s="1"/>
  <c r="G8" i="1" s="1"/>
  <c r="J35" i="5"/>
  <c r="E13" i="5"/>
  <c r="H13" i="5"/>
  <c r="F13" i="5"/>
  <c r="G13" i="5"/>
  <c r="J13" i="5"/>
  <c r="L13" i="5"/>
  <c r="N13" i="5"/>
  <c r="M13" i="5"/>
  <c r="I13" i="5"/>
  <c r="C11" i="5"/>
  <c r="N35" i="5"/>
  <c r="N36" i="5" s="1"/>
  <c r="N37" i="5" s="1"/>
  <c r="O8" i="1" s="1"/>
  <c r="H19" i="5"/>
  <c r="I19" i="5" s="1"/>
  <c r="F43" i="5"/>
  <c r="F48" i="5" s="1"/>
  <c r="G28" i="1" s="1"/>
  <c r="F40" i="5"/>
  <c r="N31" i="3"/>
  <c r="K31" i="3"/>
  <c r="M31" i="3"/>
  <c r="L31" i="3"/>
  <c r="I36" i="5"/>
  <c r="I37" i="5" s="1"/>
  <c r="J8" i="1" s="1"/>
  <c r="H35" i="5"/>
  <c r="J22" i="3"/>
  <c r="M22" i="3"/>
  <c r="I22" i="3"/>
  <c r="H22" i="3"/>
  <c r="N22" i="3"/>
  <c r="K22" i="3"/>
  <c r="L22" i="3"/>
  <c r="K13" i="5"/>
  <c r="G43" i="5"/>
  <c r="G48" i="5" s="1"/>
  <c r="H28" i="1" s="1"/>
  <c r="G40" i="5"/>
  <c r="G35" i="5"/>
  <c r="E43" i="5"/>
  <c r="E48" i="5" s="1"/>
  <c r="F28" i="1" s="1"/>
  <c r="E40" i="5"/>
  <c r="D40" i="5"/>
  <c r="J40" i="5"/>
  <c r="L40" i="5"/>
  <c r="M40" i="5"/>
  <c r="N40" i="5"/>
  <c r="K40" i="5"/>
  <c r="E10" i="5"/>
  <c r="F10" i="5" s="1"/>
  <c r="E35" i="5"/>
  <c r="E36" i="5" s="1"/>
  <c r="E37" i="5" s="1"/>
  <c r="F8" i="1" s="1"/>
  <c r="H40" i="5"/>
  <c r="D65" i="3"/>
  <c r="N11" i="3"/>
  <c r="J11" i="3"/>
  <c r="I11" i="3"/>
  <c r="E11" i="3"/>
  <c r="H11" i="3"/>
  <c r="G11" i="3"/>
  <c r="K11" i="3"/>
  <c r="M11" i="3"/>
  <c r="F11" i="3"/>
  <c r="L11" i="3"/>
  <c r="H28" i="5"/>
  <c r="E10" i="8"/>
  <c r="F68" i="3" l="1"/>
  <c r="G60" i="1" s="1"/>
  <c r="G74" i="1"/>
  <c r="G85" i="1" s="1"/>
  <c r="D74" i="1"/>
  <c r="D85" i="1" s="1"/>
  <c r="G91" i="1"/>
  <c r="E91" i="1" s="1"/>
  <c r="E68" i="3"/>
  <c r="F60" i="1" s="1"/>
  <c r="D60" i="1" s="1"/>
  <c r="E8" i="15"/>
  <c r="I45" i="5"/>
  <c r="I50" i="5" s="1"/>
  <c r="N45" i="5"/>
  <c r="N46" i="5" s="1"/>
  <c r="F45" i="5"/>
  <c r="F50" i="5" s="1"/>
  <c r="E45" i="5"/>
  <c r="E50" i="5" s="1"/>
  <c r="G10" i="5"/>
  <c r="H10" i="5" s="1"/>
  <c r="I10" i="5" s="1"/>
  <c r="J19" i="5"/>
  <c r="K19" i="5" s="1"/>
  <c r="L19" i="5" s="1"/>
  <c r="M19" i="5" s="1"/>
  <c r="N19" i="5" s="1"/>
  <c r="I28" i="5"/>
  <c r="G36" i="5"/>
  <c r="G37" i="5" s="1"/>
  <c r="H8" i="1" s="1"/>
  <c r="H36" i="5"/>
  <c r="H37" i="5" s="1"/>
  <c r="I8" i="1" s="1"/>
  <c r="J36" i="5"/>
  <c r="J37" i="5" s="1"/>
  <c r="K8" i="1" s="1"/>
  <c r="L36" i="5"/>
  <c r="L37" i="5" s="1"/>
  <c r="M8" i="1" s="1"/>
  <c r="F10" i="8"/>
  <c r="E57" i="6"/>
  <c r="F56" i="6"/>
  <c r="E56" i="6"/>
  <c r="J10" i="4"/>
  <c r="K10" i="4"/>
  <c r="E10" i="4"/>
  <c r="E60" i="15" l="1"/>
  <c r="E76" i="15" s="1"/>
  <c r="E23" i="15"/>
  <c r="J45" i="5"/>
  <c r="J50" i="5" s="1"/>
  <c r="J28" i="5"/>
  <c r="K28" i="5" s="1"/>
  <c r="L28" i="5" s="1"/>
  <c r="M28" i="5" s="1"/>
  <c r="N28" i="5" s="1"/>
  <c r="L45" i="5"/>
  <c r="L50" i="5" s="1"/>
  <c r="H45" i="5"/>
  <c r="H50" i="5" s="1"/>
  <c r="G45" i="5"/>
  <c r="G50" i="5" s="1"/>
  <c r="E41" i="6"/>
  <c r="E44" i="6" s="1"/>
  <c r="F29" i="1" s="1"/>
  <c r="F41" i="6"/>
  <c r="F44" i="6" s="1"/>
  <c r="G29" i="1" s="1"/>
  <c r="E21" i="6"/>
  <c r="E32" i="6"/>
  <c r="J10" i="5"/>
  <c r="N47" i="5"/>
  <c r="N50" i="5" s="1"/>
  <c r="D52" i="5" s="1"/>
  <c r="D73" i="16" s="1"/>
  <c r="P8" i="1"/>
  <c r="G10" i="4"/>
  <c r="F10" i="4"/>
  <c r="C9" i="4"/>
  <c r="H56" i="6"/>
  <c r="E33" i="6" l="1"/>
  <c r="E34" i="6"/>
  <c r="D51" i="5"/>
  <c r="K10" i="5"/>
  <c r="L10" i="5" s="1"/>
  <c r="M10" i="5" s="1"/>
  <c r="G56" i="6"/>
  <c r="I10" i="4"/>
  <c r="F57" i="6"/>
  <c r="I56" i="6"/>
  <c r="L10" i="4"/>
  <c r="M10" i="4"/>
  <c r="N10" i="4"/>
  <c r="E13" i="4"/>
  <c r="F13" i="4"/>
  <c r="G13" i="4"/>
  <c r="N10" i="5" l="1"/>
  <c r="E35" i="6"/>
  <c r="F32" i="6"/>
  <c r="F21" i="6"/>
  <c r="G38" i="6"/>
  <c r="G41" i="6"/>
  <c r="G44" i="6" s="1"/>
  <c r="H29" i="1" s="1"/>
  <c r="E38" i="6"/>
  <c r="J38" i="6"/>
  <c r="M38" i="6"/>
  <c r="I38" i="6"/>
  <c r="N38" i="6"/>
  <c r="D38" i="6"/>
  <c r="K38" i="6"/>
  <c r="H38" i="6"/>
  <c r="L38" i="6"/>
  <c r="F38" i="6"/>
  <c r="K13" i="4"/>
  <c r="M13" i="4"/>
  <c r="L13" i="4"/>
  <c r="I13" i="4"/>
  <c r="H13" i="4"/>
  <c r="J13" i="4"/>
  <c r="N13" i="4"/>
  <c r="J56" i="6"/>
  <c r="G57" i="6"/>
  <c r="G32" i="6" s="1"/>
  <c r="G92" i="1" l="1"/>
  <c r="E92" i="1" s="1"/>
  <c r="E43" i="6"/>
  <c r="E46" i="6" s="1"/>
  <c r="F9" i="1"/>
  <c r="G34" i="6"/>
  <c r="G33" i="6"/>
  <c r="F34" i="6"/>
  <c r="F33" i="6"/>
  <c r="G21" i="6"/>
  <c r="H57" i="6"/>
  <c r="H32" i="6" s="1"/>
  <c r="K56" i="6"/>
  <c r="G35" i="6" l="1"/>
  <c r="H9" i="1" s="1"/>
  <c r="F35" i="6"/>
  <c r="H33" i="6"/>
  <c r="H34" i="6"/>
  <c r="H21" i="6"/>
  <c r="L56" i="6"/>
  <c r="I57" i="6"/>
  <c r="G43" i="6" l="1"/>
  <c r="G46" i="6" s="1"/>
  <c r="F43" i="6"/>
  <c r="F46" i="6" s="1"/>
  <c r="G9" i="1"/>
  <c r="H35" i="6"/>
  <c r="I32" i="6"/>
  <c r="I21" i="6"/>
  <c r="J57" i="6"/>
  <c r="M56" i="6"/>
  <c r="H43" i="6" l="1"/>
  <c r="H46" i="6" s="1"/>
  <c r="I9" i="1"/>
  <c r="I33" i="6"/>
  <c r="I34" i="6"/>
  <c r="J32" i="6"/>
  <c r="J21" i="6"/>
  <c r="N56" i="6"/>
  <c r="K57" i="6"/>
  <c r="I35" i="6" l="1"/>
  <c r="K32" i="6"/>
  <c r="K21" i="6"/>
  <c r="J34" i="6"/>
  <c r="J33" i="6"/>
  <c r="L57" i="6"/>
  <c r="I43" i="6" l="1"/>
  <c r="I46" i="6" s="1"/>
  <c r="J9" i="1"/>
  <c r="J35" i="6"/>
  <c r="K9" i="1" s="1"/>
  <c r="L32" i="6"/>
  <c r="L21" i="6"/>
  <c r="K34" i="6"/>
  <c r="K33" i="6"/>
  <c r="M57" i="6"/>
  <c r="N57" i="6"/>
  <c r="J43" i="6" l="1"/>
  <c r="J46" i="6" s="1"/>
  <c r="K35" i="6"/>
  <c r="N32" i="6"/>
  <c r="N21" i="6"/>
  <c r="M32" i="6"/>
  <c r="M21" i="6"/>
  <c r="L33" i="6"/>
  <c r="L34" i="6"/>
  <c r="F9" i="3"/>
  <c r="K9" i="3"/>
  <c r="G9" i="3"/>
  <c r="H9" i="3"/>
  <c r="K43" i="6" l="1"/>
  <c r="K46" i="6" s="1"/>
  <c r="L9" i="1"/>
  <c r="L35" i="6"/>
  <c r="M33" i="6"/>
  <c r="M34" i="6"/>
  <c r="N34" i="6"/>
  <c r="N33" i="6"/>
  <c r="E9" i="3"/>
  <c r="L43" i="6" l="1"/>
  <c r="L46" i="6" s="1"/>
  <c r="M9" i="1"/>
  <c r="N35" i="6"/>
  <c r="M35" i="6"/>
  <c r="N9" i="1" s="1"/>
  <c r="D4" i="9"/>
  <c r="C4" i="9"/>
  <c r="E5" i="4"/>
  <c r="E56" i="4" s="1"/>
  <c r="D5" i="4"/>
  <c r="D56" i="4" s="1"/>
  <c r="E5" i="3"/>
  <c r="E61" i="3" s="1"/>
  <c r="D5" i="3"/>
  <c r="D61" i="3" s="1"/>
  <c r="E5" i="2"/>
  <c r="D5" i="2"/>
  <c r="N43" i="6" l="1"/>
  <c r="N46" i="6" s="1"/>
  <c r="O9" i="1"/>
  <c r="D5" i="10"/>
  <c r="D5" i="18"/>
  <c r="D55" i="18" s="1"/>
  <c r="D4" i="12"/>
  <c r="E5" i="18"/>
  <c r="M43" i="6"/>
  <c r="M46" i="6" s="1"/>
  <c r="D48" i="6" s="1"/>
  <c r="D74" i="16" s="1"/>
  <c r="E5" i="10"/>
  <c r="E5" i="8"/>
  <c r="E58" i="8" s="1"/>
  <c r="C4" i="12"/>
  <c r="D5" i="7"/>
  <c r="D59" i="7" s="1"/>
  <c r="E5" i="7"/>
  <c r="E59" i="7" s="1"/>
  <c r="D5" i="8"/>
  <c r="D58" i="8" s="1"/>
  <c r="F5" i="18" l="1"/>
  <c r="E55" i="18"/>
  <c r="D47" i="6"/>
  <c r="D43" i="3"/>
  <c r="D48" i="3" s="1"/>
  <c r="D45" i="3"/>
  <c r="C21" i="9"/>
  <c r="C23" i="9"/>
  <c r="C26" i="9"/>
  <c r="E33" i="1" s="1"/>
  <c r="D40" i="8"/>
  <c r="D45" i="8" s="1"/>
  <c r="D42" i="8"/>
  <c r="D40" i="7"/>
  <c r="D45" i="7" s="1"/>
  <c r="E30" i="1" s="1"/>
  <c r="D42" i="7"/>
  <c r="D41" i="4"/>
  <c r="D44" i="4" s="1"/>
  <c r="E27" i="1" s="1"/>
  <c r="D43" i="4"/>
  <c r="F33" i="14"/>
  <c r="E33" i="14"/>
  <c r="C33" i="14"/>
  <c r="G20" i="14"/>
  <c r="G33" i="14" s="1"/>
  <c r="D20" i="14"/>
  <c r="D33" i="14" s="1"/>
  <c r="E10" i="14"/>
  <c r="F10" i="14" s="1"/>
  <c r="E6" i="14"/>
  <c r="F6" i="14" s="1"/>
  <c r="G6" i="14" s="1"/>
  <c r="H6" i="14" s="1"/>
  <c r="I6" i="14" s="1"/>
  <c r="J6" i="14" s="1"/>
  <c r="K6" i="14" s="1"/>
  <c r="L6" i="14" s="1"/>
  <c r="M6" i="14" s="1"/>
  <c r="D5" i="14"/>
  <c r="E5" i="14" s="1"/>
  <c r="F5" i="14" s="1"/>
  <c r="G5" i="14" s="1"/>
  <c r="H5" i="14" s="1"/>
  <c r="I5" i="14" s="1"/>
  <c r="J5" i="14" s="1"/>
  <c r="K5" i="14" s="1"/>
  <c r="L5" i="14" s="1"/>
  <c r="M5" i="14" s="1"/>
  <c r="C28" i="9" l="1"/>
  <c r="F55" i="18"/>
  <c r="G5" i="18"/>
  <c r="D47" i="7"/>
  <c r="H20" i="14"/>
  <c r="H33" i="14" s="1"/>
  <c r="D47" i="8"/>
  <c r="E31" i="1"/>
  <c r="D50" i="3"/>
  <c r="E26" i="1"/>
  <c r="N8" i="14"/>
  <c r="D46" i="4"/>
  <c r="N7" i="14"/>
  <c r="G10" i="14"/>
  <c r="G55" i="18" l="1"/>
  <c r="H5" i="18"/>
  <c r="I20" i="14"/>
  <c r="H10" i="14"/>
  <c r="I33" i="14" l="1"/>
  <c r="J20" i="14"/>
  <c r="H55" i="18"/>
  <c r="I5" i="18"/>
  <c r="I10" i="14"/>
  <c r="K20" i="14" l="1"/>
  <c r="J33" i="14"/>
  <c r="J5" i="18"/>
  <c r="I55" i="18"/>
  <c r="J10" i="14"/>
  <c r="L20" i="14" l="1"/>
  <c r="L33" i="14" s="1"/>
  <c r="K33" i="14"/>
  <c r="J55" i="18"/>
  <c r="K5" i="18"/>
  <c r="K10" i="14"/>
  <c r="K55" i="18" l="1"/>
  <c r="L5" i="18"/>
  <c r="L10" i="14"/>
  <c r="L55" i="18" l="1"/>
  <c r="M5" i="18"/>
  <c r="M10" i="14"/>
  <c r="N5" i="18" l="1"/>
  <c r="N55" i="18" s="1"/>
  <c r="M55" i="18"/>
  <c r="N10" i="14"/>
  <c r="E13" i="1" l="1"/>
  <c r="E11" i="1"/>
  <c r="E10" i="1"/>
  <c r="E7" i="1"/>
  <c r="E6" i="1"/>
  <c r="M36" i="12"/>
  <c r="M41" i="12" s="1"/>
  <c r="O35" i="1" s="1"/>
  <c r="L36" i="12"/>
  <c r="L41" i="12" s="1"/>
  <c r="N35" i="1" s="1"/>
  <c r="K36" i="12"/>
  <c r="K41" i="12" s="1"/>
  <c r="M35" i="1" s="1"/>
  <c r="J36" i="12"/>
  <c r="J41" i="12" s="1"/>
  <c r="L35" i="1" s="1"/>
  <c r="I36" i="12"/>
  <c r="I41" i="12" s="1"/>
  <c r="K35" i="1" s="1"/>
  <c r="H36" i="12"/>
  <c r="H41" i="12" s="1"/>
  <c r="J35" i="1" s="1"/>
  <c r="G36" i="12"/>
  <c r="G41" i="12" s="1"/>
  <c r="I35" i="1" s="1"/>
  <c r="F36" i="12"/>
  <c r="F41" i="12" s="1"/>
  <c r="H35" i="1" s="1"/>
  <c r="E36" i="12"/>
  <c r="E41" i="12" s="1"/>
  <c r="G35" i="1" s="1"/>
  <c r="D36" i="12"/>
  <c r="D41" i="12" s="1"/>
  <c r="F35" i="1" s="1"/>
  <c r="C36" i="12"/>
  <c r="C41" i="12" s="1"/>
  <c r="E35" i="1" s="1"/>
  <c r="M33" i="12"/>
  <c r="L33" i="12"/>
  <c r="K33" i="12"/>
  <c r="J33" i="12"/>
  <c r="I33" i="12"/>
  <c r="H33" i="12"/>
  <c r="G33" i="12"/>
  <c r="F33" i="12"/>
  <c r="E33" i="12"/>
  <c r="D33" i="12"/>
  <c r="C33" i="12"/>
  <c r="C32" i="12"/>
  <c r="C22" i="12"/>
  <c r="C29" i="12" s="1"/>
  <c r="C21" i="12"/>
  <c r="C20" i="12"/>
  <c r="C19" i="12"/>
  <c r="B18" i="12"/>
  <c r="C18" i="12" s="1"/>
  <c r="C17" i="12"/>
  <c r="C16" i="12"/>
  <c r="C15" i="12"/>
  <c r="M14" i="12"/>
  <c r="L14" i="12"/>
  <c r="K14" i="12"/>
  <c r="J14" i="12"/>
  <c r="I14" i="12"/>
  <c r="H14" i="12"/>
  <c r="G14" i="12"/>
  <c r="F14" i="12"/>
  <c r="E14" i="12"/>
  <c r="D14" i="12"/>
  <c r="C14" i="12"/>
  <c r="C12" i="12"/>
  <c r="C11" i="12"/>
  <c r="C10" i="12"/>
  <c r="E4" i="12"/>
  <c r="F4" i="12" s="1"/>
  <c r="G4" i="12" s="1"/>
  <c r="H4" i="12" s="1"/>
  <c r="I4" i="12" s="1"/>
  <c r="J4" i="12" s="1"/>
  <c r="K4" i="12" s="1"/>
  <c r="L4" i="12" s="1"/>
  <c r="M4" i="12" s="1"/>
  <c r="D3" i="12"/>
  <c r="D32" i="12" s="1"/>
  <c r="D85" i="10"/>
  <c r="D90" i="10" s="1"/>
  <c r="E34" i="1" s="1"/>
  <c r="D81" i="10"/>
  <c r="D21" i="10"/>
  <c r="D22" i="10"/>
  <c r="D18" i="10"/>
  <c r="D19" i="10"/>
  <c r="D17" i="10"/>
  <c r="D13" i="10"/>
  <c r="D14" i="10"/>
  <c r="D16" i="10"/>
  <c r="C20" i="10"/>
  <c r="C42" i="10" s="1"/>
  <c r="D24" i="10"/>
  <c r="D23" i="10"/>
  <c r="D12" i="10"/>
  <c r="G98" i="1" l="1"/>
  <c r="C9" i="14"/>
  <c r="C26" i="12"/>
  <c r="D22" i="12"/>
  <c r="D29" i="12" s="1"/>
  <c r="D20" i="10"/>
  <c r="D76" i="10" s="1"/>
  <c r="C64" i="10"/>
  <c r="D64" i="10" s="1"/>
  <c r="D42" i="10"/>
  <c r="E42" i="1"/>
  <c r="D75" i="10"/>
  <c r="D78" i="10"/>
  <c r="E22" i="1"/>
  <c r="E45" i="1" s="1"/>
  <c r="C31" i="14" s="1"/>
  <c r="D27" i="12"/>
  <c r="C27" i="12"/>
  <c r="C28" i="12" s="1"/>
  <c r="C30" i="12" s="1"/>
  <c r="D21" i="12"/>
  <c r="E3" i="12"/>
  <c r="E21" i="12" s="1"/>
  <c r="E27" i="12" s="1"/>
  <c r="D10" i="12"/>
  <c r="D26" i="12" s="1"/>
  <c r="E47" i="1" l="1"/>
  <c r="E22" i="12"/>
  <c r="E29" i="12" s="1"/>
  <c r="C38" i="12"/>
  <c r="C43" i="12" s="1"/>
  <c r="E15" i="1"/>
  <c r="D77" i="10"/>
  <c r="D79" i="10" s="1"/>
  <c r="D87" i="10" s="1"/>
  <c r="D92" i="10" s="1"/>
  <c r="D28" i="12"/>
  <c r="D30" i="12" s="1"/>
  <c r="E32" i="12"/>
  <c r="E10" i="12"/>
  <c r="E26" i="12" s="1"/>
  <c r="E28" i="12" s="1"/>
  <c r="E30" i="12" s="1"/>
  <c r="F3" i="12"/>
  <c r="E38" i="12" l="1"/>
  <c r="E43" i="12" s="1"/>
  <c r="G15" i="1"/>
  <c r="D38" i="12"/>
  <c r="D43" i="12" s="1"/>
  <c r="F15" i="1"/>
  <c r="E14" i="1"/>
  <c r="E21" i="1" s="1"/>
  <c r="E23" i="1" s="1"/>
  <c r="F10" i="12"/>
  <c r="F26" i="12" s="1"/>
  <c r="F32" i="12"/>
  <c r="G3" i="12"/>
  <c r="F22" i="12"/>
  <c r="F29" i="12" s="1"/>
  <c r="F21" i="12"/>
  <c r="F27" i="12" s="1"/>
  <c r="E44" i="1" l="1"/>
  <c r="E49" i="1" s="1"/>
  <c r="C24" i="14"/>
  <c r="H3" i="12"/>
  <c r="G22" i="12"/>
  <c r="G29" i="12" s="1"/>
  <c r="G21" i="12"/>
  <c r="G27" i="12" s="1"/>
  <c r="G10" i="12"/>
  <c r="G26" i="12" s="1"/>
  <c r="G28" i="12" s="1"/>
  <c r="G32" i="12"/>
  <c r="F28" i="12"/>
  <c r="F30" i="12" s="1"/>
  <c r="F38" i="12" l="1"/>
  <c r="F43" i="12" s="1"/>
  <c r="H15" i="1"/>
  <c r="G30" i="12"/>
  <c r="I3" i="12"/>
  <c r="H22" i="12"/>
  <c r="H29" i="12" s="1"/>
  <c r="H32" i="12"/>
  <c r="H21" i="12"/>
  <c r="H27" i="12" s="1"/>
  <c r="H10" i="12"/>
  <c r="H26" i="12" s="1"/>
  <c r="G38" i="12" l="1"/>
  <c r="G43" i="12" s="1"/>
  <c r="I15" i="1"/>
  <c r="H28" i="12"/>
  <c r="H30" i="12" s="1"/>
  <c r="I32" i="12"/>
  <c r="I10" i="12"/>
  <c r="I26" i="12" s="1"/>
  <c r="J3" i="12"/>
  <c r="I22" i="12"/>
  <c r="I29" i="12" s="1"/>
  <c r="I21" i="12"/>
  <c r="I27" i="12" s="1"/>
  <c r="H38" i="12" l="1"/>
  <c r="H43" i="12" s="1"/>
  <c r="J15" i="1"/>
  <c r="I28" i="12"/>
  <c r="I30" i="12" s="1"/>
  <c r="J32" i="12"/>
  <c r="J10" i="12"/>
  <c r="J26" i="12" s="1"/>
  <c r="K3" i="12"/>
  <c r="J22" i="12"/>
  <c r="J29" i="12" s="1"/>
  <c r="J21" i="12"/>
  <c r="J27" i="12" s="1"/>
  <c r="I38" i="12" l="1"/>
  <c r="I43" i="12" s="1"/>
  <c r="K15" i="1"/>
  <c r="L3" i="12"/>
  <c r="K22" i="12"/>
  <c r="K29" i="12" s="1"/>
  <c r="K21" i="12"/>
  <c r="K27" i="12" s="1"/>
  <c r="K10" i="12"/>
  <c r="K26" i="12" s="1"/>
  <c r="K32" i="12"/>
  <c r="J28" i="12"/>
  <c r="J30" i="12" s="1"/>
  <c r="J38" i="12" l="1"/>
  <c r="J43" i="12" s="1"/>
  <c r="L15" i="1"/>
  <c r="K28" i="12"/>
  <c r="K30" i="12" s="1"/>
  <c r="L22" i="12"/>
  <c r="L29" i="12" s="1"/>
  <c r="M3" i="12"/>
  <c r="L32" i="12"/>
  <c r="L21" i="12"/>
  <c r="L27" i="12" s="1"/>
  <c r="L10" i="12"/>
  <c r="L26" i="12" s="1"/>
  <c r="K38" i="12" l="1"/>
  <c r="K43" i="12" s="1"/>
  <c r="M15" i="1"/>
  <c r="M32" i="12"/>
  <c r="M10" i="12"/>
  <c r="M26" i="12" s="1"/>
  <c r="M21" i="12"/>
  <c r="M27" i="12" s="1"/>
  <c r="M22" i="12"/>
  <c r="M29" i="12" s="1"/>
  <c r="L28" i="12"/>
  <c r="L30" i="12" s="1"/>
  <c r="L38" i="12" l="1"/>
  <c r="L43" i="12" s="1"/>
  <c r="N15" i="1"/>
  <c r="M28" i="12"/>
  <c r="M30" i="12" s="1"/>
  <c r="M38" i="12" l="1"/>
  <c r="M39" i="12" s="1"/>
  <c r="O15" i="1"/>
  <c r="M40" i="12" l="1"/>
  <c r="P15" i="1"/>
  <c r="M43" i="12"/>
  <c r="C45" i="12" s="1"/>
  <c r="E21" i="9" l="1"/>
  <c r="E26" i="9" s="1"/>
  <c r="G33" i="1" s="1"/>
  <c r="F21" i="9"/>
  <c r="F26" i="9" s="1"/>
  <c r="H33" i="1" s="1"/>
  <c r="G21" i="9"/>
  <c r="G26" i="9" s="1"/>
  <c r="I33" i="1" s="1"/>
  <c r="H21" i="9"/>
  <c r="H26" i="9" s="1"/>
  <c r="J33" i="1" s="1"/>
  <c r="I21" i="9"/>
  <c r="I26" i="9" s="1"/>
  <c r="K33" i="1" s="1"/>
  <c r="J21" i="9"/>
  <c r="J26" i="9" s="1"/>
  <c r="L33" i="1" s="1"/>
  <c r="K21" i="9"/>
  <c r="K26" i="9" s="1"/>
  <c r="M33" i="1" s="1"/>
  <c r="L21" i="9"/>
  <c r="L26" i="9" s="1"/>
  <c r="N33" i="1" s="1"/>
  <c r="M21" i="9"/>
  <c r="M26" i="9" s="1"/>
  <c r="O33" i="1" s="1"/>
  <c r="D21" i="9"/>
  <c r="D26" i="9" s="1"/>
  <c r="F33" i="1" s="1"/>
  <c r="D18" i="9"/>
  <c r="E18" i="9"/>
  <c r="F18" i="9"/>
  <c r="G18" i="9"/>
  <c r="H18" i="9"/>
  <c r="I18" i="9"/>
  <c r="J18" i="9"/>
  <c r="K18" i="9"/>
  <c r="L18" i="9"/>
  <c r="M18" i="9"/>
  <c r="C18" i="9"/>
  <c r="C17" i="9"/>
  <c r="D36" i="8"/>
  <c r="B9" i="9"/>
  <c r="C10" i="9"/>
  <c r="E9" i="9"/>
  <c r="C8" i="9"/>
  <c r="D8" i="9" s="1"/>
  <c r="D9" i="9" s="1"/>
  <c r="F11" i="8"/>
  <c r="G11" i="8"/>
  <c r="H11" i="8"/>
  <c r="I11" i="8"/>
  <c r="J11" i="8"/>
  <c r="K11" i="8"/>
  <c r="L11" i="8"/>
  <c r="M11" i="8"/>
  <c r="N11" i="8"/>
  <c r="E11" i="8"/>
  <c r="D13" i="8"/>
  <c r="D36" i="7"/>
  <c r="D13" i="7"/>
  <c r="F11" i="7"/>
  <c r="G11" i="7"/>
  <c r="H11" i="7"/>
  <c r="I11" i="7"/>
  <c r="J11" i="7"/>
  <c r="K11" i="7"/>
  <c r="L11" i="7"/>
  <c r="M11" i="7"/>
  <c r="N11" i="7"/>
  <c r="E11" i="7"/>
  <c r="G96" i="1" l="1"/>
  <c r="C9" i="9"/>
  <c r="F9" i="9"/>
  <c r="G9" i="9" l="1"/>
  <c r="H9" i="9" l="1"/>
  <c r="I9" i="9" l="1"/>
  <c r="K8" i="9" l="1"/>
  <c r="J9" i="9"/>
  <c r="L8" i="9" l="1"/>
  <c r="K9" i="9"/>
  <c r="M8" i="9" l="1"/>
  <c r="M9" i="9" s="1"/>
  <c r="L9" i="9"/>
  <c r="D37" i="4" l="1"/>
  <c r="D14" i="4"/>
  <c r="F13" i="3" l="1"/>
  <c r="G13" i="3"/>
  <c r="H13" i="3"/>
  <c r="I13" i="3"/>
  <c r="J13" i="3"/>
  <c r="K13" i="3"/>
  <c r="L13" i="3"/>
  <c r="M13" i="3"/>
  <c r="N13" i="3"/>
  <c r="D39" i="3" l="1"/>
  <c r="E10" i="3"/>
  <c r="D14" i="3"/>
  <c r="E13" i="3"/>
  <c r="C11" i="3" l="1"/>
  <c r="F10" i="3"/>
  <c r="G10" i="3" l="1"/>
  <c r="H10" i="3" s="1"/>
  <c r="F3" i="1"/>
  <c r="G3" i="1" s="1"/>
  <c r="H3" i="1" s="1"/>
  <c r="I3" i="1" s="1"/>
  <c r="J3" i="1" s="1"/>
  <c r="K3" i="1" s="1"/>
  <c r="L3" i="1" s="1"/>
  <c r="M3" i="1" s="1"/>
  <c r="N3" i="1" s="1"/>
  <c r="O3" i="1" s="1"/>
  <c r="E4" i="10"/>
  <c r="D3" i="9"/>
  <c r="E4" i="8"/>
  <c r="E29" i="8" s="1"/>
  <c r="E4" i="7"/>
  <c r="E4" i="4"/>
  <c r="F4" i="2"/>
  <c r="E4" i="3"/>
  <c r="E60" i="3" s="1"/>
  <c r="G4" i="2" l="1"/>
  <c r="F22" i="2"/>
  <c r="F23" i="2"/>
  <c r="F21" i="2"/>
  <c r="F25" i="2"/>
  <c r="F20" i="2"/>
  <c r="E29" i="7"/>
  <c r="E30" i="7" s="1"/>
  <c r="E21" i="7"/>
  <c r="E22" i="7" s="1"/>
  <c r="E3" i="9"/>
  <c r="D17" i="9"/>
  <c r="D10" i="9"/>
  <c r="D12" i="9" s="1"/>
  <c r="E81" i="10"/>
  <c r="E83" i="10" s="1"/>
  <c r="E67" i="10"/>
  <c r="E71" i="10" s="1"/>
  <c r="E46" i="10"/>
  <c r="E50" i="10" s="1"/>
  <c r="E68" i="10"/>
  <c r="E72" i="10" s="1"/>
  <c r="E56" i="10"/>
  <c r="E70" i="10" s="1"/>
  <c r="E75" i="10" s="1"/>
  <c r="E34" i="10"/>
  <c r="E48" i="10" s="1"/>
  <c r="E45" i="10"/>
  <c r="E49" i="10" s="1"/>
  <c r="E55" i="4"/>
  <c r="E30" i="4"/>
  <c r="E22" i="4"/>
  <c r="I10" i="3"/>
  <c r="J10" i="3" s="1"/>
  <c r="H19" i="3"/>
  <c r="F28" i="3"/>
  <c r="F4" i="7"/>
  <c r="E58" i="7"/>
  <c r="E13" i="7"/>
  <c r="E36" i="7"/>
  <c r="E38" i="7" s="1"/>
  <c r="E21" i="8"/>
  <c r="E22" i="8" s="1"/>
  <c r="E36" i="8"/>
  <c r="E38" i="8" s="1"/>
  <c r="F4" i="8"/>
  <c r="F29" i="8" s="1"/>
  <c r="E57" i="8"/>
  <c r="E13" i="8"/>
  <c r="E14" i="8" s="1"/>
  <c r="F4" i="10"/>
  <c r="E24" i="10"/>
  <c r="E28" i="10" s="1"/>
  <c r="E78" i="10" s="1"/>
  <c r="E23" i="10"/>
  <c r="E27" i="10" s="1"/>
  <c r="E12" i="10"/>
  <c r="E26" i="10" s="1"/>
  <c r="F4" i="4"/>
  <c r="E14" i="4"/>
  <c r="E32" i="4" s="1"/>
  <c r="E37" i="4"/>
  <c r="E39" i="4" s="1"/>
  <c r="E14" i="3"/>
  <c r="E39" i="3"/>
  <c r="E41" i="3" s="1"/>
  <c r="F4" i="3"/>
  <c r="F5" i="8"/>
  <c r="E4" i="9"/>
  <c r="F5" i="10"/>
  <c r="G5" i="10" s="1"/>
  <c r="H5" i="10" s="1"/>
  <c r="I5" i="10" s="1"/>
  <c r="J5" i="10" s="1"/>
  <c r="K5" i="10" s="1"/>
  <c r="L5" i="10" s="1"/>
  <c r="M5" i="10" s="1"/>
  <c r="N5" i="10" s="1"/>
  <c r="F5" i="7"/>
  <c r="F5" i="4"/>
  <c r="F5" i="3"/>
  <c r="F5" i="2"/>
  <c r="G5" i="2" s="1"/>
  <c r="H5" i="2" s="1"/>
  <c r="I5" i="2" s="1"/>
  <c r="J5" i="2" s="1"/>
  <c r="K5" i="2" s="1"/>
  <c r="L5" i="2" s="1"/>
  <c r="M5" i="2" s="1"/>
  <c r="N5" i="2" s="1"/>
  <c r="G4" i="1"/>
  <c r="H4" i="1" s="1"/>
  <c r="I4" i="1" s="1"/>
  <c r="J4" i="1" s="1"/>
  <c r="K4" i="1" s="1"/>
  <c r="L4" i="1" s="1"/>
  <c r="M4" i="1" s="1"/>
  <c r="N4" i="1" s="1"/>
  <c r="O4" i="1" s="1"/>
  <c r="F27" i="2" l="1"/>
  <c r="F29" i="2" s="1"/>
  <c r="H4" i="2"/>
  <c r="G25" i="2"/>
  <c r="G23" i="2"/>
  <c r="G20" i="2"/>
  <c r="G21" i="2"/>
  <c r="G22" i="2"/>
  <c r="F21" i="7"/>
  <c r="F22" i="7" s="1"/>
  <c r="F29" i="7"/>
  <c r="F30" i="7" s="1"/>
  <c r="E76" i="10"/>
  <c r="E77" i="10" s="1"/>
  <c r="E79" i="10" s="1"/>
  <c r="F14" i="1" s="1"/>
  <c r="E85" i="10"/>
  <c r="E90" i="10" s="1"/>
  <c r="F34" i="1" s="1"/>
  <c r="D14" i="9"/>
  <c r="D13" i="9"/>
  <c r="D15" i="9" s="1"/>
  <c r="F3" i="9"/>
  <c r="E10" i="9"/>
  <c r="E12" i="9" s="1"/>
  <c r="E17" i="9"/>
  <c r="F81" i="10"/>
  <c r="F83" i="10" s="1"/>
  <c r="F45" i="10"/>
  <c r="F49" i="10" s="1"/>
  <c r="F68" i="10"/>
  <c r="F72" i="10" s="1"/>
  <c r="F34" i="10"/>
  <c r="F48" i="10" s="1"/>
  <c r="F56" i="10"/>
  <c r="F70" i="10" s="1"/>
  <c r="F67" i="10"/>
  <c r="F71" i="10" s="1"/>
  <c r="F46" i="10"/>
  <c r="F50" i="10" s="1"/>
  <c r="E35" i="3"/>
  <c r="E36" i="3" s="1"/>
  <c r="E37" i="3" s="1"/>
  <c r="F6" i="1" s="1"/>
  <c r="F55" i="4"/>
  <c r="F30" i="4"/>
  <c r="F22" i="4"/>
  <c r="G28" i="3"/>
  <c r="H28" i="3" s="1"/>
  <c r="I19" i="3"/>
  <c r="K10" i="3"/>
  <c r="E14" i="7"/>
  <c r="E32" i="7" s="1"/>
  <c r="E40" i="7"/>
  <c r="E45" i="7" s="1"/>
  <c r="F30" i="1" s="1"/>
  <c r="G4" i="7"/>
  <c r="F58" i="7"/>
  <c r="F36" i="7"/>
  <c r="F38" i="7" s="1"/>
  <c r="F13" i="7"/>
  <c r="F14" i="7" s="1"/>
  <c r="F21" i="8"/>
  <c r="F22" i="8" s="1"/>
  <c r="E40" i="8"/>
  <c r="E45" i="8" s="1"/>
  <c r="F31" i="1" s="1"/>
  <c r="G4" i="8"/>
  <c r="G29" i="8" s="1"/>
  <c r="F57" i="8"/>
  <c r="F36" i="8"/>
  <c r="F38" i="8" s="1"/>
  <c r="F13" i="8"/>
  <c r="F14" i="8" s="1"/>
  <c r="G5" i="7"/>
  <c r="F59" i="7"/>
  <c r="F4" i="9"/>
  <c r="G5" i="8"/>
  <c r="F58" i="8"/>
  <c r="F39" i="3"/>
  <c r="F41" i="3" s="1"/>
  <c r="F60" i="3"/>
  <c r="E41" i="4"/>
  <c r="E44" i="4" s="1"/>
  <c r="F27" i="1" s="1"/>
  <c r="G5" i="4"/>
  <c r="F56" i="4"/>
  <c r="G5" i="3"/>
  <c r="F61" i="3"/>
  <c r="G4" i="10"/>
  <c r="F12" i="10"/>
  <c r="F26" i="10" s="1"/>
  <c r="F24" i="10"/>
  <c r="F28" i="10" s="1"/>
  <c r="F23" i="10"/>
  <c r="F27" i="10" s="1"/>
  <c r="E33" i="4"/>
  <c r="E34" i="4"/>
  <c r="G4" i="4"/>
  <c r="F14" i="4"/>
  <c r="F32" i="4" s="1"/>
  <c r="F37" i="4"/>
  <c r="F14" i="3"/>
  <c r="F35" i="3" s="1"/>
  <c r="G4" i="3"/>
  <c r="F32" i="7" l="1"/>
  <c r="G27" i="2"/>
  <c r="G29" i="2" s="1"/>
  <c r="I4" i="2"/>
  <c r="H23" i="2"/>
  <c r="H22" i="2"/>
  <c r="H25" i="2"/>
  <c r="H21" i="2"/>
  <c r="H20" i="2"/>
  <c r="F39" i="4"/>
  <c r="F41" i="4" s="1"/>
  <c r="F44" i="4" s="1"/>
  <c r="G27" i="1" s="1"/>
  <c r="G29" i="7"/>
  <c r="G30" i="7" s="1"/>
  <c r="G21" i="7"/>
  <c r="G22" i="7" s="1"/>
  <c r="F78" i="10"/>
  <c r="F76" i="10"/>
  <c r="F75" i="10"/>
  <c r="F85" i="10"/>
  <c r="F90" i="10" s="1"/>
  <c r="G34" i="1" s="1"/>
  <c r="E87" i="10"/>
  <c r="E92" i="10" s="1"/>
  <c r="G3" i="9"/>
  <c r="F17" i="9"/>
  <c r="F10" i="9"/>
  <c r="F12" i="9" s="1"/>
  <c r="D23" i="9"/>
  <c r="D28" i="9" s="1"/>
  <c r="F13" i="1"/>
  <c r="E14" i="9"/>
  <c r="E13" i="9"/>
  <c r="E15" i="9" s="1"/>
  <c r="G81" i="10"/>
  <c r="G83" i="10" s="1"/>
  <c r="G34" i="10"/>
  <c r="G48" i="10" s="1"/>
  <c r="G45" i="10"/>
  <c r="G49" i="10" s="1"/>
  <c r="G56" i="10"/>
  <c r="G70" i="10" s="1"/>
  <c r="G46" i="10"/>
  <c r="G50" i="10" s="1"/>
  <c r="G68" i="10"/>
  <c r="G72" i="10" s="1"/>
  <c r="G67" i="10"/>
  <c r="G71" i="10" s="1"/>
  <c r="F77" i="10"/>
  <c r="F79" i="10" s="1"/>
  <c r="E45" i="3"/>
  <c r="G55" i="4"/>
  <c r="G22" i="4"/>
  <c r="G30" i="4"/>
  <c r="L10" i="3"/>
  <c r="M10" i="3" s="1"/>
  <c r="N10" i="3" s="1"/>
  <c r="C9" i="3" s="1"/>
  <c r="J19" i="3"/>
  <c r="I28" i="3"/>
  <c r="E33" i="7"/>
  <c r="E34" i="7" s="1"/>
  <c r="F10" i="1" s="1"/>
  <c r="H4" i="7"/>
  <c r="G58" i="7"/>
  <c r="G36" i="7"/>
  <c r="G38" i="7" s="1"/>
  <c r="G13" i="7"/>
  <c r="G14" i="7" s="1"/>
  <c r="G32" i="7" s="1"/>
  <c r="F40" i="7"/>
  <c r="F45" i="7" s="1"/>
  <c r="G30" i="1" s="1"/>
  <c r="F33" i="7"/>
  <c r="F34" i="7" s="1"/>
  <c r="G10" i="1" s="1"/>
  <c r="G21" i="8"/>
  <c r="G22" i="8" s="1"/>
  <c r="F40" i="8"/>
  <c r="F45" i="8" s="1"/>
  <c r="G31" i="1" s="1"/>
  <c r="H4" i="8"/>
  <c r="H29" i="8" s="1"/>
  <c r="G57" i="8"/>
  <c r="G13" i="8"/>
  <c r="G14" i="8" s="1"/>
  <c r="G36" i="8"/>
  <c r="G38" i="8" s="1"/>
  <c r="G4" i="9"/>
  <c r="H5" i="7"/>
  <c r="G59" i="7"/>
  <c r="H5" i="8"/>
  <c r="G58" i="8"/>
  <c r="G39" i="3"/>
  <c r="G41" i="3" s="1"/>
  <c r="G60" i="3"/>
  <c r="H5" i="4"/>
  <c r="G56" i="4"/>
  <c r="E35" i="4"/>
  <c r="E43" i="3"/>
  <c r="E48" i="3" s="1"/>
  <c r="F26" i="1" s="1"/>
  <c r="D9" i="14" s="1"/>
  <c r="F43" i="3"/>
  <c r="F48" i="3" s="1"/>
  <c r="G26" i="1" s="1"/>
  <c r="H5" i="3"/>
  <c r="G61" i="3"/>
  <c r="H4" i="10"/>
  <c r="G24" i="10"/>
  <c r="G28" i="10" s="1"/>
  <c r="G78" i="10" s="1"/>
  <c r="G12" i="10"/>
  <c r="G26" i="10" s="1"/>
  <c r="G23" i="10"/>
  <c r="G27" i="10" s="1"/>
  <c r="H4" i="4"/>
  <c r="G14" i="4"/>
  <c r="G32" i="4" s="1"/>
  <c r="G37" i="4"/>
  <c r="F34" i="4"/>
  <c r="F33" i="4"/>
  <c r="G14" i="3"/>
  <c r="G35" i="3" s="1"/>
  <c r="H4" i="3"/>
  <c r="F36" i="3"/>
  <c r="F37" i="3" s="1"/>
  <c r="G6" i="1" s="1"/>
  <c r="E9" i="14" l="1"/>
  <c r="H27" i="2"/>
  <c r="H29" i="2" s="1"/>
  <c r="J4" i="2"/>
  <c r="I21" i="2"/>
  <c r="I23" i="2"/>
  <c r="I22" i="2"/>
  <c r="I25" i="2"/>
  <c r="I20" i="2"/>
  <c r="E43" i="4"/>
  <c r="E46" i="4" s="1"/>
  <c r="F7" i="1"/>
  <c r="G39" i="4"/>
  <c r="G41" i="4" s="1"/>
  <c r="G44" i="4" s="1"/>
  <c r="H27" i="1" s="1"/>
  <c r="H29" i="7"/>
  <c r="H30" i="7" s="1"/>
  <c r="H21" i="7"/>
  <c r="H22" i="7" s="1"/>
  <c r="G75" i="10"/>
  <c r="G76" i="10"/>
  <c r="G77" i="10" s="1"/>
  <c r="G79" i="10" s="1"/>
  <c r="G87" i="10" s="1"/>
  <c r="G85" i="10"/>
  <c r="G90" i="10" s="1"/>
  <c r="H34" i="1" s="1"/>
  <c r="G13" i="1"/>
  <c r="E23" i="9"/>
  <c r="E28" i="9" s="1"/>
  <c r="F14" i="9"/>
  <c r="F13" i="9"/>
  <c r="F15" i="9" s="1"/>
  <c r="H3" i="9"/>
  <c r="G10" i="9"/>
  <c r="G12" i="9" s="1"/>
  <c r="G17" i="9"/>
  <c r="H81" i="10"/>
  <c r="H83" i="10" s="1"/>
  <c r="H56" i="10"/>
  <c r="H70" i="10" s="1"/>
  <c r="H45" i="10"/>
  <c r="H49" i="10" s="1"/>
  <c r="H46" i="10"/>
  <c r="H50" i="10" s="1"/>
  <c r="H68" i="10"/>
  <c r="H72" i="10" s="1"/>
  <c r="H67" i="10"/>
  <c r="H71" i="10" s="1"/>
  <c r="H34" i="10"/>
  <c r="H48" i="10" s="1"/>
  <c r="G14" i="1"/>
  <c r="F87" i="10"/>
  <c r="F92" i="10" s="1"/>
  <c r="H23" i="3"/>
  <c r="H32" i="3"/>
  <c r="H55" i="4"/>
  <c r="H30" i="4"/>
  <c r="H22" i="4"/>
  <c r="K19" i="3"/>
  <c r="C20" i="3"/>
  <c r="J28" i="3"/>
  <c r="E42" i="7"/>
  <c r="E47" i="7" s="1"/>
  <c r="F42" i="7"/>
  <c r="F47" i="7" s="1"/>
  <c r="G33" i="7"/>
  <c r="G34" i="7" s="1"/>
  <c r="H10" i="1" s="1"/>
  <c r="G40" i="7"/>
  <c r="G45" i="7" s="1"/>
  <c r="H30" i="1" s="1"/>
  <c r="I4" i="7"/>
  <c r="H58" i="7"/>
  <c r="H13" i="7"/>
  <c r="H14" i="7" s="1"/>
  <c r="H36" i="7"/>
  <c r="H38" i="7" s="1"/>
  <c r="H21" i="8"/>
  <c r="H22" i="8" s="1"/>
  <c r="I4" i="8"/>
  <c r="I29" i="8" s="1"/>
  <c r="H57" i="8"/>
  <c r="H13" i="8"/>
  <c r="H14" i="8" s="1"/>
  <c r="H36" i="8"/>
  <c r="H38" i="8" s="1"/>
  <c r="G40" i="8"/>
  <c r="G45" i="8" s="1"/>
  <c r="H31" i="1" s="1"/>
  <c r="I5" i="7"/>
  <c r="H59" i="7"/>
  <c r="H4" i="9"/>
  <c r="I5" i="8"/>
  <c r="H58" i="8"/>
  <c r="G43" i="3"/>
  <c r="G48" i="3" s="1"/>
  <c r="H26" i="1" s="1"/>
  <c r="H39" i="3"/>
  <c r="H41" i="3" s="1"/>
  <c r="H60" i="3"/>
  <c r="F22" i="1"/>
  <c r="I5" i="4"/>
  <c r="H56" i="4"/>
  <c r="F35" i="4"/>
  <c r="G7" i="1" s="1"/>
  <c r="E50" i="3"/>
  <c r="I5" i="3"/>
  <c r="H61" i="3"/>
  <c r="F45" i="3"/>
  <c r="F50" i="3" s="1"/>
  <c r="I4" i="10"/>
  <c r="H12" i="10"/>
  <c r="H26" i="10" s="1"/>
  <c r="H24" i="10"/>
  <c r="H28" i="10" s="1"/>
  <c r="H23" i="10"/>
  <c r="H27" i="10" s="1"/>
  <c r="G33" i="4"/>
  <c r="G34" i="4"/>
  <c r="I4" i="4"/>
  <c r="H37" i="4"/>
  <c r="H14" i="4"/>
  <c r="H32" i="4" s="1"/>
  <c r="H14" i="3"/>
  <c r="H35" i="3" s="1"/>
  <c r="I4" i="3"/>
  <c r="G36" i="3"/>
  <c r="G37" i="3" s="1"/>
  <c r="H6" i="1" s="1"/>
  <c r="F9" i="14" l="1"/>
  <c r="I27" i="2"/>
  <c r="I29" i="2" s="1"/>
  <c r="K4" i="2"/>
  <c r="J20" i="2"/>
  <c r="J23" i="2"/>
  <c r="J25" i="2"/>
  <c r="J22" i="2"/>
  <c r="J21" i="2"/>
  <c r="H39" i="4"/>
  <c r="H41" i="4" s="1"/>
  <c r="H44" i="4" s="1"/>
  <c r="I27" i="1" s="1"/>
  <c r="I21" i="7"/>
  <c r="I22" i="7" s="1"/>
  <c r="I29" i="7"/>
  <c r="I30" i="7" s="1"/>
  <c r="H76" i="10"/>
  <c r="H78" i="10"/>
  <c r="H75" i="10"/>
  <c r="H77" i="10" s="1"/>
  <c r="H79" i="10" s="1"/>
  <c r="H87" i="10" s="1"/>
  <c r="H85" i="10"/>
  <c r="H90" i="10" s="1"/>
  <c r="I34" i="1" s="1"/>
  <c r="G92" i="10"/>
  <c r="H14" i="1"/>
  <c r="F23" i="9"/>
  <c r="F28" i="9" s="1"/>
  <c r="H13" i="1"/>
  <c r="G13" i="9"/>
  <c r="G14" i="9"/>
  <c r="G15" i="9" s="1"/>
  <c r="I3" i="9"/>
  <c r="H17" i="9"/>
  <c r="H10" i="9"/>
  <c r="H12" i="9" s="1"/>
  <c r="I81" i="10"/>
  <c r="I83" i="10" s="1"/>
  <c r="I67" i="10"/>
  <c r="I71" i="10" s="1"/>
  <c r="I34" i="10"/>
  <c r="I48" i="10" s="1"/>
  <c r="I45" i="10"/>
  <c r="I49" i="10" s="1"/>
  <c r="I68" i="10"/>
  <c r="I72" i="10" s="1"/>
  <c r="I46" i="10"/>
  <c r="I50" i="10" s="1"/>
  <c r="I56" i="10"/>
  <c r="I70" i="10" s="1"/>
  <c r="G42" i="1"/>
  <c r="I23" i="3"/>
  <c r="I32" i="3"/>
  <c r="I55" i="4"/>
  <c r="I30" i="4"/>
  <c r="I22" i="4"/>
  <c r="F42" i="1"/>
  <c r="K28" i="3"/>
  <c r="L19" i="3"/>
  <c r="H32" i="7"/>
  <c r="H33" i="7" s="1"/>
  <c r="H34" i="7" s="1"/>
  <c r="I10" i="1" s="1"/>
  <c r="J4" i="7"/>
  <c r="I58" i="7"/>
  <c r="I36" i="7"/>
  <c r="I38" i="7" s="1"/>
  <c r="I13" i="7"/>
  <c r="I14" i="7" s="1"/>
  <c r="H40" i="7"/>
  <c r="H45" i="7" s="1"/>
  <c r="I30" i="1" s="1"/>
  <c r="G42" i="7"/>
  <c r="G47" i="7" s="1"/>
  <c r="I21" i="8"/>
  <c r="I22" i="8" s="1"/>
  <c r="J4" i="8"/>
  <c r="J29" i="8" s="1"/>
  <c r="I57" i="8"/>
  <c r="I13" i="8"/>
  <c r="I14" i="8" s="1"/>
  <c r="I36" i="8"/>
  <c r="I38" i="8" s="1"/>
  <c r="H40" i="8"/>
  <c r="H45" i="8" s="1"/>
  <c r="I31" i="1" s="1"/>
  <c r="I4" i="9"/>
  <c r="J5" i="7"/>
  <c r="I59" i="7"/>
  <c r="J5" i="8"/>
  <c r="I58" i="8"/>
  <c r="I39" i="3"/>
  <c r="I41" i="3" s="1"/>
  <c r="I60" i="3"/>
  <c r="H43" i="3"/>
  <c r="H48" i="3" s="1"/>
  <c r="I26" i="1" s="1"/>
  <c r="G35" i="4"/>
  <c r="J5" i="4"/>
  <c r="I56" i="4"/>
  <c r="F43" i="4"/>
  <c r="F46" i="4" s="1"/>
  <c r="G22" i="1"/>
  <c r="J5" i="3"/>
  <c r="I61" i="3"/>
  <c r="G45" i="3"/>
  <c r="G50" i="3" s="1"/>
  <c r="J4" i="10"/>
  <c r="I23" i="10"/>
  <c r="I27" i="10" s="1"/>
  <c r="I12" i="10"/>
  <c r="I26" i="10" s="1"/>
  <c r="I24" i="10"/>
  <c r="I28" i="10" s="1"/>
  <c r="I78" i="10" s="1"/>
  <c r="J4" i="4"/>
  <c r="I14" i="4"/>
  <c r="I32" i="4" s="1"/>
  <c r="I37" i="4"/>
  <c r="H33" i="4"/>
  <c r="H34" i="4"/>
  <c r="J4" i="3"/>
  <c r="I14" i="3"/>
  <c r="H36" i="3"/>
  <c r="H37" i="3" s="1"/>
  <c r="I6" i="1" s="1"/>
  <c r="G9" i="14" l="1"/>
  <c r="G47" i="1"/>
  <c r="D94" i="16"/>
  <c r="F47" i="1"/>
  <c r="C94" i="16"/>
  <c r="H92" i="10"/>
  <c r="J27" i="2"/>
  <c r="J29" i="2" s="1"/>
  <c r="L4" i="2"/>
  <c r="K25" i="2"/>
  <c r="K21" i="2"/>
  <c r="K20" i="2"/>
  <c r="K22" i="2"/>
  <c r="K23" i="2"/>
  <c r="I39" i="4"/>
  <c r="I41" i="4" s="1"/>
  <c r="I44" i="4" s="1"/>
  <c r="J27" i="1" s="1"/>
  <c r="J29" i="7"/>
  <c r="J30" i="7" s="1"/>
  <c r="J21" i="7"/>
  <c r="J22" i="7" s="1"/>
  <c r="I75" i="10"/>
  <c r="I76" i="10"/>
  <c r="I77" i="10" s="1"/>
  <c r="I79" i="10" s="1"/>
  <c r="I87" i="10" s="1"/>
  <c r="I85" i="10"/>
  <c r="I90" i="10" s="1"/>
  <c r="J34" i="1" s="1"/>
  <c r="I14" i="1"/>
  <c r="G23" i="9"/>
  <c r="G28" i="9" s="1"/>
  <c r="I13" i="1"/>
  <c r="H13" i="9"/>
  <c r="H14" i="9"/>
  <c r="H15" i="9" s="1"/>
  <c r="J3" i="9"/>
  <c r="I10" i="9"/>
  <c r="I12" i="9" s="1"/>
  <c r="I17" i="9"/>
  <c r="J81" i="10"/>
  <c r="J83" i="10" s="1"/>
  <c r="J34" i="10"/>
  <c r="J48" i="10" s="1"/>
  <c r="J45" i="10"/>
  <c r="J49" i="10" s="1"/>
  <c r="J56" i="10"/>
  <c r="J70" i="10" s="1"/>
  <c r="J67" i="10"/>
  <c r="J71" i="10" s="1"/>
  <c r="J68" i="10"/>
  <c r="J72" i="10" s="1"/>
  <c r="J46" i="10"/>
  <c r="J50" i="10" s="1"/>
  <c r="H7" i="1"/>
  <c r="H22" i="1" s="1"/>
  <c r="H42" i="1"/>
  <c r="J23" i="3"/>
  <c r="J32" i="3"/>
  <c r="J55" i="4"/>
  <c r="J22" i="4"/>
  <c r="J30" i="4"/>
  <c r="I35" i="3"/>
  <c r="I36" i="3" s="1"/>
  <c r="I37" i="3" s="1"/>
  <c r="J6" i="1" s="1"/>
  <c r="M19" i="3"/>
  <c r="L28" i="3"/>
  <c r="H42" i="7"/>
  <c r="H47" i="7" s="1"/>
  <c r="I32" i="7"/>
  <c r="I33" i="7" s="1"/>
  <c r="I34" i="7" s="1"/>
  <c r="J10" i="1" s="1"/>
  <c r="K4" i="7"/>
  <c r="J58" i="7"/>
  <c r="J36" i="7"/>
  <c r="J38" i="7" s="1"/>
  <c r="J13" i="7"/>
  <c r="J14" i="7" s="1"/>
  <c r="I40" i="7"/>
  <c r="I45" i="7" s="1"/>
  <c r="J30" i="1" s="1"/>
  <c r="J21" i="8"/>
  <c r="J22" i="8" s="1"/>
  <c r="I40" i="8"/>
  <c r="I45" i="8" s="1"/>
  <c r="J31" i="1" s="1"/>
  <c r="K4" i="8"/>
  <c r="K29" i="8" s="1"/>
  <c r="J57" i="8"/>
  <c r="J13" i="8"/>
  <c r="J14" i="8" s="1"/>
  <c r="J36" i="8"/>
  <c r="J38" i="8" s="1"/>
  <c r="K5" i="7"/>
  <c r="J59" i="7"/>
  <c r="J4" i="9"/>
  <c r="K5" i="8"/>
  <c r="J58" i="8"/>
  <c r="J39" i="3"/>
  <c r="J41" i="3" s="1"/>
  <c r="J60" i="3"/>
  <c r="I43" i="3"/>
  <c r="I48" i="3" s="1"/>
  <c r="J26" i="1" s="1"/>
  <c r="G43" i="4"/>
  <c r="G46" i="4" s="1"/>
  <c r="K5" i="4"/>
  <c r="J56" i="4"/>
  <c r="H35" i="4"/>
  <c r="K5" i="3"/>
  <c r="J61" i="3"/>
  <c r="H45" i="3"/>
  <c r="H50" i="3" s="1"/>
  <c r="K4" i="10"/>
  <c r="J24" i="10"/>
  <c r="J28" i="10" s="1"/>
  <c r="J23" i="10"/>
  <c r="J27" i="10" s="1"/>
  <c r="J12" i="10"/>
  <c r="J26" i="10" s="1"/>
  <c r="I34" i="4"/>
  <c r="I33" i="4"/>
  <c r="K4" i="4"/>
  <c r="J14" i="4"/>
  <c r="J32" i="4" s="1"/>
  <c r="J37" i="4"/>
  <c r="K4" i="3"/>
  <c r="J14" i="3"/>
  <c r="J35" i="3" s="1"/>
  <c r="H9" i="14" l="1"/>
  <c r="H47" i="1"/>
  <c r="E94" i="16"/>
  <c r="D86" i="16" s="1"/>
  <c r="J32" i="7"/>
  <c r="J33" i="7" s="1"/>
  <c r="J34" i="7" s="1"/>
  <c r="K10" i="1" s="1"/>
  <c r="K27" i="2"/>
  <c r="K29" i="2" s="1"/>
  <c r="M4" i="2"/>
  <c r="L22" i="2"/>
  <c r="L23" i="2"/>
  <c r="L25" i="2"/>
  <c r="L21" i="2"/>
  <c r="L20" i="2"/>
  <c r="J39" i="4"/>
  <c r="J41" i="4" s="1"/>
  <c r="J44" i="4" s="1"/>
  <c r="K27" i="1" s="1"/>
  <c r="H43" i="4"/>
  <c r="H46" i="4" s="1"/>
  <c r="I7" i="1"/>
  <c r="I22" i="1" s="1"/>
  <c r="K21" i="7"/>
  <c r="K22" i="7" s="1"/>
  <c r="K29" i="7"/>
  <c r="K30" i="7" s="1"/>
  <c r="J76" i="10"/>
  <c r="J78" i="10"/>
  <c r="J75" i="10"/>
  <c r="J77" i="10" s="1"/>
  <c r="J79" i="10" s="1"/>
  <c r="J85" i="10"/>
  <c r="J90" i="10" s="1"/>
  <c r="K34" i="1" s="1"/>
  <c r="I92" i="10"/>
  <c r="J14" i="1"/>
  <c r="J13" i="1"/>
  <c r="H23" i="9"/>
  <c r="H28" i="9" s="1"/>
  <c r="I14" i="9"/>
  <c r="I13" i="9"/>
  <c r="I15" i="9" s="1"/>
  <c r="K3" i="9"/>
  <c r="J17" i="9"/>
  <c r="J10" i="9"/>
  <c r="J12" i="9" s="1"/>
  <c r="K81" i="10"/>
  <c r="K83" i="10" s="1"/>
  <c r="K34" i="10"/>
  <c r="K48" i="10" s="1"/>
  <c r="K68" i="10"/>
  <c r="K72" i="10" s="1"/>
  <c r="K46" i="10"/>
  <c r="K50" i="10" s="1"/>
  <c r="K56" i="10"/>
  <c r="K70" i="10" s="1"/>
  <c r="K45" i="10"/>
  <c r="K49" i="10" s="1"/>
  <c r="K67" i="10"/>
  <c r="K71" i="10" s="1"/>
  <c r="I42" i="1"/>
  <c r="K32" i="3"/>
  <c r="K23" i="3"/>
  <c r="K55" i="4"/>
  <c r="K22" i="4"/>
  <c r="K30" i="4"/>
  <c r="I45" i="3"/>
  <c r="I50" i="3" s="1"/>
  <c r="M28" i="3"/>
  <c r="N19" i="3"/>
  <c r="I42" i="7"/>
  <c r="I47" i="7" s="1"/>
  <c r="J40" i="7"/>
  <c r="J45" i="7" s="1"/>
  <c r="K30" i="1" s="1"/>
  <c r="L4" i="7"/>
  <c r="K58" i="7"/>
  <c r="K36" i="7"/>
  <c r="K38" i="7" s="1"/>
  <c r="K13" i="7"/>
  <c r="K14" i="7" s="1"/>
  <c r="K21" i="8"/>
  <c r="K22" i="8" s="1"/>
  <c r="L4" i="8"/>
  <c r="L29" i="8" s="1"/>
  <c r="K57" i="8"/>
  <c r="K13" i="8"/>
  <c r="K14" i="8" s="1"/>
  <c r="K36" i="8"/>
  <c r="K38" i="8" s="1"/>
  <c r="J40" i="8"/>
  <c r="J45" i="8" s="1"/>
  <c r="K31" i="1" s="1"/>
  <c r="K4" i="9"/>
  <c r="L5" i="7"/>
  <c r="K59" i="7"/>
  <c r="L5" i="8"/>
  <c r="K58" i="8"/>
  <c r="K39" i="3"/>
  <c r="K41" i="3" s="1"/>
  <c r="K60" i="3"/>
  <c r="J43" i="3"/>
  <c r="J48" i="3" s="1"/>
  <c r="K26" i="1" s="1"/>
  <c r="I35" i="4"/>
  <c r="L5" i="4"/>
  <c r="K56" i="4"/>
  <c r="L5" i="3"/>
  <c r="K61" i="3"/>
  <c r="L4" i="10"/>
  <c r="K12" i="10"/>
  <c r="K26" i="10" s="1"/>
  <c r="K75" i="10" s="1"/>
  <c r="K23" i="10"/>
  <c r="K27" i="10" s="1"/>
  <c r="K24" i="10"/>
  <c r="K28" i="10" s="1"/>
  <c r="L4" i="4"/>
  <c r="K14" i="4"/>
  <c r="K32" i="4" s="1"/>
  <c r="K37" i="4"/>
  <c r="K39" i="4" s="1"/>
  <c r="J34" i="4"/>
  <c r="J33" i="4"/>
  <c r="J36" i="3"/>
  <c r="J37" i="3" s="1"/>
  <c r="K6" i="1" s="1"/>
  <c r="L4" i="3"/>
  <c r="K14" i="3"/>
  <c r="K35" i="3" s="1"/>
  <c r="I9" i="14" l="1"/>
  <c r="I47" i="1"/>
  <c r="F94" i="16"/>
  <c r="L27" i="2"/>
  <c r="L29" i="2" s="1"/>
  <c r="N4" i="2"/>
  <c r="M23" i="2"/>
  <c r="M25" i="2"/>
  <c r="M20" i="2"/>
  <c r="M21" i="2"/>
  <c r="M22" i="2"/>
  <c r="K32" i="7"/>
  <c r="K33" i="7" s="1"/>
  <c r="K34" i="7" s="1"/>
  <c r="L10" i="1" s="1"/>
  <c r="L29" i="7"/>
  <c r="L30" i="7" s="1"/>
  <c r="L21" i="7"/>
  <c r="L22" i="7" s="1"/>
  <c r="K78" i="10"/>
  <c r="K76" i="10"/>
  <c r="K77" i="10" s="1"/>
  <c r="K79" i="10" s="1"/>
  <c r="K87" i="10" s="1"/>
  <c r="K85" i="10"/>
  <c r="K90" i="10" s="1"/>
  <c r="L34" i="1" s="1"/>
  <c r="K13" i="1"/>
  <c r="I23" i="9"/>
  <c r="I28" i="9" s="1"/>
  <c r="J14" i="9"/>
  <c r="J13" i="9"/>
  <c r="J15" i="9" s="1"/>
  <c r="L3" i="9"/>
  <c r="K10" i="9"/>
  <c r="K12" i="9" s="1"/>
  <c r="K17" i="9"/>
  <c r="L81" i="10"/>
  <c r="L83" i="10" s="1"/>
  <c r="L46" i="10"/>
  <c r="L50" i="10" s="1"/>
  <c r="L34" i="10"/>
  <c r="L48" i="10" s="1"/>
  <c r="L68" i="10"/>
  <c r="L72" i="10" s="1"/>
  <c r="L45" i="10"/>
  <c r="L49" i="10" s="1"/>
  <c r="L67" i="10"/>
  <c r="L71" i="10" s="1"/>
  <c r="L56" i="10"/>
  <c r="L70" i="10" s="1"/>
  <c r="K14" i="1"/>
  <c r="J87" i="10"/>
  <c r="J92" i="10" s="1"/>
  <c r="I43" i="4"/>
  <c r="I46" i="4" s="1"/>
  <c r="J7" i="1"/>
  <c r="J22" i="1" s="1"/>
  <c r="L23" i="3"/>
  <c r="L32" i="3"/>
  <c r="L55" i="4"/>
  <c r="L30" i="4"/>
  <c r="L22" i="4"/>
  <c r="K41" i="4"/>
  <c r="K44" i="4" s="1"/>
  <c r="L27" i="1" s="1"/>
  <c r="K33" i="4"/>
  <c r="J42" i="1"/>
  <c r="J42" i="7"/>
  <c r="J47" i="7" s="1"/>
  <c r="K40" i="7"/>
  <c r="K45" i="7" s="1"/>
  <c r="L30" i="1" s="1"/>
  <c r="M4" i="7"/>
  <c r="L58" i="7"/>
  <c r="L13" i="7"/>
  <c r="L14" i="7" s="1"/>
  <c r="L36" i="7"/>
  <c r="L38" i="7" s="1"/>
  <c r="L21" i="8"/>
  <c r="L22" i="8" s="1"/>
  <c r="M4" i="8"/>
  <c r="M29" i="8" s="1"/>
  <c r="L57" i="8"/>
  <c r="L13" i="8"/>
  <c r="L14" i="8" s="1"/>
  <c r="L36" i="8"/>
  <c r="L38" i="8" s="1"/>
  <c r="K40" i="8"/>
  <c r="K45" i="8" s="1"/>
  <c r="L31" i="1" s="1"/>
  <c r="M5" i="7"/>
  <c r="L59" i="7"/>
  <c r="L4" i="9"/>
  <c r="M5" i="8"/>
  <c r="L58" i="8"/>
  <c r="L39" i="3"/>
  <c r="L41" i="3" s="1"/>
  <c r="L60" i="3"/>
  <c r="K43" i="3"/>
  <c r="K48" i="3" s="1"/>
  <c r="L26" i="1" s="1"/>
  <c r="J35" i="4"/>
  <c r="M5" i="4"/>
  <c r="L56" i="4"/>
  <c r="M5" i="3"/>
  <c r="L61" i="3"/>
  <c r="J45" i="3"/>
  <c r="J50" i="3" s="1"/>
  <c r="M4" i="10"/>
  <c r="L23" i="10"/>
  <c r="L27" i="10" s="1"/>
  <c r="L12" i="10"/>
  <c r="L26" i="10" s="1"/>
  <c r="L75" i="10" s="1"/>
  <c r="L24" i="10"/>
  <c r="L28" i="10" s="1"/>
  <c r="M4" i="4"/>
  <c r="L37" i="4"/>
  <c r="L39" i="4" s="1"/>
  <c r="L14" i="4"/>
  <c r="L32" i="4" s="1"/>
  <c r="K36" i="3"/>
  <c r="K37" i="3" s="1"/>
  <c r="L6" i="1" s="1"/>
  <c r="M4" i="3"/>
  <c r="L14" i="3"/>
  <c r="L35" i="3" s="1"/>
  <c r="J9" i="14" l="1"/>
  <c r="J47" i="1"/>
  <c r="G94" i="16"/>
  <c r="M27" i="2"/>
  <c r="M29" i="2" s="1"/>
  <c r="N22" i="2"/>
  <c r="F35" i="2" s="1"/>
  <c r="N20" i="2"/>
  <c r="N23" i="2"/>
  <c r="F36" i="2" s="1"/>
  <c r="G107" i="1" s="1"/>
  <c r="N25" i="2"/>
  <c r="F38" i="2" s="1"/>
  <c r="N21" i="2"/>
  <c r="F34" i="2" s="1"/>
  <c r="M21" i="7"/>
  <c r="M22" i="7" s="1"/>
  <c r="M29" i="7"/>
  <c r="M30" i="7" s="1"/>
  <c r="L78" i="10"/>
  <c r="L76" i="10"/>
  <c r="L77" i="10" s="1"/>
  <c r="L79" i="10" s="1"/>
  <c r="L85" i="10"/>
  <c r="L90" i="10" s="1"/>
  <c r="M34" i="1" s="1"/>
  <c r="K92" i="10"/>
  <c r="L14" i="1"/>
  <c r="J23" i="9"/>
  <c r="J28" i="9" s="1"/>
  <c r="L13" i="1"/>
  <c r="K13" i="9"/>
  <c r="K14" i="9"/>
  <c r="M3" i="9"/>
  <c r="L17" i="9"/>
  <c r="L10" i="9"/>
  <c r="L12" i="9" s="1"/>
  <c r="M81" i="10"/>
  <c r="M83" i="10" s="1"/>
  <c r="M34" i="10"/>
  <c r="M48" i="10" s="1"/>
  <c r="M68" i="10"/>
  <c r="M72" i="10" s="1"/>
  <c r="M56" i="10"/>
  <c r="M70" i="10" s="1"/>
  <c r="M45" i="10"/>
  <c r="M49" i="10" s="1"/>
  <c r="M46" i="10"/>
  <c r="M50" i="10" s="1"/>
  <c r="M67" i="10"/>
  <c r="M71" i="10" s="1"/>
  <c r="K7" i="1"/>
  <c r="K22" i="1" s="1"/>
  <c r="M32" i="3"/>
  <c r="M23" i="3"/>
  <c r="K42" i="1"/>
  <c r="L41" i="4"/>
  <c r="L44" i="4" s="1"/>
  <c r="M27" i="1" s="1"/>
  <c r="M55" i="4"/>
  <c r="M30" i="4"/>
  <c r="M22" i="4"/>
  <c r="K34" i="4"/>
  <c r="K35" i="4" s="1"/>
  <c r="L7" i="1" s="1"/>
  <c r="L34" i="4"/>
  <c r="C29" i="3"/>
  <c r="N28" i="3"/>
  <c r="L32" i="7"/>
  <c r="L33" i="7" s="1"/>
  <c r="L34" i="7" s="1"/>
  <c r="M10" i="1" s="1"/>
  <c r="N4" i="7"/>
  <c r="M58" i="7"/>
  <c r="M36" i="7"/>
  <c r="M38" i="7" s="1"/>
  <c r="M13" i="7"/>
  <c r="M14" i="7" s="1"/>
  <c r="L40" i="7"/>
  <c r="L45" i="7" s="1"/>
  <c r="M30" i="1" s="1"/>
  <c r="K42" i="7"/>
  <c r="K47" i="7" s="1"/>
  <c r="M21" i="8"/>
  <c r="M22" i="8" s="1"/>
  <c r="N4" i="8"/>
  <c r="N29" i="8" s="1"/>
  <c r="M57" i="8"/>
  <c r="M13" i="8"/>
  <c r="M14" i="8" s="1"/>
  <c r="M36" i="8"/>
  <c r="M38" i="8" s="1"/>
  <c r="L40" i="8"/>
  <c r="L45" i="8" s="1"/>
  <c r="M31" i="1" s="1"/>
  <c r="M4" i="9"/>
  <c r="N5" i="7"/>
  <c r="N59" i="7" s="1"/>
  <c r="M59" i="7"/>
  <c r="N5" i="8"/>
  <c r="N58" i="8" s="1"/>
  <c r="M58" i="8"/>
  <c r="L43" i="3"/>
  <c r="L48" i="3" s="1"/>
  <c r="M26" i="1" s="1"/>
  <c r="M39" i="3"/>
  <c r="M41" i="3" s="1"/>
  <c r="M60" i="3"/>
  <c r="J43" i="4"/>
  <c r="J46" i="4" s="1"/>
  <c r="N5" i="4"/>
  <c r="N56" i="4" s="1"/>
  <c r="M56" i="4"/>
  <c r="N5" i="3"/>
  <c r="N61" i="3" s="1"/>
  <c r="M61" i="3"/>
  <c r="K45" i="3"/>
  <c r="K50" i="3" s="1"/>
  <c r="N4" i="10"/>
  <c r="M23" i="10"/>
  <c r="M27" i="10" s="1"/>
  <c r="M24" i="10"/>
  <c r="M28" i="10" s="1"/>
  <c r="M12" i="10"/>
  <c r="M26" i="10" s="1"/>
  <c r="N4" i="4"/>
  <c r="M14" i="4"/>
  <c r="M32" i="4" s="1"/>
  <c r="M37" i="4"/>
  <c r="M39" i="4" s="1"/>
  <c r="L36" i="3"/>
  <c r="L37" i="3" s="1"/>
  <c r="M6" i="1" s="1"/>
  <c r="N4" i="3"/>
  <c r="M14" i="3"/>
  <c r="M35" i="3" s="1"/>
  <c r="K47" i="1" l="1"/>
  <c r="H94" i="16"/>
  <c r="E86" i="16" s="1"/>
  <c r="K9" i="14"/>
  <c r="G110" i="1"/>
  <c r="D109" i="16"/>
  <c r="F33" i="2"/>
  <c r="N27" i="2"/>
  <c r="N29" i="2" s="1"/>
  <c r="F39" i="2"/>
  <c r="N21" i="7"/>
  <c r="N22" i="7" s="1"/>
  <c r="N29" i="7"/>
  <c r="N30" i="7" s="1"/>
  <c r="M78" i="10"/>
  <c r="M76" i="10"/>
  <c r="M75" i="10"/>
  <c r="M85" i="10"/>
  <c r="M90" i="10" s="1"/>
  <c r="N34" i="1" s="1"/>
  <c r="K15" i="9"/>
  <c r="K23" i="9" s="1"/>
  <c r="K28" i="9" s="1"/>
  <c r="M13" i="1"/>
  <c r="L13" i="9"/>
  <c r="L15" i="9" s="1"/>
  <c r="L14" i="9"/>
  <c r="M17" i="9"/>
  <c r="M10" i="9"/>
  <c r="M12" i="9" s="1"/>
  <c r="N81" i="10"/>
  <c r="N83" i="10" s="1"/>
  <c r="N67" i="10"/>
  <c r="N71" i="10" s="1"/>
  <c r="N68" i="10"/>
  <c r="N72" i="10" s="1"/>
  <c r="N56" i="10"/>
  <c r="N70" i="10" s="1"/>
  <c r="N34" i="10"/>
  <c r="N48" i="10" s="1"/>
  <c r="N46" i="10"/>
  <c r="N50" i="10" s="1"/>
  <c r="N45" i="10"/>
  <c r="N49" i="10" s="1"/>
  <c r="L87" i="10"/>
  <c r="L92" i="10" s="1"/>
  <c r="M14" i="1"/>
  <c r="N60" i="3"/>
  <c r="N23" i="3"/>
  <c r="N32" i="3"/>
  <c r="N55" i="4"/>
  <c r="N30" i="4"/>
  <c r="N22" i="4"/>
  <c r="L33" i="4"/>
  <c r="L35" i="4" s="1"/>
  <c r="M41" i="4"/>
  <c r="M44" i="4" s="1"/>
  <c r="N27" i="1" s="1"/>
  <c r="M33" i="4"/>
  <c r="L42" i="1"/>
  <c r="L42" i="7"/>
  <c r="L47" i="7" s="1"/>
  <c r="M32" i="7"/>
  <c r="M33" i="7" s="1"/>
  <c r="M34" i="7" s="1"/>
  <c r="N10" i="1" s="1"/>
  <c r="N58" i="7"/>
  <c r="N36" i="7"/>
  <c r="N38" i="7" s="1"/>
  <c r="N13" i="7"/>
  <c r="N14" i="7" s="1"/>
  <c r="M40" i="7"/>
  <c r="M45" i="7" s="1"/>
  <c r="N30" i="1" s="1"/>
  <c r="N21" i="8"/>
  <c r="N22" i="8" s="1"/>
  <c r="N57" i="8"/>
  <c r="N13" i="8"/>
  <c r="N14" i="8" s="1"/>
  <c r="N36" i="8"/>
  <c r="N38" i="8" s="1"/>
  <c r="M40" i="8"/>
  <c r="M45" i="8" s="1"/>
  <c r="N31" i="1" s="1"/>
  <c r="M43" i="3"/>
  <c r="M48" i="3" s="1"/>
  <c r="N26" i="1" s="1"/>
  <c r="K43" i="4"/>
  <c r="K46" i="4" s="1"/>
  <c r="L22" i="1"/>
  <c r="L45" i="3"/>
  <c r="L50" i="3" s="1"/>
  <c r="N12" i="10"/>
  <c r="N26" i="10" s="1"/>
  <c r="N24" i="10"/>
  <c r="N28" i="10" s="1"/>
  <c r="N78" i="10" s="1"/>
  <c r="N23" i="10"/>
  <c r="N27" i="10" s="1"/>
  <c r="N14" i="4"/>
  <c r="N32" i="4" s="1"/>
  <c r="N37" i="4"/>
  <c r="N14" i="3"/>
  <c r="N39" i="3"/>
  <c r="N41" i="3" s="1"/>
  <c r="M36" i="3"/>
  <c r="M37" i="3" s="1"/>
  <c r="N6" i="1" s="1"/>
  <c r="L47" i="1" l="1"/>
  <c r="I94" i="16"/>
  <c r="L9" i="14"/>
  <c r="D29" i="2"/>
  <c r="D30" i="2"/>
  <c r="N32" i="7"/>
  <c r="N39" i="4"/>
  <c r="N41" i="4" s="1"/>
  <c r="N76" i="10"/>
  <c r="M77" i="10"/>
  <c r="M79" i="10" s="1"/>
  <c r="N75" i="10"/>
  <c r="N77" i="10" s="1"/>
  <c r="N79" i="10" s="1"/>
  <c r="N87" i="10" s="1"/>
  <c r="N88" i="10" s="1"/>
  <c r="N82" i="10"/>
  <c r="N85" i="10"/>
  <c r="N90" i="10" s="1"/>
  <c r="O34" i="1" s="1"/>
  <c r="D82" i="10"/>
  <c r="F82" i="10"/>
  <c r="G82" i="10"/>
  <c r="E82" i="10"/>
  <c r="H82" i="10"/>
  <c r="I82" i="10"/>
  <c r="M82" i="10"/>
  <c r="K82" i="10"/>
  <c r="J82" i="10"/>
  <c r="L82" i="10"/>
  <c r="L23" i="9"/>
  <c r="L28" i="9" s="1"/>
  <c r="N13" i="1"/>
  <c r="M13" i="9"/>
  <c r="M14" i="9"/>
  <c r="M87" i="10"/>
  <c r="M92" i="10" s="1"/>
  <c r="N14" i="1"/>
  <c r="L43" i="4"/>
  <c r="L46" i="4" s="1"/>
  <c r="M7" i="1"/>
  <c r="M22" i="1" s="1"/>
  <c r="M34" i="4"/>
  <c r="M35" i="4" s="1"/>
  <c r="M42" i="1"/>
  <c r="N35" i="3"/>
  <c r="N36" i="3" s="1"/>
  <c r="N37" i="3" s="1"/>
  <c r="O6" i="1" s="1"/>
  <c r="M42" i="7"/>
  <c r="M47" i="7" s="1"/>
  <c r="N37" i="7"/>
  <c r="N40" i="7"/>
  <c r="N45" i="7" s="1"/>
  <c r="O30" i="1" s="1"/>
  <c r="G93" i="1" s="1"/>
  <c r="G37" i="7"/>
  <c r="D37" i="7"/>
  <c r="E37" i="7"/>
  <c r="H37" i="7"/>
  <c r="L37" i="7"/>
  <c r="F37" i="7"/>
  <c r="J37" i="7"/>
  <c r="I37" i="7"/>
  <c r="M37" i="7"/>
  <c r="N33" i="7"/>
  <c r="N34" i="7" s="1"/>
  <c r="O10" i="1" s="1"/>
  <c r="K37" i="7"/>
  <c r="N40" i="8"/>
  <c r="N45" i="8" s="1"/>
  <c r="N37" i="8"/>
  <c r="F37" i="8"/>
  <c r="D37" i="8"/>
  <c r="E37" i="8"/>
  <c r="G37" i="8"/>
  <c r="I37" i="8"/>
  <c r="J37" i="8"/>
  <c r="M37" i="8"/>
  <c r="K37" i="8"/>
  <c r="H37" i="8"/>
  <c r="L37" i="8"/>
  <c r="N43" i="3"/>
  <c r="N48" i="3" s="1"/>
  <c r="O26" i="1" s="1"/>
  <c r="N40" i="3"/>
  <c r="D40" i="3"/>
  <c r="F40" i="3"/>
  <c r="L40" i="3"/>
  <c r="K40" i="3"/>
  <c r="J40" i="3"/>
  <c r="I40" i="3"/>
  <c r="E40" i="3"/>
  <c r="H40" i="3"/>
  <c r="G40" i="3"/>
  <c r="M40" i="3"/>
  <c r="K38" i="4"/>
  <c r="M45" i="3"/>
  <c r="M50" i="3" s="1"/>
  <c r="N33" i="4"/>
  <c r="N34" i="4"/>
  <c r="I38" i="4" l="1"/>
  <c r="M38" i="4"/>
  <c r="L38" i="4"/>
  <c r="D38" i="4"/>
  <c r="M47" i="1"/>
  <c r="J94" i="16"/>
  <c r="G89" i="1"/>
  <c r="E89" i="1" s="1"/>
  <c r="G97" i="1"/>
  <c r="E97" i="1" s="1"/>
  <c r="E38" i="4"/>
  <c r="M15" i="9"/>
  <c r="M23" i="9"/>
  <c r="M24" i="9" s="1"/>
  <c r="M25" i="9" s="1"/>
  <c r="M28" i="9" s="1"/>
  <c r="C30" i="9" s="1"/>
  <c r="O13" i="1"/>
  <c r="O31" i="1"/>
  <c r="G94" i="1" s="1"/>
  <c r="O14" i="1"/>
  <c r="N89" i="10"/>
  <c r="N92" i="10" s="1"/>
  <c r="D94" i="10" s="1"/>
  <c r="D78" i="16" s="1"/>
  <c r="P14" i="1"/>
  <c r="M43" i="4"/>
  <c r="M46" i="4" s="1"/>
  <c r="N7" i="1"/>
  <c r="N22" i="1" s="1"/>
  <c r="N42" i="1"/>
  <c r="N45" i="3"/>
  <c r="N46" i="3" s="1"/>
  <c r="N47" i="3" s="1"/>
  <c r="N50" i="3" s="1"/>
  <c r="D51" i="3" s="1"/>
  <c r="N42" i="7"/>
  <c r="N43" i="7" s="1"/>
  <c r="H38" i="4"/>
  <c r="G38" i="4"/>
  <c r="N38" i="4"/>
  <c r="J38" i="4"/>
  <c r="F38" i="4"/>
  <c r="N44" i="4"/>
  <c r="O27" i="1" s="1"/>
  <c r="N35" i="4"/>
  <c r="N47" i="1" l="1"/>
  <c r="K94" i="16"/>
  <c r="M9" i="14"/>
  <c r="M11" i="14" s="1"/>
  <c r="G90" i="1"/>
  <c r="E90" i="1" s="1"/>
  <c r="N43" i="4"/>
  <c r="O7" i="1"/>
  <c r="O22" i="1" s="1"/>
  <c r="E93" i="1"/>
  <c r="E94" i="1"/>
  <c r="D93" i="10"/>
  <c r="N44" i="7"/>
  <c r="N47" i="7" s="1"/>
  <c r="P10" i="1"/>
  <c r="P6" i="1"/>
  <c r="D52" i="3"/>
  <c r="D71" i="16" s="1"/>
  <c r="O42" i="1"/>
  <c r="N46" i="4"/>
  <c r="D48" i="4" s="1"/>
  <c r="D72" i="16" s="1"/>
  <c r="E11" i="14"/>
  <c r="D11" i="14"/>
  <c r="F11" i="14"/>
  <c r="O47" i="1" l="1"/>
  <c r="L94" i="16"/>
  <c r="B94" i="16" s="1"/>
  <c r="D108" i="16"/>
  <c r="D110" i="16" s="1"/>
  <c r="G111" i="1"/>
  <c r="Q18" i="14"/>
  <c r="D49" i="7"/>
  <c r="D75" i="16" s="1"/>
  <c r="D48" i="7"/>
  <c r="D47" i="4"/>
  <c r="C11" i="14"/>
  <c r="F86" i="16" l="1"/>
  <c r="C14" i="14"/>
  <c r="E107" i="16" l="1"/>
  <c r="E110" i="16"/>
  <c r="E109" i="16"/>
  <c r="E108" i="16"/>
  <c r="C29" i="14"/>
  <c r="C15" i="14"/>
  <c r="C16" i="14" s="1"/>
  <c r="C19" i="14" l="1"/>
  <c r="G11" i="14"/>
  <c r="H11" i="14"/>
  <c r="C25" i="14" l="1"/>
  <c r="E51" i="1" s="1"/>
  <c r="C21" i="14"/>
  <c r="I11" i="14"/>
  <c r="C26" i="14" l="1"/>
  <c r="C30" i="14" s="1"/>
  <c r="C35" i="14" s="1"/>
  <c r="J11" i="14"/>
  <c r="E50" i="1" l="1"/>
  <c r="K11" i="14"/>
  <c r="L11" i="14" l="1"/>
  <c r="N9" i="14"/>
  <c r="N11" i="14" s="1"/>
  <c r="G26" i="8" l="1"/>
  <c r="G27" i="8" s="1"/>
  <c r="G30" i="8" s="1"/>
  <c r="G32" i="8" s="1"/>
  <c r="J26" i="8"/>
  <c r="K26" i="8" s="1"/>
  <c r="H26" i="8"/>
  <c r="H27" i="8" s="1"/>
  <c r="H30" i="8" s="1"/>
  <c r="H32" i="8" s="1"/>
  <c r="F26" i="8"/>
  <c r="F27" i="8" s="1"/>
  <c r="F30" i="8" s="1"/>
  <c r="F32" i="8" s="1"/>
  <c r="E26" i="8"/>
  <c r="E27" i="8" s="1"/>
  <c r="E30" i="8" s="1"/>
  <c r="E32" i="8" s="1"/>
  <c r="I26" i="8"/>
  <c r="I27" i="8" s="1"/>
  <c r="I30" i="8" s="1"/>
  <c r="I32" i="8" s="1"/>
  <c r="J27" i="8" l="1"/>
  <c r="J30" i="8" s="1"/>
  <c r="J32" i="8" s="1"/>
  <c r="J33" i="8" s="1"/>
  <c r="J34" i="8" s="1"/>
  <c r="H33" i="8"/>
  <c r="H34" i="8" s="1"/>
  <c r="G33" i="8"/>
  <c r="G34" i="8" s="1"/>
  <c r="K27" i="8"/>
  <c r="K30" i="8" s="1"/>
  <c r="K32" i="8" s="1"/>
  <c r="L26" i="8"/>
  <c r="I33" i="8"/>
  <c r="I34" i="8" s="1"/>
  <c r="F33" i="8"/>
  <c r="F34" i="8" s="1"/>
  <c r="E33" i="8"/>
  <c r="E34" i="8" s="1"/>
  <c r="I42" i="8" l="1"/>
  <c r="I47" i="8" s="1"/>
  <c r="J11" i="1"/>
  <c r="J21" i="1" s="1"/>
  <c r="J23" i="1" s="1"/>
  <c r="G42" i="8"/>
  <c r="G47" i="8" s="1"/>
  <c r="H11" i="1"/>
  <c r="H21" i="1" s="1"/>
  <c r="H23" i="1" s="1"/>
  <c r="E42" i="8"/>
  <c r="E47" i="8" s="1"/>
  <c r="F11" i="1"/>
  <c r="F21" i="1" s="1"/>
  <c r="F23" i="1" s="1"/>
  <c r="J42" i="8"/>
  <c r="J47" i="8" s="1"/>
  <c r="K11" i="1"/>
  <c r="K21" i="1" s="1"/>
  <c r="K23" i="1" s="1"/>
  <c r="G11" i="1"/>
  <c r="G21" i="1" s="1"/>
  <c r="G23" i="1" s="1"/>
  <c r="F42" i="8"/>
  <c r="F47" i="8" s="1"/>
  <c r="L27" i="8"/>
  <c r="L30" i="8" s="1"/>
  <c r="L32" i="8" s="1"/>
  <c r="M26" i="8"/>
  <c r="I11" i="1"/>
  <c r="I21" i="1" s="1"/>
  <c r="I23" i="1" s="1"/>
  <c r="H42" i="8"/>
  <c r="H47" i="8" s="1"/>
  <c r="K33" i="8"/>
  <c r="K34" i="8" s="1"/>
  <c r="H44" i="1" l="1"/>
  <c r="H49" i="1" s="1"/>
  <c r="F24" i="14"/>
  <c r="F44" i="1"/>
  <c r="F49" i="1" s="1"/>
  <c r="D24" i="14"/>
  <c r="J44" i="1"/>
  <c r="J49" i="1" s="1"/>
  <c r="H24" i="14"/>
  <c r="K44" i="1"/>
  <c r="K49" i="1" s="1"/>
  <c r="I24" i="14"/>
  <c r="I44" i="1"/>
  <c r="I49" i="1" s="1"/>
  <c r="G24" i="14"/>
  <c r="G44" i="1"/>
  <c r="G49" i="1" s="1"/>
  <c r="E24" i="14"/>
  <c r="K42" i="8"/>
  <c r="K47" i="8" s="1"/>
  <c r="L11" i="1"/>
  <c r="L21" i="1" s="1"/>
  <c r="L23" i="1" s="1"/>
  <c r="L33" i="8"/>
  <c r="L34" i="8" s="1"/>
  <c r="N26" i="8"/>
  <c r="N27" i="8" s="1"/>
  <c r="N30" i="8" s="1"/>
  <c r="N32" i="8" s="1"/>
  <c r="M27" i="8"/>
  <c r="M30" i="8" s="1"/>
  <c r="M32" i="8" s="1"/>
  <c r="L44" i="1" l="1"/>
  <c r="L49" i="1" s="1"/>
  <c r="J24" i="14"/>
  <c r="M33" i="8"/>
  <c r="M34" i="8" s="1"/>
  <c r="L42" i="8"/>
  <c r="L47" i="8" s="1"/>
  <c r="M11" i="1"/>
  <c r="M21" i="1" s="1"/>
  <c r="M23" i="1" s="1"/>
  <c r="N33" i="8"/>
  <c r="N34" i="8" s="1"/>
  <c r="M44" i="1" l="1"/>
  <c r="M49" i="1" s="1"/>
  <c r="K24" i="14"/>
  <c r="N11" i="1"/>
  <c r="N21" i="1" s="1"/>
  <c r="N23" i="1" s="1"/>
  <c r="M42" i="8"/>
  <c r="M47" i="8" s="1"/>
  <c r="O11" i="1"/>
  <c r="O21" i="1" s="1"/>
  <c r="O23" i="1" s="1"/>
  <c r="N42" i="8"/>
  <c r="N44" i="1" l="1"/>
  <c r="N49" i="1" s="1"/>
  <c r="L24" i="14"/>
  <c r="O44" i="1"/>
  <c r="M24" i="14"/>
  <c r="N43" i="8"/>
  <c r="N24" i="14" l="1"/>
  <c r="P11" i="1"/>
  <c r="N44" i="8"/>
  <c r="N47" i="8" s="1"/>
  <c r="D45" i="1" l="1"/>
  <c r="D48" i="8"/>
  <c r="D49" i="8"/>
  <c r="D76" i="16" s="1"/>
  <c r="M31" i="14" l="1"/>
  <c r="N31" i="14" s="1"/>
  <c r="I55" i="1"/>
  <c r="D84" i="16" s="1"/>
  <c r="O46" i="1"/>
  <c r="M32" i="14" s="1"/>
  <c r="N32" i="14" s="1"/>
  <c r="O49" i="1" l="1"/>
  <c r="E54" i="1" s="1"/>
  <c r="D80" i="16" l="1"/>
  <c r="E52" i="1"/>
  <c r="Q20" i="14"/>
  <c r="Q22" i="14" l="1"/>
  <c r="D100" i="16" s="1"/>
  <c r="Q23" i="14" l="1"/>
  <c r="D14" i="14" s="1"/>
  <c r="E14" i="14" s="1"/>
  <c r="L94" i="1"/>
  <c r="L90" i="1" l="1"/>
  <c r="L92" i="1" s="1"/>
  <c r="D101" i="16"/>
  <c r="E53" i="1"/>
  <c r="L96" i="1"/>
  <c r="L107" i="1"/>
  <c r="N94" i="1" s="1"/>
  <c r="N96" i="1" s="1"/>
  <c r="Q32" i="14"/>
  <c r="D29" i="14"/>
  <c r="D103" i="16" l="1"/>
  <c r="E103" i="16" s="1"/>
  <c r="N90" i="1"/>
  <c r="N107" i="1"/>
  <c r="N102" i="1"/>
  <c r="N98" i="1"/>
  <c r="N99" i="1"/>
  <c r="N103" i="1"/>
  <c r="N100" i="1"/>
  <c r="N104" i="1"/>
  <c r="N91" i="1"/>
  <c r="N101" i="1"/>
  <c r="D15" i="14"/>
  <c r="D16" i="14" s="1"/>
  <c r="D19" i="14" s="1"/>
  <c r="D21" i="14" s="1"/>
  <c r="E15" i="14"/>
  <c r="N92" i="1" l="1"/>
  <c r="N105" i="1"/>
  <c r="E102" i="16"/>
  <c r="E100" i="16"/>
  <c r="E101" i="16"/>
  <c r="F14" i="14"/>
  <c r="G14" i="14" s="1"/>
  <c r="G29" i="14" s="1"/>
  <c r="E16" i="14"/>
  <c r="E19" i="14" s="1"/>
  <c r="E21" i="14" s="1"/>
  <c r="E29" i="14"/>
  <c r="D25" i="14"/>
  <c r="F51" i="1" s="1"/>
  <c r="D26" i="14" l="1"/>
  <c r="D30" i="14" s="1"/>
  <c r="D35" i="14" s="1"/>
  <c r="F50" i="1" s="1"/>
  <c r="E25" i="14"/>
  <c r="G51" i="1" s="1"/>
  <c r="H14" i="14"/>
  <c r="I14" i="14" s="1"/>
  <c r="I29" i="14" s="1"/>
  <c r="G15" i="14"/>
  <c r="F29" i="14"/>
  <c r="F15" i="14"/>
  <c r="F16" i="14" s="1"/>
  <c r="F19" i="14" s="1"/>
  <c r="F25" i="14" s="1"/>
  <c r="F26" i="14" s="1"/>
  <c r="F30" i="14" s="1"/>
  <c r="E26" i="14" l="1"/>
  <c r="E30" i="14" s="1"/>
  <c r="E35" i="14" s="1"/>
  <c r="G50" i="1" s="1"/>
  <c r="F35" i="14"/>
  <c r="H50" i="1" s="1"/>
  <c r="J14" i="14"/>
  <c r="J29" i="14" s="1"/>
  <c r="H15" i="14"/>
  <c r="H16" i="14" s="1"/>
  <c r="H19" i="14" s="1"/>
  <c r="H21" i="14" s="1"/>
  <c r="I15" i="14"/>
  <c r="H29" i="14"/>
  <c r="G16" i="14"/>
  <c r="G19" i="14" s="1"/>
  <c r="G21" i="14" s="1"/>
  <c r="H51" i="1"/>
  <c r="F21" i="14"/>
  <c r="J15" i="14" l="1"/>
  <c r="J16" i="14" s="1"/>
  <c r="J19" i="14" s="1"/>
  <c r="J25" i="14" s="1"/>
  <c r="J26" i="14" s="1"/>
  <c r="J30" i="14" s="1"/>
  <c r="J35" i="14" s="1"/>
  <c r="L50" i="1" s="1"/>
  <c r="K14" i="14"/>
  <c r="K29" i="14" s="1"/>
  <c r="I16" i="14"/>
  <c r="I19" i="14" s="1"/>
  <c r="I25" i="14" s="1"/>
  <c r="I26" i="14" s="1"/>
  <c r="I30" i="14" s="1"/>
  <c r="I35" i="14" s="1"/>
  <c r="K50" i="1" s="1"/>
  <c r="H25" i="14"/>
  <c r="J51" i="1" s="1"/>
  <c r="G25" i="14"/>
  <c r="I51" i="1" s="1"/>
  <c r="L14" i="14" l="1"/>
  <c r="L29" i="14" s="1"/>
  <c r="J21" i="14"/>
  <c r="K15" i="14"/>
  <c r="K16" i="14" s="1"/>
  <c r="K19" i="14" s="1"/>
  <c r="K21" i="14" s="1"/>
  <c r="K51" i="1"/>
  <c r="I21" i="14"/>
  <c r="H26" i="14"/>
  <c r="H30" i="14" s="1"/>
  <c r="H35" i="14" s="1"/>
  <c r="J50" i="1" s="1"/>
  <c r="L51" i="1"/>
  <c r="G26" i="14"/>
  <c r="G30" i="14" s="1"/>
  <c r="G35" i="14" s="1"/>
  <c r="I50" i="1" s="1"/>
  <c r="M14" i="14" l="1"/>
  <c r="N14" i="14" s="1"/>
  <c r="K25" i="14"/>
  <c r="K26" i="14" s="1"/>
  <c r="K30" i="14" s="1"/>
  <c r="K35" i="14" s="1"/>
  <c r="M50" i="1" s="1"/>
  <c r="L15" i="14"/>
  <c r="L16" i="14" s="1"/>
  <c r="L19" i="14" s="1"/>
  <c r="L25" i="14" s="1"/>
  <c r="L26" i="14" s="1"/>
  <c r="L30" i="14" s="1"/>
  <c r="L35" i="14" s="1"/>
  <c r="N50" i="1" s="1"/>
  <c r="M15" i="14" l="1"/>
  <c r="N15" i="14" s="1"/>
  <c r="M51" i="1"/>
  <c r="M29" i="14"/>
  <c r="N29" i="14" s="1"/>
  <c r="L21" i="14"/>
  <c r="N51" i="1"/>
  <c r="M16" i="14" l="1"/>
  <c r="M20" i="14" s="1"/>
  <c r="N20" i="14" s="1"/>
  <c r="M33" i="14" l="1"/>
  <c r="N33" i="14" s="1"/>
  <c r="M19" i="14"/>
  <c r="M21" i="14" s="1"/>
  <c r="M25" i="14" l="1"/>
  <c r="M26" i="14" s="1"/>
  <c r="M30" i="14" s="1"/>
  <c r="M35" i="14" s="1"/>
  <c r="O50" i="1" s="1"/>
  <c r="N19" i="14"/>
  <c r="N21" i="14" s="1"/>
  <c r="C37" i="14" l="1"/>
  <c r="N25" i="14"/>
  <c r="N26" i="14" s="1"/>
  <c r="O51" i="1"/>
  <c r="N30" i="14"/>
  <c r="N35" i="14" s="1"/>
  <c r="C36" i="14"/>
  <c r="E55" i="1" l="1"/>
  <c r="D81" i="16" l="1"/>
</calcChain>
</file>

<file path=xl/sharedStrings.xml><?xml version="1.0" encoding="utf-8"?>
<sst xmlns="http://schemas.openxmlformats.org/spreadsheetml/2006/main" count="1177" uniqueCount="334">
  <si>
    <t>1. Summary Pro Forma</t>
  </si>
  <si>
    <t>Team</t>
  </si>
  <si>
    <t>Phase I</t>
  </si>
  <si>
    <t xml:space="preserve">Net Operating Income </t>
  </si>
  <si>
    <t>Market-rate</t>
  </si>
  <si>
    <t>Rental Housing</t>
  </si>
  <si>
    <t>For-Sale Housing</t>
  </si>
  <si>
    <t>Affordable</t>
  </si>
  <si>
    <t>Office/Commercial</t>
  </si>
  <si>
    <t>Hotel</t>
  </si>
  <si>
    <t>Structured Parking</t>
  </si>
  <si>
    <t>Surface Parking</t>
  </si>
  <si>
    <t>Underground Parking</t>
  </si>
  <si>
    <t>Demolition</t>
  </si>
  <si>
    <t>Remediation</t>
  </si>
  <si>
    <t>Development Fees</t>
  </si>
  <si>
    <t>Other</t>
  </si>
  <si>
    <t>Total Net Operating Income</t>
  </si>
  <si>
    <t>Income from Sales Proceeds</t>
  </si>
  <si>
    <t>Total Income</t>
  </si>
  <si>
    <t>Development Costs</t>
  </si>
  <si>
    <t>Retail (ALL)</t>
  </si>
  <si>
    <t>Land Acquisition</t>
  </si>
  <si>
    <t>Total Infrastructure</t>
  </si>
  <si>
    <t>Indirect costs</t>
  </si>
  <si>
    <t>Total Development Costs</t>
  </si>
  <si>
    <t>Annual Cash Flow</t>
  </si>
  <si>
    <t>Net Operating Income</t>
  </si>
  <si>
    <t>Total Costs of Sale</t>
  </si>
  <si>
    <t>Net Cash Flow</t>
  </si>
  <si>
    <t>Leveraged Net Cash Flow</t>
  </si>
  <si>
    <t>Debt Service</t>
  </si>
  <si>
    <t>Net Present Value</t>
  </si>
  <si>
    <t>Loan to Value Ratio (LVR)</t>
  </si>
  <si>
    <t>Unleveraged IRR Before Taxes</t>
  </si>
  <si>
    <t>Current Site Value (start of Year 0)</t>
  </si>
  <si>
    <t>Leveraged IRR Before Taxes</t>
  </si>
  <si>
    <t>Projected Site Value (end of Year 10)</t>
  </si>
  <si>
    <t>2. Multiyear Development Program</t>
  </si>
  <si>
    <t>Total Buildout</t>
  </si>
  <si>
    <t>Project Buildout by Area</t>
  </si>
  <si>
    <t>Total</t>
  </si>
  <si>
    <t>3. Unit Development and Infrastructure Costs</t>
  </si>
  <si>
    <t>4. Equity and Financing Sources</t>
  </si>
  <si>
    <t>Unit Cost</t>
  </si>
  <si>
    <t>Total Costs</t>
  </si>
  <si>
    <t>Amount</t>
  </si>
  <si>
    <t>Infrastructure Costs</t>
  </si>
  <si>
    <t>Public</t>
  </si>
  <si>
    <t>Private</t>
  </si>
  <si>
    <t>Landscaping</t>
  </si>
  <si>
    <t>Total Infrastructure Costs</t>
  </si>
  <si>
    <t>factors</t>
  </si>
  <si>
    <t>Inflation Factor</t>
  </si>
  <si>
    <t xml:space="preserve">Commercial Infrastructure </t>
  </si>
  <si>
    <t>Retail</t>
  </si>
  <si>
    <t>Subtotal</t>
  </si>
  <si>
    <t xml:space="preserve">Other Infrastructure </t>
  </si>
  <si>
    <t xml:space="preserve">Total Infrastructure Costs </t>
  </si>
  <si>
    <t>Net Present Value of Costs</t>
  </si>
  <si>
    <t>Revenue Assumptions</t>
  </si>
  <si>
    <t>Projected Unit Absorption</t>
  </si>
  <si>
    <t>Average Unit Size</t>
  </si>
  <si>
    <t>Net Rentable Area</t>
  </si>
  <si>
    <t>Monthly Rent per s.f.</t>
  </si>
  <si>
    <t>Occupancy Factor</t>
  </si>
  <si>
    <t>Gross Lease Revenues</t>
  </si>
  <si>
    <t>Annual Operating Expenses per s.f.</t>
  </si>
  <si>
    <t>Percent Built by Year</t>
  </si>
  <si>
    <t>Asset Value</t>
  </si>
  <si>
    <t>Costs of Sale</t>
  </si>
  <si>
    <t>Assumptions</t>
  </si>
  <si>
    <t>Net Usable Area</t>
  </si>
  <si>
    <t>Sale Price per s.f.</t>
  </si>
  <si>
    <t>Sale Revenues</t>
  </si>
  <si>
    <t>Builder Profit</t>
  </si>
  <si>
    <t>Cost of Sales</t>
  </si>
  <si>
    <t>Equity</t>
  </si>
  <si>
    <t>Built</t>
  </si>
  <si>
    <t>GLA Absorbed</t>
  </si>
  <si>
    <t>Vacancy Factor</t>
  </si>
  <si>
    <t>Effective Gross Income</t>
  </si>
  <si>
    <t>Leasing Revenues</t>
  </si>
  <si>
    <t>Monthly Fees</t>
  </si>
  <si>
    <t>Monthly Parking Fee</t>
  </si>
  <si>
    <t>Allocation to Monthly Use</t>
  </si>
  <si>
    <t>Percent Occupancy by Monthly Contracts</t>
  </si>
  <si>
    <t>Hourly Fees</t>
  </si>
  <si>
    <t>Number of Spaces</t>
  </si>
  <si>
    <t>Nonwork Days</t>
  </si>
  <si>
    <t>Daily Parking Hours</t>
  </si>
  <si>
    <t>Percent Utilization</t>
  </si>
  <si>
    <t>Work Days</t>
  </si>
  <si>
    <t>Hourly Parking Rate</t>
  </si>
  <si>
    <t>Expenses</t>
  </si>
  <si>
    <t>Operating Expenses (Percent of Gross Revenue)</t>
  </si>
  <si>
    <t>Parking Revenue</t>
  </si>
  <si>
    <t>Monthly Parking</t>
  </si>
  <si>
    <t>Hourly Parking</t>
  </si>
  <si>
    <t>Total Parking Revenue</t>
  </si>
  <si>
    <t>Structured Parking Spaces</t>
  </si>
  <si>
    <t>Rooms Completed</t>
  </si>
  <si>
    <t>Average Daily Room Rate</t>
  </si>
  <si>
    <t>Room Revenues</t>
  </si>
  <si>
    <t>Other Revenues</t>
  </si>
  <si>
    <t>2019-314</t>
  </si>
  <si>
    <t>Sources</t>
  </si>
  <si>
    <t>Financing</t>
  </si>
  <si>
    <t>Public Subsidies</t>
  </si>
  <si>
    <t>Units Completed</t>
  </si>
  <si>
    <t>Cumulative Units Leased</t>
  </si>
  <si>
    <t>Development Costs PSF</t>
  </si>
  <si>
    <t>Cumulative Units Sold</t>
  </si>
  <si>
    <t>Net Lease Revenue PSF</t>
  </si>
  <si>
    <t>OpEx and Maintenance PSF</t>
  </si>
  <si>
    <t>Annual OpEx</t>
  </si>
  <si>
    <t>Total SF</t>
  </si>
  <si>
    <t>Operation Expenses PSF</t>
  </si>
  <si>
    <t>ULI Urban Design Competition</t>
  </si>
  <si>
    <t>Development Budget</t>
  </si>
  <si>
    <t>Land Acquisition Costs</t>
  </si>
  <si>
    <t>Demolition Costs</t>
  </si>
  <si>
    <t>Construction Costs</t>
  </si>
  <si>
    <t>Loan Fee (1.00%)</t>
  </si>
  <si>
    <t>Equity Contribution</t>
  </si>
  <si>
    <t>Land Contribution</t>
  </si>
  <si>
    <t>HOME</t>
  </si>
  <si>
    <t>CDGB</t>
  </si>
  <si>
    <t>LIHTC</t>
  </si>
  <si>
    <t>Total Financing</t>
  </si>
  <si>
    <t>Financing Analysis</t>
  </si>
  <si>
    <t>Year 0</t>
  </si>
  <si>
    <t>Phase II</t>
  </si>
  <si>
    <t>Phase III</t>
  </si>
  <si>
    <t>2013-2014</t>
  </si>
  <si>
    <t>Debt &amp; Equity Funding</t>
  </si>
  <si>
    <t>Equity Funding</t>
  </si>
  <si>
    <t>Debt Funding</t>
  </si>
  <si>
    <t>Cumulative Debt Funding</t>
  </si>
  <si>
    <t>Debt Service Calculation</t>
  </si>
  <si>
    <t>Interest Expense (6.00% All-In Rate)</t>
  </si>
  <si>
    <t>Loan Repayment</t>
  </si>
  <si>
    <t>Total Debt Service</t>
  </si>
  <si>
    <t>Cash Flow After Debt Service</t>
  </si>
  <si>
    <t>(Less) Interest Expense</t>
  </si>
  <si>
    <t>Leveraged IRR Calculation</t>
  </si>
  <si>
    <t>Equity Outlays</t>
  </si>
  <si>
    <t>Asset Sale</t>
  </si>
  <si>
    <t>(Less) Cost of Sale</t>
  </si>
  <si>
    <t>(Less) Debt Repayment</t>
  </si>
  <si>
    <t>Leveraged Cash Flows</t>
  </si>
  <si>
    <t>Financing Assumptions</t>
  </si>
  <si>
    <t>Interest Rate</t>
  </si>
  <si>
    <t>Discount Rate</t>
  </si>
  <si>
    <t>2020-2021</t>
  </si>
  <si>
    <t>Projected Units Sold</t>
  </si>
  <si>
    <t>Reversion</t>
  </si>
  <si>
    <r>
      <t xml:space="preserve">Total </t>
    </r>
    <r>
      <rPr>
        <sz val="10"/>
        <rFont val="Arial"/>
        <family val="2"/>
      </rPr>
      <t>Cash Flow After Debt Service</t>
    </r>
  </si>
  <si>
    <t>Land Costs</t>
  </si>
  <si>
    <t>Block A</t>
  </si>
  <si>
    <t>Block B</t>
  </si>
  <si>
    <t>Block C</t>
  </si>
  <si>
    <t>Total (All Parcels)</t>
  </si>
  <si>
    <t>Assessed Value</t>
  </si>
  <si>
    <t>Total Value</t>
  </si>
  <si>
    <t>Value PSF</t>
  </si>
  <si>
    <t>Block</t>
  </si>
  <si>
    <t>Purchased/Owned</t>
  </si>
  <si>
    <t>Owned</t>
  </si>
  <si>
    <t>Block D</t>
  </si>
  <si>
    <t>Purchased</t>
  </si>
  <si>
    <t>Block E</t>
  </si>
  <si>
    <t>Block F</t>
  </si>
  <si>
    <t>Leaving Alone</t>
  </si>
  <si>
    <t>Wynwood</t>
  </si>
  <si>
    <t>Edgewater</t>
  </si>
  <si>
    <t>All Parcels Owned Total</t>
  </si>
  <si>
    <t>-</t>
  </si>
  <si>
    <t>SF Requiring Demolition</t>
  </si>
  <si>
    <t>Total Demolition Costs</t>
  </si>
  <si>
    <t>AFFORDABLE RENTS</t>
  </si>
  <si>
    <t>Unit Type</t>
  </si>
  <si>
    <t>Maximum Monthly Rent</t>
  </si>
  <si>
    <t>Maximum Annual Rent</t>
  </si>
  <si>
    <t>Studio</t>
  </si>
  <si>
    <t>Affordable Rent PSF</t>
  </si>
  <si>
    <t>Annual Affordable Rent PSF</t>
  </si>
  <si>
    <t>Extremely Low</t>
  </si>
  <si>
    <t>Very Low</t>
  </si>
  <si>
    <t>Low Income</t>
  </si>
  <si>
    <t>AMI</t>
  </si>
  <si>
    <t>AMI Range</t>
  </si>
  <si>
    <t>Source:</t>
  </si>
  <si>
    <t>Tier</t>
  </si>
  <si>
    <t>*(1/3) income for housing</t>
  </si>
  <si>
    <t>*12 months</t>
  </si>
  <si>
    <t>*AVG unit size</t>
  </si>
  <si>
    <t>https://www.miamigov.com/Residents/Housing/Income-Limits-for-Housing-Applications</t>
  </si>
  <si>
    <t>Low</t>
  </si>
  <si>
    <t>AMI Household of 2</t>
  </si>
  <si>
    <t>1BR</t>
  </si>
  <si>
    <t>2BR</t>
  </si>
  <si>
    <t>3BR</t>
  </si>
  <si>
    <t>Market Rents</t>
  </si>
  <si>
    <t>Monthly Rent</t>
  </si>
  <si>
    <t>Annual Rent PSF</t>
  </si>
  <si>
    <t>Phase 1</t>
  </si>
  <si>
    <t>Phase 2</t>
  </si>
  <si>
    <t>Phase 3</t>
  </si>
  <si>
    <t>Net Market Rate</t>
  </si>
  <si>
    <t>MR-R</t>
  </si>
  <si>
    <t>MR-S</t>
  </si>
  <si>
    <t>A-R</t>
  </si>
  <si>
    <t>A-S</t>
  </si>
  <si>
    <t>School</t>
  </si>
  <si>
    <t>Gallery</t>
  </si>
  <si>
    <t>Industrial (ALL)</t>
  </si>
  <si>
    <t>SF Per Parking Space</t>
  </si>
  <si>
    <t>Parking Revenue (Monthly)</t>
  </si>
  <si>
    <t>Parking Revenue (Hourly)</t>
  </si>
  <si>
    <t>Operating Expenses</t>
  </si>
  <si>
    <t>Miami Parking Authority</t>
  </si>
  <si>
    <t>Loan Fee</t>
  </si>
  <si>
    <t>Miami-Dade County TIID</t>
  </si>
  <si>
    <t>South Florida Community Land Trust</t>
  </si>
  <si>
    <t>TIF</t>
  </si>
  <si>
    <t>https://www.epa.gov/brownfields/types-brownfields-grant-funding</t>
  </si>
  <si>
    <t>https://www.taxpolicycenter.org/briefing-book/what-low-income-housing-tax-credit-and-how-does-it-work</t>
  </si>
  <si>
    <t>%</t>
  </si>
  <si>
    <t>https://www.miamigov.com/Government/Departments-Organizations/Office-of-Capital-Improvements-OCI/Miami-Forever-Bond</t>
  </si>
  <si>
    <t>Miami Forever Bond (Affordable Housing)</t>
  </si>
  <si>
    <t>Brownfields Assessment Grant</t>
  </si>
  <si>
    <t>Sidewalks</t>
  </si>
  <si>
    <t>Landscaping PSF</t>
  </si>
  <si>
    <t>Sidewalks PSF</t>
  </si>
  <si>
    <t>Green Roofs PSF</t>
  </si>
  <si>
    <t>Green Roofs</t>
  </si>
  <si>
    <t>Development Schedule</t>
  </si>
  <si>
    <t>Product Type</t>
  </si>
  <si>
    <t>Infrastructure</t>
  </si>
  <si>
    <t>TOTALS</t>
  </si>
  <si>
    <t>Development Bar</t>
  </si>
  <si>
    <t>SF</t>
  </si>
  <si>
    <t>Spaces</t>
  </si>
  <si>
    <t>Cap Rate</t>
  </si>
  <si>
    <t>Project Buildout by Development (Units/Spaces)</t>
  </si>
  <si>
    <t>P1</t>
  </si>
  <si>
    <t>P2</t>
  </si>
  <si>
    <t>P3</t>
  </si>
  <si>
    <t>Units</t>
  </si>
  <si>
    <t>Sales Price PSF</t>
  </si>
  <si>
    <t>Remediation Per Demolition</t>
  </si>
  <si>
    <t>Year 0 Total</t>
  </si>
  <si>
    <t>Actual Total</t>
  </si>
  <si>
    <t>Bridge and Platform PSF</t>
  </si>
  <si>
    <t>Demolition Remediation</t>
  </si>
  <si>
    <t>Bridge and Platform</t>
  </si>
  <si>
    <t>Hardscapes PSF</t>
  </si>
  <si>
    <t>Hardscapes</t>
  </si>
  <si>
    <t>Developer Land Equity</t>
  </si>
  <si>
    <t>Permanent Loan</t>
  </si>
  <si>
    <t>(Sunset Bank and Bank of America)</t>
  </si>
  <si>
    <t>Housing</t>
  </si>
  <si>
    <t>IRR</t>
  </si>
  <si>
    <t>Office</t>
  </si>
  <si>
    <t>Industrial</t>
  </si>
  <si>
    <t>Parking</t>
  </si>
  <si>
    <t>Levered</t>
  </si>
  <si>
    <t>Unlevered</t>
  </si>
  <si>
    <t>Current Site Value</t>
  </si>
  <si>
    <t>Projected Site Value</t>
  </si>
  <si>
    <t>Dev Costs</t>
  </si>
  <si>
    <t>SF Developed</t>
  </si>
  <si>
    <t>sources</t>
  </si>
  <si>
    <t>uses</t>
  </si>
  <si>
    <t>infrastructure</t>
  </si>
  <si>
    <t>debt</t>
  </si>
  <si>
    <t>equity</t>
  </si>
  <si>
    <t>public subsidy</t>
  </si>
  <si>
    <t>TOTAL</t>
  </si>
  <si>
    <t>Acquisition</t>
  </si>
  <si>
    <t>Miami Dade County TIID</t>
  </si>
  <si>
    <t>construction</t>
  </si>
  <si>
    <t>Blended Cap Rate</t>
  </si>
  <si>
    <t>Year 1 Construction Cost Assumptions</t>
  </si>
  <si>
    <t>Property Type</t>
  </si>
  <si>
    <t>Hard Costs PSF</t>
  </si>
  <si>
    <t>Soft Costs PSF</t>
  </si>
  <si>
    <t>HC Contingency</t>
  </si>
  <si>
    <t>Total Costs PSF</t>
  </si>
  <si>
    <t xml:space="preserve">Industrial </t>
  </si>
  <si>
    <t>* Source: RS Means online Data</t>
  </si>
  <si>
    <t>* Soft Costs: Estimated 17% of Hard Costs</t>
  </si>
  <si>
    <t>* Contingency: Estimated as 4% of Hard Costs</t>
  </si>
  <si>
    <t>* Current Figures are initial costs that will be inflated by 2% annually</t>
  </si>
  <si>
    <t>Market Assumptions</t>
  </si>
  <si>
    <t>Input</t>
  </si>
  <si>
    <t>Assumption</t>
  </si>
  <si>
    <t>Source</t>
  </si>
  <si>
    <t>Apartment Rents PSF</t>
  </si>
  <si>
    <t>Affordable Rents PSF</t>
  </si>
  <si>
    <t>Condo Sales PSF</t>
  </si>
  <si>
    <t>Affordable Sales PSF</t>
  </si>
  <si>
    <t>Office Rents</t>
  </si>
  <si>
    <t>Office Rents (non profit)</t>
  </si>
  <si>
    <t>Industrial Rents</t>
  </si>
  <si>
    <t>Industrial (School) Rents</t>
  </si>
  <si>
    <t>Parking Hourly Rates</t>
  </si>
  <si>
    <t>Parking Monthly Rates</t>
  </si>
  <si>
    <t>Apartments Vacancy</t>
  </si>
  <si>
    <t>Office Vacancy</t>
  </si>
  <si>
    <t>Retail Vacancy</t>
  </si>
  <si>
    <t>Industrial Vacancy</t>
  </si>
  <si>
    <t>Retail Rents</t>
  </si>
  <si>
    <t>Apartment Cap Rates</t>
  </si>
  <si>
    <t>Office Cap Rates</t>
  </si>
  <si>
    <t>Retail Cap Rates</t>
  </si>
  <si>
    <t>Industrial Cap Rates</t>
  </si>
  <si>
    <t>Parking Cap Rates</t>
  </si>
  <si>
    <t>Marcus &amp; Millichap Q3 Market Report</t>
  </si>
  <si>
    <t>Cushman &amp; Wakefield Q3 Market Report</t>
  </si>
  <si>
    <t>Average of Comparables in area</t>
  </si>
  <si>
    <t>60% AMI in Miami - Dade</t>
  </si>
  <si>
    <t>Based on 60% Market Sales Prices</t>
  </si>
  <si>
    <t>Colliers International Q3 Market Report</t>
  </si>
  <si>
    <t>Colliers International Q3 Office Market Report</t>
  </si>
  <si>
    <t>Colliers International Q3 Retail Market Report</t>
  </si>
  <si>
    <t>Colliers International Q3 Industrial Market Report</t>
  </si>
  <si>
    <t>* Current Estimates for Noi Calculating purposes, a 2% inflation was assumed</t>
  </si>
  <si>
    <t>Demolition Costs PSF</t>
  </si>
  <si>
    <t>* Demolition occuring in Year 0 (2020-2021)</t>
  </si>
  <si>
    <t>acquisition/demolition/loan fee</t>
  </si>
  <si>
    <t>* Block D was left intact</t>
  </si>
  <si>
    <t xml:space="preserve">Discounted Amount from Market Rate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</si>
</sst>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Year&quot;\ 0"/>
    <numFmt numFmtId="165" formatCode="General\ &quot;SF&quot;"/>
    <numFmt numFmtId="166" formatCode="General\ &quot;days&quot;"/>
    <numFmt numFmtId="167" formatCode="#,##0\ &quot;SF&quot;"/>
    <numFmt numFmtId="168" formatCode="&quot;$&quot;#,##0.0_);\(&quot;$&quot;#,##0.0\)"/>
    <numFmt numFmtId="169" formatCode="&quot;$&quot;#,##0\ &quot;PSF&quot;"/>
    <numFmt numFmtId="170" formatCode="#,##0\ &quot;units&quot;"/>
    <numFmt numFmtId="171" formatCode="_(&quot;$&quot;* #,##0_);_(&quot;$&quot;* \(#,##0\);_(&quot;$&quot;* &quot;-&quot;??_);_(@_)"/>
    <numFmt numFmtId="172" formatCode="&quot;$&quot;#,##0.00"/>
    <numFmt numFmtId="173" formatCode="&quot;$&quot;#,##0"/>
    <numFmt numFmtId="174" formatCode="0%\ &quot;AMI&quot;"/>
    <numFmt numFmtId="175" formatCode="0%\ &quot;Permanent Loan&quot;"/>
    <numFmt numFmtId="176" formatCode="General\ &quot;Months&quot;"/>
    <numFmt numFmtId="177" formatCode="0.0%"/>
    <numFmt numFmtId="178" formatCode="0%\ &quot;Condos&quot;"/>
    <numFmt numFmtId="179" formatCode="0%\ &quot;Apartment&quot;"/>
    <numFmt numFmtId="180" formatCode="0%\ &quot;Affordable&quot;"/>
    <numFmt numFmtId="181" formatCode="0%\ &quot;Loan Fee&quot;"/>
    <numFmt numFmtId="182" formatCode="&quot;Year&quot;\ General"/>
    <numFmt numFmtId="183" formatCode="0\ &quot;Spaces&quot;"/>
    <numFmt numFmtId="184" formatCode="#,##0\ &quot;spaces&quot;"/>
    <numFmt numFmtId="185" formatCode="&quot;$&quot;#,##0.0\ &quot;PSF&quot;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0"/>
      <name val="Arial"/>
      <family val="2"/>
    </font>
    <font>
      <sz val="9"/>
      <name val="Arial Narrow"/>
      <family val="2"/>
    </font>
    <font>
      <sz val="10"/>
      <color indexed="9"/>
      <name val="Arial Narrow"/>
      <family val="2"/>
    </font>
    <font>
      <sz val="11"/>
      <color theme="1"/>
      <name val="Calibri"/>
      <family val="2"/>
      <scheme val="minor"/>
    </font>
    <font>
      <b/>
      <sz val="10"/>
      <color rgb="FF0000FF"/>
      <name val="Arial Narrow"/>
      <family val="2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i/>
      <u/>
      <sz val="10"/>
      <name val="Arial"/>
      <family val="2"/>
    </font>
    <font>
      <sz val="10"/>
      <color rgb="FF0000FF"/>
      <name val="Arial"/>
      <family val="2"/>
    </font>
    <font>
      <sz val="10"/>
      <color rgb="FF008000"/>
      <name val="Arial"/>
      <family val="2"/>
    </font>
    <font>
      <b/>
      <sz val="10"/>
      <color rgb="FF002060"/>
      <name val="Arial"/>
      <family val="2"/>
    </font>
    <font>
      <sz val="14"/>
      <name val="Arial"/>
      <family val="2"/>
    </font>
    <font>
      <b/>
      <sz val="10"/>
      <color theme="0"/>
      <name val="Arial Narrow"/>
      <family val="2"/>
    </font>
    <font>
      <u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rgb="FF0070C0"/>
      <name val="Arial Narrow"/>
      <family val="2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1"/>
      <name val="Arial Narrow"/>
      <family val="2"/>
    </font>
    <font>
      <sz val="10"/>
      <color theme="0"/>
      <name val="Arial"/>
      <family val="2"/>
    </font>
    <font>
      <sz val="10"/>
      <color theme="0"/>
      <name val="Arial Narrow"/>
      <family val="2"/>
    </font>
    <font>
      <b/>
      <sz val="11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0"/>
      <color rgb="FF00B05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B050"/>
      <name val="Arial"/>
      <family val="2"/>
    </font>
    <font>
      <b/>
      <sz val="11"/>
      <name val="Arial"/>
      <family val="2"/>
    </font>
    <font>
      <b/>
      <sz val="10"/>
      <color theme="9"/>
      <name val="Arial Narrow"/>
      <family val="2"/>
    </font>
    <font>
      <sz val="10"/>
      <color rgb="FF00B050"/>
      <name val="Arial Narrow"/>
      <family val="2"/>
    </font>
    <font>
      <b/>
      <sz val="10"/>
      <color rgb="FF00B050"/>
      <name val="Arial Narrow"/>
      <family val="2"/>
    </font>
    <font>
      <b/>
      <sz val="10"/>
      <color rgb="FF00B050"/>
      <name val="Arial"/>
      <family val="2"/>
    </font>
    <font>
      <b/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b/>
      <sz val="11"/>
      <color rgb="FF0000FF"/>
      <name val="Calibri"/>
      <family val="2"/>
      <scheme val="minor"/>
    </font>
    <font>
      <b/>
      <sz val="11"/>
      <color rgb="FF0000FF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52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74">
    <border>
      <left/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269">
    <xf numFmtId="0" fontId="0" fillId="0" borderId="0" xfId="0"/>
    <xf numFmtId="0" fontId="2" fillId="0" borderId="0" xfId="1" applyFont="1" applyBorder="1" applyAlignment="1">
      <alignment vertical="center"/>
    </xf>
    <xf numFmtId="0" fontId="2" fillId="3" borderId="0" xfId="1" applyFont="1" applyFill="1" applyBorder="1"/>
    <xf numFmtId="0" fontId="2" fillId="3" borderId="0" xfId="1" applyFont="1" applyFill="1" applyBorder="1" applyAlignment="1">
      <alignment horizontal="center"/>
    </xf>
    <xf numFmtId="0" fontId="2" fillId="3" borderId="0" xfId="1" applyFont="1" applyFill="1" applyBorder="1" applyAlignment="1">
      <alignment vertical="center"/>
    </xf>
    <xf numFmtId="0" fontId="2" fillId="3" borderId="0" xfId="1" applyFont="1" applyFill="1" applyBorder="1" applyAlignment="1">
      <alignment wrapText="1"/>
    </xf>
    <xf numFmtId="0" fontId="1" fillId="0" borderId="0" xfId="0" applyFont="1"/>
    <xf numFmtId="0" fontId="2" fillId="2" borderId="0" xfId="1" applyFont="1" applyFill="1" applyBorder="1" applyAlignment="1">
      <alignment horizontal="center"/>
    </xf>
    <xf numFmtId="0" fontId="2" fillId="2" borderId="0" xfId="1" applyFont="1" applyFill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1" fillId="0" borderId="0" xfId="0" applyFont="1" applyFill="1"/>
    <xf numFmtId="164" fontId="1" fillId="0" borderId="9" xfId="0" applyNumberFormat="1" applyFont="1" applyFill="1" applyBorder="1" applyAlignment="1">
      <alignment horizontal="center"/>
    </xf>
    <xf numFmtId="0" fontId="1" fillId="0" borderId="2" xfId="0" applyFont="1" applyBorder="1"/>
    <xf numFmtId="0" fontId="9" fillId="0" borderId="2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1" fillId="0" borderId="5" xfId="0" applyFont="1" applyBorder="1" applyAlignment="1">
      <alignment horizontal="left" vertical="top"/>
    </xf>
    <xf numFmtId="0" fontId="9" fillId="0" borderId="4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7" fontId="9" fillId="0" borderId="5" xfId="2" applyNumberFormat="1" applyFont="1" applyFill="1" applyBorder="1" applyAlignment="1">
      <alignment horizontal="center"/>
    </xf>
    <xf numFmtId="9" fontId="9" fillId="0" borderId="5" xfId="3" applyFont="1" applyFill="1" applyBorder="1" applyAlignment="1">
      <alignment horizontal="center"/>
    </xf>
    <xf numFmtId="0" fontId="4" fillId="0" borderId="3" xfId="0" applyFont="1" applyBorder="1" applyAlignment="1">
      <alignment horizontal="left" vertical="top"/>
    </xf>
    <xf numFmtId="0" fontId="9" fillId="0" borderId="3" xfId="0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1" fillId="0" borderId="7" xfId="0" applyFont="1" applyBorder="1" applyAlignment="1">
      <alignment horizontal="left" vertical="top"/>
    </xf>
    <xf numFmtId="0" fontId="4" fillId="0" borderId="4" xfId="0" applyFont="1" applyBorder="1"/>
    <xf numFmtId="0" fontId="4" fillId="0" borderId="3" xfId="0" applyFont="1" applyBorder="1"/>
    <xf numFmtId="0" fontId="1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9" fontId="1" fillId="0" borderId="15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left" vertical="top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9" fontId="1" fillId="0" borderId="16" xfId="0" applyNumberFormat="1" applyFont="1" applyFill="1" applyBorder="1" applyAlignment="1">
      <alignment horizontal="center"/>
    </xf>
    <xf numFmtId="0" fontId="1" fillId="0" borderId="5" xfId="0" applyFont="1" applyBorder="1" applyAlignment="1">
      <alignment horizontal="left" vertical="top" wrapText="1"/>
    </xf>
    <xf numFmtId="9" fontId="9" fillId="0" borderId="5" xfId="0" applyNumberFormat="1" applyFont="1" applyFill="1" applyBorder="1" applyAlignment="1">
      <alignment horizontal="center" wrapText="1"/>
    </xf>
    <xf numFmtId="9" fontId="1" fillId="0" borderId="12" xfId="0" applyNumberFormat="1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0" borderId="0" xfId="0" applyFont="1" applyBorder="1" applyAlignment="1">
      <alignment horizontal="center" vertical="center"/>
    </xf>
    <xf numFmtId="6" fontId="1" fillId="0" borderId="3" xfId="0" applyNumberFormat="1" applyFont="1" applyFill="1" applyBorder="1" applyAlignment="1">
      <alignment horizontal="center" vertical="center"/>
    </xf>
    <xf numFmtId="6" fontId="1" fillId="0" borderId="5" xfId="0" applyNumberFormat="1" applyFont="1" applyFill="1" applyBorder="1" applyAlignment="1">
      <alignment horizontal="center" vertical="center"/>
    </xf>
    <xf numFmtId="9" fontId="1" fillId="0" borderId="9" xfId="0" applyNumberFormat="1" applyFont="1" applyFill="1" applyBorder="1" applyAlignment="1">
      <alignment horizontal="center"/>
    </xf>
    <xf numFmtId="7" fontId="1" fillId="0" borderId="9" xfId="0" applyNumberFormat="1" applyFont="1" applyFill="1" applyBorder="1" applyAlignment="1">
      <alignment horizontal="center"/>
    </xf>
    <xf numFmtId="7" fontId="1" fillId="0" borderId="0" xfId="0" applyNumberFormat="1" applyFont="1" applyFill="1" applyBorder="1" applyAlignment="1">
      <alignment horizontal="center"/>
    </xf>
    <xf numFmtId="7" fontId="1" fillId="0" borderId="14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9" fontId="9" fillId="0" borderId="7" xfId="3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9" fontId="9" fillId="0" borderId="5" xfId="0" applyNumberFormat="1" applyFont="1" applyBorder="1" applyAlignment="1">
      <alignment horizontal="center"/>
    </xf>
    <xf numFmtId="9" fontId="1" fillId="0" borderId="12" xfId="0" applyNumberFormat="1" applyFont="1" applyBorder="1" applyAlignment="1">
      <alignment horizontal="center"/>
    </xf>
    <xf numFmtId="0" fontId="1" fillId="0" borderId="0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 wrapText="1"/>
    </xf>
    <xf numFmtId="9" fontId="1" fillId="0" borderId="15" xfId="0" applyNumberFormat="1" applyFont="1" applyFill="1" applyBorder="1" applyAlignment="1">
      <alignment horizontal="center" wrapText="1"/>
    </xf>
    <xf numFmtId="9" fontId="9" fillId="0" borderId="3" xfId="0" applyNumberFormat="1" applyFont="1" applyBorder="1" applyAlignment="1">
      <alignment horizontal="center"/>
    </xf>
    <xf numFmtId="9" fontId="9" fillId="0" borderId="4" xfId="0" applyNumberFormat="1" applyFont="1" applyBorder="1" applyAlignment="1">
      <alignment horizontal="center"/>
    </xf>
    <xf numFmtId="9" fontId="1" fillId="0" borderId="14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6" fontId="1" fillId="0" borderId="0" xfId="0" applyNumberFormat="1" applyFont="1" applyFill="1" applyBorder="1" applyAlignment="1">
      <alignment horizontal="center" vertical="center"/>
    </xf>
    <xf numFmtId="9" fontId="9" fillId="0" borderId="0" xfId="3" applyFont="1" applyFill="1" applyBorder="1" applyAlignment="1">
      <alignment horizontal="center"/>
    </xf>
    <xf numFmtId="9" fontId="1" fillId="0" borderId="0" xfId="0" applyNumberFormat="1" applyFont="1" applyFill="1" applyBorder="1" applyAlignment="1">
      <alignment horizontal="center" vertical="center"/>
    </xf>
    <xf numFmtId="9" fontId="1" fillId="0" borderId="7" xfId="0" applyNumberFormat="1" applyFont="1" applyFill="1" applyBorder="1" applyAlignment="1">
      <alignment horizontal="center" vertical="center"/>
    </xf>
    <xf numFmtId="166" fontId="9" fillId="0" borderId="5" xfId="0" applyNumberFormat="1" applyFont="1" applyFill="1" applyBorder="1" applyAlignment="1">
      <alignment horizontal="center"/>
    </xf>
    <xf numFmtId="6" fontId="1" fillId="0" borderId="5" xfId="0" applyNumberFormat="1" applyFont="1" applyFill="1" applyBorder="1" applyAlignment="1">
      <alignment horizontal="center" vertical="center" wrapText="1"/>
    </xf>
    <xf numFmtId="9" fontId="9" fillId="0" borderId="7" xfId="0" applyNumberFormat="1" applyFont="1" applyFill="1" applyBorder="1" applyAlignment="1">
      <alignment horizontal="center" vertical="center"/>
    </xf>
    <xf numFmtId="0" fontId="1" fillId="0" borderId="5" xfId="0" applyFont="1" applyBorder="1"/>
    <xf numFmtId="0" fontId="9" fillId="0" borderId="5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7" fontId="1" fillId="0" borderId="12" xfId="0" applyNumberFormat="1" applyFont="1" applyBorder="1" applyAlignment="1">
      <alignment horizontal="center"/>
    </xf>
    <xf numFmtId="0" fontId="1" fillId="0" borderId="5" xfId="0" applyFont="1" applyBorder="1" applyAlignment="1">
      <alignment horizontal="left" vertical="top" indent="2"/>
    </xf>
    <xf numFmtId="0" fontId="1" fillId="0" borderId="2" xfId="0" applyFont="1" applyBorder="1" applyAlignment="1">
      <alignment horizontal="left"/>
    </xf>
    <xf numFmtId="9" fontId="9" fillId="0" borderId="2" xfId="0" applyNumberFormat="1" applyFont="1" applyBorder="1" applyAlignment="1">
      <alignment horizontal="center"/>
    </xf>
    <xf numFmtId="9" fontId="1" fillId="0" borderId="10" xfId="0" applyNumberFormat="1" applyFont="1" applyBorder="1" applyAlignment="1">
      <alignment horizontal="center"/>
    </xf>
    <xf numFmtId="0" fontId="4" fillId="0" borderId="2" xfId="0" applyFont="1" applyBorder="1"/>
    <xf numFmtId="0" fontId="1" fillId="0" borderId="1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7" fontId="1" fillId="0" borderId="5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7" fontId="1" fillId="0" borderId="5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9" fontId="1" fillId="0" borderId="12" xfId="3" applyFont="1" applyBorder="1" applyAlignment="1">
      <alignment horizontal="center"/>
    </xf>
    <xf numFmtId="7" fontId="1" fillId="0" borderId="0" xfId="0" applyNumberFormat="1" applyFont="1" applyBorder="1" applyAlignment="1">
      <alignment horizontal="center"/>
    </xf>
    <xf numFmtId="9" fontId="9" fillId="0" borderId="5" xfId="3" applyFont="1" applyBorder="1" applyAlignment="1">
      <alignment horizontal="center"/>
    </xf>
    <xf numFmtId="7" fontId="1" fillId="0" borderId="2" xfId="0" applyNumberFormat="1" applyFont="1" applyBorder="1" applyAlignment="1">
      <alignment horizontal="center" vertical="center"/>
    </xf>
    <xf numFmtId="0" fontId="1" fillId="0" borderId="4" xfId="0" applyFont="1" applyFill="1" applyBorder="1"/>
    <xf numFmtId="7" fontId="1" fillId="0" borderId="7" xfId="0" applyNumberFormat="1" applyFont="1" applyBorder="1" applyAlignment="1">
      <alignment horizontal="center" vertical="center"/>
    </xf>
    <xf numFmtId="7" fontId="1" fillId="0" borderId="12" xfId="0" applyNumberFormat="1" applyFont="1" applyBorder="1" applyAlignment="1">
      <alignment horizontal="center" vertical="center"/>
    </xf>
    <xf numFmtId="7" fontId="1" fillId="0" borderId="10" xfId="0" applyNumberFormat="1" applyFont="1" applyBorder="1" applyAlignment="1">
      <alignment horizontal="center" vertical="center"/>
    </xf>
    <xf numFmtId="7" fontId="1" fillId="0" borderId="9" xfId="0" applyNumberFormat="1" applyFont="1" applyBorder="1" applyAlignment="1">
      <alignment horizontal="center"/>
    </xf>
    <xf numFmtId="0" fontId="1" fillId="2" borderId="18" xfId="0" applyFont="1" applyFill="1" applyBorder="1"/>
    <xf numFmtId="0" fontId="1" fillId="2" borderId="19" xfId="0" applyFont="1" applyFill="1" applyBorder="1"/>
    <xf numFmtId="0" fontId="1" fillId="2" borderId="18" xfId="1" applyFont="1" applyFill="1" applyBorder="1"/>
    <xf numFmtId="0" fontId="1" fillId="2" borderId="29" xfId="1" applyFont="1" applyFill="1" applyBorder="1"/>
    <xf numFmtId="0" fontId="11" fillId="2" borderId="18" xfId="1" applyFont="1" applyFill="1" applyBorder="1"/>
    <xf numFmtId="0" fontId="1" fillId="5" borderId="18" xfId="1" applyFont="1" applyFill="1" applyBorder="1"/>
    <xf numFmtId="0" fontId="1" fillId="2" borderId="22" xfId="1" applyFont="1" applyFill="1" applyBorder="1"/>
    <xf numFmtId="7" fontId="1" fillId="0" borderId="4" xfId="0" applyNumberFormat="1" applyFont="1" applyFill="1" applyBorder="1" applyAlignment="1">
      <alignment horizontal="center" vertical="center"/>
    </xf>
    <xf numFmtId="6" fontId="1" fillId="0" borderId="12" xfId="0" applyNumberFormat="1" applyFont="1" applyFill="1" applyBorder="1" applyAlignment="1">
      <alignment horizontal="center" vertical="center"/>
    </xf>
    <xf numFmtId="6" fontId="1" fillId="0" borderId="16" xfId="0" applyNumberFormat="1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4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" fillId="0" borderId="0" xfId="0" applyFont="1" applyBorder="1"/>
    <xf numFmtId="0" fontId="1" fillId="7" borderId="23" xfId="0" applyFont="1" applyFill="1" applyBorder="1" applyAlignment="1">
      <alignment horizontal="center"/>
    </xf>
    <xf numFmtId="0" fontId="1" fillId="0" borderId="23" xfId="0" applyFont="1" applyBorder="1" applyAlignment="1">
      <alignment horizontal="center" vertical="center"/>
    </xf>
    <xf numFmtId="9" fontId="9" fillId="0" borderId="0" xfId="0" applyNumberFormat="1" applyFont="1" applyAlignment="1">
      <alignment horizontal="center"/>
    </xf>
    <xf numFmtId="5" fontId="1" fillId="0" borderId="0" xfId="0" applyNumberFormat="1" applyFont="1" applyFill="1" applyBorder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9" fontId="1" fillId="0" borderId="0" xfId="3" applyFont="1" applyFill="1" applyBorder="1" applyAlignment="1">
      <alignment horizontal="center"/>
    </xf>
    <xf numFmtId="9" fontId="1" fillId="0" borderId="0" xfId="0" applyNumberFormat="1" applyFont="1"/>
    <xf numFmtId="9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5" fontId="1" fillId="0" borderId="0" xfId="0" applyNumberFormat="1" applyFont="1"/>
    <xf numFmtId="5" fontId="1" fillId="0" borderId="0" xfId="0" applyNumberFormat="1" applyFont="1" applyAlignment="1">
      <alignment horizontal="right"/>
    </xf>
    <xf numFmtId="9" fontId="9" fillId="0" borderId="0" xfId="3" applyFont="1" applyAlignment="1">
      <alignment horizontal="center"/>
    </xf>
    <xf numFmtId="5" fontId="1" fillId="0" borderId="0" xfId="0" applyNumberFormat="1" applyFont="1" applyAlignment="1">
      <alignment horizontal="center"/>
    </xf>
    <xf numFmtId="5" fontId="1" fillId="0" borderId="0" xfId="0" applyNumberFormat="1" applyFont="1" applyAlignment="1">
      <alignment horizontal="center" vertical="center"/>
    </xf>
    <xf numFmtId="3" fontId="1" fillId="0" borderId="0" xfId="0" applyNumberFormat="1" applyFont="1" applyFill="1" applyBorder="1" applyAlignment="1">
      <alignment horizontal="center"/>
    </xf>
    <xf numFmtId="0" fontId="2" fillId="4" borderId="0" xfId="1" applyFont="1" applyFill="1" applyBorder="1"/>
    <xf numFmtId="170" fontId="1" fillId="0" borderId="4" xfId="0" applyNumberFormat="1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3" fillId="4" borderId="0" xfId="1" applyFont="1" applyFill="1" applyBorder="1" applyAlignment="1">
      <alignment horizontal="center" vertical="center" wrapText="1"/>
    </xf>
    <xf numFmtId="0" fontId="2" fillId="3" borderId="0" xfId="1" applyFont="1" applyFill="1" applyBorder="1" applyAlignment="1">
      <alignment horizontal="center" vertical="center"/>
    </xf>
    <xf numFmtId="44" fontId="0" fillId="0" borderId="0" xfId="2" applyFont="1"/>
    <xf numFmtId="165" fontId="0" fillId="0" borderId="0" xfId="0" applyNumberFormat="1"/>
    <xf numFmtId="171" fontId="0" fillId="0" borderId="0" xfId="2" applyNumberFormat="1" applyFont="1"/>
    <xf numFmtId="0" fontId="0" fillId="0" borderId="0" xfId="0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171" fontId="0" fillId="0" borderId="31" xfId="2" applyNumberFormat="1" applyFont="1" applyBorder="1"/>
    <xf numFmtId="165" fontId="0" fillId="0" borderId="31" xfId="0" applyNumberFormat="1" applyBorder="1"/>
    <xf numFmtId="44" fontId="0" fillId="0" borderId="33" xfId="2" applyFont="1" applyBorder="1"/>
    <xf numFmtId="0" fontId="1" fillId="2" borderId="26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171" fontId="0" fillId="0" borderId="27" xfId="2" applyNumberFormat="1" applyFont="1" applyBorder="1"/>
    <xf numFmtId="165" fontId="0" fillId="0" borderId="27" xfId="0" applyNumberFormat="1" applyBorder="1"/>
    <xf numFmtId="44" fontId="0" fillId="0" borderId="28" xfId="2" applyFont="1" applyBorder="1"/>
    <xf numFmtId="171" fontId="0" fillId="2" borderId="31" xfId="2" applyNumberFormat="1" applyFont="1" applyFill="1" applyBorder="1"/>
    <xf numFmtId="165" fontId="0" fillId="2" borderId="31" xfId="0" applyNumberFormat="1" applyFill="1" applyBorder="1"/>
    <xf numFmtId="44" fontId="0" fillId="2" borderId="33" xfId="2" applyFont="1" applyFill="1" applyBorder="1"/>
    <xf numFmtId="0" fontId="4" fillId="2" borderId="32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171" fontId="0" fillId="2" borderId="44" xfId="2" applyNumberFormat="1" applyFont="1" applyFill="1" applyBorder="1"/>
    <xf numFmtId="165" fontId="0" fillId="2" borderId="44" xfId="0" applyNumberFormat="1" applyFill="1" applyBorder="1"/>
    <xf numFmtId="44" fontId="0" fillId="2" borderId="45" xfId="2" applyFont="1" applyFill="1" applyBorder="1"/>
    <xf numFmtId="165" fontId="0" fillId="2" borderId="25" xfId="0" applyNumberForma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44" fontId="0" fillId="2" borderId="25" xfId="2" applyFont="1" applyFill="1" applyBorder="1" applyAlignment="1">
      <alignment horizontal="center" vertical="center"/>
    </xf>
    <xf numFmtId="0" fontId="0" fillId="2" borderId="46" xfId="0" applyFill="1" applyBorder="1" applyAlignment="1">
      <alignment horizontal="center" vertical="center"/>
    </xf>
    <xf numFmtId="171" fontId="0" fillId="2" borderId="47" xfId="2" applyNumberFormat="1" applyFont="1" applyFill="1" applyBorder="1" applyAlignment="1">
      <alignment horizontal="center" vertical="center"/>
    </xf>
    <xf numFmtId="42" fontId="0" fillId="0" borderId="0" xfId="0" applyNumberFormat="1" applyAlignment="1">
      <alignment horizontal="center" vertical="center"/>
    </xf>
    <xf numFmtId="171" fontId="0" fillId="0" borderId="0" xfId="0" applyNumberFormat="1" applyAlignment="1">
      <alignment horizontal="center" vertical="center"/>
    </xf>
    <xf numFmtId="0" fontId="4" fillId="2" borderId="48" xfId="1" applyFont="1" applyFill="1" applyBorder="1" applyAlignment="1">
      <alignment horizontal="center" vertical="center"/>
    </xf>
    <xf numFmtId="0" fontId="4" fillId="2" borderId="18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25" xfId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3" xfId="1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2" xfId="1" applyFont="1" applyFill="1" applyBorder="1" applyAlignment="1">
      <alignment horizontal="center" vertical="center"/>
    </xf>
    <xf numFmtId="41" fontId="13" fillId="2" borderId="18" xfId="1" applyNumberFormat="1" applyFont="1" applyFill="1" applyBorder="1" applyAlignment="1">
      <alignment horizontal="center" vertical="center"/>
    </xf>
    <xf numFmtId="41" fontId="13" fillId="2" borderId="0" xfId="1" applyNumberFormat="1" applyFont="1" applyFill="1" applyBorder="1" applyAlignment="1">
      <alignment horizontal="center" vertical="center"/>
    </xf>
    <xf numFmtId="41" fontId="13" fillId="2" borderId="25" xfId="1" applyNumberFormat="1" applyFont="1" applyFill="1" applyBorder="1" applyAlignment="1">
      <alignment horizontal="center" vertical="center"/>
    </xf>
    <xf numFmtId="41" fontId="1" fillId="2" borderId="2" xfId="1" applyNumberFormat="1" applyFont="1" applyFill="1" applyBorder="1" applyAlignment="1">
      <alignment horizontal="center" vertical="center"/>
    </xf>
    <xf numFmtId="41" fontId="1" fillId="2" borderId="30" xfId="1" applyNumberFormat="1" applyFont="1" applyFill="1" applyBorder="1" applyAlignment="1">
      <alignment horizontal="center" vertical="center"/>
    </xf>
    <xf numFmtId="41" fontId="1" fillId="2" borderId="29" xfId="1" applyNumberFormat="1" applyFont="1" applyFill="1" applyBorder="1" applyAlignment="1">
      <alignment horizontal="center" vertical="center"/>
    </xf>
    <xf numFmtId="0" fontId="1" fillId="2" borderId="18" xfId="1" applyFont="1" applyFill="1" applyBorder="1" applyAlignment="1">
      <alignment horizontal="center" vertical="center"/>
    </xf>
    <xf numFmtId="7" fontId="1" fillId="0" borderId="0" xfId="0" applyNumberFormat="1" applyFont="1"/>
    <xf numFmtId="167" fontId="9" fillId="0" borderId="0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4" fontId="9" fillId="0" borderId="0" xfId="0" applyNumberFormat="1" applyFont="1" applyAlignment="1">
      <alignment horizontal="center"/>
    </xf>
    <xf numFmtId="0" fontId="20" fillId="0" borderId="0" xfId="5"/>
    <xf numFmtId="0" fontId="4" fillId="0" borderId="0" xfId="0" applyFont="1" applyAlignment="1">
      <alignment horizontal="center"/>
    </xf>
    <xf numFmtId="7" fontId="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175" fontId="9" fillId="2" borderId="18" xfId="1" applyNumberFormat="1" applyFont="1" applyFill="1" applyBorder="1" applyAlignment="1">
      <alignment horizontal="center" vertical="center"/>
    </xf>
    <xf numFmtId="7" fontId="1" fillId="9" borderId="0" xfId="0" applyNumberFormat="1" applyFont="1" applyFill="1" applyBorder="1" applyAlignment="1">
      <alignment horizontal="center" vertical="center"/>
    </xf>
    <xf numFmtId="9" fontId="1" fillId="9" borderId="2" xfId="3" applyFont="1" applyFill="1" applyBorder="1" applyAlignment="1">
      <alignment horizontal="center" vertical="center"/>
    </xf>
    <xf numFmtId="5" fontId="1" fillId="9" borderId="0" xfId="0" applyNumberFormat="1" applyFont="1" applyFill="1" applyBorder="1" applyAlignment="1">
      <alignment horizontal="center"/>
    </xf>
    <xf numFmtId="7" fontId="1" fillId="10" borderId="0" xfId="0" applyNumberFormat="1" applyFont="1" applyFill="1" applyBorder="1" applyAlignment="1">
      <alignment horizontal="center" vertical="center"/>
    </xf>
    <xf numFmtId="9" fontId="1" fillId="10" borderId="2" xfId="3" applyFont="1" applyFill="1" applyBorder="1" applyAlignment="1">
      <alignment horizontal="center" vertical="center"/>
    </xf>
    <xf numFmtId="5" fontId="1" fillId="10" borderId="0" xfId="0" applyNumberFormat="1" applyFont="1" applyFill="1" applyBorder="1" applyAlignment="1">
      <alignment horizontal="center"/>
    </xf>
    <xf numFmtId="7" fontId="1" fillId="8" borderId="0" xfId="0" applyNumberFormat="1" applyFont="1" applyFill="1" applyBorder="1" applyAlignment="1">
      <alignment horizontal="center" vertical="center"/>
    </xf>
    <xf numFmtId="9" fontId="1" fillId="8" borderId="2" xfId="3" applyFont="1" applyFill="1" applyBorder="1" applyAlignment="1">
      <alignment horizontal="center" vertical="center"/>
    </xf>
    <xf numFmtId="5" fontId="1" fillId="8" borderId="0" xfId="0" applyNumberFormat="1" applyFont="1" applyFill="1" applyBorder="1" applyAlignment="1">
      <alignment horizontal="center"/>
    </xf>
    <xf numFmtId="0" fontId="10" fillId="11" borderId="4" xfId="0" applyFont="1" applyFill="1" applyBorder="1" applyAlignment="1">
      <alignment horizontal="center"/>
    </xf>
    <xf numFmtId="0" fontId="23" fillId="11" borderId="14" xfId="0" applyFont="1" applyFill="1" applyBorder="1" applyAlignment="1">
      <alignment horizontal="center"/>
    </xf>
    <xf numFmtId="0" fontId="23" fillId="11" borderId="4" xfId="0" applyFont="1" applyFill="1" applyBorder="1" applyAlignment="1">
      <alignment horizontal="center" vertical="center"/>
    </xf>
    <xf numFmtId="0" fontId="23" fillId="11" borderId="0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/>
    </xf>
    <xf numFmtId="0" fontId="23" fillId="11" borderId="9" xfId="0" applyFont="1" applyFill="1" applyBorder="1" applyAlignment="1">
      <alignment horizontal="center"/>
    </xf>
    <xf numFmtId="9" fontId="1" fillId="0" borderId="18" xfId="0" applyNumberFormat="1" applyFont="1" applyBorder="1" applyAlignment="1">
      <alignment horizontal="center" vertical="center"/>
    </xf>
    <xf numFmtId="167" fontId="1" fillId="0" borderId="0" xfId="0" applyNumberFormat="1" applyFont="1" applyFill="1" applyBorder="1" applyAlignment="1">
      <alignment horizontal="center" vertical="center"/>
    </xf>
    <xf numFmtId="7" fontId="1" fillId="0" borderId="0" xfId="0" applyNumberFormat="1" applyFont="1" applyBorder="1" applyAlignment="1">
      <alignment horizontal="center" vertical="center"/>
    </xf>
    <xf numFmtId="5" fontId="1" fillId="0" borderId="0" xfId="0" applyNumberFormat="1" applyFont="1" applyBorder="1" applyAlignment="1">
      <alignment horizontal="center" vertical="center"/>
    </xf>
    <xf numFmtId="5" fontId="1" fillId="0" borderId="25" xfId="0" applyNumberFormat="1" applyFont="1" applyBorder="1" applyAlignment="1">
      <alignment horizontal="center" vertical="center"/>
    </xf>
    <xf numFmtId="9" fontId="1" fillId="0" borderId="22" xfId="0" applyNumberFormat="1" applyFont="1" applyBorder="1" applyAlignment="1">
      <alignment horizontal="center" vertical="center"/>
    </xf>
    <xf numFmtId="167" fontId="1" fillId="0" borderId="23" xfId="0" applyNumberFormat="1" applyFont="1" applyFill="1" applyBorder="1" applyAlignment="1">
      <alignment horizontal="center" vertical="center"/>
    </xf>
    <xf numFmtId="7" fontId="1" fillId="0" borderId="23" xfId="0" applyNumberFormat="1" applyFont="1" applyBorder="1" applyAlignment="1">
      <alignment horizontal="center" vertical="center"/>
    </xf>
    <xf numFmtId="5" fontId="1" fillId="0" borderId="23" xfId="0" applyNumberFormat="1" applyFont="1" applyBorder="1" applyAlignment="1">
      <alignment horizontal="center" vertical="center"/>
    </xf>
    <xf numFmtId="5" fontId="1" fillId="0" borderId="24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1" fillId="0" borderId="0" xfId="3" applyNumberFormat="1" applyFon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5" fontId="1" fillId="0" borderId="0" xfId="0" applyNumberFormat="1" applyFont="1" applyFill="1" applyAlignment="1">
      <alignment horizontal="center"/>
    </xf>
    <xf numFmtId="0" fontId="1" fillId="9" borderId="0" xfId="0" applyFont="1" applyFill="1" applyBorder="1" applyAlignment="1">
      <alignment horizontal="center" vertical="center"/>
    </xf>
    <xf numFmtId="9" fontId="1" fillId="9" borderId="0" xfId="3" applyFont="1" applyFill="1" applyBorder="1" applyAlignment="1">
      <alignment horizontal="center" vertical="center"/>
    </xf>
    <xf numFmtId="177" fontId="1" fillId="9" borderId="0" xfId="3" applyNumberFormat="1" applyFont="1" applyFill="1" applyBorder="1" applyAlignment="1">
      <alignment horizontal="center" vertical="center"/>
    </xf>
    <xf numFmtId="7" fontId="1" fillId="9" borderId="0" xfId="0" applyNumberFormat="1" applyFont="1" applyFill="1" applyBorder="1" applyAlignment="1">
      <alignment horizontal="center"/>
    </xf>
    <xf numFmtId="6" fontId="1" fillId="9" borderId="2" xfId="0" applyNumberFormat="1" applyFont="1" applyFill="1" applyBorder="1" applyAlignment="1">
      <alignment horizontal="center" vertical="center"/>
    </xf>
    <xf numFmtId="6" fontId="1" fillId="9" borderId="0" xfId="0" applyNumberFormat="1" applyFont="1" applyFill="1" applyBorder="1" applyAlignment="1">
      <alignment horizontal="center" vertical="center"/>
    </xf>
    <xf numFmtId="9" fontId="1" fillId="9" borderId="0" xfId="3" applyFont="1" applyFill="1" applyBorder="1" applyAlignment="1">
      <alignment horizontal="center"/>
    </xf>
    <xf numFmtId="177" fontId="1" fillId="8" borderId="0" xfId="3" applyNumberFormat="1" applyFont="1" applyFill="1" applyBorder="1" applyAlignment="1">
      <alignment horizontal="center" vertical="center"/>
    </xf>
    <xf numFmtId="7" fontId="1" fillId="8" borderId="0" xfId="0" applyNumberFormat="1" applyFont="1" applyFill="1" applyBorder="1" applyAlignment="1">
      <alignment horizontal="center"/>
    </xf>
    <xf numFmtId="6" fontId="1" fillId="8" borderId="2" xfId="0" applyNumberFormat="1" applyFont="1" applyFill="1" applyBorder="1" applyAlignment="1">
      <alignment horizontal="center" vertical="center"/>
    </xf>
    <xf numFmtId="6" fontId="1" fillId="8" borderId="0" xfId="0" applyNumberFormat="1" applyFont="1" applyFill="1" applyBorder="1" applyAlignment="1">
      <alignment horizontal="center" vertical="center"/>
    </xf>
    <xf numFmtId="9" fontId="1" fillId="8" borderId="0" xfId="3" applyFont="1" applyFill="1" applyBorder="1" applyAlignment="1">
      <alignment horizontal="center"/>
    </xf>
    <xf numFmtId="177" fontId="1" fillId="10" borderId="0" xfId="3" applyNumberFormat="1" applyFont="1" applyFill="1" applyBorder="1" applyAlignment="1">
      <alignment horizontal="center" vertical="center"/>
    </xf>
    <xf numFmtId="7" fontId="1" fillId="10" borderId="0" xfId="0" applyNumberFormat="1" applyFont="1" applyFill="1" applyBorder="1" applyAlignment="1">
      <alignment horizontal="center"/>
    </xf>
    <xf numFmtId="6" fontId="1" fillId="10" borderId="2" xfId="0" applyNumberFormat="1" applyFont="1" applyFill="1" applyBorder="1" applyAlignment="1">
      <alignment horizontal="center" vertical="center"/>
    </xf>
    <xf numFmtId="6" fontId="1" fillId="10" borderId="0" xfId="0" applyNumberFormat="1" applyFont="1" applyFill="1" applyBorder="1" applyAlignment="1">
      <alignment horizontal="center" vertical="center"/>
    </xf>
    <xf numFmtId="9" fontId="1" fillId="10" borderId="0" xfId="3" applyFont="1" applyFill="1" applyBorder="1" applyAlignment="1">
      <alignment horizontal="center"/>
    </xf>
    <xf numFmtId="3" fontId="1" fillId="9" borderId="0" xfId="0" applyNumberFormat="1" applyFont="1" applyFill="1" applyBorder="1" applyAlignment="1">
      <alignment horizontal="center" vertical="center"/>
    </xf>
    <xf numFmtId="5" fontId="2" fillId="3" borderId="0" xfId="1" applyNumberFormat="1" applyFont="1" applyFill="1" applyBorder="1"/>
    <xf numFmtId="0" fontId="15" fillId="0" borderId="0" xfId="0" applyFont="1" applyAlignment="1">
      <alignment vertical="center"/>
    </xf>
    <xf numFmtId="9" fontId="1" fillId="0" borderId="0" xfId="3" applyFont="1"/>
    <xf numFmtId="9" fontId="1" fillId="10" borderId="0" xfId="3" applyFont="1" applyFill="1" applyBorder="1" applyAlignment="1">
      <alignment horizontal="center" vertical="center"/>
    </xf>
    <xf numFmtId="9" fontId="1" fillId="8" borderId="0" xfId="3" applyFont="1" applyFill="1" applyBorder="1" applyAlignment="1">
      <alignment horizontal="center" vertical="center"/>
    </xf>
    <xf numFmtId="167" fontId="1" fillId="0" borderId="0" xfId="0" applyNumberFormat="1" applyFont="1"/>
    <xf numFmtId="170" fontId="1" fillId="0" borderId="0" xfId="0" applyNumberFormat="1" applyFont="1"/>
    <xf numFmtId="170" fontId="1" fillId="0" borderId="0" xfId="0" applyNumberFormat="1" applyFont="1" applyFill="1" applyBorder="1" applyAlignment="1">
      <alignment horizontal="center"/>
    </xf>
    <xf numFmtId="5" fontId="1" fillId="9" borderId="0" xfId="0" applyNumberFormat="1" applyFont="1" applyFill="1" applyBorder="1" applyAlignment="1">
      <alignment horizontal="center" vertical="center"/>
    </xf>
    <xf numFmtId="5" fontId="1" fillId="8" borderId="0" xfId="0" applyNumberFormat="1" applyFont="1" applyFill="1" applyBorder="1" applyAlignment="1">
      <alignment horizontal="center" vertical="center"/>
    </xf>
    <xf numFmtId="0" fontId="4" fillId="0" borderId="0" xfId="0" applyFont="1" applyBorder="1"/>
    <xf numFmtId="3" fontId="1" fillId="8" borderId="0" xfId="0" applyNumberFormat="1" applyFont="1" applyFill="1" applyBorder="1" applyAlignment="1">
      <alignment horizontal="center" vertical="center"/>
    </xf>
    <xf numFmtId="5" fontId="0" fillId="0" borderId="0" xfId="0" applyNumberFormat="1"/>
    <xf numFmtId="9" fontId="0" fillId="0" borderId="0" xfId="3" applyFont="1"/>
    <xf numFmtId="1" fontId="1" fillId="8" borderId="0" xfId="0" applyNumberFormat="1" applyFont="1" applyFill="1" applyBorder="1" applyAlignment="1">
      <alignment horizontal="center" vertical="center"/>
    </xf>
    <xf numFmtId="5" fontId="1" fillId="0" borderId="0" xfId="0" applyNumberFormat="1" applyFont="1" applyFill="1" applyBorder="1" applyAlignment="1">
      <alignment horizontal="right"/>
    </xf>
    <xf numFmtId="5" fontId="13" fillId="2" borderId="18" xfId="1" applyNumberFormat="1" applyFont="1" applyFill="1" applyBorder="1" applyAlignment="1">
      <alignment horizontal="center" vertical="center"/>
    </xf>
    <xf numFmtId="5" fontId="13" fillId="2" borderId="0" xfId="1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42" fontId="27" fillId="2" borderId="39" xfId="0" applyNumberFormat="1" applyFont="1" applyFill="1" applyBorder="1" applyAlignment="1">
      <alignment horizontal="center" vertical="center"/>
    </xf>
    <xf numFmtId="44" fontId="26" fillId="0" borderId="40" xfId="2" applyFont="1" applyBorder="1"/>
    <xf numFmtId="171" fontId="9" fillId="0" borderId="0" xfId="2" applyNumberFormat="1" applyFont="1" applyAlignment="1">
      <alignment horizontal="center"/>
    </xf>
    <xf numFmtId="0" fontId="4" fillId="0" borderId="0" xfId="0" applyFont="1"/>
    <xf numFmtId="0" fontId="1" fillId="8" borderId="0" xfId="0" applyFont="1" applyFill="1" applyBorder="1"/>
    <xf numFmtId="0" fontId="1" fillId="10" borderId="0" xfId="0" applyFont="1" applyFill="1" applyBorder="1"/>
    <xf numFmtId="0" fontId="1" fillId="9" borderId="0" xfId="0" applyFont="1" applyFill="1" applyBorder="1"/>
    <xf numFmtId="5" fontId="1" fillId="10" borderId="0" xfId="0" applyNumberFormat="1" applyFont="1" applyFill="1" applyBorder="1" applyAlignment="1">
      <alignment horizontal="center" vertical="center"/>
    </xf>
    <xf numFmtId="0" fontId="10" fillId="11" borderId="4" xfId="0" applyFont="1" applyFill="1" applyBorder="1" applyAlignment="1">
      <alignment horizontal="left" vertical="top"/>
    </xf>
    <xf numFmtId="0" fontId="23" fillId="11" borderId="14" xfId="0" applyFont="1" applyFill="1" applyBorder="1" applyAlignment="1">
      <alignment horizontal="center" vertical="center"/>
    </xf>
    <xf numFmtId="0" fontId="23" fillId="11" borderId="7" xfId="0" applyFont="1" applyFill="1" applyBorder="1" applyAlignment="1">
      <alignment horizontal="right"/>
    </xf>
    <xf numFmtId="9" fontId="10" fillId="11" borderId="7" xfId="0" applyNumberFormat="1" applyFont="1" applyFill="1" applyBorder="1" applyAlignment="1">
      <alignment horizontal="center"/>
    </xf>
    <xf numFmtId="0" fontId="23" fillId="11" borderId="15" xfId="0" applyFont="1" applyFill="1" applyBorder="1" applyAlignment="1">
      <alignment horizontal="center" vertical="center"/>
    </xf>
    <xf numFmtId="0" fontId="23" fillId="11" borderId="7" xfId="0" applyFont="1" applyFill="1" applyBorder="1" applyAlignment="1">
      <alignment horizontal="center" vertical="center"/>
    </xf>
    <xf numFmtId="1" fontId="4" fillId="9" borderId="0" xfId="0" applyNumberFormat="1" applyFont="1" applyFill="1" applyBorder="1" applyAlignment="1">
      <alignment horizontal="center" vertical="center"/>
    </xf>
    <xf numFmtId="5" fontId="2" fillId="2" borderId="0" xfId="2" applyNumberFormat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 vertical="center"/>
    </xf>
    <xf numFmtId="5" fontId="2" fillId="2" borderId="0" xfId="1" applyNumberFormat="1" applyFont="1" applyFill="1" applyBorder="1" applyAlignment="1">
      <alignment horizontal="center"/>
    </xf>
    <xf numFmtId="170" fontId="1" fillId="2" borderId="0" xfId="0" applyNumberFormat="1" applyFont="1" applyFill="1" applyBorder="1" applyAlignment="1">
      <alignment horizontal="center"/>
    </xf>
    <xf numFmtId="0" fontId="3" fillId="4" borderId="0" xfId="1" applyFont="1" applyFill="1" applyBorder="1"/>
    <xf numFmtId="0" fontId="3" fillId="4" borderId="0" xfId="1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horizontal="center"/>
    </xf>
    <xf numFmtId="0" fontId="3" fillId="2" borderId="0" xfId="1" applyFont="1" applyFill="1" applyBorder="1" applyAlignment="1">
      <alignment horizontal="center"/>
    </xf>
    <xf numFmtId="9" fontId="8" fillId="2" borderId="0" xfId="3" applyFont="1" applyFill="1" applyBorder="1" applyAlignment="1">
      <alignment horizontal="center" vertical="center"/>
    </xf>
    <xf numFmtId="0" fontId="3" fillId="2" borderId="0" xfId="1" applyFont="1" applyFill="1" applyBorder="1"/>
    <xf numFmtId="0" fontId="3" fillId="2" borderId="0" xfId="1" applyFont="1" applyFill="1" applyBorder="1" applyAlignment="1">
      <alignment horizontal="left" vertical="center"/>
    </xf>
    <xf numFmtId="167" fontId="1" fillId="2" borderId="0" xfId="1" applyNumberFormat="1" applyFont="1" applyFill="1" applyBorder="1" applyAlignment="1">
      <alignment horizontal="center" vertical="center"/>
    </xf>
    <xf numFmtId="0" fontId="2" fillId="2" borderId="0" xfId="1" applyNumberFormat="1" applyFont="1" applyFill="1" applyBorder="1"/>
    <xf numFmtId="0" fontId="5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wrapText="1"/>
    </xf>
    <xf numFmtId="0" fontId="2" fillId="2" borderId="6" xfId="1" applyFont="1" applyFill="1" applyBorder="1" applyAlignment="1">
      <alignment horizontal="center" vertical="center"/>
    </xf>
    <xf numFmtId="9" fontId="2" fillId="2" borderId="0" xfId="3" applyFont="1" applyFill="1" applyBorder="1" applyAlignment="1">
      <alignment horizontal="center" vertical="center"/>
    </xf>
    <xf numFmtId="5" fontId="13" fillId="2" borderId="25" xfId="1" applyNumberFormat="1" applyFont="1" applyFill="1" applyBorder="1" applyAlignment="1">
      <alignment horizontal="center" vertical="center"/>
    </xf>
    <xf numFmtId="181" fontId="1" fillId="2" borderId="29" xfId="1" applyNumberFormat="1" applyFont="1" applyFill="1" applyBorder="1" applyAlignment="1">
      <alignment horizontal="center" vertical="center"/>
    </xf>
    <xf numFmtId="5" fontId="13" fillId="2" borderId="30" xfId="1" applyNumberFormat="1" applyFont="1" applyFill="1" applyBorder="1" applyAlignment="1">
      <alignment horizontal="center" vertical="center"/>
    </xf>
    <xf numFmtId="0" fontId="4" fillId="11" borderId="26" xfId="1" applyFont="1" applyFill="1" applyBorder="1"/>
    <xf numFmtId="42" fontId="4" fillId="11" borderId="52" xfId="1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right"/>
    </xf>
    <xf numFmtId="5" fontId="2" fillId="2" borderId="0" xfId="2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42" fontId="1" fillId="2" borderId="9" xfId="1" applyNumberFormat="1" applyFont="1" applyFill="1" applyBorder="1" applyAlignment="1">
      <alignment vertical="center"/>
    </xf>
    <xf numFmtId="6" fontId="1" fillId="2" borderId="9" xfId="1" applyNumberFormat="1" applyFont="1" applyFill="1" applyBorder="1" applyAlignment="1">
      <alignment vertical="center"/>
    </xf>
    <xf numFmtId="41" fontId="1" fillId="2" borderId="9" xfId="1" applyNumberFormat="1" applyFont="1" applyFill="1" applyBorder="1" applyAlignment="1">
      <alignment vertical="center"/>
    </xf>
    <xf numFmtId="0" fontId="4" fillId="2" borderId="18" xfId="1" applyFont="1" applyFill="1" applyBorder="1"/>
    <xf numFmtId="42" fontId="4" fillId="2" borderId="25" xfId="1" applyNumberFormat="1" applyFont="1" applyFill="1" applyBorder="1" applyAlignment="1">
      <alignment horizontal="center" vertical="center"/>
    </xf>
    <xf numFmtId="0" fontId="1" fillId="11" borderId="26" xfId="1" applyFont="1" applyFill="1" applyBorder="1"/>
    <xf numFmtId="42" fontId="1" fillId="11" borderId="27" xfId="1" applyNumberFormat="1" applyFont="1" applyFill="1" applyBorder="1" applyAlignment="1">
      <alignment vertical="center"/>
    </xf>
    <xf numFmtId="42" fontId="4" fillId="11" borderId="52" xfId="1" applyNumberFormat="1" applyFont="1" applyFill="1" applyBorder="1" applyAlignment="1">
      <alignment vertical="center"/>
    </xf>
    <xf numFmtId="5" fontId="1" fillId="2" borderId="0" xfId="0" applyNumberFormat="1" applyFont="1" applyFill="1" applyBorder="1" applyAlignment="1">
      <alignment horizontal="center"/>
    </xf>
    <xf numFmtId="5" fontId="1" fillId="2" borderId="25" xfId="0" applyNumberFormat="1" applyFont="1" applyFill="1" applyBorder="1" applyAlignment="1">
      <alignment horizontal="center"/>
    </xf>
    <xf numFmtId="5" fontId="1" fillId="2" borderId="9" xfId="0" applyNumberFormat="1" applyFont="1" applyFill="1" applyBorder="1" applyAlignment="1">
      <alignment horizontal="center"/>
    </xf>
    <xf numFmtId="6" fontId="1" fillId="11" borderId="52" xfId="1" applyNumberFormat="1" applyFont="1" applyFill="1" applyBorder="1" applyAlignment="1">
      <alignment vertical="center"/>
    </xf>
    <xf numFmtId="0" fontId="0" fillId="0" borderId="0" xfId="0" applyAlignment="1">
      <alignment horizontal="right"/>
    </xf>
    <xf numFmtId="9" fontId="0" fillId="0" borderId="0" xfId="0" applyNumberFormat="1" applyAlignment="1">
      <alignment horizontal="right"/>
    </xf>
    <xf numFmtId="42" fontId="4" fillId="2" borderId="53" xfId="1" applyNumberFormat="1" applyFont="1" applyFill="1" applyBorder="1" applyAlignment="1">
      <alignment vertical="center"/>
    </xf>
    <xf numFmtId="0" fontId="1" fillId="0" borderId="29" xfId="1" applyFont="1" applyFill="1" applyBorder="1" applyAlignment="1">
      <alignment horizontal="center" vertical="center"/>
    </xf>
    <xf numFmtId="0" fontId="1" fillId="2" borderId="19" xfId="1" applyFont="1" applyFill="1" applyBorder="1"/>
    <xf numFmtId="0" fontId="9" fillId="2" borderId="23" xfId="1" applyFont="1" applyFill="1" applyBorder="1" applyAlignment="1">
      <alignment horizontal="center" vertical="center"/>
    </xf>
    <xf numFmtId="41" fontId="12" fillId="2" borderId="2" xfId="1" applyNumberFormat="1" applyFont="1" applyFill="1" applyBorder="1" applyAlignment="1">
      <alignment horizontal="center" vertical="center"/>
    </xf>
    <xf numFmtId="0" fontId="9" fillId="2" borderId="9" xfId="1" applyFont="1" applyFill="1" applyBorder="1" applyAlignment="1">
      <alignment horizontal="center" vertical="center"/>
    </xf>
    <xf numFmtId="0" fontId="9" fillId="2" borderId="13" xfId="1" applyFont="1" applyFill="1" applyBorder="1" applyAlignment="1">
      <alignment horizontal="center" vertical="center"/>
    </xf>
    <xf numFmtId="5" fontId="13" fillId="2" borderId="9" xfId="1" applyNumberFormat="1" applyFont="1" applyFill="1" applyBorder="1" applyAlignment="1">
      <alignment horizontal="center" vertical="center"/>
    </xf>
    <xf numFmtId="42" fontId="1" fillId="11" borderId="26" xfId="1" applyNumberFormat="1" applyFont="1" applyFill="1" applyBorder="1" applyAlignment="1">
      <alignment vertical="center"/>
    </xf>
    <xf numFmtId="42" fontId="1" fillId="11" borderId="28" xfId="1" applyNumberFormat="1" applyFont="1" applyFill="1" applyBorder="1" applyAlignment="1">
      <alignment vertical="center"/>
    </xf>
    <xf numFmtId="5" fontId="1" fillId="2" borderId="18" xfId="0" applyNumberFormat="1" applyFont="1" applyFill="1" applyBorder="1" applyAlignment="1">
      <alignment horizontal="center"/>
    </xf>
    <xf numFmtId="44" fontId="1" fillId="11" borderId="26" xfId="2" applyFont="1" applyFill="1" applyBorder="1"/>
    <xf numFmtId="44" fontId="1" fillId="11" borderId="27" xfId="2" applyFont="1" applyFill="1" applyBorder="1" applyAlignment="1">
      <alignment horizontal="center" vertical="center"/>
    </xf>
    <xf numFmtId="44" fontId="1" fillId="11" borderId="28" xfId="2" applyFont="1" applyFill="1" applyBorder="1" applyAlignment="1">
      <alignment horizontal="center" vertical="center"/>
    </xf>
    <xf numFmtId="0" fontId="4" fillId="2" borderId="19" xfId="1" applyFont="1" applyFill="1" applyBorder="1"/>
    <xf numFmtId="42" fontId="4" fillId="2" borderId="20" xfId="1" applyNumberFormat="1" applyFont="1" applyFill="1" applyBorder="1" applyAlignment="1">
      <alignment horizontal="center" vertical="center"/>
    </xf>
    <xf numFmtId="42" fontId="4" fillId="2" borderId="21" xfId="1" applyNumberFormat="1" applyFont="1" applyFill="1" applyBorder="1" applyAlignment="1">
      <alignment horizontal="center" vertical="center"/>
    </xf>
    <xf numFmtId="0" fontId="4" fillId="2" borderId="18" xfId="0" applyFont="1" applyFill="1" applyBorder="1"/>
    <xf numFmtId="0" fontId="4" fillId="2" borderId="22" xfId="0" applyFont="1" applyFill="1" applyBorder="1"/>
    <xf numFmtId="42" fontId="4" fillId="2" borderId="19" xfId="1" applyNumberFormat="1" applyFont="1" applyFill="1" applyBorder="1" applyAlignment="1">
      <alignment horizontal="center" vertical="center"/>
    </xf>
    <xf numFmtId="41" fontId="1" fillId="11" borderId="22" xfId="1" applyNumberFormat="1" applyFont="1" applyFill="1" applyBorder="1" applyAlignment="1">
      <alignment horizontal="center" vertical="center"/>
    </xf>
    <xf numFmtId="41" fontId="1" fillId="11" borderId="23" xfId="1" applyNumberFormat="1" applyFont="1" applyFill="1" applyBorder="1" applyAlignment="1">
      <alignment horizontal="center" vertical="center"/>
    </xf>
    <xf numFmtId="41" fontId="1" fillId="11" borderId="24" xfId="1" applyNumberFormat="1" applyFont="1" applyFill="1" applyBorder="1" applyAlignment="1">
      <alignment horizontal="center" vertical="center"/>
    </xf>
    <xf numFmtId="41" fontId="1" fillId="11" borderId="19" xfId="1" applyNumberFormat="1" applyFont="1" applyFill="1" applyBorder="1" applyAlignment="1">
      <alignment horizontal="center" vertical="center"/>
    </xf>
    <xf numFmtId="41" fontId="1" fillId="11" borderId="20" xfId="1" applyNumberFormat="1" applyFont="1" applyFill="1" applyBorder="1" applyAlignment="1">
      <alignment horizontal="center" vertical="center"/>
    </xf>
    <xf numFmtId="41" fontId="1" fillId="11" borderId="21" xfId="1" applyNumberFormat="1" applyFont="1" applyFill="1" applyBorder="1" applyAlignment="1">
      <alignment horizontal="center" vertical="center"/>
    </xf>
    <xf numFmtId="0" fontId="11" fillId="2" borderId="19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9" fontId="0" fillId="0" borderId="0" xfId="3" applyFont="1" applyAlignment="1">
      <alignment horizontal="center" vertical="center"/>
    </xf>
    <xf numFmtId="0" fontId="4" fillId="0" borderId="0" xfId="0" applyFont="1" applyBorder="1" applyAlignment="1">
      <alignment horizontal="left" vertical="top"/>
    </xf>
    <xf numFmtId="0" fontId="1" fillId="0" borderId="0" xfId="0" applyFont="1" applyFill="1" applyBorder="1"/>
    <xf numFmtId="0" fontId="30" fillId="0" borderId="0" xfId="0" applyFont="1"/>
    <xf numFmtId="3" fontId="30" fillId="2" borderId="0" xfId="1" applyNumberFormat="1" applyFont="1" applyFill="1" applyBorder="1" applyAlignment="1">
      <alignment horizontal="center"/>
    </xf>
    <xf numFmtId="0" fontId="31" fillId="2" borderId="22" xfId="0" applyFont="1" applyFill="1" applyBorder="1"/>
    <xf numFmtId="0" fontId="31" fillId="2" borderId="23" xfId="0" applyFont="1" applyFill="1" applyBorder="1"/>
    <xf numFmtId="0" fontId="31" fillId="2" borderId="23" xfId="0" applyFont="1" applyFill="1" applyBorder="1" applyAlignment="1">
      <alignment horizontal="center"/>
    </xf>
    <xf numFmtId="0" fontId="31" fillId="2" borderId="23" xfId="0" applyFont="1" applyFill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31" fillId="2" borderId="49" xfId="0" applyFont="1" applyFill="1" applyBorder="1"/>
    <xf numFmtId="0" fontId="31" fillId="2" borderId="50" xfId="0" applyFont="1" applyFill="1" applyBorder="1"/>
    <xf numFmtId="0" fontId="31" fillId="2" borderId="50" xfId="0" applyFont="1" applyFill="1" applyBorder="1" applyAlignment="1">
      <alignment horizontal="center"/>
    </xf>
    <xf numFmtId="0" fontId="31" fillId="2" borderId="22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31" fillId="2" borderId="0" xfId="0" applyFont="1" applyFill="1" applyBorder="1"/>
    <xf numFmtId="0" fontId="31" fillId="2" borderId="0" xfId="0" applyFont="1" applyFill="1" applyBorder="1" applyAlignment="1">
      <alignment horizontal="right"/>
    </xf>
    <xf numFmtId="0" fontId="31" fillId="2" borderId="18" xfId="0" applyFont="1" applyFill="1" applyBorder="1"/>
    <xf numFmtId="3" fontId="31" fillId="2" borderId="0" xfId="0" applyNumberFormat="1" applyFont="1" applyFill="1" applyBorder="1" applyAlignment="1">
      <alignment horizontal="center"/>
    </xf>
    <xf numFmtId="3" fontId="29" fillId="2" borderId="18" xfId="0" applyNumberFormat="1" applyFont="1" applyFill="1" applyBorder="1" applyAlignment="1">
      <alignment horizontal="center" vertical="center"/>
    </xf>
    <xf numFmtId="3" fontId="29" fillId="2" borderId="0" xfId="0" applyNumberFormat="1" applyFont="1" applyFill="1" applyBorder="1" applyAlignment="1">
      <alignment horizontal="center" vertical="center"/>
    </xf>
    <xf numFmtId="3" fontId="29" fillId="2" borderId="25" xfId="0" applyNumberFormat="1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5" xfId="0" applyFont="1" applyFill="1" applyBorder="1" applyAlignment="1">
      <alignment horizontal="center" vertical="center"/>
    </xf>
    <xf numFmtId="0" fontId="32" fillId="2" borderId="18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25" xfId="0" applyFont="1" applyFill="1" applyBorder="1" applyAlignment="1">
      <alignment horizontal="center" vertical="center"/>
    </xf>
    <xf numFmtId="0" fontId="31" fillId="12" borderId="0" xfId="0" applyFont="1" applyFill="1"/>
    <xf numFmtId="0" fontId="31" fillId="12" borderId="0" xfId="0" applyFont="1" applyFill="1" applyAlignment="1">
      <alignment horizontal="center"/>
    </xf>
    <xf numFmtId="0" fontId="31" fillId="12" borderId="0" xfId="0" applyFont="1" applyFill="1" applyAlignment="1">
      <alignment horizontal="center" vertical="center"/>
    </xf>
    <xf numFmtId="0" fontId="2" fillId="2" borderId="0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/>
    <xf numFmtId="0" fontId="3" fillId="2" borderId="0" xfId="1" applyFont="1" applyFill="1" applyBorder="1" applyAlignment="1">
      <alignment horizontal="left"/>
    </xf>
    <xf numFmtId="0" fontId="2" fillId="2" borderId="0" xfId="1" applyFont="1" applyFill="1" applyBorder="1" applyAlignment="1">
      <alignment horizontal="center" vertical="center"/>
    </xf>
    <xf numFmtId="5" fontId="2" fillId="2" borderId="0" xfId="2" applyNumberFormat="1" applyFont="1" applyFill="1" applyBorder="1" applyAlignment="1">
      <alignment horizontal="center"/>
    </xf>
    <xf numFmtId="0" fontId="4" fillId="2" borderId="36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82" fontId="31" fillId="2" borderId="50" xfId="0" applyNumberFormat="1" applyFont="1" applyFill="1" applyBorder="1" applyAlignment="1">
      <alignment horizontal="center" vertical="center"/>
    </xf>
    <xf numFmtId="0" fontId="4" fillId="9" borderId="0" xfId="0" applyFont="1" applyFill="1" applyBorder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9" borderId="0" xfId="0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left" vertical="top"/>
    </xf>
    <xf numFmtId="0" fontId="3" fillId="2" borderId="0" xfId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5" fontId="4" fillId="2" borderId="24" xfId="0" applyNumberFormat="1" applyFont="1" applyFill="1" applyBorder="1" applyAlignment="1">
      <alignment horizontal="center"/>
    </xf>
    <xf numFmtId="5" fontId="0" fillId="0" borderId="0" xfId="0" applyNumberFormat="1" applyAlignment="1">
      <alignment horizontal="center" vertical="center"/>
    </xf>
    <xf numFmtId="44" fontId="1" fillId="11" borderId="26" xfId="2" applyFont="1" applyFill="1" applyBorder="1" applyAlignment="1">
      <alignment horizontal="center" vertical="center"/>
    </xf>
    <xf numFmtId="44" fontId="1" fillId="11" borderId="52" xfId="2" applyFont="1" applyFill="1" applyBorder="1" applyAlignment="1">
      <alignment horizontal="center" vertical="center"/>
    </xf>
    <xf numFmtId="42" fontId="4" fillId="2" borderId="8" xfId="1" applyNumberFormat="1" applyFont="1" applyFill="1" applyBorder="1" applyAlignment="1">
      <alignment horizontal="center" vertical="center"/>
    </xf>
    <xf numFmtId="42" fontId="4" fillId="2" borderId="9" xfId="1" applyNumberFormat="1" applyFont="1" applyFill="1" applyBorder="1" applyAlignment="1">
      <alignment horizontal="center" vertical="center"/>
    </xf>
    <xf numFmtId="10" fontId="4" fillId="2" borderId="13" xfId="1" applyNumberFormat="1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164" fontId="1" fillId="9" borderId="0" xfId="0" applyNumberFormat="1" applyFont="1" applyFill="1" applyBorder="1" applyAlignment="1">
      <alignment horizontal="center" vertical="center"/>
    </xf>
    <xf numFmtId="164" fontId="1" fillId="8" borderId="0" xfId="0" applyNumberFormat="1" applyFont="1" applyFill="1" applyBorder="1" applyAlignment="1">
      <alignment horizontal="center" vertical="center"/>
    </xf>
    <xf numFmtId="3" fontId="1" fillId="9" borderId="0" xfId="0" applyNumberFormat="1" applyFont="1" applyFill="1" applyBorder="1" applyAlignment="1">
      <alignment horizontal="center"/>
    </xf>
    <xf numFmtId="3" fontId="1" fillId="8" borderId="0" xfId="0" applyNumberFormat="1" applyFont="1" applyFill="1" applyBorder="1" applyAlignment="1">
      <alignment horizontal="center"/>
    </xf>
    <xf numFmtId="1" fontId="1" fillId="9" borderId="0" xfId="0" applyNumberFormat="1" applyFont="1" applyFill="1" applyBorder="1" applyAlignment="1">
      <alignment horizontal="center" vertical="center"/>
    </xf>
    <xf numFmtId="0" fontId="1" fillId="9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 vertical="center"/>
    </xf>
    <xf numFmtId="164" fontId="1" fillId="10" borderId="0" xfId="0" applyNumberFormat="1" applyFont="1" applyFill="1" applyBorder="1" applyAlignment="1">
      <alignment horizontal="center" vertical="center"/>
    </xf>
    <xf numFmtId="0" fontId="4" fillId="10" borderId="0" xfId="0" applyFont="1" applyFill="1" applyBorder="1" applyAlignment="1">
      <alignment horizontal="center" vertical="center"/>
    </xf>
    <xf numFmtId="3" fontId="1" fillId="10" borderId="0" xfId="0" applyNumberFormat="1" applyFont="1" applyFill="1" applyBorder="1" applyAlignment="1">
      <alignment horizontal="center" vertical="center"/>
    </xf>
    <xf numFmtId="3" fontId="1" fillId="10" borderId="0" xfId="0" applyNumberFormat="1" applyFont="1" applyFill="1" applyBorder="1" applyAlignment="1">
      <alignment horizontal="center"/>
    </xf>
    <xf numFmtId="0" fontId="1" fillId="10" borderId="0" xfId="0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1" fillId="2" borderId="0" xfId="0" applyFont="1" applyFill="1" applyBorder="1"/>
    <xf numFmtId="0" fontId="9" fillId="2" borderId="0" xfId="0" applyFont="1" applyFill="1" applyBorder="1" applyAlignment="1">
      <alignment horizontal="center"/>
    </xf>
    <xf numFmtId="7" fontId="1" fillId="2" borderId="9" xfId="0" applyNumberFormat="1" applyFont="1" applyFill="1" applyBorder="1" applyAlignment="1">
      <alignment horizontal="center" vertical="center"/>
    </xf>
    <xf numFmtId="9" fontId="9" fillId="2" borderId="0" xfId="0" applyNumberFormat="1" applyFont="1" applyFill="1" applyBorder="1" applyAlignment="1">
      <alignment horizontal="center"/>
    </xf>
    <xf numFmtId="6" fontId="1" fillId="2" borderId="9" xfId="0" applyNumberFormat="1" applyFont="1" applyFill="1" applyBorder="1" applyAlignment="1">
      <alignment horizontal="center"/>
    </xf>
    <xf numFmtId="9" fontId="1" fillId="2" borderId="9" xfId="0" applyNumberFormat="1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9" fontId="9" fillId="2" borderId="0" xfId="3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/>
    </xf>
    <xf numFmtId="7" fontId="9" fillId="2" borderId="0" xfId="2" applyNumberFormat="1" applyFont="1" applyFill="1" applyBorder="1" applyAlignment="1">
      <alignment horizontal="center"/>
    </xf>
    <xf numFmtId="7" fontId="1" fillId="2" borderId="9" xfId="0" applyNumberFormat="1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176" fontId="9" fillId="2" borderId="0" xfId="0" applyNumberFormat="1" applyFont="1" applyFill="1" applyBorder="1" applyAlignment="1">
      <alignment horizontal="center"/>
    </xf>
    <xf numFmtId="9" fontId="1" fillId="2" borderId="9" xfId="3" applyFont="1" applyFill="1" applyBorder="1" applyAlignment="1">
      <alignment horizontal="center"/>
    </xf>
    <xf numFmtId="0" fontId="9" fillId="2" borderId="0" xfId="2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64" fontId="1" fillId="2" borderId="9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164" fontId="1" fillId="8" borderId="25" xfId="0" applyNumberFormat="1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3" fontId="1" fillId="8" borderId="25" xfId="0" applyNumberFormat="1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left" vertical="top" indent="2"/>
    </xf>
    <xf numFmtId="7" fontId="1" fillId="8" borderId="25" xfId="0" applyNumberFormat="1" applyFont="1" applyFill="1" applyBorder="1" applyAlignment="1">
      <alignment horizontal="center" vertical="center"/>
    </xf>
    <xf numFmtId="3" fontId="1" fillId="8" borderId="25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left"/>
    </xf>
    <xf numFmtId="0" fontId="28" fillId="2" borderId="18" xfId="0" applyFont="1" applyFill="1" applyBorder="1" applyAlignment="1">
      <alignment horizontal="left"/>
    </xf>
    <xf numFmtId="5" fontId="1" fillId="8" borderId="25" xfId="0" applyNumberFormat="1" applyFont="1" applyFill="1" applyBorder="1" applyAlignment="1">
      <alignment horizontal="center" vertical="center"/>
    </xf>
    <xf numFmtId="1" fontId="1" fillId="8" borderId="25" xfId="0" applyNumberFormat="1" applyFont="1" applyFill="1" applyBorder="1" applyAlignment="1">
      <alignment horizontal="center" vertical="center"/>
    </xf>
    <xf numFmtId="0" fontId="1" fillId="8" borderId="25" xfId="0" applyFont="1" applyFill="1" applyBorder="1" applyAlignment="1">
      <alignment horizontal="center"/>
    </xf>
    <xf numFmtId="5" fontId="1" fillId="8" borderId="25" xfId="0" applyNumberFormat="1" applyFont="1" applyFill="1" applyBorder="1" applyAlignment="1">
      <alignment horizontal="center"/>
    </xf>
    <xf numFmtId="9" fontId="1" fillId="8" borderId="25" xfId="3" applyFont="1" applyFill="1" applyBorder="1" applyAlignment="1">
      <alignment horizontal="center"/>
    </xf>
    <xf numFmtId="7" fontId="1" fillId="8" borderId="25" xfId="0" applyNumberFormat="1" applyFont="1" applyFill="1" applyBorder="1" applyAlignment="1">
      <alignment horizontal="center"/>
    </xf>
    <xf numFmtId="0" fontId="9" fillId="2" borderId="23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left"/>
    </xf>
    <xf numFmtId="0" fontId="1" fillId="2" borderId="25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9" fontId="9" fillId="2" borderId="25" xfId="3" applyFont="1" applyFill="1" applyBorder="1" applyAlignment="1">
      <alignment horizontal="center"/>
    </xf>
    <xf numFmtId="0" fontId="1" fillId="2" borderId="22" xfId="0" applyFont="1" applyFill="1" applyBorder="1"/>
    <xf numFmtId="0" fontId="9" fillId="2" borderId="24" xfId="0" applyFont="1" applyFill="1" applyBorder="1" applyAlignment="1">
      <alignment horizontal="center"/>
    </xf>
    <xf numFmtId="177" fontId="9" fillId="2" borderId="24" xfId="3" applyNumberFormat="1" applyFont="1" applyFill="1" applyBorder="1" applyAlignment="1">
      <alignment horizontal="center"/>
    </xf>
    <xf numFmtId="0" fontId="9" fillId="11" borderId="27" xfId="0" applyFont="1" applyFill="1" applyBorder="1" applyAlignment="1">
      <alignment horizontal="center"/>
    </xf>
    <xf numFmtId="0" fontId="1" fillId="11" borderId="52" xfId="0" applyFont="1" applyFill="1" applyBorder="1" applyAlignment="1">
      <alignment horizontal="center"/>
    </xf>
    <xf numFmtId="0" fontId="10" fillId="11" borderId="26" xfId="0" applyFont="1" applyFill="1" applyBorder="1"/>
    <xf numFmtId="0" fontId="10" fillId="11" borderId="27" xfId="0" applyFont="1" applyFill="1" applyBorder="1" applyAlignment="1">
      <alignment horizontal="center"/>
    </xf>
    <xf numFmtId="0" fontId="23" fillId="11" borderId="52" xfId="0" applyFont="1" applyFill="1" applyBorder="1" applyAlignment="1">
      <alignment horizontal="center"/>
    </xf>
    <xf numFmtId="0" fontId="23" fillId="11" borderId="27" xfId="0" applyFont="1" applyFill="1" applyBorder="1" applyAlignment="1">
      <alignment horizontal="center" vertical="center"/>
    </xf>
    <xf numFmtId="0" fontId="23" fillId="11" borderId="28" xfId="0" applyFont="1" applyFill="1" applyBorder="1" applyAlignment="1">
      <alignment horizontal="center" vertical="center"/>
    </xf>
    <xf numFmtId="0" fontId="10" fillId="11" borderId="52" xfId="0" applyFont="1" applyFill="1" applyBorder="1" applyAlignment="1">
      <alignment horizontal="center"/>
    </xf>
    <xf numFmtId="0" fontId="10" fillId="11" borderId="27" xfId="0" applyFont="1" applyFill="1" applyBorder="1" applyAlignment="1">
      <alignment horizontal="center" vertical="center"/>
    </xf>
    <xf numFmtId="0" fontId="10" fillId="11" borderId="28" xfId="0" applyFont="1" applyFill="1" applyBorder="1" applyAlignment="1">
      <alignment horizontal="center" vertical="center"/>
    </xf>
    <xf numFmtId="5" fontId="10" fillId="11" borderId="27" xfId="0" applyNumberFormat="1" applyFont="1" applyFill="1" applyBorder="1" applyAlignment="1">
      <alignment horizontal="center" vertical="center"/>
    </xf>
    <xf numFmtId="5" fontId="10" fillId="11" borderId="28" xfId="0" applyNumberFormat="1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7" fontId="1" fillId="9" borderId="2" xfId="0" applyNumberFormat="1" applyFont="1" applyFill="1" applyBorder="1" applyAlignment="1">
      <alignment horizontal="center" vertical="center"/>
    </xf>
    <xf numFmtId="7" fontId="1" fillId="10" borderId="2" xfId="0" applyNumberFormat="1" applyFont="1" applyFill="1" applyBorder="1" applyAlignment="1">
      <alignment horizontal="center" vertical="center"/>
    </xf>
    <xf numFmtId="7" fontId="1" fillId="8" borderId="2" xfId="0" applyNumberFormat="1" applyFont="1" applyFill="1" applyBorder="1" applyAlignment="1">
      <alignment horizontal="center" vertical="center"/>
    </xf>
    <xf numFmtId="7" fontId="1" fillId="8" borderId="30" xfId="0" applyNumberFormat="1" applyFont="1" applyFill="1" applyBorder="1" applyAlignment="1">
      <alignment horizontal="center" vertical="center"/>
    </xf>
    <xf numFmtId="7" fontId="9" fillId="2" borderId="2" xfId="2" applyNumberFormat="1" applyFont="1" applyFill="1" applyBorder="1" applyAlignment="1">
      <alignment horizontal="center"/>
    </xf>
    <xf numFmtId="177" fontId="9" fillId="2" borderId="0" xfId="3" applyNumberFormat="1" applyFont="1" applyFill="1" applyBorder="1" applyAlignment="1">
      <alignment horizontal="center"/>
    </xf>
    <xf numFmtId="0" fontId="4" fillId="0" borderId="0" xfId="0" applyFont="1" applyBorder="1" applyAlignment="1">
      <alignment vertical="center"/>
    </xf>
    <xf numFmtId="3" fontId="1" fillId="2" borderId="0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64" fontId="1" fillId="2" borderId="25" xfId="0" applyNumberFormat="1" applyFont="1" applyFill="1" applyBorder="1" applyAlignment="1">
      <alignment horizontal="center" vertical="center"/>
    </xf>
    <xf numFmtId="1" fontId="0" fillId="2" borderId="0" xfId="0" applyNumberFormat="1" applyFill="1" applyBorder="1" applyAlignment="1">
      <alignment horizontal="center"/>
    </xf>
    <xf numFmtId="3" fontId="1" fillId="2" borderId="25" xfId="0" applyNumberFormat="1" applyFont="1" applyFill="1" applyBorder="1" applyAlignment="1">
      <alignment horizontal="center" vertical="center"/>
    </xf>
    <xf numFmtId="0" fontId="1" fillId="10" borderId="0" xfId="0" applyFont="1" applyFill="1" applyBorder="1" applyAlignment="1">
      <alignment horizontal="center" vertical="center"/>
    </xf>
    <xf numFmtId="2" fontId="1" fillId="9" borderId="0" xfId="0" applyNumberFormat="1" applyFont="1" applyFill="1" applyBorder="1" applyAlignment="1">
      <alignment horizontal="center" vertical="center"/>
    </xf>
    <xf numFmtId="2" fontId="1" fillId="10" borderId="0" xfId="0" applyNumberFormat="1" applyFont="1" applyFill="1" applyBorder="1" applyAlignment="1">
      <alignment horizontal="center" vertical="center"/>
    </xf>
    <xf numFmtId="2" fontId="1" fillId="8" borderId="0" xfId="0" applyNumberFormat="1" applyFont="1" applyFill="1" applyBorder="1" applyAlignment="1">
      <alignment horizontal="center" vertical="center"/>
    </xf>
    <xf numFmtId="177" fontId="9" fillId="0" borderId="0" xfId="3" applyNumberFormat="1" applyFont="1" applyFill="1" applyBorder="1" applyAlignment="1">
      <alignment horizontal="center"/>
    </xf>
    <xf numFmtId="0" fontId="1" fillId="8" borderId="25" xfId="0" applyFont="1" applyFill="1" applyBorder="1" applyAlignment="1">
      <alignment horizontal="center" vertical="center"/>
    </xf>
    <xf numFmtId="2" fontId="1" fillId="8" borderId="25" xfId="0" applyNumberFormat="1" applyFont="1" applyFill="1" applyBorder="1" applyAlignment="1">
      <alignment horizontal="center" vertical="center"/>
    </xf>
    <xf numFmtId="177" fontId="1" fillId="8" borderId="25" xfId="3" applyNumberFormat="1" applyFont="1" applyFill="1" applyBorder="1" applyAlignment="1">
      <alignment horizontal="center" vertical="center"/>
    </xf>
    <xf numFmtId="6" fontId="1" fillId="8" borderId="25" xfId="0" applyNumberFormat="1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10" fillId="11" borderId="26" xfId="0" applyFont="1" applyFill="1" applyBorder="1" applyAlignment="1">
      <alignment horizontal="left" vertical="top"/>
    </xf>
    <xf numFmtId="0" fontId="23" fillId="11" borderId="26" xfId="0" applyFont="1" applyFill="1" applyBorder="1" applyAlignment="1">
      <alignment horizontal="left" vertical="top"/>
    </xf>
    <xf numFmtId="9" fontId="10" fillId="11" borderId="27" xfId="0" applyNumberFormat="1" applyFont="1" applyFill="1" applyBorder="1" applyAlignment="1">
      <alignment horizontal="center"/>
    </xf>
    <xf numFmtId="0" fontId="4" fillId="2" borderId="18" xfId="0" applyFont="1" applyFill="1" applyBorder="1" applyAlignment="1">
      <alignment horizontal="left" vertical="top"/>
    </xf>
    <xf numFmtId="0" fontId="1" fillId="2" borderId="18" xfId="0" applyFont="1" applyFill="1" applyBorder="1" applyAlignment="1">
      <alignment horizontal="left" vertical="top"/>
    </xf>
    <xf numFmtId="0" fontId="1" fillId="2" borderId="18" xfId="0" applyFont="1" applyFill="1" applyBorder="1" applyAlignment="1">
      <alignment horizontal="left" vertical="top" wrapText="1"/>
    </xf>
    <xf numFmtId="9" fontId="9" fillId="2" borderId="0" xfId="0" applyNumberFormat="1" applyFont="1" applyFill="1" applyBorder="1" applyAlignment="1">
      <alignment horizontal="center" wrapText="1"/>
    </xf>
    <xf numFmtId="0" fontId="1" fillId="2" borderId="29" xfId="0" applyFont="1" applyFill="1" applyBorder="1"/>
    <xf numFmtId="6" fontId="1" fillId="8" borderId="30" xfId="0" applyNumberFormat="1" applyFont="1" applyFill="1" applyBorder="1" applyAlignment="1">
      <alignment horizontal="center" vertical="center"/>
    </xf>
    <xf numFmtId="10" fontId="1" fillId="2" borderId="9" xfId="0" applyNumberFormat="1" applyFont="1" applyFill="1" applyBorder="1" applyAlignment="1">
      <alignment horizontal="center"/>
    </xf>
    <xf numFmtId="9" fontId="1" fillId="2" borderId="9" xfId="0" applyNumberFormat="1" applyFont="1" applyFill="1" applyBorder="1" applyAlignment="1">
      <alignment horizontal="center" wrapText="1"/>
    </xf>
    <xf numFmtId="6" fontId="1" fillId="2" borderId="9" xfId="0" applyNumberFormat="1" applyFont="1" applyFill="1" applyBorder="1" applyAlignment="1">
      <alignment horizontal="center" vertical="center"/>
    </xf>
    <xf numFmtId="0" fontId="23" fillId="11" borderId="52" xfId="0" applyFont="1" applyFill="1" applyBorder="1" applyAlignment="1">
      <alignment horizontal="center" vertical="center"/>
    </xf>
    <xf numFmtId="9" fontId="9" fillId="2" borderId="0" xfId="3" applyNumberFormat="1" applyFont="1" applyFill="1" applyBorder="1" applyAlignment="1">
      <alignment horizontal="center"/>
    </xf>
    <xf numFmtId="3" fontId="1" fillId="2" borderId="20" xfId="0" applyNumberFormat="1" applyFont="1" applyFill="1" applyBorder="1" applyAlignment="1">
      <alignment horizontal="center" vertical="center"/>
    </xf>
    <xf numFmtId="3" fontId="1" fillId="2" borderId="21" xfId="0" applyNumberFormat="1" applyFont="1" applyFill="1" applyBorder="1" applyAlignment="1">
      <alignment horizontal="center" vertical="center"/>
    </xf>
    <xf numFmtId="3" fontId="1" fillId="2" borderId="23" xfId="0" applyNumberFormat="1" applyFont="1" applyFill="1" applyBorder="1" applyAlignment="1">
      <alignment horizontal="center" vertical="center"/>
    </xf>
    <xf numFmtId="1" fontId="1" fillId="2" borderId="23" xfId="0" applyNumberFormat="1" applyFont="1" applyFill="1" applyBorder="1" applyAlignment="1">
      <alignment horizontal="center" vertical="center"/>
    </xf>
    <xf numFmtId="1" fontId="1" fillId="2" borderId="24" xfId="0" applyNumberFormat="1" applyFont="1" applyFill="1" applyBorder="1" applyAlignment="1">
      <alignment horizontal="center" vertical="center"/>
    </xf>
    <xf numFmtId="3" fontId="1" fillId="2" borderId="27" xfId="0" applyNumberFormat="1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1" fontId="1" fillId="2" borderId="27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0" fontId="1" fillId="9" borderId="18" xfId="0" applyFont="1" applyFill="1" applyBorder="1" applyAlignment="1">
      <alignment horizontal="right" vertical="center"/>
    </xf>
    <xf numFmtId="0" fontId="1" fillId="10" borderId="18" xfId="0" applyFont="1" applyFill="1" applyBorder="1" applyAlignment="1">
      <alignment horizontal="right" vertical="center"/>
    </xf>
    <xf numFmtId="0" fontId="1" fillId="8" borderId="18" xfId="0" applyFont="1" applyFill="1" applyBorder="1" applyAlignment="1">
      <alignment horizontal="right" vertical="center"/>
    </xf>
    <xf numFmtId="0" fontId="4" fillId="2" borderId="54" xfId="0" applyFont="1" applyFill="1" applyBorder="1" applyAlignment="1">
      <alignment horizontal="center" vertical="center"/>
    </xf>
    <xf numFmtId="0" fontId="1" fillId="0" borderId="0" xfId="0" applyFont="1" applyFill="1" applyAlignment="1"/>
    <xf numFmtId="0" fontId="4" fillId="0" borderId="0" xfId="0" applyFont="1" applyFill="1" applyAlignment="1"/>
    <xf numFmtId="164" fontId="1" fillId="9" borderId="0" xfId="0" applyNumberFormat="1" applyFont="1" applyFill="1" applyBorder="1" applyAlignment="1">
      <alignment horizontal="center"/>
    </xf>
    <xf numFmtId="164" fontId="1" fillId="10" borderId="0" xfId="0" applyNumberFormat="1" applyFont="1" applyFill="1" applyBorder="1" applyAlignment="1">
      <alignment horizontal="center"/>
    </xf>
    <xf numFmtId="164" fontId="1" fillId="8" borderId="0" xfId="0" applyNumberFormat="1" applyFont="1" applyFill="1" applyBorder="1" applyAlignment="1">
      <alignment horizontal="center"/>
    </xf>
    <xf numFmtId="1" fontId="1" fillId="10" borderId="0" xfId="0" applyNumberFormat="1" applyFont="1" applyFill="1" applyBorder="1" applyAlignment="1">
      <alignment horizontal="center" vertical="center"/>
    </xf>
    <xf numFmtId="37" fontId="1" fillId="9" borderId="0" xfId="0" applyNumberFormat="1" applyFont="1" applyFill="1" applyBorder="1" applyAlignment="1">
      <alignment horizontal="center" vertical="center"/>
    </xf>
    <xf numFmtId="37" fontId="1" fillId="10" borderId="0" xfId="0" applyNumberFormat="1" applyFont="1" applyFill="1" applyBorder="1" applyAlignment="1">
      <alignment horizontal="center" vertical="center"/>
    </xf>
    <xf numFmtId="37" fontId="1" fillId="8" borderId="0" xfId="0" applyNumberFormat="1" applyFont="1" applyFill="1" applyBorder="1" applyAlignment="1">
      <alignment horizontal="center" vertical="center"/>
    </xf>
    <xf numFmtId="5" fontId="1" fillId="9" borderId="0" xfId="2" applyNumberFormat="1" applyFont="1" applyFill="1" applyBorder="1" applyAlignment="1">
      <alignment horizontal="center"/>
    </xf>
    <xf numFmtId="5" fontId="1" fillId="10" borderId="0" xfId="2" applyNumberFormat="1" applyFont="1" applyFill="1" applyBorder="1" applyAlignment="1">
      <alignment horizontal="center"/>
    </xf>
    <xf numFmtId="0" fontId="25" fillId="11" borderId="26" xfId="0" applyFont="1" applyFill="1" applyBorder="1" applyAlignment="1">
      <alignment horizontal="left" vertical="top"/>
    </xf>
    <xf numFmtId="0" fontId="1" fillId="11" borderId="27" xfId="0" applyFont="1" applyFill="1" applyBorder="1"/>
    <xf numFmtId="0" fontId="1" fillId="11" borderId="28" xfId="0" applyFont="1" applyFill="1" applyBorder="1"/>
    <xf numFmtId="164" fontId="1" fillId="8" borderId="25" xfId="0" applyNumberFormat="1" applyFont="1" applyFill="1" applyBorder="1" applyAlignment="1">
      <alignment horizontal="center"/>
    </xf>
    <xf numFmtId="0" fontId="4" fillId="8" borderId="25" xfId="0" applyFont="1" applyFill="1" applyBorder="1" applyAlignment="1">
      <alignment horizontal="center"/>
    </xf>
    <xf numFmtId="0" fontId="1" fillId="8" borderId="25" xfId="0" applyFont="1" applyFill="1" applyBorder="1"/>
    <xf numFmtId="37" fontId="1" fillId="8" borderId="25" xfId="0" applyNumberFormat="1" applyFont="1" applyFill="1" applyBorder="1" applyAlignment="1">
      <alignment horizontal="center" vertical="center"/>
    </xf>
    <xf numFmtId="9" fontId="1" fillId="8" borderId="25" xfId="3" applyFont="1" applyFill="1" applyBorder="1" applyAlignment="1">
      <alignment horizontal="center" vertical="center"/>
    </xf>
    <xf numFmtId="5" fontId="1" fillId="10" borderId="25" xfId="2" applyNumberFormat="1" applyFont="1" applyFill="1" applyBorder="1" applyAlignment="1">
      <alignment horizontal="center"/>
    </xf>
    <xf numFmtId="5" fontId="1" fillId="2" borderId="9" xfId="0" applyNumberFormat="1" applyFont="1" applyFill="1" applyBorder="1" applyAlignment="1">
      <alignment horizontal="center" vertical="center"/>
    </xf>
    <xf numFmtId="177" fontId="9" fillId="2" borderId="0" xfId="0" applyNumberFormat="1" applyFont="1" applyFill="1" applyBorder="1" applyAlignment="1">
      <alignment horizontal="center"/>
    </xf>
    <xf numFmtId="0" fontId="33" fillId="2" borderId="18" xfId="0" applyFont="1" applyFill="1" applyBorder="1" applyAlignment="1">
      <alignment horizontal="left" vertical="top"/>
    </xf>
    <xf numFmtId="1" fontId="9" fillId="2" borderId="0" xfId="0" applyNumberFormat="1" applyFont="1" applyFill="1" applyBorder="1" applyAlignment="1">
      <alignment horizontal="center"/>
    </xf>
    <xf numFmtId="165" fontId="9" fillId="2" borderId="0" xfId="0" applyNumberFormat="1" applyFont="1" applyFill="1" applyBorder="1" applyAlignment="1">
      <alignment horizontal="center"/>
    </xf>
    <xf numFmtId="10" fontId="9" fillId="2" borderId="0" xfId="0" applyNumberFormat="1" applyFont="1" applyFill="1" applyBorder="1" applyAlignment="1">
      <alignment horizontal="center"/>
    </xf>
    <xf numFmtId="0" fontId="1" fillId="2" borderId="20" xfId="0" applyFont="1" applyFill="1" applyBorder="1"/>
    <xf numFmtId="164" fontId="1" fillId="2" borderId="8" xfId="0" applyNumberFormat="1" applyFont="1" applyFill="1" applyBorder="1" applyAlignment="1">
      <alignment horizontal="center"/>
    </xf>
    <xf numFmtId="0" fontId="1" fillId="2" borderId="29" xfId="0" applyFont="1" applyFill="1" applyBorder="1" applyAlignment="1">
      <alignment horizontal="left" vertical="top"/>
    </xf>
    <xf numFmtId="3" fontId="1" fillId="0" borderId="27" xfId="0" applyNumberFormat="1" applyFont="1" applyBorder="1" applyAlignment="1">
      <alignment horizontal="center" vertical="center"/>
    </xf>
    <xf numFmtId="3" fontId="1" fillId="2" borderId="55" xfId="0" applyNumberFormat="1" applyFont="1" applyFill="1" applyBorder="1" applyAlignment="1">
      <alignment horizontal="center"/>
    </xf>
    <xf numFmtId="0" fontId="25" fillId="11" borderId="49" xfId="0" applyFont="1" applyFill="1" applyBorder="1" applyAlignment="1"/>
    <xf numFmtId="0" fontId="25" fillId="11" borderId="50" xfId="0" applyFont="1" applyFill="1" applyBorder="1" applyAlignment="1"/>
    <xf numFmtId="0" fontId="25" fillId="11" borderId="51" xfId="0" applyFont="1" applyFill="1" applyBorder="1" applyAlignment="1"/>
    <xf numFmtId="3" fontId="1" fillId="2" borderId="27" xfId="0" applyNumberFormat="1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1" fillId="2" borderId="25" xfId="0" applyFont="1" applyFill="1" applyBorder="1"/>
    <xf numFmtId="167" fontId="1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11" borderId="0" xfId="1" applyFont="1" applyFill="1" applyBorder="1"/>
    <xf numFmtId="0" fontId="22" fillId="2" borderId="0" xfId="0" applyFont="1" applyFill="1" applyBorder="1"/>
    <xf numFmtId="6" fontId="2" fillId="2" borderId="0" xfId="1" applyNumberFormat="1" applyFont="1" applyFill="1" applyBorder="1"/>
    <xf numFmtId="0" fontId="3" fillId="3" borderId="0" xfId="1" applyFont="1" applyFill="1" applyBorder="1" applyAlignment="1">
      <alignment wrapText="1"/>
    </xf>
    <xf numFmtId="10" fontId="9" fillId="2" borderId="2" xfId="0" applyNumberFormat="1" applyFont="1" applyFill="1" applyBorder="1" applyAlignment="1">
      <alignment horizontal="center"/>
    </xf>
    <xf numFmtId="10" fontId="1" fillId="2" borderId="10" xfId="0" applyNumberFormat="1" applyFont="1" applyFill="1" applyBorder="1" applyAlignment="1">
      <alignment horizontal="center"/>
    </xf>
    <xf numFmtId="9" fontId="1" fillId="8" borderId="30" xfId="3" applyFont="1" applyFill="1" applyBorder="1" applyAlignment="1">
      <alignment horizontal="center" vertical="center"/>
    </xf>
    <xf numFmtId="168" fontId="1" fillId="9" borderId="0" xfId="0" applyNumberFormat="1" applyFont="1" applyFill="1" applyBorder="1" applyAlignment="1">
      <alignment horizontal="center" vertical="center"/>
    </xf>
    <xf numFmtId="5" fontId="1" fillId="2" borderId="0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9" fontId="1" fillId="2" borderId="9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164" fontId="1" fillId="2" borderId="9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7" fontId="1" fillId="2" borderId="10" xfId="0" applyNumberFormat="1" applyFont="1" applyFill="1" applyBorder="1" applyAlignment="1">
      <alignment horizontal="center" vertical="center"/>
    </xf>
    <xf numFmtId="0" fontId="1" fillId="0" borderId="56" xfId="0" applyFont="1" applyBorder="1"/>
    <xf numFmtId="170" fontId="1" fillId="0" borderId="57" xfId="0" applyNumberFormat="1" applyFont="1" applyBorder="1"/>
    <xf numFmtId="0" fontId="1" fillId="0" borderId="31" xfId="0" applyFont="1" applyBorder="1"/>
    <xf numFmtId="170" fontId="1" fillId="0" borderId="58" xfId="0" applyNumberFormat="1" applyFont="1" applyBorder="1"/>
    <xf numFmtId="0" fontId="4" fillId="0" borderId="44" xfId="0" applyFont="1" applyBorder="1"/>
    <xf numFmtId="170" fontId="4" fillId="0" borderId="59" xfId="0" applyNumberFormat="1" applyFont="1" applyBorder="1"/>
    <xf numFmtId="3" fontId="1" fillId="2" borderId="24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Border="1"/>
    <xf numFmtId="9" fontId="9" fillId="2" borderId="24" xfId="3" applyFont="1" applyFill="1" applyBorder="1" applyAlignment="1">
      <alignment horizontal="center"/>
    </xf>
    <xf numFmtId="9" fontId="1" fillId="0" borderId="0" xfId="0" applyNumberFormat="1" applyFont="1" applyFill="1" applyBorder="1" applyAlignment="1">
      <alignment horizontal="center"/>
    </xf>
    <xf numFmtId="0" fontId="10" fillId="11" borderId="0" xfId="0" applyFont="1" applyFill="1" applyBorder="1" applyAlignment="1">
      <alignment vertical="center"/>
    </xf>
    <xf numFmtId="0" fontId="10" fillId="11" borderId="25" xfId="0" applyFont="1" applyFill="1" applyBorder="1" applyAlignment="1">
      <alignment vertical="center"/>
    </xf>
    <xf numFmtId="0" fontId="16" fillId="11" borderId="20" xfId="1" applyFont="1" applyFill="1" applyBorder="1" applyAlignment="1">
      <alignment horizontal="right" vertical="center"/>
    </xf>
    <xf numFmtId="0" fontId="16" fillId="11" borderId="21" xfId="1" applyFont="1" applyFill="1" applyBorder="1" applyAlignment="1">
      <alignment horizontal="center" vertical="center"/>
    </xf>
    <xf numFmtId="0" fontId="1" fillId="0" borderId="19" xfId="1" applyFont="1" applyFill="1" applyBorder="1"/>
    <xf numFmtId="10" fontId="9" fillId="0" borderId="21" xfId="1" applyNumberFormat="1" applyFont="1" applyFill="1" applyBorder="1" applyAlignment="1">
      <alignment horizontal="center" vertical="center"/>
    </xf>
    <xf numFmtId="0" fontId="1" fillId="0" borderId="22" xfId="1" applyFont="1" applyFill="1" applyBorder="1"/>
    <xf numFmtId="10" fontId="9" fillId="0" borderId="24" xfId="1" applyNumberFormat="1" applyFont="1" applyFill="1" applyBorder="1" applyAlignment="1">
      <alignment horizontal="center" vertical="center"/>
    </xf>
    <xf numFmtId="0" fontId="16" fillId="11" borderId="20" xfId="1" applyFont="1" applyFill="1" applyBorder="1" applyAlignment="1">
      <alignment horizontal="center" vertical="center"/>
    </xf>
    <xf numFmtId="0" fontId="31" fillId="12" borderId="0" xfId="0" applyFont="1" applyFill="1" applyBorder="1"/>
    <xf numFmtId="9" fontId="1" fillId="2" borderId="9" xfId="3" applyFont="1" applyFill="1" applyBorder="1" applyAlignment="1">
      <alignment horizontal="center" vertical="center"/>
    </xf>
    <xf numFmtId="0" fontId="1" fillId="0" borderId="22" xfId="0" applyFont="1" applyBorder="1"/>
    <xf numFmtId="7" fontId="1" fillId="2" borderId="24" xfId="0" applyNumberFormat="1" applyFont="1" applyFill="1" applyBorder="1" applyAlignment="1">
      <alignment horizontal="center" vertical="center"/>
    </xf>
    <xf numFmtId="170" fontId="4" fillId="2" borderId="0" xfId="0" applyNumberFormat="1" applyFont="1" applyFill="1" applyBorder="1" applyAlignment="1">
      <alignment horizontal="center"/>
    </xf>
    <xf numFmtId="0" fontId="25" fillId="2" borderId="18" xfId="0" applyFont="1" applyFill="1" applyBorder="1" applyAlignment="1">
      <alignment horizontal="left" vertical="top"/>
    </xf>
    <xf numFmtId="0" fontId="1" fillId="11" borderId="26" xfId="0" applyFont="1" applyFill="1" applyBorder="1" applyAlignment="1">
      <alignment horizontal="left" vertical="top"/>
    </xf>
    <xf numFmtId="9" fontId="9" fillId="11" borderId="27" xfId="0" applyNumberFormat="1" applyFont="1" applyFill="1" applyBorder="1" applyAlignment="1">
      <alignment horizontal="center"/>
    </xf>
    <xf numFmtId="9" fontId="1" fillId="11" borderId="52" xfId="0" applyNumberFormat="1" applyFont="1" applyFill="1" applyBorder="1" applyAlignment="1">
      <alignment horizontal="center" vertical="center"/>
    </xf>
    <xf numFmtId="5" fontId="1" fillId="11" borderId="27" xfId="0" applyNumberFormat="1" applyFont="1" applyFill="1" applyBorder="1" applyAlignment="1">
      <alignment horizontal="center" vertical="center"/>
    </xf>
    <xf numFmtId="5" fontId="1" fillId="11" borderId="28" xfId="0" applyNumberFormat="1" applyFont="1" applyFill="1" applyBorder="1" applyAlignment="1">
      <alignment horizontal="center" vertical="center"/>
    </xf>
    <xf numFmtId="0" fontId="1" fillId="11" borderId="52" xfId="0" applyFont="1" applyFill="1" applyBorder="1" applyAlignment="1">
      <alignment horizontal="center" vertical="center"/>
    </xf>
    <xf numFmtId="168" fontId="1" fillId="11" borderId="27" xfId="0" applyNumberFormat="1" applyFont="1" applyFill="1" applyBorder="1" applyAlignment="1">
      <alignment horizontal="center" vertical="center"/>
    </xf>
    <xf numFmtId="0" fontId="1" fillId="11" borderId="27" xfId="0" applyFont="1" applyFill="1" applyBorder="1" applyAlignment="1">
      <alignment horizontal="center" vertical="center"/>
    </xf>
    <xf numFmtId="0" fontId="1" fillId="11" borderId="28" xfId="0" applyFont="1" applyFill="1" applyBorder="1" applyAlignment="1">
      <alignment horizontal="center" vertical="center"/>
    </xf>
    <xf numFmtId="170" fontId="1" fillId="2" borderId="23" xfId="0" applyNumberFormat="1" applyFont="1" applyFill="1" applyBorder="1" applyAlignment="1">
      <alignment horizontal="center"/>
    </xf>
    <xf numFmtId="170" fontId="1" fillId="2" borderId="24" xfId="0" applyNumberFormat="1" applyFont="1" applyFill="1" applyBorder="1" applyAlignment="1">
      <alignment horizontal="center"/>
    </xf>
    <xf numFmtId="3" fontId="1" fillId="7" borderId="0" xfId="0" applyNumberFormat="1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1" fillId="7" borderId="25" xfId="0" applyFont="1" applyFill="1" applyBorder="1" applyAlignment="1">
      <alignment horizontal="center" vertical="center"/>
    </xf>
    <xf numFmtId="170" fontId="1" fillId="7" borderId="0" xfId="0" applyNumberFormat="1" applyFont="1" applyFill="1" applyBorder="1" applyAlignment="1">
      <alignment horizontal="center" vertical="center"/>
    </xf>
    <xf numFmtId="1" fontId="1" fillId="7" borderId="0" xfId="0" applyNumberFormat="1" applyFont="1" applyFill="1" applyBorder="1" applyAlignment="1">
      <alignment horizontal="center" vertical="center"/>
    </xf>
    <xf numFmtId="183" fontId="4" fillId="2" borderId="0" xfId="0" applyNumberFormat="1" applyFont="1" applyFill="1" applyBorder="1" applyAlignment="1">
      <alignment horizontal="center" vertical="center"/>
    </xf>
    <xf numFmtId="0" fontId="23" fillId="11" borderId="5" xfId="0" applyFont="1" applyFill="1" applyBorder="1"/>
    <xf numFmtId="0" fontId="10" fillId="11" borderId="5" xfId="0" applyFont="1" applyFill="1" applyBorder="1" applyAlignment="1">
      <alignment horizontal="center"/>
    </xf>
    <xf numFmtId="0" fontId="23" fillId="11" borderId="12" xfId="0" applyFont="1" applyFill="1" applyBorder="1" applyAlignment="1">
      <alignment horizontal="center"/>
    </xf>
    <xf numFmtId="0" fontId="23" fillId="11" borderId="5" xfId="0" applyFont="1" applyFill="1" applyBorder="1" applyAlignment="1">
      <alignment horizontal="center" vertical="center"/>
    </xf>
    <xf numFmtId="0" fontId="10" fillId="11" borderId="1" xfId="0" applyFont="1" applyFill="1" applyBorder="1"/>
    <xf numFmtId="0" fontId="10" fillId="11" borderId="1" xfId="0" applyFont="1" applyFill="1" applyBorder="1" applyAlignment="1">
      <alignment horizontal="center"/>
    </xf>
    <xf numFmtId="0" fontId="23" fillId="11" borderId="11" xfId="0" applyFont="1" applyFill="1" applyBorder="1" applyAlignment="1">
      <alignment horizontal="center"/>
    </xf>
    <xf numFmtId="0" fontId="23" fillId="11" borderId="1" xfId="0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/>
    </xf>
    <xf numFmtId="0" fontId="27" fillId="2" borderId="37" xfId="0" applyFont="1" applyFill="1" applyBorder="1" applyAlignment="1">
      <alignment vertical="center"/>
    </xf>
    <xf numFmtId="0" fontId="3" fillId="4" borderId="26" xfId="1" applyFont="1" applyFill="1" applyBorder="1"/>
    <xf numFmtId="0" fontId="3" fillId="4" borderId="27" xfId="1" applyFont="1" applyFill="1" applyBorder="1"/>
    <xf numFmtId="0" fontId="3" fillId="4" borderId="27" xfId="1" applyFont="1" applyFill="1" applyBorder="1" applyAlignment="1">
      <alignment horizontal="center" vertical="center"/>
    </xf>
    <xf numFmtId="0" fontId="2" fillId="4" borderId="27" xfId="1" applyFont="1" applyFill="1" applyBorder="1"/>
    <xf numFmtId="0" fontId="2" fillId="4" borderId="27" xfId="1" applyFont="1" applyFill="1" applyBorder="1" applyAlignment="1"/>
    <xf numFmtId="0" fontId="2" fillId="4" borderId="28" xfId="1" applyFont="1" applyFill="1" applyBorder="1"/>
    <xf numFmtId="0" fontId="2" fillId="11" borderId="28" xfId="1" applyFont="1" applyFill="1" applyBorder="1" applyAlignment="1">
      <alignment vertical="center"/>
    </xf>
    <xf numFmtId="0" fontId="16" fillId="11" borderId="27" xfId="1" applyFont="1" applyFill="1" applyBorder="1" applyAlignment="1">
      <alignment horizontal="right" vertical="center"/>
    </xf>
    <xf numFmtId="0" fontId="16" fillId="11" borderId="28" xfId="1" applyFont="1" applyFill="1" applyBorder="1" applyAlignment="1">
      <alignment horizontal="center" vertical="center"/>
    </xf>
    <xf numFmtId="5" fontId="2" fillId="11" borderId="0" xfId="1" applyNumberFormat="1" applyFont="1" applyFill="1" applyBorder="1" applyAlignment="1">
      <alignment horizontal="center"/>
    </xf>
    <xf numFmtId="0" fontId="24" fillId="11" borderId="26" xfId="1" applyFont="1" applyFill="1" applyBorder="1" applyAlignment="1">
      <alignment horizontal="right"/>
    </xf>
    <xf numFmtId="0" fontId="24" fillId="11" borderId="27" xfId="1" applyFont="1" applyFill="1" applyBorder="1" applyAlignment="1">
      <alignment horizontal="right"/>
    </xf>
    <xf numFmtId="9" fontId="24" fillId="11" borderId="27" xfId="3" applyFont="1" applyFill="1" applyBorder="1" applyAlignment="1">
      <alignment horizontal="center" vertical="center"/>
    </xf>
    <xf numFmtId="5" fontId="24" fillId="11" borderId="27" xfId="1" applyNumberFormat="1" applyFont="1" applyFill="1" applyBorder="1" applyAlignment="1">
      <alignment horizontal="center"/>
    </xf>
    <xf numFmtId="5" fontId="24" fillId="11" borderId="28" xfId="1" applyNumberFormat="1" applyFont="1" applyFill="1" applyBorder="1" applyAlignment="1">
      <alignment horizontal="center" vertical="center"/>
    </xf>
    <xf numFmtId="0" fontId="2" fillId="11" borderId="26" xfId="1" applyFont="1" applyFill="1" applyBorder="1" applyAlignment="1">
      <alignment horizontal="right" vertical="center"/>
    </xf>
    <xf numFmtId="0" fontId="2" fillId="11" borderId="27" xfId="1" applyFont="1" applyFill="1" applyBorder="1" applyAlignment="1">
      <alignment horizontal="right"/>
    </xf>
    <xf numFmtId="184" fontId="1" fillId="2" borderId="0" xfId="0" applyNumberFormat="1" applyFont="1" applyFill="1" applyBorder="1" applyAlignment="1">
      <alignment horizontal="center"/>
    </xf>
    <xf numFmtId="167" fontId="9" fillId="0" borderId="0" xfId="1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top"/>
    </xf>
    <xf numFmtId="0" fontId="1" fillId="9" borderId="2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171" fontId="23" fillId="0" borderId="0" xfId="0" applyNumberFormat="1" applyFont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/>
    </xf>
    <xf numFmtId="0" fontId="28" fillId="2" borderId="18" xfId="0" applyFont="1" applyFill="1" applyBorder="1" applyAlignment="1">
      <alignment horizontal="center" wrapText="1"/>
    </xf>
    <xf numFmtId="0" fontId="27" fillId="2" borderId="46" xfId="0" applyFont="1" applyFill="1" applyBorder="1" applyAlignment="1">
      <alignment vertical="center"/>
    </xf>
    <xf numFmtId="42" fontId="27" fillId="2" borderId="38" xfId="0" applyNumberFormat="1" applyFont="1" applyFill="1" applyBorder="1" applyAlignment="1">
      <alignment vertical="center"/>
    </xf>
    <xf numFmtId="42" fontId="1" fillId="2" borderId="0" xfId="0" applyNumberFormat="1" applyFont="1" applyFill="1" applyBorder="1" applyAlignment="1">
      <alignment horizontal="center"/>
    </xf>
    <xf numFmtId="0" fontId="2" fillId="2" borderId="18" xfId="1" applyFont="1" applyFill="1" applyBorder="1" applyAlignment="1">
      <alignment horizontal="right"/>
    </xf>
    <xf numFmtId="0" fontId="2" fillId="2" borderId="61" xfId="1" applyFont="1" applyFill="1" applyBorder="1" applyAlignment="1">
      <alignment horizontal="right"/>
    </xf>
    <xf numFmtId="0" fontId="3" fillId="4" borderId="18" xfId="1" applyFont="1" applyFill="1" applyBorder="1"/>
    <xf numFmtId="0" fontId="3" fillId="2" borderId="18" xfId="1" applyFont="1" applyFill="1" applyBorder="1"/>
    <xf numFmtId="0" fontId="3" fillId="2" borderId="22" xfId="1" applyFont="1" applyFill="1" applyBorder="1"/>
    <xf numFmtId="0" fontId="3" fillId="2" borderId="23" xfId="1" applyFont="1" applyFill="1" applyBorder="1" applyAlignment="1">
      <alignment horizontal="center" vertical="center"/>
    </xf>
    <xf numFmtId="0" fontId="2" fillId="2" borderId="18" xfId="1" applyFont="1" applyFill="1" applyBorder="1"/>
    <xf numFmtId="0" fontId="2" fillId="2" borderId="25" xfId="1" applyFont="1" applyFill="1" applyBorder="1"/>
    <xf numFmtId="0" fontId="2" fillId="2" borderId="18" xfId="1" applyFont="1" applyFill="1" applyBorder="1" applyAlignment="1">
      <alignment horizontal="center"/>
    </xf>
    <xf numFmtId="0" fontId="3" fillId="2" borderId="25" xfId="1" applyFont="1" applyFill="1" applyBorder="1" applyAlignment="1">
      <alignment horizontal="center" vertical="center"/>
    </xf>
    <xf numFmtId="0" fontId="2" fillId="2" borderId="18" xfId="1" applyFont="1" applyFill="1" applyBorder="1" applyAlignment="1">
      <alignment horizontal="right" vertical="center"/>
    </xf>
    <xf numFmtId="0" fontId="2" fillId="2" borderId="23" xfId="1" applyFont="1" applyFill="1" applyBorder="1"/>
    <xf numFmtId="0" fontId="2" fillId="2" borderId="23" xfId="1" applyFont="1" applyFill="1" applyBorder="1" applyAlignment="1"/>
    <xf numFmtId="0" fontId="2" fillId="2" borderId="24" xfId="1" applyFont="1" applyFill="1" applyBorder="1"/>
    <xf numFmtId="0" fontId="16" fillId="2" borderId="18" xfId="1" applyFont="1" applyFill="1" applyBorder="1" applyAlignment="1">
      <alignment horizontal="left" vertical="top"/>
    </xf>
    <xf numFmtId="164" fontId="2" fillId="2" borderId="25" xfId="0" applyNumberFormat="1" applyFont="1" applyFill="1" applyBorder="1" applyAlignment="1">
      <alignment horizontal="center"/>
    </xf>
    <xf numFmtId="5" fontId="2" fillId="2" borderId="25" xfId="2" applyNumberFormat="1" applyFont="1" applyFill="1" applyBorder="1" applyAlignment="1">
      <alignment horizontal="center"/>
    </xf>
    <xf numFmtId="0" fontId="3" fillId="2" borderId="18" xfId="1" applyFont="1" applyFill="1" applyBorder="1" applyAlignment="1">
      <alignment horizontal="left"/>
    </xf>
    <xf numFmtId="5" fontId="2" fillId="2" borderId="25" xfId="1" applyNumberFormat="1" applyFont="1" applyFill="1" applyBorder="1" applyAlignment="1">
      <alignment horizontal="center"/>
    </xf>
    <xf numFmtId="5" fontId="2" fillId="2" borderId="25" xfId="1" applyNumberFormat="1" applyFont="1" applyFill="1" applyBorder="1" applyAlignment="1">
      <alignment horizontal="center" vertical="center"/>
    </xf>
    <xf numFmtId="6" fontId="2" fillId="2" borderId="25" xfId="1" applyNumberFormat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right"/>
    </xf>
    <xf numFmtId="0" fontId="3" fillId="4" borderId="0" xfId="1" applyFont="1" applyFill="1" applyBorder="1" applyAlignment="1">
      <alignment horizontal="center"/>
    </xf>
    <xf numFmtId="0" fontId="3" fillId="4" borderId="25" xfId="1" applyFont="1" applyFill="1" applyBorder="1" applyAlignment="1">
      <alignment horizontal="center"/>
    </xf>
    <xf numFmtId="0" fontId="2" fillId="2" borderId="0" xfId="1" applyFont="1" applyFill="1" applyBorder="1" applyAlignment="1"/>
    <xf numFmtId="0" fontId="3" fillId="2" borderId="25" xfId="1" applyFont="1" applyFill="1" applyBorder="1" applyAlignment="1">
      <alignment horizontal="center" vertical="center"/>
    </xf>
    <xf numFmtId="10" fontId="34" fillId="2" borderId="23" xfId="1" applyNumberFormat="1" applyFont="1" applyFill="1" applyBorder="1" applyAlignment="1">
      <alignment horizontal="center"/>
    </xf>
    <xf numFmtId="167" fontId="1" fillId="2" borderId="46" xfId="1" applyNumberFormat="1" applyFont="1" applyFill="1" applyBorder="1" applyAlignment="1">
      <alignment horizontal="center" vertical="center"/>
    </xf>
    <xf numFmtId="0" fontId="30" fillId="2" borderId="18" xfId="1" applyFont="1" applyFill="1" applyBorder="1" applyAlignment="1">
      <alignment horizontal="right"/>
    </xf>
    <xf numFmtId="0" fontId="30" fillId="2" borderId="0" xfId="1" applyFont="1" applyFill="1" applyBorder="1" applyAlignment="1">
      <alignment horizontal="right"/>
    </xf>
    <xf numFmtId="169" fontId="2" fillId="2" borderId="6" xfId="2" applyNumberFormat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0" fontId="3" fillId="2" borderId="23" xfId="1" applyFont="1" applyFill="1" applyBorder="1" applyAlignment="1">
      <alignment horizontal="right" vertical="center"/>
    </xf>
    <xf numFmtId="164" fontId="3" fillId="2" borderId="9" xfId="0" applyNumberFormat="1" applyFont="1" applyFill="1" applyBorder="1" applyAlignment="1">
      <alignment horizontal="center"/>
    </xf>
    <xf numFmtId="0" fontId="3" fillId="2" borderId="9" xfId="1" applyFont="1" applyFill="1" applyBorder="1" applyAlignment="1">
      <alignment horizontal="center"/>
    </xf>
    <xf numFmtId="0" fontId="3" fillId="4" borderId="52" xfId="1" applyFont="1" applyFill="1" applyBorder="1" applyAlignment="1">
      <alignment horizontal="center"/>
    </xf>
    <xf numFmtId="5" fontId="2" fillId="2" borderId="9" xfId="2" applyNumberFormat="1" applyFont="1" applyFill="1" applyBorder="1" applyAlignment="1">
      <alignment horizontal="center"/>
    </xf>
    <xf numFmtId="0" fontId="2" fillId="2" borderId="9" xfId="1" applyFont="1" applyFill="1" applyBorder="1" applyAlignment="1">
      <alignment horizontal="center"/>
    </xf>
    <xf numFmtId="5" fontId="2" fillId="2" borderId="9" xfId="1" applyNumberFormat="1" applyFont="1" applyFill="1" applyBorder="1" applyAlignment="1">
      <alignment horizontal="center"/>
    </xf>
    <xf numFmtId="9" fontId="2" fillId="2" borderId="9" xfId="1" applyNumberFormat="1" applyFont="1" applyFill="1" applyBorder="1" applyAlignment="1">
      <alignment horizontal="center"/>
    </xf>
    <xf numFmtId="5" fontId="24" fillId="11" borderId="52" xfId="1" applyNumberFormat="1" applyFont="1" applyFill="1" applyBorder="1" applyAlignment="1">
      <alignment horizontal="center"/>
    </xf>
    <xf numFmtId="6" fontId="2" fillId="2" borderId="36" xfId="1" applyNumberFormat="1" applyFont="1" applyFill="1" applyBorder="1"/>
    <xf numFmtId="0" fontId="3" fillId="2" borderId="56" xfId="1" applyFont="1" applyFill="1" applyBorder="1"/>
    <xf numFmtId="0" fontId="3" fillId="2" borderId="32" xfId="1" applyFont="1" applyFill="1" applyBorder="1"/>
    <xf numFmtId="0" fontId="2" fillId="4" borderId="52" xfId="1" applyFont="1" applyFill="1" applyBorder="1" applyAlignment="1">
      <alignment horizontal="center"/>
    </xf>
    <xf numFmtId="167" fontId="1" fillId="2" borderId="53" xfId="1" applyNumberFormat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5" fontId="35" fillId="2" borderId="9" xfId="2" applyNumberFormat="1" applyFont="1" applyFill="1" applyBorder="1" applyAlignment="1">
      <alignment horizontal="center"/>
    </xf>
    <xf numFmtId="5" fontId="35" fillId="2" borderId="0" xfId="2" applyNumberFormat="1" applyFont="1" applyFill="1" applyBorder="1" applyAlignment="1">
      <alignment horizontal="center"/>
    </xf>
    <xf numFmtId="5" fontId="35" fillId="2" borderId="25" xfId="2" applyNumberFormat="1" applyFont="1" applyFill="1" applyBorder="1" applyAlignment="1">
      <alignment horizontal="center"/>
    </xf>
    <xf numFmtId="10" fontId="36" fillId="2" borderId="13" xfId="1" applyNumberFormat="1" applyFont="1" applyFill="1" applyBorder="1" applyAlignment="1">
      <alignment horizontal="center"/>
    </xf>
    <xf numFmtId="3" fontId="35" fillId="2" borderId="9" xfId="1" applyNumberFormat="1" applyFont="1" applyFill="1" applyBorder="1" applyAlignment="1">
      <alignment horizontal="center" vertical="center"/>
    </xf>
    <xf numFmtId="1" fontId="35" fillId="2" borderId="0" xfId="1" applyNumberFormat="1" applyFont="1" applyFill="1" applyBorder="1" applyAlignment="1">
      <alignment horizontal="center" vertical="center"/>
    </xf>
    <xf numFmtId="1" fontId="35" fillId="2" borderId="25" xfId="1" applyNumberFormat="1" applyFont="1" applyFill="1" applyBorder="1" applyAlignment="1">
      <alignment horizontal="center" vertical="center"/>
    </xf>
    <xf numFmtId="3" fontId="35" fillId="2" borderId="0" xfId="1" applyNumberFormat="1" applyFont="1" applyFill="1" applyBorder="1" applyAlignment="1">
      <alignment horizontal="center" vertical="center"/>
    </xf>
    <xf numFmtId="3" fontId="35" fillId="2" borderId="25" xfId="1" applyNumberFormat="1" applyFont="1" applyFill="1" applyBorder="1" applyAlignment="1">
      <alignment horizontal="center" vertical="center"/>
    </xf>
    <xf numFmtId="3" fontId="35" fillId="2" borderId="0" xfId="1" applyNumberFormat="1" applyFont="1" applyFill="1" applyBorder="1" applyAlignment="1">
      <alignment horizontal="center"/>
    </xf>
    <xf numFmtId="3" fontId="35" fillId="2" borderId="25" xfId="1" applyNumberFormat="1" applyFont="1" applyFill="1" applyBorder="1" applyAlignment="1">
      <alignment horizontal="center"/>
    </xf>
    <xf numFmtId="3" fontId="35" fillId="11" borderId="52" xfId="1" applyNumberFormat="1" applyFont="1" applyFill="1" applyBorder="1" applyAlignment="1">
      <alignment horizontal="center" vertical="center"/>
    </xf>
    <xf numFmtId="3" fontId="35" fillId="11" borderId="27" xfId="1" applyNumberFormat="1" applyFont="1" applyFill="1" applyBorder="1" applyAlignment="1">
      <alignment horizontal="center"/>
    </xf>
    <xf numFmtId="3" fontId="35" fillId="11" borderId="28" xfId="1" applyNumberFormat="1" applyFont="1" applyFill="1" applyBorder="1" applyAlignment="1">
      <alignment horizontal="center"/>
    </xf>
    <xf numFmtId="0" fontId="35" fillId="2" borderId="9" xfId="1" applyFont="1" applyFill="1" applyBorder="1" applyAlignment="1">
      <alignment horizontal="center"/>
    </xf>
    <xf numFmtId="0" fontId="35" fillId="2" borderId="25" xfId="1" applyFont="1" applyFill="1" applyBorder="1" applyAlignment="1">
      <alignment horizontal="center"/>
    </xf>
    <xf numFmtId="0" fontId="35" fillId="4" borderId="52" xfId="1" applyFont="1" applyFill="1" applyBorder="1" applyAlignment="1">
      <alignment horizontal="center"/>
    </xf>
    <xf numFmtId="0" fontId="35" fillId="4" borderId="27" xfId="1" applyFont="1" applyFill="1" applyBorder="1"/>
    <xf numFmtId="0" fontId="35" fillId="4" borderId="27" xfId="1" applyFont="1" applyFill="1" applyBorder="1" applyAlignment="1"/>
    <xf numFmtId="0" fontId="35" fillId="4" borderId="28" xfId="1" applyFont="1" applyFill="1" applyBorder="1"/>
    <xf numFmtId="0" fontId="35" fillId="2" borderId="9" xfId="1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horizontal="center" vertical="center"/>
    </xf>
    <xf numFmtId="0" fontId="35" fillId="2" borderId="25" xfId="1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vertical="top"/>
    </xf>
    <xf numFmtId="0" fontId="4" fillId="2" borderId="0" xfId="0" applyFont="1" applyFill="1" applyBorder="1" applyAlignment="1">
      <alignment vertical="top"/>
    </xf>
    <xf numFmtId="0" fontId="4" fillId="2" borderId="22" xfId="0" applyFont="1" applyFill="1" applyBorder="1" applyAlignment="1">
      <alignment vertical="top"/>
    </xf>
    <xf numFmtId="0" fontId="1" fillId="2" borderId="23" xfId="0" applyFont="1" applyFill="1" applyBorder="1"/>
    <xf numFmtId="0" fontId="1" fillId="2" borderId="24" xfId="0" applyFont="1" applyFill="1" applyBorder="1"/>
    <xf numFmtId="0" fontId="1" fillId="2" borderId="0" xfId="0" applyFont="1" applyFill="1" applyBorder="1" applyAlignment="1">
      <alignment vertical="top"/>
    </xf>
    <xf numFmtId="0" fontId="1" fillId="2" borderId="9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top"/>
    </xf>
    <xf numFmtId="10" fontId="1" fillId="2" borderId="9" xfId="0" applyNumberFormat="1" applyFont="1" applyFill="1" applyBorder="1" applyAlignment="1">
      <alignment horizontal="right"/>
    </xf>
    <xf numFmtId="0" fontId="4" fillId="2" borderId="18" xfId="0" applyFont="1" applyFill="1" applyBorder="1" applyAlignment="1">
      <alignment horizontal="right"/>
    </xf>
    <xf numFmtId="0" fontId="1" fillId="2" borderId="18" xfId="0" applyFont="1" applyFill="1" applyBorder="1" applyAlignment="1">
      <alignment horizontal="right"/>
    </xf>
    <xf numFmtId="164" fontId="4" fillId="2" borderId="9" xfId="0" applyNumberFormat="1" applyFont="1" applyFill="1" applyBorder="1" applyAlignment="1">
      <alignment horizontal="center"/>
    </xf>
    <xf numFmtId="0" fontId="4" fillId="2" borderId="9" xfId="1" applyFont="1" applyFill="1" applyBorder="1" applyAlignment="1">
      <alignment horizontal="center"/>
    </xf>
    <xf numFmtId="0" fontId="4" fillId="9" borderId="0" xfId="1" applyFont="1" applyFill="1" applyBorder="1" applyAlignment="1">
      <alignment horizontal="center"/>
    </xf>
    <xf numFmtId="2" fontId="1" fillId="9" borderId="0" xfId="0" applyNumberFormat="1" applyFont="1" applyFill="1" applyBorder="1" applyAlignment="1">
      <alignment horizontal="center"/>
    </xf>
    <xf numFmtId="5" fontId="1" fillId="9" borderId="0" xfId="0" applyNumberFormat="1" applyFont="1" applyFill="1" applyBorder="1"/>
    <xf numFmtId="2" fontId="1" fillId="10" borderId="0" xfId="0" applyNumberFormat="1" applyFont="1" applyFill="1" applyBorder="1" applyAlignment="1">
      <alignment horizontal="center"/>
    </xf>
    <xf numFmtId="5" fontId="1" fillId="10" borderId="0" xfId="0" applyNumberFormat="1" applyFont="1" applyFill="1" applyBorder="1"/>
    <xf numFmtId="0" fontId="10" fillId="11" borderId="26" xfId="0" applyFont="1" applyFill="1" applyBorder="1" applyAlignment="1">
      <alignment vertical="top"/>
    </xf>
    <xf numFmtId="0" fontId="10" fillId="11" borderId="27" xfId="0" applyFont="1" applyFill="1" applyBorder="1" applyAlignment="1">
      <alignment vertical="top"/>
    </xf>
    <xf numFmtId="10" fontId="23" fillId="11" borderId="52" xfId="0" applyNumberFormat="1" applyFont="1" applyFill="1" applyBorder="1" applyAlignment="1">
      <alignment horizontal="center"/>
    </xf>
    <xf numFmtId="0" fontId="23" fillId="11" borderId="27" xfId="0" applyFont="1" applyFill="1" applyBorder="1"/>
    <xf numFmtId="0" fontId="23" fillId="11" borderId="28" xfId="0" applyFont="1" applyFill="1" applyBorder="1"/>
    <xf numFmtId="0" fontId="4" fillId="11" borderId="26" xfId="0" applyFont="1" applyFill="1" applyBorder="1" applyAlignment="1">
      <alignment horizontal="left" vertical="top"/>
    </xf>
    <xf numFmtId="0" fontId="4" fillId="11" borderId="27" xfId="0" applyFont="1" applyFill="1" applyBorder="1" applyAlignment="1">
      <alignment horizontal="left" vertical="top"/>
    </xf>
    <xf numFmtId="0" fontId="1" fillId="11" borderId="52" xfId="0" applyFont="1" applyFill="1" applyBorder="1" applyAlignment="1">
      <alignment horizontal="right"/>
    </xf>
    <xf numFmtId="6" fontId="1" fillId="2" borderId="13" xfId="0" applyNumberFormat="1" applyFont="1" applyFill="1" applyBorder="1" applyAlignment="1">
      <alignment horizontal="center" vertical="center"/>
    </xf>
    <xf numFmtId="0" fontId="1" fillId="8" borderId="30" xfId="0" applyFont="1" applyFill="1" applyBorder="1" applyAlignment="1">
      <alignment horizontal="center" vertical="center"/>
    </xf>
    <xf numFmtId="1" fontId="1" fillId="9" borderId="23" xfId="0" applyNumberFormat="1" applyFont="1" applyFill="1" applyBorder="1" applyAlignment="1">
      <alignment horizontal="center" vertical="center"/>
    </xf>
    <xf numFmtId="0" fontId="1" fillId="9" borderId="23" xfId="0" applyFont="1" applyFill="1" applyBorder="1" applyAlignment="1">
      <alignment horizontal="center" vertical="center"/>
    </xf>
    <xf numFmtId="0" fontId="1" fillId="10" borderId="23" xfId="0" applyFont="1" applyFill="1" applyBorder="1" applyAlignment="1">
      <alignment horizontal="center" vertical="center"/>
    </xf>
    <xf numFmtId="0" fontId="1" fillId="8" borderId="23" xfId="0" applyFont="1" applyFill="1" applyBorder="1" applyAlignment="1">
      <alignment horizontal="center" vertical="center"/>
    </xf>
    <xf numFmtId="0" fontId="1" fillId="8" borderId="2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 vertical="top"/>
    </xf>
    <xf numFmtId="167" fontId="1" fillId="2" borderId="0" xfId="0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top"/>
    </xf>
    <xf numFmtId="167" fontId="1" fillId="2" borderId="23" xfId="0" applyNumberFormat="1" applyFont="1" applyFill="1" applyBorder="1" applyAlignment="1">
      <alignment horizontal="center"/>
    </xf>
    <xf numFmtId="0" fontId="23" fillId="0" borderId="0" xfId="0" applyFont="1"/>
    <xf numFmtId="5" fontId="23" fillId="0" borderId="0" xfId="0" applyNumberFormat="1" applyFont="1" applyAlignment="1">
      <alignment horizontal="center" vertical="center"/>
    </xf>
    <xf numFmtId="5" fontId="23" fillId="0" borderId="0" xfId="0" applyNumberFormat="1" applyFont="1"/>
    <xf numFmtId="167" fontId="4" fillId="0" borderId="0" xfId="0" applyNumberFormat="1" applyFont="1" applyFill="1" applyBorder="1" applyAlignment="1">
      <alignment horizontal="center"/>
    </xf>
    <xf numFmtId="170" fontId="4" fillId="2" borderId="0" xfId="0" applyNumberFormat="1" applyFont="1" applyFill="1" applyBorder="1" applyAlignment="1">
      <alignment horizontal="center" vertical="center"/>
    </xf>
    <xf numFmtId="167" fontId="4" fillId="2" borderId="0" xfId="0" applyNumberFormat="1" applyFont="1" applyFill="1" applyBorder="1" applyAlignment="1">
      <alignment horizontal="center"/>
    </xf>
    <xf numFmtId="3" fontId="37" fillId="2" borderId="0" xfId="0" applyNumberFormat="1" applyFont="1" applyFill="1" applyBorder="1" applyAlignment="1">
      <alignment horizontal="center"/>
    </xf>
    <xf numFmtId="167" fontId="9" fillId="2" borderId="0" xfId="0" applyNumberFormat="1" applyFont="1" applyFill="1" applyBorder="1" applyAlignment="1">
      <alignment horizontal="center"/>
    </xf>
    <xf numFmtId="0" fontId="18" fillId="2" borderId="22" xfId="0" applyFont="1" applyFill="1" applyBorder="1" applyAlignment="1">
      <alignment horizontal="center" vertical="center"/>
    </xf>
    <xf numFmtId="7" fontId="2" fillId="2" borderId="23" xfId="0" applyNumberFormat="1" applyFont="1" applyFill="1" applyBorder="1" applyAlignment="1">
      <alignment horizontal="center" vertical="center"/>
    </xf>
    <xf numFmtId="173" fontId="18" fillId="2" borderId="23" xfId="4" applyNumberFormat="1" applyFont="1" applyFill="1" applyBorder="1" applyAlignment="1">
      <alignment horizontal="center" vertical="center"/>
    </xf>
    <xf numFmtId="173" fontId="18" fillId="2" borderId="24" xfId="4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2" fillId="2" borderId="18" xfId="1" applyFont="1" applyFill="1" applyBorder="1" applyAlignment="1">
      <alignment horizontal="right"/>
    </xf>
    <xf numFmtId="0" fontId="2" fillId="2" borderId="0" xfId="1" applyFont="1" applyFill="1" applyBorder="1" applyAlignment="1">
      <alignment horizontal="right"/>
    </xf>
    <xf numFmtId="0" fontId="3" fillId="2" borderId="0" xfId="1" applyFont="1" applyFill="1" applyBorder="1" applyAlignment="1">
      <alignment horizontal="center" vertical="center"/>
    </xf>
    <xf numFmtId="5" fontId="2" fillId="2" borderId="0" xfId="1" applyNumberFormat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5" fontId="1" fillId="13" borderId="0" xfId="0" applyNumberFormat="1" applyFont="1" applyFill="1" applyBorder="1" applyAlignment="1">
      <alignment horizontal="center" vertical="center"/>
    </xf>
    <xf numFmtId="5" fontId="1" fillId="13" borderId="25" xfId="0" applyNumberFormat="1" applyFont="1" applyFill="1" applyBorder="1" applyAlignment="1">
      <alignment horizontal="center" vertical="center"/>
    </xf>
    <xf numFmtId="5" fontId="1" fillId="13" borderId="0" xfId="0" applyNumberFormat="1" applyFont="1" applyFill="1" applyBorder="1"/>
    <xf numFmtId="5" fontId="1" fillId="13" borderId="25" xfId="0" applyNumberFormat="1" applyFont="1" applyFill="1" applyBorder="1"/>
    <xf numFmtId="0" fontId="1" fillId="13" borderId="0" xfId="0" applyFont="1" applyFill="1" applyBorder="1"/>
    <xf numFmtId="0" fontId="1" fillId="13" borderId="25" xfId="0" applyFont="1" applyFill="1" applyBorder="1"/>
    <xf numFmtId="2" fontId="1" fillId="13" borderId="0" xfId="0" applyNumberFormat="1" applyFont="1" applyFill="1" applyBorder="1" applyAlignment="1">
      <alignment horizontal="center" vertical="center"/>
    </xf>
    <xf numFmtId="164" fontId="1" fillId="13" borderId="0" xfId="0" applyNumberFormat="1" applyFont="1" applyFill="1" applyBorder="1" applyAlignment="1">
      <alignment horizontal="center"/>
    </xf>
    <xf numFmtId="164" fontId="1" fillId="13" borderId="25" xfId="0" applyNumberFormat="1" applyFont="1" applyFill="1" applyBorder="1" applyAlignment="1">
      <alignment horizontal="center"/>
    </xf>
    <xf numFmtId="0" fontId="4" fillId="13" borderId="0" xfId="0" applyFont="1" applyFill="1" applyBorder="1" applyAlignment="1">
      <alignment horizontal="center"/>
    </xf>
    <xf numFmtId="0" fontId="4" fillId="13" borderId="25" xfId="0" applyFont="1" applyFill="1" applyBorder="1" applyAlignment="1">
      <alignment horizontal="center"/>
    </xf>
    <xf numFmtId="2" fontId="1" fillId="13" borderId="0" xfId="0" applyNumberFormat="1" applyFont="1" applyFill="1" applyBorder="1" applyAlignment="1">
      <alignment horizontal="center"/>
    </xf>
    <xf numFmtId="2" fontId="1" fillId="13" borderId="25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9" fillId="2" borderId="24" xfId="0" applyFont="1" applyFill="1" applyBorder="1" applyAlignment="1">
      <alignment horizontal="center" vertical="center"/>
    </xf>
    <xf numFmtId="0" fontId="31" fillId="2" borderId="25" xfId="0" applyFont="1" applyFill="1" applyBorder="1" applyAlignment="1">
      <alignment horizontal="center"/>
    </xf>
    <xf numFmtId="0" fontId="31" fillId="2" borderId="24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3" fontId="1" fillId="7" borderId="0" xfId="0" applyNumberFormat="1" applyFont="1" applyFill="1" applyBorder="1" applyAlignment="1">
      <alignment horizontal="center"/>
    </xf>
    <xf numFmtId="0" fontId="1" fillId="7" borderId="25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/>
    </xf>
    <xf numFmtId="0" fontId="28" fillId="2" borderId="25" xfId="0" applyFont="1" applyFill="1" applyBorder="1" applyAlignment="1">
      <alignment horizontal="center"/>
    </xf>
    <xf numFmtId="0" fontId="28" fillId="2" borderId="19" xfId="0" applyFont="1" applyFill="1" applyBorder="1" applyAlignment="1">
      <alignment horizontal="center" vertical="center"/>
    </xf>
    <xf numFmtId="0" fontId="28" fillId="2" borderId="20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 vertical="center"/>
    </xf>
    <xf numFmtId="3" fontId="33" fillId="2" borderId="23" xfId="1" applyNumberFormat="1" applyFont="1" applyFill="1" applyBorder="1" applyAlignment="1">
      <alignment horizontal="center"/>
    </xf>
    <xf numFmtId="3" fontId="32" fillId="2" borderId="18" xfId="0" applyNumberFormat="1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20" xfId="0" applyFont="1" applyFill="1" applyBorder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3" fontId="32" fillId="2" borderId="25" xfId="0" applyNumberFormat="1" applyFont="1" applyFill="1" applyBorder="1" applyAlignment="1">
      <alignment horizontal="center" vertical="center"/>
    </xf>
    <xf numFmtId="5" fontId="1" fillId="13" borderId="0" xfId="2" applyNumberFormat="1" applyFont="1" applyFill="1" applyBorder="1" applyAlignment="1">
      <alignment horizontal="center"/>
    </xf>
    <xf numFmtId="5" fontId="1" fillId="13" borderId="25" xfId="2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 vertical="center"/>
    </xf>
    <xf numFmtId="5" fontId="2" fillId="2" borderId="0" xfId="1" applyNumberFormat="1" applyFont="1" applyFill="1" applyBorder="1"/>
    <xf numFmtId="0" fontId="2" fillId="2" borderId="2" xfId="1" applyFont="1" applyFill="1" applyBorder="1" applyAlignment="1">
      <alignment horizontal="center" vertical="center"/>
    </xf>
    <xf numFmtId="5" fontId="35" fillId="2" borderId="19" xfId="2" applyNumberFormat="1" applyFont="1" applyFill="1" applyBorder="1" applyAlignment="1">
      <alignment horizontal="center"/>
    </xf>
    <xf numFmtId="5" fontId="35" fillId="2" borderId="20" xfId="2" applyNumberFormat="1" applyFont="1" applyFill="1" applyBorder="1" applyAlignment="1">
      <alignment horizontal="center"/>
    </xf>
    <xf numFmtId="5" fontId="35" fillId="2" borderId="21" xfId="2" applyNumberFormat="1" applyFont="1" applyFill="1" applyBorder="1" applyAlignment="1">
      <alignment horizontal="center"/>
    </xf>
    <xf numFmtId="5" fontId="35" fillId="2" borderId="18" xfId="2" applyNumberFormat="1" applyFont="1" applyFill="1" applyBorder="1" applyAlignment="1">
      <alignment horizontal="center"/>
    </xf>
    <xf numFmtId="5" fontId="2" fillId="2" borderId="18" xfId="1" applyNumberFormat="1" applyFont="1" applyFill="1" applyBorder="1" applyAlignment="1">
      <alignment horizontal="center"/>
    </xf>
    <xf numFmtId="5" fontId="2" fillId="2" borderId="22" xfId="1" applyNumberFormat="1" applyFont="1" applyFill="1" applyBorder="1" applyAlignment="1">
      <alignment horizontal="center"/>
    </xf>
    <xf numFmtId="5" fontId="2" fillId="2" borderId="23" xfId="1" applyNumberFormat="1" applyFont="1" applyFill="1" applyBorder="1" applyAlignment="1">
      <alignment horizontal="center"/>
    </xf>
    <xf numFmtId="5" fontId="2" fillId="2" borderId="24" xfId="1" applyNumberFormat="1" applyFont="1" applyFill="1" applyBorder="1" applyAlignment="1">
      <alignment horizontal="center"/>
    </xf>
    <xf numFmtId="1" fontId="29" fillId="2" borderId="18" xfId="0" applyNumberFormat="1" applyFont="1" applyFill="1" applyBorder="1" applyAlignment="1">
      <alignment horizontal="center" vertical="center"/>
    </xf>
    <xf numFmtId="0" fontId="31" fillId="11" borderId="26" xfId="0" applyFont="1" applyFill="1" applyBorder="1"/>
    <xf numFmtId="0" fontId="31" fillId="11" borderId="27" xfId="0" applyFont="1" applyFill="1" applyBorder="1"/>
    <xf numFmtId="0" fontId="31" fillId="11" borderId="27" xfId="0" applyFont="1" applyFill="1" applyBorder="1" applyAlignment="1">
      <alignment horizontal="center"/>
    </xf>
    <xf numFmtId="0" fontId="31" fillId="11" borderId="28" xfId="0" applyFont="1" applyFill="1" applyBorder="1" applyAlignment="1">
      <alignment horizontal="center"/>
    </xf>
    <xf numFmtId="0" fontId="32" fillId="11" borderId="26" xfId="0" applyFont="1" applyFill="1" applyBorder="1" applyAlignment="1">
      <alignment horizontal="center" vertical="center"/>
    </xf>
    <xf numFmtId="0" fontId="32" fillId="11" borderId="27" xfId="0" applyFont="1" applyFill="1" applyBorder="1" applyAlignment="1">
      <alignment horizontal="center" vertical="center"/>
    </xf>
    <xf numFmtId="0" fontId="32" fillId="11" borderId="28" xfId="0" applyFont="1" applyFill="1" applyBorder="1" applyAlignment="1">
      <alignment horizontal="center" vertical="center"/>
    </xf>
    <xf numFmtId="0" fontId="32" fillId="11" borderId="23" xfId="0" applyFont="1" applyFill="1" applyBorder="1" applyAlignment="1">
      <alignment horizontal="center" vertical="center"/>
    </xf>
    <xf numFmtId="0" fontId="32" fillId="11" borderId="22" xfId="0" applyFont="1" applyFill="1" applyBorder="1" applyAlignment="1">
      <alignment horizontal="center" vertical="center"/>
    </xf>
    <xf numFmtId="0" fontId="32" fillId="11" borderId="24" xfId="0" applyFont="1" applyFill="1" applyBorder="1" applyAlignment="1">
      <alignment horizontal="center" vertical="center"/>
    </xf>
    <xf numFmtId="1" fontId="29" fillId="2" borderId="25" xfId="0" applyNumberFormat="1" applyFont="1" applyFill="1" applyBorder="1" applyAlignment="1">
      <alignment horizontal="center" vertical="center"/>
    </xf>
    <xf numFmtId="1" fontId="29" fillId="2" borderId="22" xfId="0" applyNumberFormat="1" applyFont="1" applyFill="1" applyBorder="1" applyAlignment="1">
      <alignment horizontal="center" vertical="center"/>
    </xf>
    <xf numFmtId="1" fontId="29" fillId="2" borderId="23" xfId="0" applyNumberFormat="1" applyFont="1" applyFill="1" applyBorder="1" applyAlignment="1">
      <alignment horizontal="center" vertical="center"/>
    </xf>
    <xf numFmtId="1" fontId="29" fillId="2" borderId="24" xfId="0" applyNumberFormat="1" applyFont="1" applyFill="1" applyBorder="1" applyAlignment="1">
      <alignment horizontal="center" vertical="center"/>
    </xf>
    <xf numFmtId="5" fontId="29" fillId="0" borderId="9" xfId="0" applyNumberFormat="1" applyFont="1" applyBorder="1" applyAlignment="1">
      <alignment horizontal="center"/>
    </xf>
    <xf numFmtId="42" fontId="4" fillId="2" borderId="0" xfId="1" applyNumberFormat="1" applyFont="1" applyFill="1" applyBorder="1" applyAlignment="1">
      <alignment horizontal="center" vertical="center"/>
    </xf>
    <xf numFmtId="42" fontId="4" fillId="2" borderId="18" xfId="1" applyNumberFormat="1" applyFont="1" applyFill="1" applyBorder="1" applyAlignment="1">
      <alignment horizontal="center" vertical="center"/>
    </xf>
    <xf numFmtId="42" fontId="4" fillId="2" borderId="65" xfId="1" applyNumberFormat="1" applyFont="1" applyFill="1" applyBorder="1" applyAlignment="1">
      <alignment horizontal="center" vertical="center"/>
    </xf>
    <xf numFmtId="42" fontId="4" fillId="11" borderId="27" xfId="1" applyNumberFormat="1" applyFont="1" applyFill="1" applyBorder="1" applyAlignment="1">
      <alignment horizontal="center" vertical="center"/>
    </xf>
    <xf numFmtId="42" fontId="4" fillId="11" borderId="26" xfId="1" applyNumberFormat="1" applyFont="1" applyFill="1" applyBorder="1" applyAlignment="1">
      <alignment horizontal="center" vertical="center"/>
    </xf>
    <xf numFmtId="42" fontId="4" fillId="11" borderId="28" xfId="1" applyNumberFormat="1" applyFont="1" applyFill="1" applyBorder="1" applyAlignment="1">
      <alignment horizontal="center" vertical="center"/>
    </xf>
    <xf numFmtId="41" fontId="1" fillId="11" borderId="52" xfId="1" applyNumberFormat="1" applyFont="1" applyFill="1" applyBorder="1" applyAlignment="1">
      <alignment horizontal="center" vertical="center"/>
    </xf>
    <xf numFmtId="5" fontId="1" fillId="2" borderId="53" xfId="0" applyNumberFormat="1" applyFont="1" applyFill="1" applyBorder="1" applyAlignment="1">
      <alignment horizontal="center"/>
    </xf>
    <xf numFmtId="5" fontId="1" fillId="2" borderId="46" xfId="0" applyNumberFormat="1" applyFont="1" applyFill="1" applyBorder="1" applyAlignment="1">
      <alignment horizontal="center"/>
    </xf>
    <xf numFmtId="5" fontId="1" fillId="2" borderId="37" xfId="0" applyNumberFormat="1" applyFont="1" applyFill="1" applyBorder="1" applyAlignment="1">
      <alignment horizontal="center"/>
    </xf>
    <xf numFmtId="5" fontId="1" fillId="2" borderId="47" xfId="0" applyNumberFormat="1" applyFont="1" applyFill="1" applyBorder="1" applyAlignment="1">
      <alignment horizontal="center"/>
    </xf>
    <xf numFmtId="6" fontId="1" fillId="2" borderId="9" xfId="1" applyNumberFormat="1" applyFont="1" applyFill="1" applyBorder="1" applyAlignment="1">
      <alignment horizontal="center" vertical="center"/>
    </xf>
    <xf numFmtId="41" fontId="1" fillId="2" borderId="13" xfId="1" applyNumberFormat="1" applyFont="1" applyFill="1" applyBorder="1" applyAlignment="1">
      <alignment vertical="center"/>
    </xf>
    <xf numFmtId="42" fontId="4" fillId="11" borderId="8" xfId="1" applyNumberFormat="1" applyFont="1" applyFill="1" applyBorder="1"/>
    <xf numFmtId="42" fontId="4" fillId="11" borderId="13" xfId="1" applyNumberFormat="1" applyFont="1" applyFill="1" applyBorder="1"/>
    <xf numFmtId="0" fontId="28" fillId="2" borderId="29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right" vertical="center"/>
    </xf>
    <xf numFmtId="0" fontId="2" fillId="2" borderId="2" xfId="1" applyFont="1" applyFill="1" applyBorder="1" applyAlignment="1"/>
    <xf numFmtId="0" fontId="16" fillId="2" borderId="9" xfId="1" applyFont="1" applyFill="1" applyBorder="1" applyAlignment="1">
      <alignment horizontal="left" vertical="top"/>
    </xf>
    <xf numFmtId="0" fontId="1" fillId="2" borderId="19" xfId="1" applyFont="1" applyFill="1" applyBorder="1" applyAlignment="1">
      <alignment horizontal="center" vertical="center"/>
    </xf>
    <xf numFmtId="5" fontId="13" fillId="2" borderId="21" xfId="1" applyNumberFormat="1" applyFont="1" applyFill="1" applyBorder="1" applyAlignment="1">
      <alignment horizontal="center" vertical="center"/>
    </xf>
    <xf numFmtId="177" fontId="8" fillId="2" borderId="0" xfId="3" applyNumberFormat="1" applyFont="1" applyFill="1" applyBorder="1" applyAlignment="1">
      <alignment horizontal="center" vertical="center"/>
    </xf>
    <xf numFmtId="5" fontId="29" fillId="2" borderId="25" xfId="0" applyNumberFormat="1" applyFont="1" applyFill="1" applyBorder="1" applyAlignment="1">
      <alignment horizontal="center"/>
    </xf>
    <xf numFmtId="0" fontId="0" fillId="0" borderId="0" xfId="0" applyFill="1"/>
    <xf numFmtId="10" fontId="3" fillId="2" borderId="9" xfId="1" applyNumberFormat="1" applyFont="1" applyFill="1" applyBorder="1" applyAlignment="1">
      <alignment horizontal="center"/>
    </xf>
    <xf numFmtId="10" fontId="2" fillId="2" borderId="9" xfId="1" applyNumberFormat="1" applyFont="1" applyFill="1" applyBorder="1" applyAlignment="1">
      <alignment horizontal="center"/>
    </xf>
    <xf numFmtId="0" fontId="41" fillId="2" borderId="23" xfId="1" applyFont="1" applyFill="1" applyBorder="1"/>
    <xf numFmtId="0" fontId="41" fillId="2" borderId="18" xfId="1" applyFont="1" applyFill="1" applyBorder="1" applyAlignment="1">
      <alignment horizontal="left"/>
    </xf>
    <xf numFmtId="0" fontId="41" fillId="2" borderId="18" xfId="1" applyFont="1" applyFill="1" applyBorder="1"/>
    <xf numFmtId="0" fontId="41" fillId="2" borderId="22" xfId="1" applyFont="1" applyFill="1" applyBorder="1"/>
    <xf numFmtId="9" fontId="2" fillId="2" borderId="0" xfId="1" applyNumberFormat="1" applyFont="1" applyFill="1" applyBorder="1" applyAlignment="1">
      <alignment horizontal="center"/>
    </xf>
    <xf numFmtId="0" fontId="41" fillId="2" borderId="0" xfId="1" applyFont="1" applyFill="1" applyBorder="1"/>
    <xf numFmtId="0" fontId="38" fillId="2" borderId="27" xfId="0" applyFont="1" applyFill="1" applyBorder="1" applyAlignment="1">
      <alignment horizontal="center"/>
    </xf>
    <xf numFmtId="0" fontId="30" fillId="2" borderId="0" xfId="1" applyFont="1" applyFill="1" applyBorder="1"/>
    <xf numFmtId="0" fontId="40" fillId="2" borderId="52" xfId="0" applyFont="1" applyFill="1" applyBorder="1" applyAlignment="1">
      <alignment horizontal="center"/>
    </xf>
    <xf numFmtId="7" fontId="30" fillId="2" borderId="9" xfId="1" applyNumberFormat="1" applyFont="1" applyFill="1" applyBorder="1" applyAlignment="1">
      <alignment horizontal="center"/>
    </xf>
    <xf numFmtId="7" fontId="30" fillId="2" borderId="13" xfId="1" applyNumberFormat="1" applyFont="1" applyFill="1" applyBorder="1" applyAlignment="1">
      <alignment horizontal="center"/>
    </xf>
    <xf numFmtId="0" fontId="4" fillId="0" borderId="50" xfId="1" applyFont="1" applyFill="1" applyBorder="1" applyAlignment="1">
      <alignment horizontal="center" vertical="center"/>
    </xf>
    <xf numFmtId="9" fontId="2" fillId="2" borderId="23" xfId="1" applyNumberFormat="1" applyFont="1" applyFill="1" applyBorder="1" applyAlignment="1">
      <alignment horizontal="center"/>
    </xf>
    <xf numFmtId="177" fontId="2" fillId="2" borderId="0" xfId="1" applyNumberFormat="1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174" fontId="9" fillId="5" borderId="0" xfId="0" applyNumberFormat="1" applyFont="1" applyFill="1" applyAlignment="1">
      <alignment horizontal="center"/>
    </xf>
    <xf numFmtId="5" fontId="1" fillId="5" borderId="0" xfId="0" applyNumberFormat="1" applyFont="1" applyFill="1" applyAlignment="1">
      <alignment horizontal="center" vertical="center"/>
    </xf>
    <xf numFmtId="7" fontId="1" fillId="5" borderId="0" xfId="0" applyNumberFormat="1" applyFont="1" applyFill="1" applyAlignment="1">
      <alignment horizontal="center" vertical="center"/>
    </xf>
    <xf numFmtId="172" fontId="19" fillId="5" borderId="23" xfId="4" applyNumberFormat="1" applyFont="1" applyFill="1" applyBorder="1" applyAlignment="1">
      <alignment horizontal="center" vertical="center"/>
    </xf>
    <xf numFmtId="165" fontId="1" fillId="2" borderId="23" xfId="0" applyNumberFormat="1" applyFont="1" applyFill="1" applyBorder="1" applyAlignment="1">
      <alignment horizontal="center" vertical="center"/>
    </xf>
    <xf numFmtId="7" fontId="2" fillId="2" borderId="0" xfId="2" applyNumberFormat="1" applyFont="1" applyFill="1" applyBorder="1" applyAlignment="1">
      <alignment horizontal="center"/>
    </xf>
    <xf numFmtId="7" fontId="1" fillId="0" borderId="0" xfId="0" applyNumberFormat="1" applyFont="1" applyFill="1" applyBorder="1" applyAlignment="1">
      <alignment horizontal="center" vertical="center"/>
    </xf>
    <xf numFmtId="9" fontId="23" fillId="11" borderId="52" xfId="0" applyNumberFormat="1" applyFont="1" applyFill="1" applyBorder="1" applyAlignment="1">
      <alignment horizontal="center" vertical="center"/>
    </xf>
    <xf numFmtId="5" fontId="23" fillId="11" borderId="27" xfId="0" applyNumberFormat="1" applyFont="1" applyFill="1" applyBorder="1" applyAlignment="1">
      <alignment horizontal="center" vertical="center"/>
    </xf>
    <xf numFmtId="5" fontId="23" fillId="11" borderId="28" xfId="0" applyNumberFormat="1" applyFont="1" applyFill="1" applyBorder="1" applyAlignment="1">
      <alignment horizontal="center" vertical="center"/>
    </xf>
    <xf numFmtId="168" fontId="23" fillId="11" borderId="27" xfId="0" applyNumberFormat="1" applyFont="1" applyFill="1" applyBorder="1" applyAlignment="1">
      <alignment horizontal="center" vertical="center"/>
    </xf>
    <xf numFmtId="7" fontId="2" fillId="2" borderId="2" xfId="2" applyNumberFormat="1" applyFont="1" applyFill="1" applyBorder="1" applyAlignment="1">
      <alignment horizontal="center"/>
    </xf>
    <xf numFmtId="177" fontId="2" fillId="2" borderId="21" xfId="1" applyNumberFormat="1" applyFont="1" applyFill="1" applyBorder="1" applyAlignment="1">
      <alignment horizontal="center"/>
    </xf>
    <xf numFmtId="177" fontId="2" fillId="2" borderId="25" xfId="1" applyNumberFormat="1" applyFont="1" applyFill="1" applyBorder="1" applyAlignment="1">
      <alignment horizontal="center"/>
    </xf>
    <xf numFmtId="177" fontId="2" fillId="2" borderId="24" xfId="1" applyNumberFormat="1" applyFont="1" applyFill="1" applyBorder="1" applyAlignment="1">
      <alignment horizontal="center"/>
    </xf>
    <xf numFmtId="0" fontId="0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0" xfId="0" applyFont="1"/>
    <xf numFmtId="10" fontId="39" fillId="0" borderId="0" xfId="0" applyNumberFormat="1" applyFont="1" applyAlignment="1">
      <alignment horizontal="center" vertical="center"/>
    </xf>
    <xf numFmtId="9" fontId="39" fillId="0" borderId="0" xfId="0" applyNumberFormat="1" applyFont="1" applyAlignment="1">
      <alignment horizontal="center" vertical="center"/>
    </xf>
    <xf numFmtId="0" fontId="25" fillId="11" borderId="20" xfId="1" applyFont="1" applyFill="1" applyBorder="1" applyAlignment="1">
      <alignment horizontal="right" vertical="center"/>
    </xf>
    <xf numFmtId="0" fontId="25" fillId="11" borderId="21" xfId="1" applyFont="1" applyFill="1" applyBorder="1" applyAlignment="1">
      <alignment horizontal="center" vertical="center"/>
    </xf>
    <xf numFmtId="167" fontId="45" fillId="2" borderId="0" xfId="0" applyNumberFormat="1" applyFont="1" applyFill="1" applyBorder="1" applyAlignment="1">
      <alignment horizontal="center" vertical="center"/>
    </xf>
    <xf numFmtId="167" fontId="4" fillId="0" borderId="4" xfId="0" applyNumberFormat="1" applyFont="1" applyFill="1" applyBorder="1" applyAlignment="1">
      <alignment horizontal="center"/>
    </xf>
    <xf numFmtId="3" fontId="9" fillId="2" borderId="0" xfId="0" applyNumberFormat="1" applyFont="1" applyFill="1" applyBorder="1" applyAlignment="1">
      <alignment horizontal="center"/>
    </xf>
    <xf numFmtId="44" fontId="46" fillId="0" borderId="0" xfId="2" applyFont="1"/>
    <xf numFmtId="9" fontId="9" fillId="2" borderId="23" xfId="0" applyNumberFormat="1" applyFont="1" applyFill="1" applyBorder="1" applyAlignment="1">
      <alignment horizontal="center" vertical="top"/>
    </xf>
    <xf numFmtId="167" fontId="1" fillId="2" borderId="25" xfId="1" applyNumberFormat="1" applyFont="1" applyFill="1" applyBorder="1" applyAlignment="1">
      <alignment horizontal="center" vertical="center"/>
    </xf>
    <xf numFmtId="5" fontId="0" fillId="0" borderId="27" xfId="2" applyNumberFormat="1" applyFont="1" applyBorder="1"/>
    <xf numFmtId="7" fontId="0" fillId="0" borderId="28" xfId="2" applyNumberFormat="1" applyFont="1" applyBorder="1"/>
    <xf numFmtId="0" fontId="47" fillId="2" borderId="31" xfId="0" applyFont="1" applyFill="1" applyBorder="1" applyAlignment="1">
      <alignment horizontal="center" vertical="center"/>
    </xf>
    <xf numFmtId="0" fontId="47" fillId="2" borderId="26" xfId="0" applyFont="1" applyFill="1" applyBorder="1" applyAlignment="1">
      <alignment horizontal="center" vertical="center"/>
    </xf>
    <xf numFmtId="0" fontId="47" fillId="2" borderId="27" xfId="0" applyFont="1" applyFill="1" applyBorder="1" applyAlignment="1">
      <alignment horizontal="center" vertical="center"/>
    </xf>
    <xf numFmtId="165" fontId="0" fillId="0" borderId="27" xfId="0" applyNumberFormat="1" applyFont="1" applyBorder="1"/>
    <xf numFmtId="0" fontId="47" fillId="2" borderId="0" xfId="0" applyFont="1" applyFill="1" applyBorder="1" applyAlignment="1">
      <alignment horizontal="center" vertical="center"/>
    </xf>
    <xf numFmtId="0" fontId="47" fillId="2" borderId="7" xfId="0" applyFont="1" applyFill="1" applyBorder="1" applyAlignment="1">
      <alignment horizontal="center" vertical="center"/>
    </xf>
    <xf numFmtId="0" fontId="47" fillId="2" borderId="42" xfId="0" applyFont="1" applyFill="1" applyBorder="1" applyAlignment="1">
      <alignment horizontal="center" vertical="center"/>
    </xf>
    <xf numFmtId="42" fontId="27" fillId="2" borderId="46" xfId="0" applyNumberFormat="1" applyFont="1" applyFill="1" applyBorder="1" applyAlignment="1">
      <alignment vertical="center"/>
    </xf>
    <xf numFmtId="5" fontId="48" fillId="2" borderId="27" xfId="1" applyNumberFormat="1" applyFont="1" applyFill="1" applyBorder="1" applyAlignment="1">
      <alignment horizontal="center"/>
    </xf>
    <xf numFmtId="5" fontId="48" fillId="2" borderId="55" xfId="1" applyNumberFormat="1" applyFont="1" applyFill="1" applyBorder="1" applyAlignment="1">
      <alignment horizontal="center"/>
    </xf>
    <xf numFmtId="167" fontId="48" fillId="2" borderId="55" xfId="1" applyNumberFormat="1" applyFont="1" applyFill="1" applyBorder="1" applyAlignment="1">
      <alignment horizontal="center" vertical="center"/>
    </xf>
    <xf numFmtId="7" fontId="48" fillId="2" borderId="66" xfId="1" applyNumberFormat="1" applyFont="1" applyFill="1" applyBorder="1" applyAlignment="1">
      <alignment horizontal="center"/>
    </xf>
    <xf numFmtId="5" fontId="48" fillId="2" borderId="46" xfId="1" applyNumberFormat="1" applyFont="1" applyFill="1" applyBorder="1" applyAlignment="1">
      <alignment horizontal="center"/>
    </xf>
    <xf numFmtId="5" fontId="48" fillId="2" borderId="67" xfId="1" applyNumberFormat="1" applyFont="1" applyFill="1" applyBorder="1" applyAlignment="1">
      <alignment horizontal="center"/>
    </xf>
    <xf numFmtId="5" fontId="48" fillId="2" borderId="31" xfId="1" applyNumberFormat="1" applyFont="1" applyFill="1" applyBorder="1" applyAlignment="1">
      <alignment horizontal="center"/>
    </xf>
    <xf numFmtId="167" fontId="48" fillId="2" borderId="67" xfId="1" applyNumberFormat="1" applyFont="1" applyFill="1" applyBorder="1" applyAlignment="1">
      <alignment horizontal="center" vertical="center"/>
    </xf>
    <xf numFmtId="167" fontId="48" fillId="2" borderId="31" xfId="1" applyNumberFormat="1" applyFont="1" applyFill="1" applyBorder="1" applyAlignment="1">
      <alignment horizontal="center" vertical="center"/>
    </xf>
    <xf numFmtId="5" fontId="48" fillId="2" borderId="39" xfId="1" applyNumberFormat="1" applyFont="1" applyFill="1" applyBorder="1" applyAlignment="1">
      <alignment horizontal="center"/>
    </xf>
    <xf numFmtId="7" fontId="48" fillId="2" borderId="68" xfId="1" applyNumberFormat="1" applyFont="1" applyFill="1" applyBorder="1" applyAlignment="1">
      <alignment horizontal="center"/>
    </xf>
    <xf numFmtId="7" fontId="48" fillId="2" borderId="33" xfId="1" applyNumberFormat="1" applyFont="1" applyFill="1" applyBorder="1" applyAlignment="1">
      <alignment horizontal="center"/>
    </xf>
    <xf numFmtId="7" fontId="48" fillId="2" borderId="40" xfId="1" applyNumberFormat="1" applyFont="1" applyFill="1" applyBorder="1" applyAlignment="1">
      <alignment horizontal="center"/>
    </xf>
    <xf numFmtId="167" fontId="48" fillId="2" borderId="69" xfId="1" applyNumberFormat="1" applyFont="1" applyFill="1" applyBorder="1" applyAlignment="1">
      <alignment horizontal="center" vertical="center"/>
    </xf>
    <xf numFmtId="5" fontId="48" fillId="2" borderId="69" xfId="1" applyNumberFormat="1" applyFont="1" applyFill="1" applyBorder="1" applyAlignment="1">
      <alignment horizontal="center"/>
    </xf>
    <xf numFmtId="7" fontId="48" fillId="2" borderId="70" xfId="1" applyNumberFormat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right"/>
    </xf>
    <xf numFmtId="0" fontId="2" fillId="2" borderId="18" xfId="1" applyFont="1" applyFill="1" applyBorder="1" applyAlignment="1">
      <alignment horizontal="right" vertical="center"/>
    </xf>
    <xf numFmtId="5" fontId="2" fillId="2" borderId="0" xfId="1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right" vertical="center"/>
    </xf>
    <xf numFmtId="0" fontId="2" fillId="2" borderId="0" xfId="1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horizontal="center"/>
    </xf>
    <xf numFmtId="0" fontId="2" fillId="2" borderId="25" xfId="1" applyFont="1" applyFill="1" applyBorder="1" applyAlignment="1">
      <alignment horizontal="center"/>
    </xf>
    <xf numFmtId="5" fontId="0" fillId="2" borderId="0" xfId="0" applyNumberFormat="1" applyFont="1" applyFill="1" applyAlignment="1">
      <alignment horizontal="center" vertical="center"/>
    </xf>
    <xf numFmtId="167" fontId="48" fillId="2" borderId="0" xfId="1" applyNumberFormat="1" applyFont="1" applyFill="1" applyBorder="1" applyAlignment="1">
      <alignment horizontal="center" vertical="center"/>
    </xf>
    <xf numFmtId="167" fontId="48" fillId="2" borderId="71" xfId="1" applyNumberFormat="1" applyFont="1" applyFill="1" applyBorder="1" applyAlignment="1">
      <alignment horizontal="center" vertical="center"/>
    </xf>
    <xf numFmtId="0" fontId="49" fillId="0" borderId="0" xfId="0" applyFont="1"/>
    <xf numFmtId="5" fontId="48" fillId="2" borderId="72" xfId="1" applyNumberFormat="1" applyFont="1" applyFill="1" applyBorder="1" applyAlignment="1">
      <alignment horizontal="center"/>
    </xf>
    <xf numFmtId="5" fontId="48" fillId="2" borderId="73" xfId="1" applyNumberFormat="1" applyFont="1" applyFill="1" applyBorder="1" applyAlignment="1">
      <alignment horizontal="center"/>
    </xf>
    <xf numFmtId="0" fontId="49" fillId="0" borderId="0" xfId="0" applyFont="1" applyAlignment="1">
      <alignment horizontal="center" vertical="center"/>
    </xf>
    <xf numFmtId="10" fontId="49" fillId="0" borderId="0" xfId="0" applyNumberFormat="1" applyFont="1" applyAlignment="1">
      <alignment horizontal="center" vertical="center"/>
    </xf>
    <xf numFmtId="6" fontId="49" fillId="0" borderId="0" xfId="0" applyNumberFormat="1" applyFont="1" applyAlignment="1">
      <alignment horizontal="center" vertical="center"/>
    </xf>
    <xf numFmtId="171" fontId="49" fillId="0" borderId="0" xfId="2" applyNumberFormat="1" applyFont="1" applyAlignment="1">
      <alignment horizontal="center" vertical="center"/>
    </xf>
    <xf numFmtId="167" fontId="49" fillId="0" borderId="0" xfId="0" applyNumberFormat="1" applyFont="1" applyAlignment="1">
      <alignment horizontal="center" vertical="center"/>
    </xf>
    <xf numFmtId="171" fontId="49" fillId="0" borderId="0" xfId="0" applyNumberFormat="1" applyFont="1" applyAlignment="1">
      <alignment horizontal="center" vertical="center"/>
    </xf>
    <xf numFmtId="171" fontId="49" fillId="0" borderId="31" xfId="2" applyNumberFormat="1" applyFont="1" applyBorder="1" applyAlignment="1">
      <alignment horizontal="center" vertical="center"/>
    </xf>
    <xf numFmtId="171" fontId="49" fillId="0" borderId="0" xfId="2" applyNumberFormat="1" applyFont="1" applyBorder="1" applyAlignment="1">
      <alignment horizontal="center" vertical="center"/>
    </xf>
    <xf numFmtId="167" fontId="49" fillId="0" borderId="31" xfId="0" applyNumberFormat="1" applyFont="1" applyBorder="1" applyAlignment="1">
      <alignment horizontal="center" vertical="center"/>
    </xf>
    <xf numFmtId="167" fontId="49" fillId="0" borderId="0" xfId="0" applyNumberFormat="1" applyFont="1" applyBorder="1" applyAlignment="1">
      <alignment horizontal="center" vertical="center"/>
    </xf>
    <xf numFmtId="5" fontId="49" fillId="0" borderId="0" xfId="0" applyNumberFormat="1" applyFont="1" applyAlignment="1">
      <alignment horizontal="center" vertical="center"/>
    </xf>
    <xf numFmtId="10" fontId="49" fillId="0" borderId="0" xfId="3" applyNumberFormat="1" applyFont="1" applyAlignment="1">
      <alignment horizontal="center" vertical="center"/>
    </xf>
    <xf numFmtId="0" fontId="49" fillId="0" borderId="0" xfId="0" applyFont="1" applyAlignment="1">
      <alignment horizontal="left" vertical="top"/>
    </xf>
    <xf numFmtId="0" fontId="50" fillId="0" borderId="0" xfId="0" applyFont="1" applyAlignment="1">
      <alignment horizontal="center" vertical="center"/>
    </xf>
    <xf numFmtId="5" fontId="50" fillId="0" borderId="0" xfId="0" applyNumberFormat="1" applyFont="1" applyAlignment="1">
      <alignment horizontal="center" vertical="center"/>
    </xf>
    <xf numFmtId="10" fontId="50" fillId="0" borderId="0" xfId="3" applyNumberFormat="1" applyFont="1" applyAlignment="1">
      <alignment horizontal="center" vertical="center"/>
    </xf>
    <xf numFmtId="10" fontId="49" fillId="0" borderId="0" xfId="3" applyNumberFormat="1" applyFont="1" applyAlignment="1">
      <alignment horizontal="center"/>
    </xf>
    <xf numFmtId="3" fontId="35" fillId="2" borderId="8" xfId="1" applyNumberFormat="1" applyFont="1" applyFill="1" applyBorder="1" applyAlignment="1">
      <alignment horizontal="center" vertical="center"/>
    </xf>
    <xf numFmtId="3" fontId="35" fillId="2" borderId="20" xfId="1" applyNumberFormat="1" applyFont="1" applyFill="1" applyBorder="1" applyAlignment="1">
      <alignment horizontal="center"/>
    </xf>
    <xf numFmtId="3" fontId="35" fillId="2" borderId="21" xfId="1" applyNumberFormat="1" applyFont="1" applyFill="1" applyBorder="1" applyAlignment="1">
      <alignment horizontal="center"/>
    </xf>
    <xf numFmtId="167" fontId="1" fillId="2" borderId="47" xfId="1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44" fontId="1" fillId="0" borderId="0" xfId="2" applyFont="1"/>
    <xf numFmtId="10" fontId="1" fillId="0" borderId="0" xfId="3" applyNumberFormat="1" applyFont="1"/>
    <xf numFmtId="170" fontId="1" fillId="11" borderId="20" xfId="0" applyNumberFormat="1" applyFont="1" applyFill="1" applyBorder="1" applyAlignment="1">
      <alignment horizontal="center"/>
    </xf>
    <xf numFmtId="0" fontId="2" fillId="2" borderId="20" xfId="1" applyFont="1" applyFill="1" applyBorder="1" applyAlignment="1">
      <alignment horizontal="right"/>
    </xf>
    <xf numFmtId="167" fontId="1" fillId="2" borderId="20" xfId="1" applyNumberFormat="1" applyFont="1" applyFill="1" applyBorder="1" applyAlignment="1">
      <alignment horizontal="center" vertical="center"/>
    </xf>
    <xf numFmtId="0" fontId="35" fillId="2" borderId="8" xfId="1" applyFont="1" applyFill="1" applyBorder="1" applyAlignment="1">
      <alignment horizontal="center" vertical="center"/>
    </xf>
    <xf numFmtId="7" fontId="30" fillId="2" borderId="0" xfId="1" applyNumberFormat="1" applyFont="1" applyFill="1" applyBorder="1" applyAlignment="1">
      <alignment horizontal="center"/>
    </xf>
    <xf numFmtId="7" fontId="30" fillId="2" borderId="23" xfId="1" applyNumberFormat="1" applyFont="1" applyFill="1" applyBorder="1" applyAlignment="1">
      <alignment horizontal="center"/>
    </xf>
    <xf numFmtId="0" fontId="30" fillId="2" borderId="18" xfId="1" applyFont="1" applyFill="1" applyBorder="1" applyAlignment="1">
      <alignment horizontal="right"/>
    </xf>
    <xf numFmtId="0" fontId="30" fillId="2" borderId="0" xfId="1" applyFont="1" applyFill="1" applyBorder="1" applyAlignment="1">
      <alignment horizontal="right"/>
    </xf>
    <xf numFmtId="0" fontId="30" fillId="6" borderId="18" xfId="1" applyFont="1" applyFill="1" applyBorder="1" applyAlignment="1">
      <alignment horizontal="right" vertical="center"/>
    </xf>
    <xf numFmtId="0" fontId="30" fillId="8" borderId="18" xfId="1" applyFont="1" applyFill="1" applyBorder="1" applyAlignment="1">
      <alignment horizontal="right" vertical="center"/>
    </xf>
    <xf numFmtId="0" fontId="38" fillId="2" borderId="22" xfId="0" applyFont="1" applyFill="1" applyBorder="1" applyAlignment="1">
      <alignment horizontal="center"/>
    </xf>
    <xf numFmtId="0" fontId="38" fillId="2" borderId="23" xfId="0" applyFont="1" applyFill="1" applyBorder="1" applyAlignment="1">
      <alignment horizontal="center"/>
    </xf>
    <xf numFmtId="0" fontId="31" fillId="2" borderId="19" xfId="0" applyFont="1" applyFill="1" applyBorder="1" applyAlignment="1">
      <alignment horizontal="center"/>
    </xf>
    <xf numFmtId="0" fontId="31" fillId="2" borderId="20" xfId="0" applyFont="1" applyFill="1" applyBorder="1" applyAlignment="1">
      <alignment horizontal="center"/>
    </xf>
    <xf numFmtId="0" fontId="31" fillId="2" borderId="21" xfId="0" applyFont="1" applyFill="1" applyBorder="1" applyAlignment="1">
      <alignment horizontal="center"/>
    </xf>
    <xf numFmtId="0" fontId="25" fillId="11" borderId="19" xfId="0" applyFont="1" applyFill="1" applyBorder="1" applyAlignment="1">
      <alignment horizontal="center"/>
    </xf>
    <xf numFmtId="0" fontId="25" fillId="11" borderId="20" xfId="0" applyFont="1" applyFill="1" applyBorder="1" applyAlignment="1">
      <alignment horizontal="center"/>
    </xf>
    <xf numFmtId="0" fontId="25" fillId="11" borderId="21" xfId="0" applyFont="1" applyFill="1" applyBorder="1" applyAlignment="1">
      <alignment horizontal="center"/>
    </xf>
    <xf numFmtId="182" fontId="31" fillId="2" borderId="49" xfId="0" applyNumberFormat="1" applyFont="1" applyFill="1" applyBorder="1" applyAlignment="1">
      <alignment horizontal="center" vertical="center"/>
    </xf>
    <xf numFmtId="182" fontId="31" fillId="2" borderId="50" xfId="0" applyNumberFormat="1" applyFont="1" applyFill="1" applyBorder="1" applyAlignment="1">
      <alignment horizontal="center" vertical="center"/>
    </xf>
    <xf numFmtId="182" fontId="31" fillId="2" borderId="51" xfId="0" applyNumberFormat="1" applyFont="1" applyFill="1" applyBorder="1" applyAlignment="1">
      <alignment horizontal="center" vertical="center"/>
    </xf>
    <xf numFmtId="0" fontId="31" fillId="9" borderId="19" xfId="0" applyFont="1" applyFill="1" applyBorder="1" applyAlignment="1">
      <alignment horizontal="center" vertical="center"/>
    </xf>
    <xf numFmtId="0" fontId="31" fillId="9" borderId="20" xfId="0" applyFont="1" applyFill="1" applyBorder="1" applyAlignment="1">
      <alignment horizontal="center" vertical="center"/>
    </xf>
    <xf numFmtId="0" fontId="31" fillId="10" borderId="19" xfId="0" applyFont="1" applyFill="1" applyBorder="1" applyAlignment="1">
      <alignment horizontal="center" vertical="center"/>
    </xf>
    <xf numFmtId="0" fontId="31" fillId="10" borderId="20" xfId="0" applyFont="1" applyFill="1" applyBorder="1" applyAlignment="1">
      <alignment horizontal="center" vertical="center"/>
    </xf>
    <xf numFmtId="0" fontId="31" fillId="10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/>
    </xf>
    <xf numFmtId="0" fontId="25" fillId="11" borderId="23" xfId="0" applyFont="1" applyFill="1" applyBorder="1" applyAlignment="1">
      <alignment horizontal="center"/>
    </xf>
    <xf numFmtId="0" fontId="25" fillId="11" borderId="24" xfId="0" applyFont="1" applyFill="1" applyBorder="1" applyAlignment="1">
      <alignment horizontal="center"/>
    </xf>
    <xf numFmtId="3" fontId="33" fillId="2" borderId="22" xfId="0" applyNumberFormat="1" applyFont="1" applyFill="1" applyBorder="1" applyAlignment="1">
      <alignment horizontal="center" vertical="center"/>
    </xf>
    <xf numFmtId="3" fontId="33" fillId="2" borderId="23" xfId="0" applyNumberFormat="1" applyFont="1" applyFill="1" applyBorder="1" applyAlignment="1">
      <alignment horizontal="center" vertical="center"/>
    </xf>
    <xf numFmtId="3" fontId="33" fillId="2" borderId="24" xfId="0" applyNumberFormat="1" applyFont="1" applyFill="1" applyBorder="1" applyAlignment="1">
      <alignment horizontal="center" vertical="center"/>
    </xf>
    <xf numFmtId="0" fontId="33" fillId="2" borderId="23" xfId="0" applyFont="1" applyFill="1" applyBorder="1" applyAlignment="1">
      <alignment horizontal="center" vertical="center"/>
    </xf>
    <xf numFmtId="0" fontId="33" fillId="2" borderId="24" xfId="0" applyFont="1" applyFill="1" applyBorder="1" applyAlignment="1">
      <alignment horizontal="center" vertical="center"/>
    </xf>
    <xf numFmtId="0" fontId="31" fillId="8" borderId="19" xfId="0" applyFont="1" applyFill="1" applyBorder="1" applyAlignment="1">
      <alignment horizontal="center" vertical="center"/>
    </xf>
    <xf numFmtId="0" fontId="31" fillId="8" borderId="20" xfId="0" applyFont="1" applyFill="1" applyBorder="1" applyAlignment="1">
      <alignment horizontal="center" vertical="center"/>
    </xf>
    <xf numFmtId="0" fontId="31" fillId="8" borderId="21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9" fillId="0" borderId="31" xfId="0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9" fillId="0" borderId="31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37" xfId="0" applyFill="1" applyBorder="1" applyAlignment="1">
      <alignment horizontal="left" vertical="center"/>
    </xf>
    <xf numFmtId="0" fontId="0" fillId="2" borderId="46" xfId="0" applyFill="1" applyBorder="1" applyAlignment="1">
      <alignment horizontal="left" vertical="center"/>
    </xf>
    <xf numFmtId="0" fontId="10" fillId="11" borderId="18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19" xfId="0" applyFont="1" applyFill="1" applyBorder="1" applyAlignment="1">
      <alignment horizontal="center" vertical="center"/>
    </xf>
    <xf numFmtId="0" fontId="10" fillId="11" borderId="20" xfId="0" applyFont="1" applyFill="1" applyBorder="1" applyAlignment="1">
      <alignment horizontal="center" vertical="center"/>
    </xf>
    <xf numFmtId="0" fontId="0" fillId="2" borderId="18" xfId="0" applyFont="1" applyFill="1" applyBorder="1" applyAlignment="1">
      <alignment horizontal="left" vertical="top"/>
    </xf>
    <xf numFmtId="0" fontId="0" fillId="2" borderId="0" xfId="0" applyFont="1" applyFill="1" applyBorder="1" applyAlignment="1">
      <alignment horizontal="left" vertical="top"/>
    </xf>
    <xf numFmtId="0" fontId="10" fillId="11" borderId="21" xfId="0" applyFont="1" applyFill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0" fillId="8" borderId="41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0" fontId="0" fillId="8" borderId="29" xfId="0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10" fillId="11" borderId="22" xfId="0" applyFont="1" applyFill="1" applyBorder="1" applyAlignment="1">
      <alignment horizontal="center" vertical="center"/>
    </xf>
    <xf numFmtId="0" fontId="10" fillId="11" borderId="23" xfId="0" applyFont="1" applyFill="1" applyBorder="1" applyAlignment="1">
      <alignment horizontal="center" vertical="center"/>
    </xf>
    <xf numFmtId="0" fontId="10" fillId="11" borderId="26" xfId="1" applyFont="1" applyFill="1" applyBorder="1" applyAlignment="1">
      <alignment horizontal="center" vertical="center"/>
    </xf>
    <xf numFmtId="0" fontId="10" fillId="11" borderId="28" xfId="1" applyFont="1" applyFill="1" applyBorder="1" applyAlignment="1">
      <alignment horizontal="center" vertical="center"/>
    </xf>
    <xf numFmtId="0" fontId="10" fillId="11" borderId="24" xfId="0" applyFont="1" applyFill="1" applyBorder="1" applyAlignment="1">
      <alignment horizontal="center" vertical="center"/>
    </xf>
    <xf numFmtId="0" fontId="4" fillId="2" borderId="50" xfId="1" applyFont="1" applyFill="1" applyBorder="1" applyAlignment="1">
      <alignment horizontal="center" vertical="center"/>
    </xf>
    <xf numFmtId="0" fontId="4" fillId="2" borderId="49" xfId="1" applyFont="1" applyFill="1" applyBorder="1" applyAlignment="1">
      <alignment horizontal="center" vertical="center"/>
    </xf>
    <xf numFmtId="0" fontId="4" fillId="2" borderId="51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13" xfId="1" applyFont="1" applyFill="1" applyBorder="1" applyAlignment="1">
      <alignment horizontal="center" vertical="center"/>
    </xf>
    <xf numFmtId="0" fontId="10" fillId="11" borderId="25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left" vertical="top" wrapText="1"/>
    </xf>
    <xf numFmtId="0" fontId="18" fillId="2" borderId="0" xfId="0" applyFont="1" applyFill="1" applyBorder="1" applyAlignment="1">
      <alignment horizontal="left" vertical="top" wrapText="1"/>
    </xf>
    <xf numFmtId="0" fontId="18" fillId="2" borderId="19" xfId="0" applyFont="1" applyFill="1" applyBorder="1" applyAlignment="1">
      <alignment horizontal="left" vertical="top" wrapText="1"/>
    </xf>
    <xf numFmtId="0" fontId="18" fillId="2" borderId="20" xfId="0" applyFont="1" applyFill="1" applyBorder="1" applyAlignment="1">
      <alignment horizontal="left" vertical="top" wrapText="1"/>
    </xf>
    <xf numFmtId="0" fontId="2" fillId="2" borderId="29" xfId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2" fillId="2" borderId="30" xfId="1" applyFont="1" applyFill="1" applyBorder="1" applyAlignment="1">
      <alignment horizontal="center"/>
    </xf>
    <xf numFmtId="0" fontId="2" fillId="2" borderId="61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/>
    </xf>
    <xf numFmtId="0" fontId="2" fillId="2" borderId="62" xfId="1" applyFont="1" applyFill="1" applyBorder="1" applyAlignment="1">
      <alignment horizontal="center"/>
    </xf>
    <xf numFmtId="0" fontId="2" fillId="2" borderId="18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0" fontId="2" fillId="2" borderId="25" xfId="1" applyFont="1" applyFill="1" applyBorder="1" applyAlignment="1">
      <alignment horizontal="center"/>
    </xf>
    <xf numFmtId="10" fontId="2" fillId="2" borderId="0" xfId="3" applyNumberFormat="1" applyFont="1" applyFill="1" applyBorder="1" applyAlignment="1">
      <alignment horizontal="center" vertical="center"/>
    </xf>
    <xf numFmtId="10" fontId="2" fillId="2" borderId="25" xfId="3" applyNumberFormat="1" applyFont="1" applyFill="1" applyBorder="1" applyAlignment="1">
      <alignment horizontal="center" vertical="center"/>
    </xf>
    <xf numFmtId="5" fontId="2" fillId="2" borderId="0" xfId="1" applyNumberFormat="1" applyFont="1" applyFill="1" applyBorder="1" applyAlignment="1">
      <alignment horizontal="center" vertical="center"/>
    </xf>
    <xf numFmtId="5" fontId="35" fillId="2" borderId="0" xfId="1" applyNumberFormat="1" applyFont="1" applyFill="1" applyBorder="1" applyAlignment="1">
      <alignment horizontal="center"/>
    </xf>
    <xf numFmtId="0" fontId="2" fillId="2" borderId="20" xfId="1" applyFont="1" applyFill="1" applyBorder="1" applyAlignment="1">
      <alignment horizontal="left"/>
    </xf>
    <xf numFmtId="0" fontId="2" fillId="2" borderId="19" xfId="1" applyFont="1" applyFill="1" applyBorder="1" applyAlignment="1">
      <alignment horizontal="center" vertical="center"/>
    </xf>
    <xf numFmtId="0" fontId="2" fillId="2" borderId="20" xfId="1" applyFont="1" applyFill="1" applyBorder="1" applyAlignment="1">
      <alignment horizontal="center" vertical="center"/>
    </xf>
    <xf numFmtId="0" fontId="2" fillId="2" borderId="21" xfId="1" applyFont="1" applyFill="1" applyBorder="1" applyAlignment="1">
      <alignment horizontal="center" vertical="center"/>
    </xf>
    <xf numFmtId="0" fontId="2" fillId="2" borderId="18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2" fillId="2" borderId="25" xfId="1" applyFont="1" applyFill="1" applyBorder="1" applyAlignment="1">
      <alignment horizontal="center" vertical="center"/>
    </xf>
    <xf numFmtId="0" fontId="2" fillId="2" borderId="22" xfId="1" applyFont="1" applyFill="1" applyBorder="1" applyAlignment="1">
      <alignment horizontal="center" vertical="center"/>
    </xf>
    <xf numFmtId="0" fontId="2" fillId="2" borderId="23" xfId="1" applyFont="1" applyFill="1" applyBorder="1" applyAlignment="1">
      <alignment horizontal="center" vertical="center"/>
    </xf>
    <xf numFmtId="0" fontId="2" fillId="2" borderId="24" xfId="1" applyFont="1" applyFill="1" applyBorder="1" applyAlignment="1">
      <alignment horizontal="center" vertical="center"/>
    </xf>
    <xf numFmtId="0" fontId="2" fillId="2" borderId="64" xfId="1" applyFont="1" applyFill="1" applyBorder="1" applyAlignment="1">
      <alignment horizontal="center" vertical="center"/>
    </xf>
    <xf numFmtId="0" fontId="2" fillId="2" borderId="60" xfId="1" applyFont="1" applyFill="1" applyBorder="1" applyAlignment="1">
      <alignment horizontal="center" vertical="center"/>
    </xf>
    <xf numFmtId="0" fontId="2" fillId="2" borderId="63" xfId="1" applyFont="1" applyFill="1" applyBorder="1" applyAlignment="1">
      <alignment horizontal="center" vertical="center"/>
    </xf>
    <xf numFmtId="0" fontId="2" fillId="2" borderId="29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30" xfId="1" applyFont="1" applyFill="1" applyBorder="1" applyAlignment="1">
      <alignment horizontal="center" vertical="center"/>
    </xf>
    <xf numFmtId="0" fontId="47" fillId="2" borderId="18" xfId="0" applyFont="1" applyFill="1" applyBorder="1" applyAlignment="1">
      <alignment horizontal="center" vertical="center"/>
    </xf>
    <xf numFmtId="0" fontId="47" fillId="2" borderId="58" xfId="0" applyFont="1" applyFill="1" applyBorder="1" applyAlignment="1">
      <alignment horizontal="center" vertical="center"/>
    </xf>
    <xf numFmtId="0" fontId="0" fillId="6" borderId="18" xfId="0" applyFont="1" applyFill="1" applyBorder="1" applyAlignment="1">
      <alignment horizontal="center" vertical="center"/>
    </xf>
    <xf numFmtId="0" fontId="0" fillId="8" borderId="41" xfId="0" applyFont="1" applyFill="1" applyBorder="1" applyAlignment="1">
      <alignment horizontal="center" vertical="center"/>
    </xf>
    <xf numFmtId="0" fontId="0" fillId="8" borderId="18" xfId="0" applyFont="1" applyFill="1" applyBorder="1" applyAlignment="1">
      <alignment horizontal="center" vertical="center"/>
    </xf>
    <xf numFmtId="0" fontId="0" fillId="8" borderId="29" xfId="0" applyFont="1" applyFill="1" applyBorder="1" applyAlignment="1">
      <alignment horizontal="center" vertical="center"/>
    </xf>
    <xf numFmtId="0" fontId="2" fillId="2" borderId="20" xfId="1" applyFont="1" applyFill="1" applyBorder="1" applyAlignment="1">
      <alignment horizontal="center"/>
    </xf>
    <xf numFmtId="0" fontId="2" fillId="2" borderId="21" xfId="1" applyFont="1" applyFill="1" applyBorder="1" applyAlignment="1">
      <alignment horizontal="center"/>
    </xf>
    <xf numFmtId="0" fontId="18" fillId="2" borderId="22" xfId="0" applyFont="1" applyFill="1" applyBorder="1" applyAlignment="1">
      <alignment horizontal="left" vertical="top" wrapText="1"/>
    </xf>
    <xf numFmtId="0" fontId="18" fillId="2" borderId="23" xfId="0" applyFont="1" applyFill="1" applyBorder="1" applyAlignment="1">
      <alignment horizontal="left" vertical="top" wrapText="1"/>
    </xf>
    <xf numFmtId="0" fontId="18" fillId="2" borderId="29" xfId="0" applyFont="1" applyFill="1" applyBorder="1" applyAlignment="1">
      <alignment horizontal="left" vertical="top" wrapText="1"/>
    </xf>
    <xf numFmtId="0" fontId="18" fillId="2" borderId="2" xfId="0" applyFont="1" applyFill="1" applyBorder="1" applyAlignment="1">
      <alignment horizontal="left" vertical="top" wrapText="1"/>
    </xf>
    <xf numFmtId="10" fontId="2" fillId="2" borderId="46" xfId="3" applyNumberFormat="1" applyFont="1" applyFill="1" applyBorder="1" applyAlignment="1">
      <alignment horizontal="center" vertical="center"/>
    </xf>
    <xf numFmtId="10" fontId="2" fillId="2" borderId="47" xfId="3" applyNumberFormat="1" applyFont="1" applyFill="1" applyBorder="1" applyAlignment="1">
      <alignment horizontal="center" vertical="center"/>
    </xf>
    <xf numFmtId="5" fontId="2" fillId="2" borderId="46" xfId="1" applyNumberFormat="1" applyFont="1" applyFill="1" applyBorder="1" applyAlignment="1">
      <alignment horizontal="center"/>
    </xf>
    <xf numFmtId="0" fontId="2" fillId="2" borderId="46" xfId="1" applyFont="1" applyFill="1" applyBorder="1" applyAlignment="1">
      <alignment horizontal="center"/>
    </xf>
    <xf numFmtId="0" fontId="42" fillId="11" borderId="26" xfId="1" applyFont="1" applyFill="1" applyBorder="1" applyAlignment="1">
      <alignment horizontal="center" vertical="center"/>
    </xf>
    <xf numFmtId="0" fontId="42" fillId="11" borderId="27" xfId="1" applyFont="1" applyFill="1" applyBorder="1" applyAlignment="1">
      <alignment horizontal="center" vertical="center"/>
    </xf>
    <xf numFmtId="0" fontId="42" fillId="11" borderId="28" xfId="1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/>
    </xf>
    <xf numFmtId="0" fontId="40" fillId="2" borderId="27" xfId="0" applyFont="1" applyFill="1" applyBorder="1" applyAlignment="1">
      <alignment horizontal="center"/>
    </xf>
    <xf numFmtId="0" fontId="4" fillId="0" borderId="49" xfId="1" applyFont="1" applyFill="1" applyBorder="1" applyAlignment="1">
      <alignment horizontal="center" vertical="center"/>
    </xf>
    <xf numFmtId="0" fontId="4" fillId="0" borderId="50" xfId="1" applyFont="1" applyFill="1" applyBorder="1" applyAlignment="1">
      <alignment horizontal="center" vertical="center"/>
    </xf>
    <xf numFmtId="0" fontId="4" fillId="0" borderId="51" xfId="1" applyFont="1" applyFill="1" applyBorder="1" applyAlignment="1">
      <alignment horizontal="center" vertical="center"/>
    </xf>
    <xf numFmtId="9" fontId="2" fillId="2" borderId="0" xfId="3" applyFont="1" applyFill="1" applyBorder="1" applyAlignment="1">
      <alignment horizontal="center" vertical="center"/>
    </xf>
    <xf numFmtId="9" fontId="2" fillId="2" borderId="25" xfId="3" applyFont="1" applyFill="1" applyBorder="1" applyAlignment="1">
      <alignment horizontal="center" vertical="center"/>
    </xf>
    <xf numFmtId="10" fontId="2" fillId="2" borderId="60" xfId="3" applyNumberFormat="1" applyFont="1" applyFill="1" applyBorder="1" applyAlignment="1">
      <alignment horizontal="center" vertical="center"/>
    </xf>
    <xf numFmtId="10" fontId="2" fillId="2" borderId="63" xfId="3" applyNumberFormat="1" applyFont="1" applyFill="1" applyBorder="1" applyAlignment="1">
      <alignment horizontal="center" vertical="center"/>
    </xf>
    <xf numFmtId="169" fontId="2" fillId="2" borderId="0" xfId="2" applyNumberFormat="1" applyFont="1" applyFill="1" applyBorder="1" applyAlignment="1">
      <alignment horizontal="center"/>
    </xf>
    <xf numFmtId="0" fontId="1" fillId="2" borderId="18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3" fillId="2" borderId="29" xfId="1" applyFont="1" applyFill="1" applyBorder="1" applyAlignment="1">
      <alignment horizontal="left" vertical="center"/>
    </xf>
    <xf numFmtId="0" fontId="3" fillId="2" borderId="2" xfId="1" applyFont="1" applyFill="1" applyBorder="1" applyAlignment="1">
      <alignment horizontal="left" vertical="center"/>
    </xf>
    <xf numFmtId="0" fontId="3" fillId="2" borderId="30" xfId="1" applyFont="1" applyFill="1" applyBorder="1" applyAlignment="1">
      <alignment horizontal="left" vertical="center"/>
    </xf>
    <xf numFmtId="0" fontId="1" fillId="2" borderId="64" xfId="1" applyFont="1" applyFill="1" applyBorder="1" applyAlignment="1">
      <alignment horizontal="center" vertical="center"/>
    </xf>
    <xf numFmtId="0" fontId="1" fillId="2" borderId="60" xfId="1" applyFont="1" applyFill="1" applyBorder="1" applyAlignment="1">
      <alignment horizontal="center" vertical="center"/>
    </xf>
    <xf numFmtId="5" fontId="35" fillId="2" borderId="0" xfId="1" applyNumberFormat="1" applyFont="1" applyFill="1" applyBorder="1" applyAlignment="1">
      <alignment horizontal="center" vertical="center"/>
    </xf>
    <xf numFmtId="5" fontId="35" fillId="2" borderId="25" xfId="1" applyNumberFormat="1" applyFont="1" applyFill="1" applyBorder="1" applyAlignment="1">
      <alignment horizontal="center" vertical="center"/>
    </xf>
    <xf numFmtId="185" fontId="2" fillId="2" borderId="0" xfId="2" applyNumberFormat="1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8" fillId="2" borderId="18" xfId="0" applyFont="1" applyFill="1" applyBorder="1" applyAlignment="1">
      <alignment horizontal="center" wrapText="1"/>
    </xf>
    <xf numFmtId="0" fontId="28" fillId="2" borderId="0" xfId="0" applyFont="1" applyFill="1" applyBorder="1" applyAlignment="1">
      <alignment horizontal="center" wrapText="1"/>
    </xf>
    <xf numFmtId="5" fontId="35" fillId="2" borderId="60" xfId="1" applyNumberFormat="1" applyFont="1" applyFill="1" applyBorder="1" applyAlignment="1">
      <alignment horizontal="center"/>
    </xf>
    <xf numFmtId="0" fontId="35" fillId="2" borderId="0" xfId="1" applyFont="1" applyFill="1" applyBorder="1" applyAlignment="1">
      <alignment horizontal="center"/>
    </xf>
    <xf numFmtId="5" fontId="2" fillId="2" borderId="0" xfId="1" applyNumberFormat="1" applyFont="1" applyFill="1" applyBorder="1" applyAlignment="1">
      <alignment horizontal="center"/>
    </xf>
    <xf numFmtId="0" fontId="2" fillId="2" borderId="18" xfId="1" applyFont="1" applyFill="1" applyBorder="1" applyAlignment="1">
      <alignment horizontal="right" vertical="center"/>
    </xf>
    <xf numFmtId="0" fontId="2" fillId="2" borderId="0" xfId="1" applyFont="1" applyFill="1" applyBorder="1" applyAlignment="1">
      <alignment horizontal="right" vertical="center"/>
    </xf>
    <xf numFmtId="0" fontId="43" fillId="11" borderId="26" xfId="1" applyFont="1" applyFill="1" applyBorder="1" applyAlignment="1">
      <alignment horizontal="left" vertical="top"/>
    </xf>
    <xf numFmtId="0" fontId="43" fillId="11" borderId="27" xfId="1" applyFont="1" applyFill="1" applyBorder="1" applyAlignment="1">
      <alignment horizontal="left" vertical="top"/>
    </xf>
    <xf numFmtId="0" fontId="6" fillId="2" borderId="23" xfId="1" applyFont="1" applyFill="1" applyBorder="1" applyAlignment="1">
      <alignment horizontal="center"/>
    </xf>
    <xf numFmtId="0" fontId="2" fillId="2" borderId="23" xfId="1" applyFont="1" applyFill="1" applyBorder="1" applyAlignment="1">
      <alignment horizontal="center"/>
    </xf>
    <xf numFmtId="5" fontId="2" fillId="2" borderId="23" xfId="1" applyNumberFormat="1" applyFont="1" applyFill="1" applyBorder="1" applyAlignment="1">
      <alignment horizontal="center" vertical="center"/>
    </xf>
    <xf numFmtId="5" fontId="35" fillId="2" borderId="6" xfId="1" applyNumberFormat="1" applyFont="1" applyFill="1" applyBorder="1" applyAlignment="1">
      <alignment horizontal="center" vertical="center"/>
    </xf>
    <xf numFmtId="5" fontId="35" fillId="2" borderId="62" xfId="1" applyNumberFormat="1" applyFont="1" applyFill="1" applyBorder="1" applyAlignment="1">
      <alignment horizontal="center" vertical="center"/>
    </xf>
    <xf numFmtId="0" fontId="2" fillId="2" borderId="18" xfId="1" applyFont="1" applyFill="1" applyBorder="1" applyAlignment="1">
      <alignment horizontal="right"/>
    </xf>
    <xf numFmtId="0" fontId="2" fillId="2" borderId="0" xfId="1" applyFont="1" applyFill="1" applyBorder="1" applyAlignment="1">
      <alignment horizontal="right"/>
    </xf>
    <xf numFmtId="5" fontId="2" fillId="2" borderId="0" xfId="2" applyNumberFormat="1" applyFont="1" applyFill="1" applyBorder="1" applyAlignment="1">
      <alignment horizontal="center"/>
    </xf>
    <xf numFmtId="0" fontId="3" fillId="2" borderId="37" xfId="1" applyFont="1" applyFill="1" applyBorder="1" applyAlignment="1">
      <alignment horizontal="right"/>
    </xf>
    <xf numFmtId="0" fontId="3" fillId="2" borderId="46" xfId="1" applyFont="1" applyFill="1" applyBorder="1" applyAlignment="1">
      <alignment horizontal="right"/>
    </xf>
    <xf numFmtId="0" fontId="43" fillId="11" borderId="26" xfId="1" applyFont="1" applyFill="1" applyBorder="1" applyAlignment="1">
      <alignment horizontal="left" vertical="center"/>
    </xf>
    <xf numFmtId="0" fontId="43" fillId="11" borderId="27" xfId="1" applyFont="1" applyFill="1" applyBorder="1" applyAlignment="1">
      <alignment horizontal="left" vertical="center"/>
    </xf>
    <xf numFmtId="0" fontId="44" fillId="11" borderId="27" xfId="1" applyFont="1" applyFill="1" applyBorder="1" applyAlignment="1">
      <alignment vertical="center"/>
    </xf>
    <xf numFmtId="0" fontId="44" fillId="11" borderId="28" xfId="1" applyFont="1" applyFill="1" applyBorder="1" applyAlignment="1">
      <alignment vertical="center"/>
    </xf>
    <xf numFmtId="0" fontId="43" fillId="11" borderId="26" xfId="1" applyFont="1" applyFill="1" applyBorder="1" applyAlignment="1">
      <alignment vertical="center"/>
    </xf>
    <xf numFmtId="5" fontId="2" fillId="2" borderId="25" xfId="1" applyNumberFormat="1" applyFont="1" applyFill="1" applyBorder="1" applyAlignment="1">
      <alignment horizontal="center" vertical="center"/>
    </xf>
    <xf numFmtId="0" fontId="3" fillId="4" borderId="20" xfId="1" applyFont="1" applyFill="1" applyBorder="1" applyAlignment="1">
      <alignment horizontal="center" wrapText="1"/>
    </xf>
    <xf numFmtId="0" fontId="3" fillId="4" borderId="21" xfId="1" applyFont="1" applyFill="1" applyBorder="1" applyAlignment="1">
      <alignment horizontal="center" wrapText="1"/>
    </xf>
    <xf numFmtId="0" fontId="3" fillId="4" borderId="19" xfId="1" applyFont="1" applyFill="1" applyBorder="1" applyAlignment="1">
      <alignment horizontal="center" wrapText="1"/>
    </xf>
    <xf numFmtId="0" fontId="3" fillId="2" borderId="18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10" fontId="2" fillId="2" borderId="0" xfId="3" applyNumberFormat="1" applyFont="1" applyFill="1" applyBorder="1" applyAlignment="1">
      <alignment horizontal="center"/>
    </xf>
    <xf numFmtId="10" fontId="2" fillId="2" borderId="25" xfId="3" applyNumberFormat="1" applyFont="1" applyFill="1" applyBorder="1" applyAlignment="1">
      <alignment horizontal="center"/>
    </xf>
    <xf numFmtId="0" fontId="3" fillId="0" borderId="29" xfId="1" applyFont="1" applyFill="1" applyBorder="1" applyAlignment="1">
      <alignment horizontal="left" vertical="center"/>
    </xf>
    <xf numFmtId="0" fontId="3" fillId="0" borderId="2" xfId="1" applyFont="1" applyFill="1" applyBorder="1" applyAlignment="1">
      <alignment horizontal="left" vertical="center"/>
    </xf>
    <xf numFmtId="0" fontId="3" fillId="0" borderId="30" xfId="1" applyFont="1" applyFill="1" applyBorder="1" applyAlignment="1">
      <alignment horizontal="left" vertical="center"/>
    </xf>
    <xf numFmtId="0" fontId="3" fillId="2" borderId="25" xfId="1" applyFont="1" applyFill="1" applyBorder="1" applyAlignment="1">
      <alignment horizontal="center" vertical="center"/>
    </xf>
    <xf numFmtId="0" fontId="3" fillId="2" borderId="18" xfId="1" applyFont="1" applyFill="1" applyBorder="1" applyAlignment="1">
      <alignment horizontal="right"/>
    </xf>
    <xf numFmtId="0" fontId="3" fillId="2" borderId="0" xfId="1" applyFont="1" applyFill="1" applyBorder="1" applyAlignment="1">
      <alignment horizontal="right"/>
    </xf>
    <xf numFmtId="0" fontId="43" fillId="11" borderId="27" xfId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horizontal="center" vertical="center"/>
    </xf>
    <xf numFmtId="0" fontId="3" fillId="4" borderId="18" xfId="1" applyFont="1" applyFill="1" applyBorder="1" applyAlignment="1">
      <alignment horizontal="left" wrapText="1"/>
    </xf>
    <xf numFmtId="0" fontId="3" fillId="4" borderId="0" xfId="1" applyFont="1" applyFill="1" applyBorder="1" applyAlignment="1">
      <alignment horizontal="left" wrapText="1"/>
    </xf>
    <xf numFmtId="0" fontId="3" fillId="4" borderId="0" xfId="1" applyFont="1" applyFill="1" applyBorder="1" applyAlignment="1">
      <alignment horizontal="center" wrapText="1"/>
    </xf>
    <xf numFmtId="0" fontId="2" fillId="4" borderId="0" xfId="1" applyFont="1" applyFill="1" applyBorder="1" applyAlignment="1">
      <alignment horizontal="center" wrapText="1"/>
    </xf>
    <xf numFmtId="0" fontId="2" fillId="4" borderId="25" xfId="1" applyFont="1" applyFill="1" applyBorder="1" applyAlignment="1">
      <alignment horizontal="center" wrapText="1"/>
    </xf>
    <xf numFmtId="0" fontId="3" fillId="2" borderId="22" xfId="1" applyFont="1" applyFill="1" applyBorder="1" applyAlignment="1">
      <alignment horizontal="right"/>
    </xf>
    <xf numFmtId="0" fontId="3" fillId="2" borderId="23" xfId="1" applyFont="1" applyFill="1" applyBorder="1" applyAlignment="1">
      <alignment horizontal="right"/>
    </xf>
    <xf numFmtId="0" fontId="2" fillId="2" borderId="19" xfId="1" applyFont="1" applyFill="1" applyBorder="1" applyAlignment="1">
      <alignment horizontal="right" vertical="center"/>
    </xf>
    <xf numFmtId="5" fontId="35" fillId="2" borderId="2" xfId="1" applyNumberFormat="1" applyFont="1" applyFill="1" applyBorder="1" applyAlignment="1">
      <alignment horizontal="center" vertical="center"/>
    </xf>
    <xf numFmtId="5" fontId="35" fillId="2" borderId="30" xfId="1" applyNumberFormat="1" applyFont="1" applyFill="1" applyBorder="1" applyAlignment="1">
      <alignment horizontal="center" vertical="center"/>
    </xf>
    <xf numFmtId="0" fontId="3" fillId="2" borderId="37" xfId="1" applyFont="1" applyFill="1" applyBorder="1" applyAlignment="1">
      <alignment horizontal="center"/>
    </xf>
    <xf numFmtId="0" fontId="3" fillId="2" borderId="46" xfId="1" applyFont="1" applyFill="1" applyBorder="1" applyAlignment="1">
      <alignment horizontal="center"/>
    </xf>
    <xf numFmtId="0" fontId="4" fillId="2" borderId="22" xfId="0" applyFont="1" applyFill="1" applyBorder="1" applyAlignment="1">
      <alignment horizontal="right" vertical="top"/>
    </xf>
    <xf numFmtId="0" fontId="4" fillId="2" borderId="24" xfId="0" applyFont="1" applyFill="1" applyBorder="1" applyAlignment="1">
      <alignment horizontal="right" vertical="top"/>
    </xf>
    <xf numFmtId="0" fontId="9" fillId="7" borderId="19" xfId="0" applyFont="1" applyFill="1" applyBorder="1" applyAlignment="1">
      <alignment horizontal="center" vertical="center"/>
    </xf>
    <xf numFmtId="0" fontId="9" fillId="7" borderId="20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right" vertical="top"/>
    </xf>
    <xf numFmtId="0" fontId="4" fillId="2" borderId="0" xfId="0" applyFont="1" applyFill="1" applyBorder="1" applyAlignment="1">
      <alignment horizontal="right" vertical="top"/>
    </xf>
    <xf numFmtId="0" fontId="4" fillId="13" borderId="0" xfId="0" applyFont="1" applyFill="1" applyBorder="1" applyAlignment="1">
      <alignment horizontal="center" vertical="center"/>
    </xf>
    <xf numFmtId="0" fontId="4" fillId="13" borderId="25" xfId="0" applyFont="1" applyFill="1" applyBorder="1" applyAlignment="1">
      <alignment horizontal="center" vertical="center"/>
    </xf>
    <xf numFmtId="0" fontId="4" fillId="10" borderId="0" xfId="0" applyFont="1" applyFill="1" applyBorder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1" fillId="13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80" fontId="1" fillId="0" borderId="0" xfId="0" applyNumberFormat="1" applyFont="1" applyAlignment="1">
      <alignment horizontal="center" vertical="center"/>
    </xf>
    <xf numFmtId="178" fontId="1" fillId="0" borderId="0" xfId="3" applyNumberFormat="1" applyFont="1" applyAlignment="1">
      <alignment horizontal="center" vertical="center"/>
    </xf>
    <xf numFmtId="179" fontId="1" fillId="0" borderId="0" xfId="3" applyNumberFormat="1" applyFont="1" applyAlignment="1">
      <alignment horizontal="center" vertical="center"/>
    </xf>
    <xf numFmtId="0" fontId="10" fillId="11" borderId="49" xfId="0" applyFont="1" applyFill="1" applyBorder="1" applyAlignment="1">
      <alignment horizontal="center" vertical="center"/>
    </xf>
    <xf numFmtId="0" fontId="10" fillId="11" borderId="51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1" fillId="10" borderId="18" xfId="0" applyFont="1" applyFill="1" applyBorder="1" applyAlignment="1">
      <alignment horizontal="right" vertical="center"/>
    </xf>
    <xf numFmtId="0" fontId="1" fillId="8" borderId="18" xfId="0" applyFont="1" applyFill="1" applyBorder="1" applyAlignment="1">
      <alignment horizontal="right" vertical="center"/>
    </xf>
    <xf numFmtId="0" fontId="4" fillId="2" borderId="54" xfId="0" applyFont="1" applyFill="1" applyBorder="1" applyAlignment="1">
      <alignment horizontal="center" vertical="center"/>
    </xf>
    <xf numFmtId="3" fontId="37" fillId="2" borderId="0" xfId="0" applyNumberFormat="1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6" fillId="11" borderId="19" xfId="0" applyFont="1" applyFill="1" applyBorder="1" applyAlignment="1">
      <alignment horizontal="center"/>
    </xf>
    <xf numFmtId="0" fontId="16" fillId="11" borderId="20" xfId="0" applyFont="1" applyFill="1" applyBorder="1" applyAlignment="1">
      <alignment horizontal="center"/>
    </xf>
    <xf numFmtId="0" fontId="16" fillId="11" borderId="21" xfId="0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10" fillId="11" borderId="49" xfId="0" applyFont="1" applyFill="1" applyBorder="1" applyAlignment="1">
      <alignment horizontal="center"/>
    </xf>
    <xf numFmtId="0" fontId="10" fillId="11" borderId="51" xfId="0" applyFont="1" applyFill="1" applyBorder="1" applyAlignment="1">
      <alignment horizontal="center"/>
    </xf>
    <xf numFmtId="167" fontId="45" fillId="2" borderId="0" xfId="0" applyNumberFormat="1" applyFont="1" applyFill="1" applyBorder="1" applyAlignment="1">
      <alignment horizontal="center" vertical="center"/>
    </xf>
    <xf numFmtId="6" fontId="2" fillId="2" borderId="57" xfId="1" applyNumberFormat="1" applyFont="1" applyFill="1" applyBorder="1"/>
  </cellXfs>
  <cellStyles count="6">
    <cellStyle name="Comma 2" xfId="4" xr:uid="{21866661-182E-42D5-BD8B-E98CD02A0511}"/>
    <cellStyle name="Currency" xfId="2" builtinId="4"/>
    <cellStyle name="Hyperlink" xfId="5" builtinId="8"/>
    <cellStyle name="Normal" xfId="0" builtinId="0"/>
    <cellStyle name="Normal 2" xfId="1" xr:uid="{A9601B46-0627-4DDF-9F41-8D15BEBB2E28}"/>
    <cellStyle name="Percent" xfId="3" builtinId="5"/>
  </cellStyles>
  <dxfs count="29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0000FF"/>
      <color rgb="FF8529FF"/>
      <color rgb="FFFFEBEB"/>
      <color rgb="FFD385FF"/>
      <color rgb="FFFFBDBD"/>
      <color rgb="FFFFABAB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4002</xdr:colOff>
      <xdr:row>4</xdr:row>
      <xdr:rowOff>7204</xdr:rowOff>
    </xdr:from>
    <xdr:to>
      <xdr:col>14</xdr:col>
      <xdr:colOff>84655</xdr:colOff>
      <xdr:row>21</xdr:row>
      <xdr:rowOff>143275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4413E3-0205-4914-ADF4-277FC1F3C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9620" y="791616"/>
          <a:ext cx="3778594" cy="343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iamigov.com/Government/Departments-Organizations/Office-of-Capital-Improvements-OCI/Miami-Forever-Bond" TargetMode="External"/><Relationship Id="rId2" Type="http://schemas.openxmlformats.org/officeDocument/2006/relationships/hyperlink" Target="https://www.taxpolicycenter.org/briefing-book/what-low-income-housing-tax-credit-and-how-does-it-work" TargetMode="External"/><Relationship Id="rId1" Type="http://schemas.openxmlformats.org/officeDocument/2006/relationships/hyperlink" Target="https://www.epa.gov/brownfields/types-brownfields-grant-funding" TargetMode="Externa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iamigov.com/Residents/Housing/Income-Limits-for-Housing-Applications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FD39F-DD86-4BC6-AD48-1C2EED503833}">
  <dimension ref="B1:Q76"/>
  <sheetViews>
    <sheetView zoomScale="85" zoomScaleNormal="85" workbookViewId="0">
      <selection activeCell="E78" sqref="E78"/>
    </sheetView>
  </sheetViews>
  <sheetFormatPr defaultRowHeight="14.25" x14ac:dyDescent="0.2"/>
  <cols>
    <col min="1" max="1" width="9.140625" style="398"/>
    <col min="2" max="2" width="11.42578125" style="398" bestFit="1" customWidth="1"/>
    <col min="3" max="3" width="17.85546875" style="398" bestFit="1" customWidth="1"/>
    <col min="4" max="4" width="22" style="398" bestFit="1" customWidth="1"/>
    <col min="5" max="5" width="10.140625" style="399" bestFit="1" customWidth="1"/>
    <col min="6" max="6" width="11.28515625" style="399" bestFit="1" customWidth="1"/>
    <col min="7" max="11" width="8.42578125" style="400" bestFit="1" customWidth="1"/>
    <col min="12" max="12" width="7.28515625" style="400" bestFit="1" customWidth="1"/>
    <col min="13" max="13" width="8.42578125" style="400" bestFit="1" customWidth="1"/>
    <col min="14" max="14" width="7.28515625" style="400" bestFit="1" customWidth="1"/>
    <col min="15" max="15" width="12" style="400" bestFit="1" customWidth="1"/>
    <col min="16" max="16" width="7.5703125" style="400" bestFit="1" customWidth="1"/>
    <col min="17" max="16384" width="9.140625" style="398"/>
  </cols>
  <sheetData>
    <row r="1" spans="2:17" x14ac:dyDescent="0.2">
      <c r="O1" s="620" t="s">
        <v>1</v>
      </c>
      <c r="P1" s="626" t="s">
        <v>105</v>
      </c>
      <c r="Q1" s="627"/>
    </row>
    <row r="2" spans="2:17" ht="15" thickBot="1" x14ac:dyDescent="0.25"/>
    <row r="3" spans="2:17" ht="15" x14ac:dyDescent="0.25">
      <c r="B3" s="1039" t="s">
        <v>118</v>
      </c>
      <c r="C3" s="1040"/>
      <c r="D3" s="1040"/>
      <c r="E3" s="1040"/>
      <c r="F3" s="1040"/>
      <c r="G3" s="1040"/>
      <c r="H3" s="1040"/>
      <c r="I3" s="1040"/>
      <c r="J3" s="1040"/>
      <c r="K3" s="1040"/>
      <c r="L3" s="1040"/>
      <c r="M3" s="1040"/>
      <c r="N3" s="1040"/>
      <c r="O3" s="1040"/>
      <c r="P3" s="1041"/>
    </row>
    <row r="4" spans="2:17" ht="15.75" thickBot="1" x14ac:dyDescent="0.3">
      <c r="B4" s="1050" t="s">
        <v>237</v>
      </c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2"/>
    </row>
    <row r="5" spans="2:17" x14ac:dyDescent="0.2">
      <c r="B5" s="378"/>
      <c r="C5" s="379"/>
      <c r="D5" s="379"/>
      <c r="E5" s="380"/>
      <c r="F5" s="409">
        <v>0</v>
      </c>
      <c r="G5" s="1042" t="s">
        <v>206</v>
      </c>
      <c r="H5" s="1043"/>
      <c r="I5" s="1044"/>
      <c r="J5" s="1043" t="s">
        <v>207</v>
      </c>
      <c r="K5" s="1043"/>
      <c r="L5" s="1044"/>
      <c r="M5" s="1042" t="s">
        <v>208</v>
      </c>
      <c r="N5" s="1043"/>
      <c r="O5" s="1043"/>
      <c r="P5" s="1044"/>
    </row>
    <row r="6" spans="2:17" ht="15" thickBot="1" x14ac:dyDescent="0.25">
      <c r="B6" s="373"/>
      <c r="C6" s="374"/>
      <c r="D6" s="374" t="s">
        <v>238</v>
      </c>
      <c r="E6" s="375" t="s">
        <v>116</v>
      </c>
      <c r="F6" s="375" t="s">
        <v>154</v>
      </c>
      <c r="G6" s="381">
        <v>2022</v>
      </c>
      <c r="H6" s="376">
        <v>2023</v>
      </c>
      <c r="I6" s="377">
        <v>2024</v>
      </c>
      <c r="J6" s="376">
        <v>2025</v>
      </c>
      <c r="K6" s="376">
        <v>2026</v>
      </c>
      <c r="L6" s="377">
        <v>2027</v>
      </c>
      <c r="M6" s="381">
        <v>2028</v>
      </c>
      <c r="N6" s="376">
        <v>2029</v>
      </c>
      <c r="O6" s="376">
        <v>2030</v>
      </c>
      <c r="P6" s="377">
        <v>2031</v>
      </c>
    </row>
    <row r="7" spans="2:17" x14ac:dyDescent="0.2">
      <c r="B7" s="1045" t="s">
        <v>206</v>
      </c>
      <c r="C7" s="1046"/>
      <c r="D7" s="1046"/>
      <c r="E7" s="1046"/>
      <c r="F7" s="1046"/>
      <c r="G7" s="851"/>
      <c r="H7" s="852"/>
      <c r="I7" s="853"/>
      <c r="J7" s="851"/>
      <c r="K7" s="852"/>
      <c r="L7" s="853"/>
      <c r="M7" s="851"/>
      <c r="N7" s="852"/>
      <c r="O7" s="852"/>
      <c r="P7" s="853"/>
    </row>
    <row r="8" spans="2:17" x14ac:dyDescent="0.2">
      <c r="B8" s="1032" t="s">
        <v>4</v>
      </c>
      <c r="C8" s="723" t="s">
        <v>5</v>
      </c>
      <c r="D8" s="723"/>
      <c r="E8" s="372">
        <f>SUM(F8:P8)</f>
        <v>243314.39999999997</v>
      </c>
      <c r="F8" s="384">
        <v>0</v>
      </c>
      <c r="G8" s="389">
        <f>'2. Market-Rate Rental'!E62</f>
        <v>162209.59999999998</v>
      </c>
      <c r="H8" s="390">
        <f>'2. Market-Rate Rental'!F62</f>
        <v>81104.799999999988</v>
      </c>
      <c r="I8" s="391"/>
      <c r="J8" s="389"/>
      <c r="K8" s="390"/>
      <c r="L8" s="391"/>
      <c r="M8" s="389"/>
      <c r="N8" s="390"/>
      <c r="O8" s="390"/>
      <c r="P8" s="391"/>
    </row>
    <row r="9" spans="2:17" x14ac:dyDescent="0.2">
      <c r="B9" s="1032"/>
      <c r="C9" s="723" t="s">
        <v>6</v>
      </c>
      <c r="D9" s="723"/>
      <c r="E9" s="372">
        <f t="shared" ref="E9:E22" si="0">SUM(F9:P9)</f>
        <v>104277.59999999999</v>
      </c>
      <c r="F9" s="384">
        <v>0</v>
      </c>
      <c r="G9" s="389">
        <f>'3. Market-Rate For-Sale'!E58</f>
        <v>104277.59999999999</v>
      </c>
      <c r="H9" s="390"/>
      <c r="I9" s="391"/>
      <c r="J9" s="389"/>
      <c r="K9" s="390"/>
      <c r="L9" s="391"/>
      <c r="M9" s="389"/>
      <c r="N9" s="390"/>
      <c r="O9" s="390"/>
      <c r="P9" s="391"/>
    </row>
    <row r="10" spans="2:17" x14ac:dyDescent="0.2">
      <c r="B10" s="1033" t="s">
        <v>7</v>
      </c>
      <c r="C10" s="723" t="s">
        <v>5</v>
      </c>
      <c r="D10" s="723"/>
      <c r="E10" s="372">
        <f t="shared" si="0"/>
        <v>81104.799999999988</v>
      </c>
      <c r="F10" s="384">
        <v>0</v>
      </c>
      <c r="G10" s="389"/>
      <c r="H10" s="390">
        <f>'4. Affordable Rental'!F62</f>
        <v>81104.799999999988</v>
      </c>
      <c r="I10" s="391"/>
      <c r="J10" s="389"/>
      <c r="K10" s="390"/>
      <c r="L10" s="391"/>
      <c r="M10" s="389"/>
      <c r="N10" s="390"/>
      <c r="O10" s="390"/>
      <c r="P10" s="391"/>
    </row>
    <row r="11" spans="2:17" x14ac:dyDescent="0.2">
      <c r="B11" s="1033"/>
      <c r="C11" s="723" t="s">
        <v>6</v>
      </c>
      <c r="D11" s="723"/>
      <c r="E11" s="372">
        <f t="shared" si="0"/>
        <v>34759.199999999997</v>
      </c>
      <c r="F11" s="384">
        <v>0</v>
      </c>
      <c r="G11" s="389">
        <f>'5. Affordable For-Sale'!E59</f>
        <v>34759.199999999997</v>
      </c>
      <c r="H11" s="390"/>
      <c r="I11" s="391"/>
      <c r="J11" s="389"/>
      <c r="K11" s="390"/>
      <c r="L11" s="391"/>
      <c r="M11" s="389"/>
      <c r="N11" s="390"/>
      <c r="O11" s="390"/>
      <c r="P11" s="391"/>
    </row>
    <row r="12" spans="2:17" x14ac:dyDescent="0.2">
      <c r="B12" s="1030" t="s">
        <v>8</v>
      </c>
      <c r="C12" s="1031"/>
      <c r="D12" s="723"/>
      <c r="E12" s="372">
        <f t="shared" si="0"/>
        <v>50758</v>
      </c>
      <c r="F12" s="384">
        <v>0</v>
      </c>
      <c r="G12" s="389">
        <f>'6. Office_Commercial'!E60</f>
        <v>50758</v>
      </c>
      <c r="H12" s="390"/>
      <c r="I12" s="391"/>
      <c r="J12" s="389"/>
      <c r="K12" s="390"/>
      <c r="L12" s="391"/>
      <c r="M12" s="389"/>
      <c r="N12" s="390"/>
      <c r="O12" s="390"/>
      <c r="P12" s="391"/>
    </row>
    <row r="13" spans="2:17" x14ac:dyDescent="0.2">
      <c r="B13" s="1030" t="s">
        <v>21</v>
      </c>
      <c r="C13" s="1031"/>
      <c r="D13" s="723"/>
      <c r="E13" s="372">
        <f t="shared" si="0"/>
        <v>304112</v>
      </c>
      <c r="F13" s="384">
        <v>0</v>
      </c>
      <c r="G13" s="389"/>
      <c r="H13" s="390">
        <f>'7. Retail'!F59</f>
        <v>202741.33333333331</v>
      </c>
      <c r="I13" s="391">
        <f>'7. Retail'!G59</f>
        <v>101370.66666666666</v>
      </c>
      <c r="J13" s="389"/>
      <c r="K13" s="390"/>
      <c r="L13" s="391"/>
      <c r="M13" s="389"/>
      <c r="N13" s="390"/>
      <c r="O13" s="390"/>
      <c r="P13" s="391"/>
    </row>
    <row r="14" spans="2:17" x14ac:dyDescent="0.2">
      <c r="B14" s="1030" t="s">
        <v>216</v>
      </c>
      <c r="C14" s="1031"/>
      <c r="D14" s="723"/>
      <c r="E14" s="372">
        <f t="shared" si="0"/>
        <v>0</v>
      </c>
      <c r="F14" s="384">
        <v>0</v>
      </c>
      <c r="G14" s="389"/>
      <c r="H14" s="390"/>
      <c r="I14" s="391"/>
      <c r="J14" s="389"/>
      <c r="K14" s="390"/>
      <c r="L14" s="391"/>
      <c r="M14" s="389"/>
      <c r="N14" s="390"/>
      <c r="O14" s="390"/>
      <c r="P14" s="391"/>
    </row>
    <row r="15" spans="2:17" x14ac:dyDescent="0.2">
      <c r="B15" s="1030" t="s">
        <v>9</v>
      </c>
      <c r="C15" s="1031"/>
      <c r="D15" s="723"/>
      <c r="E15" s="372">
        <f t="shared" si="0"/>
        <v>0</v>
      </c>
      <c r="F15" s="384">
        <v>0</v>
      </c>
      <c r="G15" s="392"/>
      <c r="H15" s="393"/>
      <c r="I15" s="394"/>
      <c r="J15" s="392"/>
      <c r="K15" s="393"/>
      <c r="L15" s="394"/>
      <c r="M15" s="392"/>
      <c r="N15" s="393"/>
      <c r="O15" s="393"/>
      <c r="P15" s="394"/>
    </row>
    <row r="16" spans="2:17" x14ac:dyDescent="0.2">
      <c r="B16" s="1030" t="s">
        <v>10</v>
      </c>
      <c r="C16" s="1031"/>
      <c r="D16" s="723"/>
      <c r="E16" s="372">
        <f t="shared" si="0"/>
        <v>136770</v>
      </c>
      <c r="F16" s="384">
        <v>0</v>
      </c>
      <c r="G16" s="389"/>
      <c r="H16" s="390">
        <f>'10. Structured Parking'!F106</f>
        <v>68385</v>
      </c>
      <c r="I16" s="390">
        <f>'10. Structured Parking'!G106</f>
        <v>68385</v>
      </c>
      <c r="J16" s="389"/>
      <c r="K16" s="390"/>
      <c r="L16" s="391"/>
      <c r="M16" s="389"/>
      <c r="N16" s="390"/>
      <c r="O16" s="390"/>
      <c r="P16" s="391"/>
    </row>
    <row r="17" spans="2:16" x14ac:dyDescent="0.2">
      <c r="B17" s="1030" t="s">
        <v>11</v>
      </c>
      <c r="C17" s="1031"/>
      <c r="D17" s="723"/>
      <c r="E17" s="372">
        <f t="shared" si="0"/>
        <v>0</v>
      </c>
      <c r="F17" s="384">
        <v>0</v>
      </c>
      <c r="G17" s="392"/>
      <c r="H17" s="393"/>
      <c r="I17" s="390"/>
      <c r="J17" s="392"/>
      <c r="K17" s="393"/>
      <c r="L17" s="394"/>
      <c r="M17" s="392"/>
      <c r="N17" s="393"/>
      <c r="O17" s="393"/>
      <c r="P17" s="394"/>
    </row>
    <row r="18" spans="2:16" x14ac:dyDescent="0.2">
      <c r="B18" s="722"/>
      <c r="C18" s="386" t="s">
        <v>239</v>
      </c>
      <c r="D18" s="685" t="s">
        <v>50</v>
      </c>
      <c r="E18" s="372">
        <f t="shared" si="0"/>
        <v>103333.33333333333</v>
      </c>
      <c r="F18" s="849">
        <v>0</v>
      </c>
      <c r="G18" s="392"/>
      <c r="H18" s="390">
        <f>'1. Infrastructure Costs'!F44</f>
        <v>51666.666666666664</v>
      </c>
      <c r="I18" s="390">
        <f>'1. Infrastructure Costs'!G44</f>
        <v>51666.666666666664</v>
      </c>
      <c r="J18" s="392"/>
      <c r="K18" s="393"/>
      <c r="L18" s="394"/>
      <c r="M18" s="392"/>
      <c r="N18" s="393"/>
      <c r="O18" s="393"/>
      <c r="P18" s="394"/>
    </row>
    <row r="19" spans="2:16" x14ac:dyDescent="0.2">
      <c r="B19" s="722"/>
      <c r="C19" s="386" t="s">
        <v>239</v>
      </c>
      <c r="D19" s="685" t="s">
        <v>232</v>
      </c>
      <c r="E19" s="372">
        <f t="shared" si="0"/>
        <v>57700</v>
      </c>
      <c r="F19" s="849">
        <v>0</v>
      </c>
      <c r="G19" s="392"/>
      <c r="H19" s="390"/>
      <c r="I19" s="390">
        <f>'1. Infrastructure Costs'!G45</f>
        <v>57700</v>
      </c>
      <c r="J19" s="392"/>
      <c r="K19" s="393"/>
      <c r="L19" s="394"/>
      <c r="M19" s="392"/>
      <c r="N19" s="393"/>
      <c r="O19" s="393"/>
      <c r="P19" s="394"/>
    </row>
    <row r="20" spans="2:16" x14ac:dyDescent="0.2">
      <c r="B20" s="387"/>
      <c r="C20" s="386" t="s">
        <v>239</v>
      </c>
      <c r="D20" s="383" t="s">
        <v>236</v>
      </c>
      <c r="E20" s="372">
        <f t="shared" si="0"/>
        <v>58989.333333333336</v>
      </c>
      <c r="F20" s="849">
        <v>0</v>
      </c>
      <c r="G20" s="392"/>
      <c r="H20" s="390"/>
      <c r="I20" s="390">
        <f>'1. Infrastructure Costs'!G46</f>
        <v>58989.333333333336</v>
      </c>
      <c r="J20" s="392"/>
      <c r="K20" s="393"/>
      <c r="L20" s="394"/>
      <c r="M20" s="392"/>
      <c r="N20" s="393"/>
      <c r="O20" s="393"/>
      <c r="P20" s="394"/>
    </row>
    <row r="21" spans="2:16" x14ac:dyDescent="0.2">
      <c r="B21" s="387"/>
      <c r="C21" s="386" t="s">
        <v>239</v>
      </c>
      <c r="D21" s="383" t="s">
        <v>256</v>
      </c>
      <c r="E21" s="372">
        <f t="shared" si="0"/>
        <v>53089.333333333336</v>
      </c>
      <c r="F21" s="849">
        <v>0</v>
      </c>
      <c r="G21" s="392"/>
      <c r="H21" s="390"/>
      <c r="I21" s="390">
        <f>'1. Infrastructure Costs'!G47</f>
        <v>53089.333333333336</v>
      </c>
      <c r="J21" s="392"/>
      <c r="K21" s="393"/>
      <c r="L21" s="394"/>
      <c r="M21" s="392"/>
      <c r="N21" s="393"/>
      <c r="O21" s="393"/>
      <c r="P21" s="394"/>
    </row>
    <row r="22" spans="2:16" x14ac:dyDescent="0.2">
      <c r="B22" s="387"/>
      <c r="C22" s="386" t="s">
        <v>239</v>
      </c>
      <c r="D22" s="383" t="s">
        <v>258</v>
      </c>
      <c r="E22" s="372">
        <f t="shared" si="0"/>
        <v>33732.266666666663</v>
      </c>
      <c r="F22" s="849">
        <v>0</v>
      </c>
      <c r="G22" s="392"/>
      <c r="H22" s="390">
        <f>'1. Infrastructure Costs'!F48</f>
        <v>16866.133333333331</v>
      </c>
      <c r="I22" s="390">
        <f>'1. Infrastructure Costs'!G48</f>
        <v>16866.133333333331</v>
      </c>
      <c r="J22" s="392"/>
      <c r="K22" s="393"/>
      <c r="L22" s="394"/>
      <c r="M22" s="392"/>
      <c r="N22" s="393"/>
      <c r="O22" s="393"/>
      <c r="P22" s="394"/>
    </row>
    <row r="23" spans="2:16" ht="15.75" thickBot="1" x14ac:dyDescent="0.3">
      <c r="B23" s="1034" t="s">
        <v>41</v>
      </c>
      <c r="C23" s="1035"/>
      <c r="D23" s="1035"/>
      <c r="E23" s="854">
        <f>SUM(E8:E22)</f>
        <v>1261940.2666666664</v>
      </c>
      <c r="F23" s="375"/>
      <c r="G23" s="837"/>
      <c r="H23" s="390"/>
      <c r="I23" s="390"/>
      <c r="J23" s="837"/>
      <c r="K23" s="838"/>
      <c r="L23" s="839"/>
      <c r="M23" s="837"/>
      <c r="N23" s="838"/>
      <c r="O23" s="838"/>
      <c r="P23" s="839"/>
    </row>
    <row r="24" spans="2:16" x14ac:dyDescent="0.2">
      <c r="B24" s="1047" t="s">
        <v>207</v>
      </c>
      <c r="C24" s="1048"/>
      <c r="D24" s="1048"/>
      <c r="E24" s="1048"/>
      <c r="F24" s="1049"/>
      <c r="G24" s="846"/>
      <c r="H24" s="847"/>
      <c r="I24" s="847"/>
      <c r="J24" s="846"/>
      <c r="K24" s="847"/>
      <c r="L24" s="848"/>
      <c r="M24" s="846"/>
      <c r="N24" s="847"/>
      <c r="O24" s="847"/>
      <c r="P24" s="848"/>
    </row>
    <row r="25" spans="2:16" x14ac:dyDescent="0.2">
      <c r="B25" s="1032" t="s">
        <v>4</v>
      </c>
      <c r="C25" s="723" t="s">
        <v>5</v>
      </c>
      <c r="D25" s="385"/>
      <c r="E25" s="372">
        <f>SUM(F25:P25)</f>
        <v>362734.05</v>
      </c>
      <c r="F25" s="850">
        <v>0</v>
      </c>
      <c r="G25" s="392"/>
      <c r="H25" s="393"/>
      <c r="I25" s="393"/>
      <c r="J25" s="389">
        <f>'2. Market-Rate Rental'!H63</f>
        <v>120911.34999999999</v>
      </c>
      <c r="K25" s="390">
        <f>'2. Market-Rate Rental'!I63</f>
        <v>241822.69999999998</v>
      </c>
      <c r="L25" s="394"/>
      <c r="M25" s="392"/>
      <c r="N25" s="393"/>
      <c r="O25" s="393"/>
      <c r="P25" s="394"/>
    </row>
    <row r="26" spans="2:16" x14ac:dyDescent="0.2">
      <c r="B26" s="1032"/>
      <c r="C26" s="723" t="s">
        <v>6</v>
      </c>
      <c r="D26" s="385"/>
      <c r="E26" s="372">
        <f t="shared" ref="E26:E54" si="1">SUM(F26:P26)</f>
        <v>101584.57500000001</v>
      </c>
      <c r="F26" s="850">
        <v>0</v>
      </c>
      <c r="G26" s="392"/>
      <c r="H26" s="393"/>
      <c r="I26" s="393"/>
      <c r="J26" s="389">
        <f>'3. Market-Rate For-Sale'!K62</f>
        <v>101584.57500000001</v>
      </c>
      <c r="K26" s="393"/>
      <c r="L26" s="394"/>
      <c r="M26" s="392"/>
      <c r="N26" s="393"/>
      <c r="O26" s="393"/>
      <c r="P26" s="394"/>
    </row>
    <row r="27" spans="2:16" x14ac:dyDescent="0.2">
      <c r="B27" s="1033" t="s">
        <v>7</v>
      </c>
      <c r="C27" s="723" t="s">
        <v>5</v>
      </c>
      <c r="D27" s="385"/>
      <c r="E27" s="372">
        <f t="shared" si="1"/>
        <v>120911.34999999999</v>
      </c>
      <c r="F27" s="850">
        <v>0</v>
      </c>
      <c r="G27" s="392"/>
      <c r="H27" s="393"/>
      <c r="I27" s="393"/>
      <c r="J27" s="389"/>
      <c r="K27" s="390">
        <f>'4. Affordable Rental'!I63</f>
        <v>120911.34999999999</v>
      </c>
      <c r="L27" s="391"/>
      <c r="M27" s="392"/>
      <c r="N27" s="393"/>
      <c r="O27" s="393"/>
      <c r="P27" s="394"/>
    </row>
    <row r="28" spans="2:16" x14ac:dyDescent="0.2">
      <c r="B28" s="1033"/>
      <c r="C28" s="723" t="s">
        <v>6</v>
      </c>
      <c r="D28" s="385"/>
      <c r="E28" s="372">
        <f t="shared" si="1"/>
        <v>33861.525000000001</v>
      </c>
      <c r="F28" s="850">
        <v>0</v>
      </c>
      <c r="G28" s="392"/>
      <c r="H28" s="393"/>
      <c r="I28" s="393"/>
      <c r="J28" s="392"/>
      <c r="K28" s="390">
        <f>'5. Affordable For-Sale'!L63</f>
        <v>33861.525000000001</v>
      </c>
      <c r="L28" s="394"/>
      <c r="M28" s="392"/>
      <c r="N28" s="393"/>
      <c r="O28" s="393"/>
      <c r="P28" s="394"/>
    </row>
    <row r="29" spans="2:16" x14ac:dyDescent="0.2">
      <c r="B29" s="1030" t="s">
        <v>8</v>
      </c>
      <c r="C29" s="1031"/>
      <c r="D29" s="385"/>
      <c r="E29" s="372">
        <f t="shared" si="1"/>
        <v>70247</v>
      </c>
      <c r="F29" s="850">
        <v>0</v>
      </c>
      <c r="G29" s="392"/>
      <c r="H29" s="393"/>
      <c r="I29" s="393"/>
      <c r="J29" s="389">
        <f>'6. Office_Commercial'!H61</f>
        <v>70247</v>
      </c>
      <c r="K29" s="393"/>
      <c r="L29" s="394"/>
      <c r="M29" s="392"/>
      <c r="N29" s="393"/>
      <c r="O29" s="393"/>
      <c r="P29" s="394"/>
    </row>
    <row r="30" spans="2:16" x14ac:dyDescent="0.2">
      <c r="B30" s="1030" t="s">
        <v>21</v>
      </c>
      <c r="C30" s="1031"/>
      <c r="D30" s="385"/>
      <c r="E30" s="372">
        <f t="shared" si="1"/>
        <v>128973</v>
      </c>
      <c r="F30" s="850">
        <v>0</v>
      </c>
      <c r="G30" s="392"/>
      <c r="H30" s="393"/>
      <c r="I30" s="393"/>
      <c r="J30" s="389">
        <f>'7. Retail'!H60</f>
        <v>128973</v>
      </c>
      <c r="K30" s="393"/>
      <c r="L30" s="394"/>
      <c r="M30" s="392"/>
      <c r="N30" s="393"/>
      <c r="O30" s="393"/>
      <c r="P30" s="394"/>
    </row>
    <row r="31" spans="2:16" x14ac:dyDescent="0.2">
      <c r="B31" s="1030" t="s">
        <v>216</v>
      </c>
      <c r="C31" s="1031"/>
      <c r="D31" s="385"/>
      <c r="E31" s="372">
        <f t="shared" si="1"/>
        <v>95248</v>
      </c>
      <c r="F31" s="850">
        <v>0</v>
      </c>
      <c r="G31" s="392"/>
      <c r="H31" s="393"/>
      <c r="I31" s="393"/>
      <c r="J31" s="389"/>
      <c r="K31" s="390">
        <f>'8. Industrial_Gallery n School'!I57</f>
        <v>63498.666666666664</v>
      </c>
      <c r="L31" s="391">
        <f>'8. Industrial_Gallery n School'!J57</f>
        <v>31749.333333333332</v>
      </c>
      <c r="M31" s="392"/>
      <c r="N31" s="393"/>
      <c r="O31" s="393"/>
      <c r="P31" s="394"/>
    </row>
    <row r="32" spans="2:16" x14ac:dyDescent="0.2">
      <c r="B32" s="1030" t="s">
        <v>9</v>
      </c>
      <c r="C32" s="1031"/>
      <c r="D32" s="385"/>
      <c r="E32" s="372">
        <f t="shared" si="1"/>
        <v>0</v>
      </c>
      <c r="F32" s="850">
        <v>0</v>
      </c>
      <c r="G32" s="392"/>
      <c r="H32" s="393"/>
      <c r="I32" s="393"/>
      <c r="J32" s="392"/>
      <c r="K32" s="393"/>
      <c r="L32" s="394"/>
      <c r="M32" s="392"/>
      <c r="N32" s="393"/>
      <c r="O32" s="393"/>
      <c r="P32" s="394"/>
    </row>
    <row r="33" spans="2:16" x14ac:dyDescent="0.2">
      <c r="B33" s="1030" t="s">
        <v>10</v>
      </c>
      <c r="C33" s="1031"/>
      <c r="D33" s="385"/>
      <c r="E33" s="372">
        <f t="shared" si="1"/>
        <v>64890</v>
      </c>
      <c r="F33" s="850">
        <v>0</v>
      </c>
      <c r="G33" s="392"/>
      <c r="H33" s="393"/>
      <c r="I33" s="393"/>
      <c r="J33" s="389">
        <f>'10. Structured Parking'!H108</f>
        <v>32445</v>
      </c>
      <c r="K33" s="390">
        <f>'10. Structured Parking'!I108</f>
        <v>32445</v>
      </c>
      <c r="L33" s="394"/>
      <c r="M33" s="392"/>
      <c r="N33" s="393"/>
      <c r="O33" s="393"/>
      <c r="P33" s="394"/>
    </row>
    <row r="34" spans="2:16" x14ac:dyDescent="0.2">
      <c r="B34" s="1030" t="s">
        <v>11</v>
      </c>
      <c r="C34" s="1031"/>
      <c r="D34" s="385"/>
      <c r="E34" s="372">
        <f t="shared" si="1"/>
        <v>0</v>
      </c>
      <c r="F34" s="850">
        <v>0</v>
      </c>
      <c r="G34" s="392"/>
      <c r="H34" s="393"/>
      <c r="I34" s="393"/>
      <c r="J34" s="389"/>
      <c r="K34" s="390"/>
      <c r="L34" s="391"/>
      <c r="M34" s="392"/>
      <c r="N34" s="393"/>
      <c r="O34" s="393"/>
      <c r="P34" s="394"/>
    </row>
    <row r="35" spans="2:16" x14ac:dyDescent="0.2">
      <c r="B35" s="387"/>
      <c r="C35" s="385" t="s">
        <v>239</v>
      </c>
      <c r="D35" s="685" t="s">
        <v>50</v>
      </c>
      <c r="E35" s="372">
        <f t="shared" si="1"/>
        <v>103333.33333333333</v>
      </c>
      <c r="F35" s="850">
        <v>0</v>
      </c>
      <c r="G35" s="392"/>
      <c r="H35" s="393"/>
      <c r="I35" s="393"/>
      <c r="J35" s="389"/>
      <c r="K35" s="390">
        <f>'1. Infrastructure Costs'!I44</f>
        <v>51666.666666666664</v>
      </c>
      <c r="L35" s="391">
        <f>'1. Infrastructure Costs'!J44</f>
        <v>51666.666666666664</v>
      </c>
      <c r="M35" s="392"/>
      <c r="N35" s="393"/>
      <c r="O35" s="393"/>
      <c r="P35" s="394"/>
    </row>
    <row r="36" spans="2:16" x14ac:dyDescent="0.2">
      <c r="B36" s="387"/>
      <c r="C36" s="385" t="s">
        <v>239</v>
      </c>
      <c r="D36" s="685" t="s">
        <v>232</v>
      </c>
      <c r="E36" s="372">
        <f t="shared" si="1"/>
        <v>57700</v>
      </c>
      <c r="F36" s="850">
        <v>0</v>
      </c>
      <c r="G36" s="392"/>
      <c r="H36" s="393"/>
      <c r="I36" s="393"/>
      <c r="J36" s="389"/>
      <c r="K36" s="390"/>
      <c r="L36" s="391">
        <f>'1. Infrastructure Costs'!J45</f>
        <v>57700</v>
      </c>
      <c r="M36" s="392"/>
      <c r="N36" s="393"/>
      <c r="O36" s="393"/>
      <c r="P36" s="394"/>
    </row>
    <row r="37" spans="2:16" x14ac:dyDescent="0.2">
      <c r="B37" s="387"/>
      <c r="C37" s="385" t="s">
        <v>239</v>
      </c>
      <c r="D37" s="383" t="s">
        <v>236</v>
      </c>
      <c r="E37" s="372">
        <f>SUM(F37:P37)</f>
        <v>58989.333333333336</v>
      </c>
      <c r="F37" s="850">
        <v>0</v>
      </c>
      <c r="G37" s="392"/>
      <c r="H37" s="393"/>
      <c r="I37" s="393"/>
      <c r="J37" s="389"/>
      <c r="K37" s="390"/>
      <c r="L37" s="391">
        <f>'1. Infrastructure Costs'!J46</f>
        <v>58989.333333333336</v>
      </c>
      <c r="M37" s="392"/>
      <c r="N37" s="393"/>
      <c r="O37" s="393"/>
      <c r="P37" s="394"/>
    </row>
    <row r="38" spans="2:16" x14ac:dyDescent="0.2">
      <c r="B38" s="387"/>
      <c r="C38" s="385" t="s">
        <v>239</v>
      </c>
      <c r="D38" s="383" t="s">
        <v>256</v>
      </c>
      <c r="E38" s="372">
        <f t="shared" si="1"/>
        <v>106178.66666666667</v>
      </c>
      <c r="F38" s="850">
        <v>0</v>
      </c>
      <c r="G38" s="392"/>
      <c r="H38" s="393"/>
      <c r="I38" s="393"/>
      <c r="J38" s="389">
        <f>'1. Infrastructure Costs'!H47</f>
        <v>53089.333333333336</v>
      </c>
      <c r="K38" s="390">
        <f>'1. Infrastructure Costs'!I47</f>
        <v>53089.333333333336</v>
      </c>
      <c r="L38" s="391"/>
      <c r="M38" s="392"/>
      <c r="N38" s="393"/>
      <c r="O38" s="393"/>
      <c r="P38" s="394"/>
    </row>
    <row r="39" spans="2:16" x14ac:dyDescent="0.2">
      <c r="B39" s="387"/>
      <c r="C39" s="385" t="s">
        <v>239</v>
      </c>
      <c r="D39" s="383" t="s">
        <v>258</v>
      </c>
      <c r="E39" s="372">
        <f t="shared" si="1"/>
        <v>33732.266666666663</v>
      </c>
      <c r="F39" s="850">
        <v>0</v>
      </c>
      <c r="G39" s="392"/>
      <c r="H39" s="393"/>
      <c r="I39" s="393"/>
      <c r="J39" s="389"/>
      <c r="K39" s="390">
        <f>'1. Infrastructure Costs'!I48</f>
        <v>16866.133333333331</v>
      </c>
      <c r="L39" s="391">
        <f>'1. Infrastructure Costs'!J48</f>
        <v>16866.133333333331</v>
      </c>
      <c r="M39" s="392"/>
      <c r="N39" s="393"/>
      <c r="O39" s="393"/>
      <c r="P39" s="394"/>
    </row>
    <row r="40" spans="2:16" ht="15.75" thickBot="1" x14ac:dyDescent="0.3">
      <c r="B40" s="1034" t="s">
        <v>41</v>
      </c>
      <c r="C40" s="1035"/>
      <c r="D40" s="1035"/>
      <c r="E40" s="854">
        <f>SUM(E25:E39)</f>
        <v>1338383.0999999999</v>
      </c>
      <c r="F40" s="841"/>
      <c r="G40" s="837"/>
      <c r="H40" s="838"/>
      <c r="I40" s="838"/>
      <c r="J40" s="837"/>
      <c r="K40" s="838"/>
      <c r="L40" s="839"/>
      <c r="M40" s="837"/>
      <c r="N40" s="838"/>
      <c r="O40" s="838"/>
      <c r="P40" s="839"/>
    </row>
    <row r="41" spans="2:16" x14ac:dyDescent="0.2">
      <c r="B41" s="1058" t="s">
        <v>208</v>
      </c>
      <c r="C41" s="1059"/>
      <c r="D41" s="1059"/>
      <c r="E41" s="1059"/>
      <c r="F41" s="1060"/>
      <c r="G41" s="392"/>
      <c r="H41" s="393"/>
      <c r="I41" s="394"/>
      <c r="J41" s="393"/>
      <c r="K41" s="393"/>
      <c r="L41" s="393"/>
      <c r="M41" s="846"/>
      <c r="N41" s="847"/>
      <c r="O41" s="847"/>
      <c r="P41" s="848"/>
    </row>
    <row r="42" spans="2:16" x14ac:dyDescent="0.2">
      <c r="B42" s="1032" t="s">
        <v>4</v>
      </c>
      <c r="C42" s="723" t="s">
        <v>5</v>
      </c>
      <c r="D42" s="385"/>
      <c r="E42" s="372">
        <f t="shared" si="1"/>
        <v>237030.67499999999</v>
      </c>
      <c r="F42" s="850">
        <v>0</v>
      </c>
      <c r="G42" s="392"/>
      <c r="H42" s="393"/>
      <c r="I42" s="394"/>
      <c r="J42" s="393"/>
      <c r="K42" s="393"/>
      <c r="L42" s="393"/>
      <c r="M42" s="389">
        <f>'2. Market-Rate Rental'!K64</f>
        <v>237030.67499999999</v>
      </c>
      <c r="N42" s="393"/>
      <c r="O42" s="393"/>
      <c r="P42" s="394"/>
    </row>
    <row r="43" spans="2:16" x14ac:dyDescent="0.2">
      <c r="B43" s="1032"/>
      <c r="C43" s="723" t="s">
        <v>6</v>
      </c>
      <c r="D43" s="385"/>
      <c r="E43" s="372">
        <f t="shared" si="1"/>
        <v>101584.57500000001</v>
      </c>
      <c r="F43" s="850">
        <v>0</v>
      </c>
      <c r="G43" s="392"/>
      <c r="H43" s="393"/>
      <c r="I43" s="394"/>
      <c r="J43" s="393"/>
      <c r="K43" s="393"/>
      <c r="L43" s="393"/>
      <c r="M43" s="389">
        <f>'3. Market-Rate For-Sale'!K62</f>
        <v>101584.57500000001</v>
      </c>
      <c r="N43" s="393"/>
      <c r="O43" s="393"/>
      <c r="P43" s="394"/>
    </row>
    <row r="44" spans="2:16" x14ac:dyDescent="0.2">
      <c r="B44" s="1033" t="s">
        <v>7</v>
      </c>
      <c r="C44" s="723" t="s">
        <v>5</v>
      </c>
      <c r="D44" s="385"/>
      <c r="E44" s="372">
        <f t="shared" si="1"/>
        <v>79010.224999999991</v>
      </c>
      <c r="F44" s="850">
        <v>0</v>
      </c>
      <c r="G44" s="392"/>
      <c r="H44" s="393"/>
      <c r="I44" s="394"/>
      <c r="J44" s="393"/>
      <c r="K44" s="393"/>
      <c r="L44" s="393"/>
      <c r="M44" s="389"/>
      <c r="N44" s="390">
        <f>'4. Affordable Rental'!L64</f>
        <v>79010.224999999991</v>
      </c>
      <c r="O44" s="390"/>
      <c r="P44" s="394"/>
    </row>
    <row r="45" spans="2:16" x14ac:dyDescent="0.2">
      <c r="B45" s="1033"/>
      <c r="C45" s="723" t="s">
        <v>6</v>
      </c>
      <c r="D45" s="385"/>
      <c r="E45" s="372">
        <f t="shared" si="1"/>
        <v>33861.525000000001</v>
      </c>
      <c r="F45" s="850">
        <v>0</v>
      </c>
      <c r="G45" s="392"/>
      <c r="H45" s="393"/>
      <c r="I45" s="394"/>
      <c r="J45" s="393"/>
      <c r="K45" s="393"/>
      <c r="L45" s="393"/>
      <c r="M45" s="392"/>
      <c r="N45" s="390">
        <f>'5. Affordable For-Sale'!L63</f>
        <v>33861.525000000001</v>
      </c>
      <c r="O45" s="393"/>
      <c r="P45" s="394"/>
    </row>
    <row r="46" spans="2:16" x14ac:dyDescent="0.2">
      <c r="B46" s="1030" t="s">
        <v>8</v>
      </c>
      <c r="C46" s="1031"/>
      <c r="D46" s="385"/>
      <c r="E46" s="372">
        <f t="shared" si="1"/>
        <v>0</v>
      </c>
      <c r="F46" s="850">
        <v>0</v>
      </c>
      <c r="G46" s="392"/>
      <c r="H46" s="393"/>
      <c r="I46" s="394"/>
      <c r="J46" s="393"/>
      <c r="K46" s="393"/>
      <c r="L46" s="393"/>
      <c r="M46" s="392"/>
      <c r="N46" s="390"/>
      <c r="O46" s="390"/>
      <c r="P46" s="394"/>
    </row>
    <row r="47" spans="2:16" x14ac:dyDescent="0.2">
      <c r="B47" s="1030" t="s">
        <v>21</v>
      </c>
      <c r="C47" s="1031"/>
      <c r="D47" s="385"/>
      <c r="E47" s="372">
        <f t="shared" si="1"/>
        <v>0</v>
      </c>
      <c r="F47" s="850">
        <v>0</v>
      </c>
      <c r="G47" s="392"/>
      <c r="H47" s="393"/>
      <c r="I47" s="394"/>
      <c r="J47" s="393"/>
      <c r="K47" s="393"/>
      <c r="L47" s="393"/>
      <c r="M47" s="392"/>
      <c r="N47" s="390"/>
      <c r="O47" s="390"/>
      <c r="P47" s="394"/>
    </row>
    <row r="48" spans="2:16" x14ac:dyDescent="0.2">
      <c r="B48" s="1030" t="s">
        <v>216</v>
      </c>
      <c r="C48" s="1031"/>
      <c r="D48" s="385"/>
      <c r="E48" s="372">
        <f t="shared" si="1"/>
        <v>40397</v>
      </c>
      <c r="F48" s="850">
        <v>0</v>
      </c>
      <c r="G48" s="392"/>
      <c r="H48" s="393"/>
      <c r="I48" s="394"/>
      <c r="J48" s="393"/>
      <c r="K48" s="393"/>
      <c r="L48" s="393"/>
      <c r="M48" s="392"/>
      <c r="N48" s="390">
        <f>'8. Industrial_Gallery n School'!L58</f>
        <v>26931.333333333332</v>
      </c>
      <c r="O48" s="390">
        <f>'8. Industrial_Gallery n School'!M58</f>
        <v>13465.666666666666</v>
      </c>
      <c r="P48" s="391"/>
    </row>
    <row r="49" spans="2:16" x14ac:dyDescent="0.2">
      <c r="B49" s="1030" t="s">
        <v>9</v>
      </c>
      <c r="C49" s="1031"/>
      <c r="D49" s="385"/>
      <c r="E49" s="372">
        <f t="shared" si="1"/>
        <v>0</v>
      </c>
      <c r="F49" s="850">
        <v>0</v>
      </c>
      <c r="G49" s="392"/>
      <c r="H49" s="393"/>
      <c r="I49" s="394"/>
      <c r="J49" s="393"/>
      <c r="K49" s="393"/>
      <c r="L49" s="393"/>
      <c r="M49" s="392"/>
      <c r="N49" s="390"/>
      <c r="O49" s="390"/>
      <c r="P49" s="391"/>
    </row>
    <row r="50" spans="2:16" x14ac:dyDescent="0.2">
      <c r="B50" s="1030" t="s">
        <v>10</v>
      </c>
      <c r="C50" s="1031"/>
      <c r="D50" s="385"/>
      <c r="E50" s="372">
        <f t="shared" si="1"/>
        <v>69024</v>
      </c>
      <c r="F50" s="850">
        <v>0</v>
      </c>
      <c r="G50" s="392"/>
      <c r="H50" s="393"/>
      <c r="I50" s="394"/>
      <c r="J50" s="393"/>
      <c r="K50" s="393"/>
      <c r="L50" s="393"/>
      <c r="M50" s="389">
        <f>'10. Structured Parking'!K110</f>
        <v>34512</v>
      </c>
      <c r="N50" s="390">
        <f>'10. Structured Parking'!L110</f>
        <v>34512</v>
      </c>
      <c r="O50" s="390"/>
      <c r="P50" s="391"/>
    </row>
    <row r="51" spans="2:16" x14ac:dyDescent="0.2">
      <c r="B51" s="1030" t="s">
        <v>11</v>
      </c>
      <c r="C51" s="1031"/>
      <c r="D51" s="385"/>
      <c r="E51" s="372">
        <f t="shared" si="1"/>
        <v>0</v>
      </c>
      <c r="F51" s="850">
        <v>0</v>
      </c>
      <c r="G51" s="392"/>
      <c r="H51" s="393"/>
      <c r="I51" s="394"/>
      <c r="J51" s="393"/>
      <c r="K51" s="393"/>
      <c r="L51" s="393"/>
      <c r="M51" s="392"/>
      <c r="N51" s="390"/>
      <c r="O51" s="390"/>
      <c r="P51" s="391"/>
    </row>
    <row r="52" spans="2:16" x14ac:dyDescent="0.2">
      <c r="B52" s="387"/>
      <c r="C52" s="386" t="s">
        <v>239</v>
      </c>
      <c r="D52" s="685" t="s">
        <v>50</v>
      </c>
      <c r="E52" s="372">
        <f t="shared" si="1"/>
        <v>103333.33333333333</v>
      </c>
      <c r="F52" s="850">
        <v>0</v>
      </c>
      <c r="G52" s="392"/>
      <c r="H52" s="393"/>
      <c r="I52" s="394"/>
      <c r="J52" s="393"/>
      <c r="K52" s="393"/>
      <c r="L52" s="393"/>
      <c r="M52" s="873"/>
      <c r="N52" s="390">
        <f>'1. Infrastructure Costs'!L44</f>
        <v>51666.666666666664</v>
      </c>
      <c r="O52" s="390">
        <f>'1. Infrastructure Costs'!M44</f>
        <v>51666.666666666664</v>
      </c>
      <c r="P52" s="884"/>
    </row>
    <row r="53" spans="2:16" x14ac:dyDescent="0.2">
      <c r="B53" s="387"/>
      <c r="C53" s="386" t="s">
        <v>239</v>
      </c>
      <c r="D53" s="685" t="s">
        <v>232</v>
      </c>
      <c r="E53" s="372">
        <f t="shared" si="1"/>
        <v>57700</v>
      </c>
      <c r="F53" s="850">
        <v>0</v>
      </c>
      <c r="G53" s="392"/>
      <c r="H53" s="393"/>
      <c r="I53" s="394"/>
      <c r="J53" s="393"/>
      <c r="K53" s="393"/>
      <c r="L53" s="393"/>
      <c r="M53" s="873"/>
      <c r="N53" s="390"/>
      <c r="O53" s="390">
        <f>'1. Infrastructure Costs'!M45</f>
        <v>57700</v>
      </c>
      <c r="P53" s="884"/>
    </row>
    <row r="54" spans="2:16" x14ac:dyDescent="0.2">
      <c r="B54" s="387"/>
      <c r="C54" s="386" t="s">
        <v>239</v>
      </c>
      <c r="D54" s="383" t="s">
        <v>236</v>
      </c>
      <c r="E54" s="372">
        <f t="shared" si="1"/>
        <v>58989.333333333336</v>
      </c>
      <c r="F54" s="850">
        <v>0</v>
      </c>
      <c r="G54" s="392"/>
      <c r="H54" s="393"/>
      <c r="I54" s="394"/>
      <c r="J54" s="393"/>
      <c r="K54" s="393"/>
      <c r="L54" s="393"/>
      <c r="M54" s="873"/>
      <c r="N54" s="390"/>
      <c r="O54" s="390">
        <f>'1. Infrastructure Costs'!M46</f>
        <v>58989.333333333336</v>
      </c>
      <c r="P54" s="884"/>
    </row>
    <row r="55" spans="2:16" x14ac:dyDescent="0.2">
      <c r="B55" s="387"/>
      <c r="C55" s="386" t="s">
        <v>239</v>
      </c>
      <c r="D55" s="383" t="s">
        <v>256</v>
      </c>
      <c r="E55" s="372"/>
      <c r="F55" s="850"/>
      <c r="G55" s="392"/>
      <c r="H55" s="393"/>
      <c r="I55" s="394"/>
      <c r="J55" s="393"/>
      <c r="K55" s="393"/>
      <c r="L55" s="393"/>
      <c r="M55" s="873"/>
      <c r="N55" s="390"/>
      <c r="O55" s="390"/>
      <c r="P55" s="884"/>
    </row>
    <row r="56" spans="2:16" x14ac:dyDescent="0.2">
      <c r="B56" s="387"/>
      <c r="C56" s="386" t="s">
        <v>239</v>
      </c>
      <c r="D56" s="383" t="s">
        <v>258</v>
      </c>
      <c r="E56" s="372">
        <f>SUM(F57:P57)</f>
        <v>0</v>
      </c>
      <c r="F56" s="850">
        <v>0</v>
      </c>
      <c r="G56" s="392"/>
      <c r="H56" s="393"/>
      <c r="I56" s="394"/>
      <c r="J56" s="393"/>
      <c r="K56" s="393"/>
      <c r="L56" s="393"/>
      <c r="M56" s="873"/>
      <c r="N56" s="390">
        <f>'1. Infrastructure Costs'!L48</f>
        <v>16866.133333333331</v>
      </c>
      <c r="O56" s="390">
        <f>'1. Infrastructure Costs'!M48</f>
        <v>16866.133333333331</v>
      </c>
      <c r="P56" s="884"/>
    </row>
    <row r="57" spans="2:16" ht="15.75" thickBot="1" x14ac:dyDescent="0.3">
      <c r="B57" s="1034" t="s">
        <v>41</v>
      </c>
      <c r="C57" s="1035"/>
      <c r="D57" s="1035"/>
      <c r="E57" s="854">
        <f>SUM(E42:E56)</f>
        <v>780930.66666666674</v>
      </c>
      <c r="F57" s="841"/>
      <c r="G57" s="837"/>
      <c r="H57" s="838"/>
      <c r="I57" s="839"/>
      <c r="J57" s="838"/>
      <c r="K57" s="838"/>
      <c r="L57" s="838"/>
      <c r="M57" s="885"/>
      <c r="N57" s="886"/>
      <c r="O57" s="886"/>
      <c r="P57" s="887"/>
    </row>
    <row r="58" spans="2:16" ht="6.75" customHeight="1" thickBot="1" x14ac:dyDescent="0.25">
      <c r="B58" s="874"/>
      <c r="C58" s="875"/>
      <c r="D58" s="875"/>
      <c r="E58" s="876"/>
      <c r="F58" s="877"/>
      <c r="G58" s="878"/>
      <c r="H58" s="879"/>
      <c r="I58" s="880"/>
      <c r="J58" s="879"/>
      <c r="K58" s="879"/>
      <c r="L58" s="879"/>
      <c r="M58" s="882"/>
      <c r="N58" s="881"/>
      <c r="O58" s="881"/>
      <c r="P58" s="883"/>
    </row>
    <row r="59" spans="2:16" x14ac:dyDescent="0.2">
      <c r="B59" s="1036" t="s">
        <v>240</v>
      </c>
      <c r="C59" s="1037"/>
      <c r="D59" s="1037"/>
      <c r="E59" s="1037"/>
      <c r="F59" s="1038"/>
      <c r="G59" s="395"/>
      <c r="H59" s="396"/>
      <c r="I59" s="397"/>
      <c r="J59" s="396"/>
      <c r="K59" s="396"/>
      <c r="L59" s="396"/>
      <c r="M59" s="856"/>
      <c r="N59" s="857"/>
      <c r="O59" s="857"/>
      <c r="P59" s="858"/>
    </row>
    <row r="60" spans="2:16" x14ac:dyDescent="0.2">
      <c r="B60" s="1032" t="s">
        <v>4</v>
      </c>
      <c r="C60" s="723" t="s">
        <v>5</v>
      </c>
      <c r="D60" s="385"/>
      <c r="E60" s="388">
        <f t="shared" ref="E60:E70" si="2">SUM(E8,E25,E42)</f>
        <v>843079.125</v>
      </c>
      <c r="F60" s="840"/>
      <c r="G60" s="855">
        <f>SUM(G8,G25,G42)</f>
        <v>162209.59999999998</v>
      </c>
      <c r="H60" s="836">
        <f>SUM(H8,H25,H42)</f>
        <v>81104.799999999988</v>
      </c>
      <c r="I60" s="836"/>
      <c r="J60" s="855">
        <f>SUM(J8,J25,J42)</f>
        <v>120911.34999999999</v>
      </c>
      <c r="K60" s="836">
        <f>SUM(K8,K25,K42)</f>
        <v>241822.69999999998</v>
      </c>
      <c r="L60" s="836"/>
      <c r="M60" s="855">
        <f>SUM(M8,M25,M42)</f>
        <v>237030.67499999999</v>
      </c>
      <c r="N60" s="836"/>
      <c r="O60" s="836"/>
      <c r="P60" s="859"/>
    </row>
    <row r="61" spans="2:16" x14ac:dyDescent="0.2">
      <c r="B61" s="1032"/>
      <c r="C61" s="723" t="s">
        <v>6</v>
      </c>
      <c r="D61" s="385"/>
      <c r="E61" s="388">
        <f t="shared" si="2"/>
        <v>307446.75</v>
      </c>
      <c r="F61" s="840"/>
      <c r="G61" s="855">
        <f>SUM(G9,G26,G43)</f>
        <v>104277.59999999999</v>
      </c>
      <c r="H61" s="836"/>
      <c r="I61" s="836"/>
      <c r="J61" s="855">
        <f>SUM(J9,J26,J43)</f>
        <v>101584.57500000001</v>
      </c>
      <c r="K61" s="836"/>
      <c r="L61" s="836"/>
      <c r="M61" s="855">
        <f>SUM(M9,M26,M43)</f>
        <v>101584.57500000001</v>
      </c>
      <c r="N61" s="836"/>
      <c r="O61" s="836"/>
      <c r="P61" s="859"/>
    </row>
    <row r="62" spans="2:16" x14ac:dyDescent="0.2">
      <c r="B62" s="1033" t="s">
        <v>7</v>
      </c>
      <c r="C62" s="723" t="s">
        <v>5</v>
      </c>
      <c r="D62" s="385"/>
      <c r="E62" s="388">
        <f t="shared" si="2"/>
        <v>281026.37499999994</v>
      </c>
      <c r="F62" s="840"/>
      <c r="G62" s="855"/>
      <c r="H62" s="836">
        <f>SUM(H10,H27,H44)</f>
        <v>81104.799999999988</v>
      </c>
      <c r="I62" s="836"/>
      <c r="J62" s="855"/>
      <c r="K62" s="836">
        <f>SUM(K10,K27,K44)</f>
        <v>120911.34999999999</v>
      </c>
      <c r="L62" s="836"/>
      <c r="M62" s="855"/>
      <c r="N62" s="836">
        <f>SUM(N10,N27,N44)</f>
        <v>79010.224999999991</v>
      </c>
      <c r="O62" s="836"/>
      <c r="P62" s="859"/>
    </row>
    <row r="63" spans="2:16" x14ac:dyDescent="0.2">
      <c r="B63" s="1033"/>
      <c r="C63" s="723" t="s">
        <v>6</v>
      </c>
      <c r="D63" s="385"/>
      <c r="E63" s="388">
        <f t="shared" si="2"/>
        <v>102482.25</v>
      </c>
      <c r="F63" s="840"/>
      <c r="G63" s="855">
        <f>SUM(G11,G28,G45)</f>
        <v>34759.199999999997</v>
      </c>
      <c r="H63" s="836"/>
      <c r="I63" s="836"/>
      <c r="J63" s="855"/>
      <c r="K63" s="836">
        <f>SUM(K11,K28,K45)</f>
        <v>33861.525000000001</v>
      </c>
      <c r="L63" s="836"/>
      <c r="M63" s="855"/>
      <c r="N63" s="836">
        <f>SUM(N11,N28,N45)</f>
        <v>33861.525000000001</v>
      </c>
      <c r="O63" s="836"/>
      <c r="P63" s="859"/>
    </row>
    <row r="64" spans="2:16" x14ac:dyDescent="0.2">
      <c r="B64" s="1030" t="s">
        <v>8</v>
      </c>
      <c r="C64" s="1031"/>
      <c r="D64" s="385"/>
      <c r="E64" s="388">
        <f t="shared" si="2"/>
        <v>121005</v>
      </c>
      <c r="F64" s="840"/>
      <c r="G64" s="855">
        <f>SUM(G12,G29,G46)</f>
        <v>50758</v>
      </c>
      <c r="H64" s="836"/>
      <c r="I64" s="836"/>
      <c r="J64" s="855">
        <f>SUM(J12,J29,J46)</f>
        <v>70247</v>
      </c>
      <c r="K64" s="836"/>
      <c r="L64" s="836"/>
      <c r="M64" s="855"/>
      <c r="N64" s="836"/>
      <c r="O64" s="836"/>
      <c r="P64" s="859"/>
    </row>
    <row r="65" spans="2:16" x14ac:dyDescent="0.2">
      <c r="B65" s="1030" t="s">
        <v>21</v>
      </c>
      <c r="C65" s="1031"/>
      <c r="D65" s="385"/>
      <c r="E65" s="388">
        <f t="shared" si="2"/>
        <v>433085</v>
      </c>
      <c r="F65" s="840"/>
      <c r="G65" s="855"/>
      <c r="H65" s="836">
        <f>SUM(H13,H30,H47)</f>
        <v>202741.33333333331</v>
      </c>
      <c r="I65" s="836">
        <f>SUM(I13,I30,I47)</f>
        <v>101370.66666666666</v>
      </c>
      <c r="J65" s="855">
        <f>SUM(J13,J30,J47)</f>
        <v>128973</v>
      </c>
      <c r="K65" s="836"/>
      <c r="L65" s="836"/>
      <c r="M65" s="855"/>
      <c r="N65" s="836"/>
      <c r="O65" s="836"/>
      <c r="P65" s="859"/>
    </row>
    <row r="66" spans="2:16" x14ac:dyDescent="0.2">
      <c r="B66" s="1030" t="s">
        <v>216</v>
      </c>
      <c r="C66" s="1031"/>
      <c r="D66" s="385"/>
      <c r="E66" s="388">
        <f t="shared" si="2"/>
        <v>135645</v>
      </c>
      <c r="F66" s="840"/>
      <c r="G66" s="855"/>
      <c r="H66" s="836"/>
      <c r="I66" s="836"/>
      <c r="J66" s="855"/>
      <c r="K66" s="836">
        <f>SUM(K14,K31,K48)</f>
        <v>63498.666666666664</v>
      </c>
      <c r="L66" s="836">
        <f>SUM(L14,L31,L48)</f>
        <v>31749.333333333332</v>
      </c>
      <c r="M66" s="855"/>
      <c r="N66" s="836">
        <f>SUM(N14,N31,N48)</f>
        <v>26931.333333333332</v>
      </c>
      <c r="O66" s="836">
        <f>SUM(O14,O31,O48)</f>
        <v>13465.666666666666</v>
      </c>
      <c r="P66" s="859"/>
    </row>
    <row r="67" spans="2:16" x14ac:dyDescent="0.2">
      <c r="B67" s="1030" t="s">
        <v>9</v>
      </c>
      <c r="C67" s="1031"/>
      <c r="D67" s="385"/>
      <c r="E67" s="388">
        <f t="shared" si="2"/>
        <v>0</v>
      </c>
      <c r="F67" s="840"/>
      <c r="G67" s="855"/>
      <c r="H67" s="836"/>
      <c r="I67" s="836"/>
      <c r="J67" s="855"/>
      <c r="K67" s="836"/>
      <c r="L67" s="836"/>
      <c r="M67" s="855"/>
      <c r="N67" s="836"/>
      <c r="O67" s="836"/>
      <c r="P67" s="859"/>
    </row>
    <row r="68" spans="2:16" x14ac:dyDescent="0.2">
      <c r="B68" s="1030" t="s">
        <v>10</v>
      </c>
      <c r="C68" s="1031"/>
      <c r="D68" s="385"/>
      <c r="E68" s="388">
        <f t="shared" si="2"/>
        <v>270684</v>
      </c>
      <c r="F68" s="840"/>
      <c r="G68" s="855"/>
      <c r="H68" s="836">
        <f>SUM(H16,H33,H50)</f>
        <v>68385</v>
      </c>
      <c r="I68" s="836">
        <f>SUM(I16,I33,I50)</f>
        <v>68385</v>
      </c>
      <c r="J68" s="855">
        <f>SUM(J16,J33,J50)</f>
        <v>32445</v>
      </c>
      <c r="K68" s="836">
        <f>SUM(K16,K33,K50)</f>
        <v>32445</v>
      </c>
      <c r="L68" s="836"/>
      <c r="M68" s="855">
        <f>SUM(M16,M33,M50)</f>
        <v>34512</v>
      </c>
      <c r="N68" s="836">
        <f>SUM(N16,N33,N50)</f>
        <v>34512</v>
      </c>
      <c r="O68" s="836"/>
      <c r="P68" s="859"/>
    </row>
    <row r="69" spans="2:16" x14ac:dyDescent="0.2">
      <c r="B69" s="1030" t="s">
        <v>11</v>
      </c>
      <c r="C69" s="1031"/>
      <c r="D69" s="385"/>
      <c r="E69" s="388">
        <f t="shared" si="2"/>
        <v>0</v>
      </c>
      <c r="F69" s="840"/>
      <c r="G69" s="855"/>
      <c r="H69" s="396"/>
      <c r="I69" s="397"/>
      <c r="J69" s="396"/>
      <c r="K69" s="396"/>
      <c r="L69" s="396"/>
      <c r="M69" s="395"/>
      <c r="N69" s="396"/>
      <c r="O69" s="396"/>
      <c r="P69" s="397"/>
    </row>
    <row r="70" spans="2:16" x14ac:dyDescent="0.2">
      <c r="B70" s="387"/>
      <c r="C70" s="386" t="s">
        <v>239</v>
      </c>
      <c r="D70" s="685" t="s">
        <v>50</v>
      </c>
      <c r="E70" s="388">
        <f t="shared" si="2"/>
        <v>310000</v>
      </c>
      <c r="F70" s="840"/>
      <c r="G70" s="855"/>
      <c r="H70" s="836">
        <f t="shared" ref="H70:L70" si="3">SUM(H18,H35,H52)</f>
        <v>51666.666666666664</v>
      </c>
      <c r="I70" s="836">
        <f t="shared" si="3"/>
        <v>51666.666666666664</v>
      </c>
      <c r="J70" s="855"/>
      <c r="K70" s="836">
        <f t="shared" si="3"/>
        <v>51666.666666666664</v>
      </c>
      <c r="L70" s="836">
        <f t="shared" si="3"/>
        <v>51666.666666666664</v>
      </c>
      <c r="M70" s="855"/>
      <c r="N70" s="836">
        <f t="shared" ref="N70:O70" si="4">SUM(N18,N35,N52)</f>
        <v>51666.666666666664</v>
      </c>
      <c r="O70" s="836">
        <f t="shared" si="4"/>
        <v>51666.666666666664</v>
      </c>
      <c r="P70" s="859"/>
    </row>
    <row r="71" spans="2:16" x14ac:dyDescent="0.2">
      <c r="B71" s="387"/>
      <c r="C71" s="386" t="s">
        <v>239</v>
      </c>
      <c r="D71" s="685" t="s">
        <v>232</v>
      </c>
      <c r="E71" s="388">
        <f t="shared" ref="E71:E74" si="5">SUM(E19,E36,E53)</f>
        <v>173100</v>
      </c>
      <c r="F71" s="840"/>
      <c r="G71" s="855"/>
      <c r="H71" s="836"/>
      <c r="I71" s="836">
        <f t="shared" ref="I71:L71" si="6">SUM(I19,I36,I53)</f>
        <v>57700</v>
      </c>
      <c r="J71" s="855"/>
      <c r="K71" s="836"/>
      <c r="L71" s="836">
        <f t="shared" si="6"/>
        <v>57700</v>
      </c>
      <c r="M71" s="855"/>
      <c r="N71" s="836"/>
      <c r="O71" s="836">
        <f t="shared" ref="O71" si="7">SUM(O19,O36,O53)</f>
        <v>57700</v>
      </c>
      <c r="P71" s="859"/>
    </row>
    <row r="72" spans="2:16" x14ac:dyDescent="0.2">
      <c r="B72" s="387"/>
      <c r="C72" s="386" t="s">
        <v>239</v>
      </c>
      <c r="D72" s="383" t="s">
        <v>236</v>
      </c>
      <c r="E72" s="388">
        <f t="shared" si="5"/>
        <v>176968</v>
      </c>
      <c r="F72" s="840"/>
      <c r="G72" s="855"/>
      <c r="H72" s="836"/>
      <c r="I72" s="836">
        <f t="shared" ref="I72:L72" si="8">SUM(I20,I37,I54)</f>
        <v>58989.333333333336</v>
      </c>
      <c r="J72" s="855"/>
      <c r="K72" s="836"/>
      <c r="L72" s="836">
        <f t="shared" si="8"/>
        <v>58989.333333333336</v>
      </c>
      <c r="M72" s="855"/>
      <c r="N72" s="836"/>
      <c r="O72" s="836">
        <f t="shared" ref="O72" si="9">SUM(O20,O37,O54)</f>
        <v>58989.333333333336</v>
      </c>
      <c r="P72" s="859"/>
    </row>
    <row r="73" spans="2:16" x14ac:dyDescent="0.2">
      <c r="B73" s="387"/>
      <c r="C73" s="386" t="s">
        <v>239</v>
      </c>
      <c r="D73" s="383" t="s">
        <v>256</v>
      </c>
      <c r="E73" s="388">
        <f t="shared" si="5"/>
        <v>159268</v>
      </c>
      <c r="F73" s="840"/>
      <c r="G73" s="855"/>
      <c r="H73" s="836"/>
      <c r="I73" s="836">
        <f t="shared" ref="I73:K73" si="10">SUM(I21,I38,I55)</f>
        <v>53089.333333333336</v>
      </c>
      <c r="J73" s="855">
        <f t="shared" si="10"/>
        <v>53089.333333333336</v>
      </c>
      <c r="K73" s="836">
        <f t="shared" si="10"/>
        <v>53089.333333333336</v>
      </c>
      <c r="L73" s="836"/>
      <c r="M73" s="855"/>
      <c r="N73" s="836"/>
      <c r="O73" s="836"/>
      <c r="P73" s="859"/>
    </row>
    <row r="74" spans="2:16" x14ac:dyDescent="0.2">
      <c r="B74" s="387"/>
      <c r="C74" s="386" t="s">
        <v>239</v>
      </c>
      <c r="D74" s="383" t="s">
        <v>258</v>
      </c>
      <c r="E74" s="388">
        <f t="shared" si="5"/>
        <v>67464.533333333326</v>
      </c>
      <c r="F74" s="840"/>
      <c r="G74" s="855"/>
      <c r="H74" s="836">
        <f t="shared" ref="H74:L74" si="11">SUM(H22,H39,H56)</f>
        <v>16866.133333333331</v>
      </c>
      <c r="I74" s="836">
        <f t="shared" si="11"/>
        <v>16866.133333333331</v>
      </c>
      <c r="J74" s="855"/>
      <c r="K74" s="836">
        <f t="shared" si="11"/>
        <v>16866.133333333331</v>
      </c>
      <c r="L74" s="836">
        <f t="shared" si="11"/>
        <v>16866.133333333331</v>
      </c>
      <c r="M74" s="855"/>
      <c r="N74" s="836">
        <f t="shared" ref="N74:O74" si="12">SUM(N22,N39,N56)</f>
        <v>16866.133333333331</v>
      </c>
      <c r="O74" s="836">
        <f t="shared" si="12"/>
        <v>16866.133333333331</v>
      </c>
      <c r="P74" s="859"/>
    </row>
    <row r="75" spans="2:16" ht="6.75" customHeight="1" x14ac:dyDescent="0.2">
      <c r="B75" s="387"/>
      <c r="C75" s="386"/>
      <c r="D75" s="383"/>
      <c r="E75" s="388"/>
      <c r="F75" s="840"/>
      <c r="G75" s="855"/>
      <c r="H75" s="836"/>
      <c r="I75" s="836"/>
      <c r="J75" s="855"/>
      <c r="K75" s="836"/>
      <c r="L75" s="836"/>
      <c r="M75" s="855"/>
      <c r="N75" s="836"/>
      <c r="O75" s="836"/>
      <c r="P75" s="859"/>
    </row>
    <row r="76" spans="2:16" ht="15.75" thickBot="1" x14ac:dyDescent="0.3">
      <c r="B76" s="1034" t="s">
        <v>41</v>
      </c>
      <c r="C76" s="1035"/>
      <c r="D76" s="1035"/>
      <c r="E76" s="854">
        <f>SUM(E60:E74)</f>
        <v>3381254.0333333332</v>
      </c>
      <c r="F76" s="841"/>
      <c r="G76" s="1053">
        <f>SUM(G60:I74)</f>
        <v>1261940.2666666664</v>
      </c>
      <c r="H76" s="1056"/>
      <c r="I76" s="1057"/>
      <c r="J76" s="1053">
        <f>SUM(J60:L74)</f>
        <v>1338383.0999999996</v>
      </c>
      <c r="K76" s="1056"/>
      <c r="L76" s="1056"/>
      <c r="M76" s="1053">
        <f>SUM(M60:O74)</f>
        <v>814662.93333333323</v>
      </c>
      <c r="N76" s="1054"/>
      <c r="O76" s="1054"/>
      <c r="P76" s="1055"/>
    </row>
  </sheetData>
  <mergeCells count="48">
    <mergeCell ref="M76:P76"/>
    <mergeCell ref="B76:D76"/>
    <mergeCell ref="B23:D23"/>
    <mergeCell ref="G76:I76"/>
    <mergeCell ref="J76:L76"/>
    <mergeCell ref="B33:C33"/>
    <mergeCell ref="B34:C34"/>
    <mergeCell ref="B41:F41"/>
    <mergeCell ref="B40:D40"/>
    <mergeCell ref="B64:C64"/>
    <mergeCell ref="B42:B43"/>
    <mergeCell ref="B44:B45"/>
    <mergeCell ref="B46:C46"/>
    <mergeCell ref="B47:C47"/>
    <mergeCell ref="B48:C48"/>
    <mergeCell ref="B49:C49"/>
    <mergeCell ref="B15:C15"/>
    <mergeCell ref="B4:P4"/>
    <mergeCell ref="B30:C30"/>
    <mergeCell ref="B31:C31"/>
    <mergeCell ref="B32:C32"/>
    <mergeCell ref="B3:P3"/>
    <mergeCell ref="B25:B26"/>
    <mergeCell ref="B27:B28"/>
    <mergeCell ref="B29:C29"/>
    <mergeCell ref="B16:C16"/>
    <mergeCell ref="B17:C17"/>
    <mergeCell ref="M5:P5"/>
    <mergeCell ref="J5:L5"/>
    <mergeCell ref="G5:I5"/>
    <mergeCell ref="B8:B9"/>
    <mergeCell ref="B10:B11"/>
    <mergeCell ref="B12:C12"/>
    <mergeCell ref="B7:F7"/>
    <mergeCell ref="B24:F24"/>
    <mergeCell ref="B13:C13"/>
    <mergeCell ref="B14:C14"/>
    <mergeCell ref="B50:C50"/>
    <mergeCell ref="B51:C51"/>
    <mergeCell ref="B60:B61"/>
    <mergeCell ref="B62:B63"/>
    <mergeCell ref="B57:D57"/>
    <mergeCell ref="B59:F59"/>
    <mergeCell ref="B65:C65"/>
    <mergeCell ref="B66:C66"/>
    <mergeCell ref="B67:C67"/>
    <mergeCell ref="B68:C68"/>
    <mergeCell ref="B69:C69"/>
  </mergeCells>
  <conditionalFormatting sqref="B14 B19 B18:C18 B8:E8 B9:D13 B15:D17 D18:D19 C19:C22 E9:E22 E42:E56">
    <cfRule type="cellIs" dxfId="298" priority="13" operator="lessThan">
      <formula>0</formula>
    </cfRule>
  </conditionalFormatting>
  <conditionalFormatting sqref="B32:C34 B31 B25:C30">
    <cfRule type="cellIs" dxfId="297" priority="12" operator="lessThan">
      <formula>0</formula>
    </cfRule>
  </conditionalFormatting>
  <conditionalFormatting sqref="B49:C51 B48 B42:C47">
    <cfRule type="cellIs" dxfId="296" priority="11" operator="lessThan">
      <formula>0</formula>
    </cfRule>
  </conditionalFormatting>
  <conditionalFormatting sqref="B67:C69 B66 B60:C65">
    <cfRule type="cellIs" dxfId="295" priority="10" operator="lessThan">
      <formula>0</formula>
    </cfRule>
  </conditionalFormatting>
  <conditionalFormatting sqref="O1:P1">
    <cfRule type="cellIs" dxfId="294" priority="9" operator="lessThan">
      <formula>0</formula>
    </cfRule>
  </conditionalFormatting>
  <conditionalFormatting sqref="D35:D36">
    <cfRule type="cellIs" dxfId="293" priority="8" operator="lessThan">
      <formula>0</formula>
    </cfRule>
  </conditionalFormatting>
  <conditionalFormatting sqref="D52:D53">
    <cfRule type="cellIs" dxfId="292" priority="7" operator="lessThan">
      <formula>0</formula>
    </cfRule>
  </conditionalFormatting>
  <conditionalFormatting sqref="E25:E40">
    <cfRule type="cellIs" dxfId="291" priority="6" operator="lessThan">
      <formula>0</formula>
    </cfRule>
  </conditionalFormatting>
  <conditionalFormatting sqref="E23">
    <cfRule type="cellIs" dxfId="290" priority="2" operator="lessThan">
      <formula>0</formula>
    </cfRule>
  </conditionalFormatting>
  <conditionalFormatting sqref="E57">
    <cfRule type="cellIs" dxfId="289" priority="4" operator="lessThan">
      <formula>0</formula>
    </cfRule>
  </conditionalFormatting>
  <conditionalFormatting sqref="E76">
    <cfRule type="cellIs" dxfId="288" priority="3" operator="lessThan">
      <formula>0</formula>
    </cfRule>
  </conditionalFormatting>
  <conditionalFormatting sqref="D70:D71">
    <cfRule type="cellIs" dxfId="287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55ADE-21B6-447D-AA64-13C6D1F340A3}">
  <dimension ref="A1:N76"/>
  <sheetViews>
    <sheetView topLeftCell="A22" zoomScale="85" zoomScaleNormal="85" workbookViewId="0">
      <selection activeCell="I71" sqref="I71"/>
    </sheetView>
  </sheetViews>
  <sheetFormatPr defaultColWidth="9.140625" defaultRowHeight="12.75" x14ac:dyDescent="0.2"/>
  <cols>
    <col min="1" max="1" width="6" style="6" customWidth="1"/>
    <col min="2" max="2" width="29.42578125" style="6" bestFit="1" customWidth="1"/>
    <col min="3" max="3" width="12.42578125" style="9" bestFit="1" customWidth="1"/>
    <col min="4" max="4" width="13.42578125" style="10" bestFit="1" customWidth="1"/>
    <col min="5" max="5" width="14.42578125" style="33" bestFit="1" customWidth="1"/>
    <col min="6" max="6" width="13.7109375" style="33" bestFit="1" customWidth="1"/>
    <col min="7" max="7" width="11.7109375" style="33" bestFit="1" customWidth="1"/>
    <col min="8" max="8" width="14.42578125" style="33" bestFit="1" customWidth="1"/>
    <col min="9" max="9" width="13.42578125" style="33" bestFit="1" customWidth="1"/>
    <col min="10" max="10" width="12.7109375" style="33" bestFit="1" customWidth="1"/>
    <col min="11" max="11" width="13.42578125" style="33" bestFit="1" customWidth="1"/>
    <col min="12" max="12" width="12" style="33" customWidth="1"/>
    <col min="13" max="13" width="12.7109375" style="33" bestFit="1" customWidth="1"/>
    <col min="14" max="14" width="14.42578125" style="33" bestFit="1" customWidth="1"/>
    <col min="15" max="16384" width="9.140625" style="6"/>
  </cols>
  <sheetData>
    <row r="1" spans="2:14" ht="13.5" thickBot="1" x14ac:dyDescent="0.25">
      <c r="D1" s="323"/>
      <c r="E1" s="325"/>
      <c r="F1" s="325"/>
      <c r="G1" s="325"/>
      <c r="H1" s="325"/>
      <c r="I1" s="325"/>
      <c r="J1" s="325"/>
      <c r="K1" s="325"/>
      <c r="L1" s="325"/>
      <c r="M1" s="325"/>
      <c r="N1" s="325"/>
    </row>
    <row r="2" spans="2:14" ht="15" x14ac:dyDescent="0.2">
      <c r="B2" s="113"/>
      <c r="C2" s="518"/>
      <c r="D2" s="519"/>
      <c r="E2" s="520"/>
      <c r="F2" s="520"/>
      <c r="G2" s="520"/>
      <c r="H2" s="520"/>
      <c r="I2" s="520"/>
      <c r="J2" s="520"/>
      <c r="K2" s="520"/>
      <c r="L2" s="520"/>
      <c r="M2" s="952" t="s">
        <v>1</v>
      </c>
      <c r="N2" s="953" t="s">
        <v>105</v>
      </c>
    </row>
    <row r="3" spans="2:14" ht="13.5" thickBot="1" x14ac:dyDescent="0.25">
      <c r="B3" s="112"/>
      <c r="C3" s="441"/>
      <c r="D3" s="477"/>
      <c r="E3" s="1235" t="s">
        <v>2</v>
      </c>
      <c r="F3" s="1235"/>
      <c r="G3" s="1235"/>
      <c r="H3" s="1234" t="s">
        <v>207</v>
      </c>
      <c r="I3" s="1234"/>
      <c r="J3" s="1234"/>
      <c r="K3" s="1247" t="s">
        <v>208</v>
      </c>
      <c r="L3" s="1247"/>
      <c r="M3" s="1247"/>
      <c r="N3" s="1248"/>
    </row>
    <row r="4" spans="2:14" x14ac:dyDescent="0.2">
      <c r="B4" s="112"/>
      <c r="C4" s="441"/>
      <c r="D4" s="577">
        <v>0</v>
      </c>
      <c r="E4" s="427">
        <f>D4+1</f>
        <v>1</v>
      </c>
      <c r="F4" s="427">
        <f t="shared" ref="F4:N4" si="0">E4+1</f>
        <v>2</v>
      </c>
      <c r="G4" s="427">
        <f t="shared" si="0"/>
        <v>3</v>
      </c>
      <c r="H4" s="434">
        <f t="shared" si="0"/>
        <v>4</v>
      </c>
      <c r="I4" s="434">
        <f t="shared" si="0"/>
        <v>5</v>
      </c>
      <c r="J4" s="434">
        <f t="shared" si="0"/>
        <v>6</v>
      </c>
      <c r="K4" s="428">
        <f t="shared" si="0"/>
        <v>7</v>
      </c>
      <c r="L4" s="428">
        <f t="shared" si="0"/>
        <v>8</v>
      </c>
      <c r="M4" s="428">
        <f t="shared" si="0"/>
        <v>9</v>
      </c>
      <c r="N4" s="458">
        <f t="shared" si="0"/>
        <v>10</v>
      </c>
    </row>
    <row r="5" spans="2:14" ht="13.5" thickBot="1" x14ac:dyDescent="0.25">
      <c r="B5" s="112"/>
      <c r="C5" s="441" t="s">
        <v>52</v>
      </c>
      <c r="D5" s="457" t="str">
        <f>'1. Infrastructure Costs'!D5</f>
        <v>2020-2021</v>
      </c>
      <c r="E5" s="410">
        <f>'1. Infrastructure Costs'!E5</f>
        <v>2022</v>
      </c>
      <c r="F5" s="415">
        <f t="shared" ref="F5:N5" si="1">E5+1</f>
        <v>2023</v>
      </c>
      <c r="G5" s="415">
        <f t="shared" si="1"/>
        <v>2024</v>
      </c>
      <c r="H5" s="435">
        <f t="shared" si="1"/>
        <v>2025</v>
      </c>
      <c r="I5" s="435">
        <f t="shared" si="1"/>
        <v>2026</v>
      </c>
      <c r="J5" s="435">
        <f t="shared" si="1"/>
        <v>2027</v>
      </c>
      <c r="K5" s="433">
        <f t="shared" si="1"/>
        <v>2028</v>
      </c>
      <c r="L5" s="433">
        <f t="shared" si="1"/>
        <v>2029</v>
      </c>
      <c r="M5" s="433">
        <f t="shared" si="1"/>
        <v>2030</v>
      </c>
      <c r="N5" s="459">
        <f t="shared" si="1"/>
        <v>2031</v>
      </c>
    </row>
    <row r="6" spans="2:14" ht="13.5" thickBot="1" x14ac:dyDescent="0.25">
      <c r="B6" s="522" t="s">
        <v>71</v>
      </c>
      <c r="C6" s="485"/>
      <c r="D6" s="486"/>
      <c r="E6" s="487"/>
      <c r="F6" s="487"/>
      <c r="G6" s="487"/>
      <c r="H6" s="487"/>
      <c r="I6" s="487"/>
      <c r="J6" s="487"/>
      <c r="K6" s="487"/>
      <c r="L6" s="487"/>
      <c r="M6" s="487"/>
      <c r="N6" s="488"/>
    </row>
    <row r="7" spans="2:14" s="12" customFormat="1" ht="15" x14ac:dyDescent="0.2">
      <c r="B7" s="572" t="s">
        <v>206</v>
      </c>
      <c r="C7" s="441"/>
      <c r="D7" s="451"/>
      <c r="E7" s="244"/>
      <c r="F7" s="244"/>
      <c r="G7" s="244"/>
      <c r="H7" s="509"/>
      <c r="I7" s="509"/>
      <c r="J7" s="509"/>
      <c r="K7" s="426"/>
      <c r="L7" s="426"/>
      <c r="M7" s="426"/>
      <c r="N7" s="514"/>
    </row>
    <row r="8" spans="2:14" x14ac:dyDescent="0.2">
      <c r="B8" s="526" t="s">
        <v>53</v>
      </c>
      <c r="C8" s="443">
        <v>0.02</v>
      </c>
      <c r="D8" s="445"/>
      <c r="E8" s="510"/>
      <c r="F8" s="510"/>
      <c r="G8" s="510"/>
      <c r="H8" s="511"/>
      <c r="I8" s="511"/>
      <c r="J8" s="511"/>
      <c r="K8" s="512"/>
      <c r="L8" s="512"/>
      <c r="M8" s="512"/>
      <c r="N8" s="515"/>
    </row>
    <row r="9" spans="2:14" hidden="1" x14ac:dyDescent="0.2">
      <c r="B9" s="526" t="s">
        <v>78</v>
      </c>
      <c r="C9" s="441"/>
      <c r="D9" s="445"/>
      <c r="E9" s="510"/>
      <c r="F9" s="510"/>
      <c r="G9" s="510"/>
      <c r="H9" s="511"/>
      <c r="I9" s="511"/>
      <c r="J9" s="511"/>
      <c r="K9" s="512"/>
      <c r="L9" s="512"/>
      <c r="M9" s="512"/>
      <c r="N9" s="515"/>
    </row>
    <row r="10" spans="2:14" x14ac:dyDescent="0.2">
      <c r="B10" s="526" t="s">
        <v>79</v>
      </c>
      <c r="C10" s="441"/>
      <c r="D10" s="451"/>
      <c r="E10" s="261">
        <f>E60</f>
        <v>50758</v>
      </c>
      <c r="F10" s="261">
        <f>C60</f>
        <v>50758</v>
      </c>
      <c r="G10" s="261">
        <f>F10</f>
        <v>50758</v>
      </c>
      <c r="H10" s="436">
        <f t="shared" ref="H10:N10" si="2">G10</f>
        <v>50758</v>
      </c>
      <c r="I10" s="436">
        <f t="shared" si="2"/>
        <v>50758</v>
      </c>
      <c r="J10" s="436">
        <f t="shared" si="2"/>
        <v>50758</v>
      </c>
      <c r="K10" s="273">
        <f t="shared" si="2"/>
        <v>50758</v>
      </c>
      <c r="L10" s="273">
        <f t="shared" si="2"/>
        <v>50758</v>
      </c>
      <c r="M10" s="273">
        <f t="shared" si="2"/>
        <v>50758</v>
      </c>
      <c r="N10" s="460">
        <f t="shared" si="2"/>
        <v>50758</v>
      </c>
    </row>
    <row r="11" spans="2:14" x14ac:dyDescent="0.2">
      <c r="B11" s="526" t="s">
        <v>63</v>
      </c>
      <c r="C11" s="443">
        <v>0.9</v>
      </c>
      <c r="D11" s="445"/>
      <c r="E11" s="244">
        <f>$C$11*E10</f>
        <v>45682.200000000004</v>
      </c>
      <c r="F11" s="244">
        <f t="shared" ref="F11:N11" si="3">$C$11*F10</f>
        <v>45682.200000000004</v>
      </c>
      <c r="G11" s="244">
        <f t="shared" si="3"/>
        <v>45682.200000000004</v>
      </c>
      <c r="H11" s="509">
        <f t="shared" si="3"/>
        <v>45682.200000000004</v>
      </c>
      <c r="I11" s="509">
        <f t="shared" si="3"/>
        <v>45682.200000000004</v>
      </c>
      <c r="J11" s="509">
        <f t="shared" si="3"/>
        <v>45682.200000000004</v>
      </c>
      <c r="K11" s="426">
        <f t="shared" si="3"/>
        <v>45682.200000000004</v>
      </c>
      <c r="L11" s="426">
        <f t="shared" si="3"/>
        <v>45682.200000000004</v>
      </c>
      <c r="M11" s="426">
        <f t="shared" si="3"/>
        <v>45682.200000000004</v>
      </c>
      <c r="N11" s="514">
        <f t="shared" si="3"/>
        <v>45682.200000000004</v>
      </c>
    </row>
    <row r="12" spans="2:14" x14ac:dyDescent="0.2">
      <c r="B12" s="526" t="s">
        <v>80</v>
      </c>
      <c r="C12" s="443"/>
      <c r="D12" s="531">
        <v>0</v>
      </c>
      <c r="E12" s="245">
        <v>0.3</v>
      </c>
      <c r="F12" s="245">
        <v>0.1</v>
      </c>
      <c r="G12" s="245">
        <v>0.05</v>
      </c>
      <c r="H12" s="265">
        <v>4.2000000000000003E-2</v>
      </c>
      <c r="I12" s="265">
        <v>4.2000000000000003E-2</v>
      </c>
      <c r="J12" s="265">
        <v>4.2000000000000003E-2</v>
      </c>
      <c r="K12" s="266">
        <v>4.2000000000000003E-2</v>
      </c>
      <c r="L12" s="266">
        <v>4.2000000000000003E-2</v>
      </c>
      <c r="M12" s="266">
        <v>4.2000000000000003E-2</v>
      </c>
      <c r="N12" s="568">
        <v>4.2000000000000003E-2</v>
      </c>
    </row>
    <row r="13" spans="2:14" x14ac:dyDescent="0.2">
      <c r="B13" s="526" t="s">
        <v>113</v>
      </c>
      <c r="C13" s="449">
        <v>40.450000000000003</v>
      </c>
      <c r="D13" s="450">
        <f>C13</f>
        <v>40.450000000000003</v>
      </c>
      <c r="E13" s="247">
        <f>$D13*(1+$C$8)^E$4</f>
        <v>41.259</v>
      </c>
      <c r="F13" s="247">
        <f t="shared" ref="F13:N13" si="4">$D13*(1+$C$8)^F$4</f>
        <v>42.084180000000003</v>
      </c>
      <c r="G13" s="247">
        <f t="shared" si="4"/>
        <v>42.9258636</v>
      </c>
      <c r="H13" s="257">
        <f t="shared" si="4"/>
        <v>43.784380872</v>
      </c>
      <c r="I13" s="257">
        <f t="shared" si="4"/>
        <v>44.66006848944</v>
      </c>
      <c r="J13" s="257">
        <f t="shared" si="4"/>
        <v>45.553269859228806</v>
      </c>
      <c r="K13" s="252">
        <f t="shared" si="4"/>
        <v>46.464335256413371</v>
      </c>
      <c r="L13" s="252">
        <f t="shared" si="4"/>
        <v>47.393621961541641</v>
      </c>
      <c r="M13" s="252">
        <f t="shared" si="4"/>
        <v>48.341494400772476</v>
      </c>
      <c r="N13" s="471">
        <f t="shared" si="4"/>
        <v>49.308324288787929</v>
      </c>
    </row>
    <row r="14" spans="2:14" x14ac:dyDescent="0.2">
      <c r="B14" s="578" t="s">
        <v>81</v>
      </c>
      <c r="C14" s="495"/>
      <c r="D14" s="496"/>
      <c r="E14" s="248">
        <f t="shared" ref="E14:N14" si="5">E13*(1-E12)*E11</f>
        <v>1319361.3228600002</v>
      </c>
      <c r="F14" s="248">
        <f t="shared" si="5"/>
        <v>1730248.1348364002</v>
      </c>
      <c r="G14" s="248">
        <f t="shared" si="5"/>
        <v>1862900.4918405241</v>
      </c>
      <c r="H14" s="258">
        <f t="shared" si="5"/>
        <v>1916159.8364283016</v>
      </c>
      <c r="I14" s="258">
        <f t="shared" si="5"/>
        <v>1954483.0331568678</v>
      </c>
      <c r="J14" s="258">
        <f t="shared" si="5"/>
        <v>1993572.6938200053</v>
      </c>
      <c r="K14" s="253">
        <f t="shared" si="5"/>
        <v>2033444.1476964047</v>
      </c>
      <c r="L14" s="253">
        <f t="shared" si="5"/>
        <v>2074113.030650333</v>
      </c>
      <c r="M14" s="253">
        <f t="shared" si="5"/>
        <v>2115595.2912633396</v>
      </c>
      <c r="N14" s="530">
        <f t="shared" si="5"/>
        <v>2157907.1970886071</v>
      </c>
    </row>
    <row r="15" spans="2:14" ht="15" x14ac:dyDescent="0.2">
      <c r="B15" s="572" t="s">
        <v>207</v>
      </c>
      <c r="C15" s="441"/>
      <c r="D15" s="451"/>
      <c r="E15" s="249"/>
      <c r="F15" s="249"/>
      <c r="G15" s="249"/>
      <c r="H15" s="259"/>
      <c r="I15" s="259"/>
      <c r="J15" s="259"/>
      <c r="K15" s="254"/>
      <c r="L15" s="254"/>
      <c r="M15" s="254"/>
      <c r="N15" s="517"/>
    </row>
    <row r="16" spans="2:14" x14ac:dyDescent="0.2">
      <c r="B16" s="526" t="s">
        <v>53</v>
      </c>
      <c r="C16" s="443">
        <v>0.02</v>
      </c>
      <c r="D16" s="445"/>
      <c r="E16" s="510"/>
      <c r="F16" s="510"/>
      <c r="G16" s="510"/>
      <c r="H16" s="511"/>
      <c r="I16" s="511"/>
      <c r="J16" s="511"/>
      <c r="K16" s="512"/>
      <c r="L16" s="512"/>
      <c r="M16" s="512"/>
      <c r="N16" s="515"/>
    </row>
    <row r="17" spans="2:14" hidden="1" x14ac:dyDescent="0.2">
      <c r="B17" s="526" t="s">
        <v>78</v>
      </c>
      <c r="C17" s="441"/>
      <c r="D17" s="445"/>
      <c r="E17" s="510"/>
      <c r="F17" s="510"/>
      <c r="G17" s="510"/>
      <c r="H17" s="511"/>
      <c r="I17" s="511"/>
      <c r="J17" s="511"/>
      <c r="K17" s="512"/>
      <c r="L17" s="512"/>
      <c r="M17" s="512"/>
      <c r="N17" s="515"/>
    </row>
    <row r="18" spans="2:14" x14ac:dyDescent="0.2">
      <c r="B18" s="526" t="s">
        <v>79</v>
      </c>
      <c r="C18" s="441"/>
      <c r="D18" s="451"/>
      <c r="E18" s="244"/>
      <c r="F18" s="244"/>
      <c r="G18" s="244"/>
      <c r="H18" s="436">
        <f>H61</f>
        <v>70247</v>
      </c>
      <c r="I18" s="436">
        <f>C61</f>
        <v>70247</v>
      </c>
      <c r="J18" s="436">
        <f>I18</f>
        <v>70247</v>
      </c>
      <c r="K18" s="273">
        <f t="shared" ref="K18:N18" si="6">J18</f>
        <v>70247</v>
      </c>
      <c r="L18" s="273">
        <f t="shared" si="6"/>
        <v>70247</v>
      </c>
      <c r="M18" s="273">
        <f t="shared" si="6"/>
        <v>70247</v>
      </c>
      <c r="N18" s="460">
        <f t="shared" si="6"/>
        <v>70247</v>
      </c>
    </row>
    <row r="19" spans="2:14" x14ac:dyDescent="0.2">
      <c r="B19" s="526" t="s">
        <v>63</v>
      </c>
      <c r="C19" s="443">
        <v>0.9</v>
      </c>
      <c r="D19" s="445"/>
      <c r="E19" s="244">
        <f>$C$19*E18</f>
        <v>0</v>
      </c>
      <c r="F19" s="244">
        <f t="shared" ref="F19:G19" si="7">$C$11*F18</f>
        <v>0</v>
      </c>
      <c r="G19" s="244">
        <f t="shared" si="7"/>
        <v>0</v>
      </c>
      <c r="H19" s="555">
        <f>$C$19*H18</f>
        <v>63222.3</v>
      </c>
      <c r="I19" s="555">
        <f t="shared" ref="I19:N19" si="8">$C$19*I18</f>
        <v>63222.3</v>
      </c>
      <c r="J19" s="555">
        <f t="shared" si="8"/>
        <v>63222.3</v>
      </c>
      <c r="K19" s="276">
        <f t="shared" si="8"/>
        <v>63222.3</v>
      </c>
      <c r="L19" s="276">
        <f t="shared" si="8"/>
        <v>63222.3</v>
      </c>
      <c r="M19" s="276">
        <f t="shared" si="8"/>
        <v>63222.3</v>
      </c>
      <c r="N19" s="467">
        <f t="shared" si="8"/>
        <v>63222.3</v>
      </c>
    </row>
    <row r="20" spans="2:14" x14ac:dyDescent="0.2">
      <c r="B20" s="526" t="s">
        <v>80</v>
      </c>
      <c r="C20" s="443"/>
      <c r="D20" s="531">
        <v>0</v>
      </c>
      <c r="E20" s="245">
        <v>1</v>
      </c>
      <c r="F20" s="245">
        <v>1</v>
      </c>
      <c r="G20" s="245">
        <v>1</v>
      </c>
      <c r="H20" s="265">
        <v>0.3</v>
      </c>
      <c r="I20" s="265">
        <v>0.1</v>
      </c>
      <c r="J20" s="265">
        <v>0.05</v>
      </c>
      <c r="K20" s="266">
        <v>0.04</v>
      </c>
      <c r="L20" s="266">
        <v>0.04</v>
      </c>
      <c r="M20" s="266">
        <v>0.04</v>
      </c>
      <c r="N20" s="568">
        <v>0.04</v>
      </c>
    </row>
    <row r="21" spans="2:14" x14ac:dyDescent="0.2">
      <c r="B21" s="526" t="s">
        <v>113</v>
      </c>
      <c r="C21" s="449">
        <v>21.9</v>
      </c>
      <c r="D21" s="450">
        <f>C21</f>
        <v>21.9</v>
      </c>
      <c r="E21" s="247">
        <f>$D21*(1+$C$16)^E$4</f>
        <v>22.337999999999997</v>
      </c>
      <c r="F21" s="247">
        <f t="shared" ref="F21:N21" si="9">$D21*(1+$C$16)^F$4</f>
        <v>22.784759999999999</v>
      </c>
      <c r="G21" s="247">
        <f t="shared" si="9"/>
        <v>23.240455199999996</v>
      </c>
      <c r="H21" s="257">
        <f t="shared" si="9"/>
        <v>23.705264303999996</v>
      </c>
      <c r="I21" s="257">
        <f t="shared" si="9"/>
        <v>24.17936959008</v>
      </c>
      <c r="J21" s="257">
        <f t="shared" si="9"/>
        <v>24.662956981881599</v>
      </c>
      <c r="K21" s="252">
        <f t="shared" si="9"/>
        <v>25.156216121519225</v>
      </c>
      <c r="L21" s="252">
        <f t="shared" si="9"/>
        <v>25.659340443949613</v>
      </c>
      <c r="M21" s="252">
        <f t="shared" si="9"/>
        <v>26.172527252828605</v>
      </c>
      <c r="N21" s="471">
        <f t="shared" si="9"/>
        <v>26.695977797885178</v>
      </c>
    </row>
    <row r="22" spans="2:14" x14ac:dyDescent="0.2">
      <c r="B22" s="578" t="s">
        <v>81</v>
      </c>
      <c r="C22" s="495"/>
      <c r="D22" s="496"/>
      <c r="E22" s="248">
        <f t="shared" ref="E22:N22" si="10">E21*(1-E20)*E19</f>
        <v>0</v>
      </c>
      <c r="F22" s="248">
        <f t="shared" si="10"/>
        <v>0</v>
      </c>
      <c r="G22" s="248">
        <f t="shared" si="10"/>
        <v>0</v>
      </c>
      <c r="H22" s="258">
        <f t="shared" si="10"/>
        <v>1049090.9319847454</v>
      </c>
      <c r="I22" s="258">
        <f t="shared" si="10"/>
        <v>1375807.8222314233</v>
      </c>
      <c r="J22" s="258">
        <f t="shared" si="10"/>
        <v>1481286.4219358324</v>
      </c>
      <c r="K22" s="253">
        <f t="shared" si="10"/>
        <v>1526816.4887995441</v>
      </c>
      <c r="L22" s="253">
        <f t="shared" si="10"/>
        <v>1557352.818575535</v>
      </c>
      <c r="M22" s="253">
        <f t="shared" si="10"/>
        <v>1588499.8749470457</v>
      </c>
      <c r="N22" s="530">
        <f t="shared" si="10"/>
        <v>1620269.8724459866</v>
      </c>
    </row>
    <row r="23" spans="2:14" ht="15" x14ac:dyDescent="0.2">
      <c r="B23" s="572" t="s">
        <v>208</v>
      </c>
      <c r="C23" s="441"/>
      <c r="D23" s="451"/>
      <c r="E23" s="249"/>
      <c r="F23" s="249"/>
      <c r="G23" s="249"/>
      <c r="H23" s="259"/>
      <c r="I23" s="259"/>
      <c r="J23" s="259"/>
      <c r="K23" s="254"/>
      <c r="L23" s="254"/>
      <c r="M23" s="254"/>
      <c r="N23" s="517"/>
    </row>
    <row r="24" spans="2:14" x14ac:dyDescent="0.2">
      <c r="B24" s="526" t="s">
        <v>53</v>
      </c>
      <c r="C24" s="443">
        <v>0.02</v>
      </c>
      <c r="D24" s="445"/>
      <c r="E24" s="510"/>
      <c r="F24" s="510"/>
      <c r="G24" s="510"/>
      <c r="H24" s="511"/>
      <c r="I24" s="511"/>
      <c r="J24" s="511"/>
      <c r="K24" s="512"/>
      <c r="L24" s="512"/>
      <c r="M24" s="512"/>
      <c r="N24" s="515"/>
    </row>
    <row r="25" spans="2:14" hidden="1" x14ac:dyDescent="0.2">
      <c r="B25" s="526" t="s">
        <v>78</v>
      </c>
      <c r="C25" s="441"/>
      <c r="D25" s="445"/>
      <c r="E25" s="510"/>
      <c r="F25" s="510"/>
      <c r="G25" s="510"/>
      <c r="H25" s="511"/>
      <c r="I25" s="511"/>
      <c r="J25" s="511"/>
      <c r="K25" s="512"/>
      <c r="L25" s="512"/>
      <c r="M25" s="512"/>
      <c r="N25" s="515"/>
    </row>
    <row r="26" spans="2:14" x14ac:dyDescent="0.2">
      <c r="B26" s="526" t="s">
        <v>79</v>
      </c>
      <c r="C26" s="441"/>
      <c r="D26" s="451"/>
      <c r="E26" s="244"/>
      <c r="F26" s="244"/>
      <c r="G26" s="244"/>
      <c r="H26" s="509"/>
      <c r="I26" s="509"/>
      <c r="J26" s="509"/>
      <c r="K26" s="426"/>
      <c r="L26" s="426"/>
      <c r="M26" s="426"/>
      <c r="N26" s="514"/>
    </row>
    <row r="27" spans="2:14" x14ac:dyDescent="0.2">
      <c r="B27" s="526" t="s">
        <v>63</v>
      </c>
      <c r="C27" s="443">
        <v>0.9</v>
      </c>
      <c r="D27" s="445"/>
      <c r="E27" s="244">
        <f>$C$27*E26</f>
        <v>0</v>
      </c>
      <c r="F27" s="244">
        <f t="shared" ref="F27:N27" si="11">$C$27*F26</f>
        <v>0</v>
      </c>
      <c r="G27" s="244">
        <f t="shared" si="11"/>
        <v>0</v>
      </c>
      <c r="H27" s="509">
        <f t="shared" si="11"/>
        <v>0</v>
      </c>
      <c r="I27" s="509">
        <f t="shared" si="11"/>
        <v>0</v>
      </c>
      <c r="J27" s="509">
        <f t="shared" si="11"/>
        <v>0</v>
      </c>
      <c r="K27" s="426">
        <f t="shared" si="11"/>
        <v>0</v>
      </c>
      <c r="L27" s="426">
        <f t="shared" si="11"/>
        <v>0</v>
      </c>
      <c r="M27" s="426">
        <f t="shared" si="11"/>
        <v>0</v>
      </c>
      <c r="N27" s="514">
        <f t="shared" si="11"/>
        <v>0</v>
      </c>
    </row>
    <row r="28" spans="2:14" x14ac:dyDescent="0.2">
      <c r="B28" s="526" t="s">
        <v>80</v>
      </c>
      <c r="C28" s="443"/>
      <c r="D28" s="531">
        <v>0</v>
      </c>
      <c r="E28" s="245">
        <v>1</v>
      </c>
      <c r="F28" s="245">
        <v>1</v>
      </c>
      <c r="G28" s="245">
        <v>1</v>
      </c>
      <c r="H28" s="265">
        <v>1</v>
      </c>
      <c r="I28" s="265">
        <v>1</v>
      </c>
      <c r="J28" s="265">
        <v>1</v>
      </c>
      <c r="K28" s="266">
        <v>1</v>
      </c>
      <c r="L28" s="266">
        <v>1</v>
      </c>
      <c r="M28" s="266">
        <v>1</v>
      </c>
      <c r="N28" s="568">
        <v>1</v>
      </c>
    </row>
    <row r="29" spans="2:14" x14ac:dyDescent="0.2">
      <c r="B29" s="526" t="s">
        <v>113</v>
      </c>
      <c r="C29" s="449">
        <v>40.450000000000003</v>
      </c>
      <c r="D29" s="450">
        <f>C29</f>
        <v>40.450000000000003</v>
      </c>
      <c r="E29" s="247">
        <f>$D29*(1+$C$24)^E$4</f>
        <v>41.259</v>
      </c>
      <c r="F29" s="247">
        <f t="shared" ref="F29:N29" si="12">$D29*(1+$C$24)^F$4</f>
        <v>42.084180000000003</v>
      </c>
      <c r="G29" s="247">
        <f t="shared" si="12"/>
        <v>42.9258636</v>
      </c>
      <c r="H29" s="257">
        <f t="shared" si="12"/>
        <v>43.784380872</v>
      </c>
      <c r="I29" s="257">
        <f t="shared" si="12"/>
        <v>44.66006848944</v>
      </c>
      <c r="J29" s="257">
        <f t="shared" si="12"/>
        <v>45.553269859228806</v>
      </c>
      <c r="K29" s="252">
        <f t="shared" si="12"/>
        <v>46.464335256413371</v>
      </c>
      <c r="L29" s="252">
        <f t="shared" si="12"/>
        <v>47.393621961541641</v>
      </c>
      <c r="M29" s="252">
        <f t="shared" si="12"/>
        <v>48.341494400772476</v>
      </c>
      <c r="N29" s="471">
        <f t="shared" si="12"/>
        <v>49.308324288787929</v>
      </c>
    </row>
    <row r="30" spans="2:14" ht="13.5" thickBot="1" x14ac:dyDescent="0.25">
      <c r="B30" s="526" t="s">
        <v>81</v>
      </c>
      <c r="C30" s="441"/>
      <c r="D30" s="451"/>
      <c r="E30" s="249">
        <f t="shared" ref="E30:N30" si="13">E29*(1-E28)*E27</f>
        <v>0</v>
      </c>
      <c r="F30" s="249">
        <f t="shared" si="13"/>
        <v>0</v>
      </c>
      <c r="G30" s="249">
        <f t="shared" si="13"/>
        <v>0</v>
      </c>
      <c r="H30" s="259">
        <f t="shared" si="13"/>
        <v>0</v>
      </c>
      <c r="I30" s="259">
        <f t="shared" si="13"/>
        <v>0</v>
      </c>
      <c r="J30" s="259">
        <f t="shared" si="13"/>
        <v>0</v>
      </c>
      <c r="K30" s="254">
        <f t="shared" si="13"/>
        <v>0</v>
      </c>
      <c r="L30" s="254">
        <f t="shared" si="13"/>
        <v>0</v>
      </c>
      <c r="M30" s="254">
        <f t="shared" si="13"/>
        <v>0</v>
      </c>
      <c r="N30" s="517">
        <f t="shared" si="13"/>
        <v>0</v>
      </c>
    </row>
    <row r="31" spans="2:14" ht="13.5" thickBot="1" x14ac:dyDescent="0.25">
      <c r="B31" s="522" t="s">
        <v>3</v>
      </c>
      <c r="C31" s="485"/>
      <c r="D31" s="486"/>
      <c r="E31" s="487"/>
      <c r="F31" s="487"/>
      <c r="G31" s="487"/>
      <c r="H31" s="487"/>
      <c r="I31" s="487"/>
      <c r="J31" s="487"/>
      <c r="K31" s="487"/>
      <c r="L31" s="487"/>
      <c r="M31" s="487"/>
      <c r="N31" s="488"/>
    </row>
    <row r="32" spans="2:14" x14ac:dyDescent="0.2">
      <c r="B32" s="526" t="s">
        <v>82</v>
      </c>
      <c r="C32" s="441"/>
      <c r="D32" s="451"/>
      <c r="E32" s="249">
        <f>SUM(E14,E22,E30)</f>
        <v>1319361.3228600002</v>
      </c>
      <c r="F32" s="249">
        <f t="shared" ref="F32:N32" si="14">SUM(F14,F22,F30)</f>
        <v>1730248.1348364002</v>
      </c>
      <c r="G32" s="249">
        <f t="shared" si="14"/>
        <v>1862900.4918405241</v>
      </c>
      <c r="H32" s="259">
        <f t="shared" si="14"/>
        <v>2965250.7684130473</v>
      </c>
      <c r="I32" s="259">
        <f t="shared" si="14"/>
        <v>3330290.8553882912</v>
      </c>
      <c r="J32" s="259">
        <f t="shared" si="14"/>
        <v>3474859.1157558374</v>
      </c>
      <c r="K32" s="254">
        <f t="shared" si="14"/>
        <v>3560260.6364959488</v>
      </c>
      <c r="L32" s="254">
        <f t="shared" si="14"/>
        <v>3631465.849225868</v>
      </c>
      <c r="M32" s="254">
        <f t="shared" si="14"/>
        <v>3704095.166210385</v>
      </c>
      <c r="N32" s="517">
        <f t="shared" si="14"/>
        <v>3778177.0695345937</v>
      </c>
    </row>
    <row r="33" spans="2:14" s="49" customFormat="1" x14ac:dyDescent="0.2">
      <c r="B33" s="527" t="s">
        <v>114</v>
      </c>
      <c r="C33" s="528">
        <v>0.35</v>
      </c>
      <c r="D33" s="532"/>
      <c r="E33" s="249">
        <f>-(E32*$C$33)</f>
        <v>-461776.46300100005</v>
      </c>
      <c r="F33" s="249">
        <f t="shared" ref="F33:N33" si="15">-(F32*$C$33)</f>
        <v>-605586.84719274007</v>
      </c>
      <c r="G33" s="249">
        <f t="shared" si="15"/>
        <v>-652015.17214418342</v>
      </c>
      <c r="H33" s="259">
        <f t="shared" si="15"/>
        <v>-1037837.7689445665</v>
      </c>
      <c r="I33" s="259">
        <f t="shared" si="15"/>
        <v>-1165601.7993859018</v>
      </c>
      <c r="J33" s="259">
        <f t="shared" si="15"/>
        <v>-1216200.6905145431</v>
      </c>
      <c r="K33" s="254">
        <f t="shared" si="15"/>
        <v>-1246091.222773582</v>
      </c>
      <c r="L33" s="254">
        <f t="shared" si="15"/>
        <v>-1271013.0472290537</v>
      </c>
      <c r="M33" s="254">
        <f t="shared" si="15"/>
        <v>-1296433.3081736346</v>
      </c>
      <c r="N33" s="517">
        <f t="shared" si="15"/>
        <v>-1322361.9743371077</v>
      </c>
    </row>
    <row r="34" spans="2:14" ht="13.5" thickBot="1" x14ac:dyDescent="0.25">
      <c r="B34" s="525" t="s">
        <v>27</v>
      </c>
      <c r="C34" s="441"/>
      <c r="D34" s="451"/>
      <c r="E34" s="249">
        <f>SUM(E32:E33)</f>
        <v>857584.85985900019</v>
      </c>
      <c r="F34" s="249">
        <f t="shared" ref="F34:N34" si="16">SUM(F32:F33)</f>
        <v>1124661.2876436601</v>
      </c>
      <c r="G34" s="249">
        <f t="shared" si="16"/>
        <v>1210885.3196963407</v>
      </c>
      <c r="H34" s="259">
        <f t="shared" si="16"/>
        <v>1927412.9994684807</v>
      </c>
      <c r="I34" s="259">
        <f t="shared" si="16"/>
        <v>2164689.0560023896</v>
      </c>
      <c r="J34" s="259">
        <f t="shared" si="16"/>
        <v>2258658.4252412943</v>
      </c>
      <c r="K34" s="254">
        <f t="shared" si="16"/>
        <v>2314169.413722367</v>
      </c>
      <c r="L34" s="254">
        <f t="shared" si="16"/>
        <v>2360452.8019968141</v>
      </c>
      <c r="M34" s="254">
        <f t="shared" si="16"/>
        <v>2407661.8580367505</v>
      </c>
      <c r="N34" s="517">
        <f t="shared" si="16"/>
        <v>2455815.0951974858</v>
      </c>
    </row>
    <row r="35" spans="2:14" ht="13.5" thickBot="1" x14ac:dyDescent="0.25">
      <c r="B35" s="522" t="s">
        <v>20</v>
      </c>
      <c r="C35" s="485"/>
      <c r="D35" s="486"/>
      <c r="E35" s="487"/>
      <c r="F35" s="487"/>
      <c r="G35" s="487"/>
      <c r="H35" s="487"/>
      <c r="I35" s="487"/>
      <c r="J35" s="487"/>
      <c r="K35" s="487"/>
      <c r="L35" s="487"/>
      <c r="M35" s="487"/>
      <c r="N35" s="488"/>
    </row>
    <row r="36" spans="2:14" x14ac:dyDescent="0.2">
      <c r="B36" s="526" t="s">
        <v>111</v>
      </c>
      <c r="C36" s="449">
        <v>234.06</v>
      </c>
      <c r="D36" s="450">
        <f>C36</f>
        <v>234.06</v>
      </c>
      <c r="E36" s="247">
        <f>$D36*(1+$C$8)^E$4</f>
        <v>238.74120000000002</v>
      </c>
      <c r="F36" s="247">
        <f t="shared" ref="F36:N36" si="17">$D36*(1+$C$8)^F$4</f>
        <v>243.51602399999999</v>
      </c>
      <c r="G36" s="247">
        <f t="shared" si="17"/>
        <v>248.38634447999999</v>
      </c>
      <c r="H36" s="257">
        <f t="shared" si="17"/>
        <v>253.35407136960001</v>
      </c>
      <c r="I36" s="257">
        <f t="shared" si="17"/>
        <v>258.42115279699203</v>
      </c>
      <c r="J36" s="257">
        <f t="shared" si="17"/>
        <v>263.58957585293189</v>
      </c>
      <c r="K36" s="252">
        <f t="shared" si="17"/>
        <v>268.86136736999043</v>
      </c>
      <c r="L36" s="252">
        <f t="shared" si="17"/>
        <v>274.23859471739024</v>
      </c>
      <c r="M36" s="252">
        <f t="shared" si="17"/>
        <v>279.72336661173807</v>
      </c>
      <c r="N36" s="471">
        <f t="shared" si="17"/>
        <v>285.31783394397286</v>
      </c>
    </row>
    <row r="37" spans="2:14" x14ac:dyDescent="0.2">
      <c r="B37" s="526" t="s">
        <v>68</v>
      </c>
      <c r="C37" s="441"/>
      <c r="D37" s="453">
        <f>D38/SUM($D$38:$N$38)</f>
        <v>0</v>
      </c>
      <c r="E37" s="250">
        <f t="shared" ref="E37:N37" si="18">E38/SUM($D$38:$N$38)</f>
        <v>0.40507665522025582</v>
      </c>
      <c r="F37" s="250">
        <f t="shared" si="18"/>
        <v>0</v>
      </c>
      <c r="G37" s="250">
        <f t="shared" si="18"/>
        <v>0</v>
      </c>
      <c r="H37" s="260">
        <f t="shared" si="18"/>
        <v>0.59492334477974418</v>
      </c>
      <c r="I37" s="260">
        <f t="shared" si="18"/>
        <v>0</v>
      </c>
      <c r="J37" s="260">
        <f t="shared" si="18"/>
        <v>0</v>
      </c>
      <c r="K37" s="255">
        <f t="shared" si="18"/>
        <v>0</v>
      </c>
      <c r="L37" s="255">
        <f t="shared" si="18"/>
        <v>0</v>
      </c>
      <c r="M37" s="255">
        <f t="shared" si="18"/>
        <v>0</v>
      </c>
      <c r="N37" s="470">
        <f t="shared" si="18"/>
        <v>0</v>
      </c>
    </row>
    <row r="38" spans="2:14" x14ac:dyDescent="0.2">
      <c r="B38" s="526" t="s">
        <v>20</v>
      </c>
      <c r="C38" s="441"/>
      <c r="D38" s="451"/>
      <c r="E38" s="270">
        <f>E36*E60</f>
        <v>12118025.829600001</v>
      </c>
      <c r="F38" s="270">
        <f>F36*F60</f>
        <v>0</v>
      </c>
      <c r="G38" s="210">
        <f t="shared" ref="G38" si="19">G36*G61</f>
        <v>0</v>
      </c>
      <c r="H38" s="290">
        <f>H36*H61</f>
        <v>17797363.451500293</v>
      </c>
      <c r="I38" s="290">
        <f t="shared" ref="I38:J38" si="20">I36*I61</f>
        <v>0</v>
      </c>
      <c r="J38" s="290">
        <f t="shared" si="20"/>
        <v>0</v>
      </c>
      <c r="K38" s="216">
        <f>K36*K62</f>
        <v>0</v>
      </c>
      <c r="L38" s="216">
        <f t="shared" ref="L38:N38" si="21">L36*L62</f>
        <v>0</v>
      </c>
      <c r="M38" s="216">
        <f t="shared" si="21"/>
        <v>0</v>
      </c>
      <c r="N38" s="462">
        <f t="shared" si="21"/>
        <v>0</v>
      </c>
    </row>
    <row r="39" spans="2:14" x14ac:dyDescent="0.2">
      <c r="B39" s="526" t="s">
        <v>47</v>
      </c>
      <c r="C39" s="441"/>
      <c r="D39" s="451"/>
      <c r="E39" s="244"/>
      <c r="F39" s="244"/>
      <c r="G39" s="244"/>
      <c r="H39" s="509"/>
      <c r="I39" s="509"/>
      <c r="J39" s="509"/>
      <c r="K39" s="426"/>
      <c r="L39" s="426"/>
      <c r="M39" s="426"/>
      <c r="N39" s="514"/>
    </row>
    <row r="40" spans="2:14" ht="13.5" thickBot="1" x14ac:dyDescent="0.25">
      <c r="B40" s="525" t="s">
        <v>25</v>
      </c>
      <c r="C40" s="441"/>
      <c r="D40" s="533">
        <f>SUM(D38:D39)</f>
        <v>0</v>
      </c>
      <c r="E40" s="249">
        <f>SUM(E38:E39)</f>
        <v>12118025.829600001</v>
      </c>
      <c r="F40" s="249">
        <f t="shared" ref="F40:N40" si="22">SUM(F38:F39)</f>
        <v>0</v>
      </c>
      <c r="G40" s="249">
        <f t="shared" si="22"/>
        <v>0</v>
      </c>
      <c r="H40" s="259">
        <f t="shared" si="22"/>
        <v>17797363.451500293</v>
      </c>
      <c r="I40" s="259">
        <f t="shared" si="22"/>
        <v>0</v>
      </c>
      <c r="J40" s="259">
        <f t="shared" si="22"/>
        <v>0</v>
      </c>
      <c r="K40" s="254">
        <f t="shared" si="22"/>
        <v>0</v>
      </c>
      <c r="L40" s="254">
        <f t="shared" si="22"/>
        <v>0</v>
      </c>
      <c r="M40" s="254">
        <f t="shared" si="22"/>
        <v>0</v>
      </c>
      <c r="N40" s="517">
        <f t="shared" si="22"/>
        <v>0</v>
      </c>
    </row>
    <row r="41" spans="2:14" ht="13.5" thickBot="1" x14ac:dyDescent="0.25">
      <c r="B41" s="522" t="s">
        <v>26</v>
      </c>
      <c r="C41" s="485"/>
      <c r="D41" s="534"/>
      <c r="E41" s="487"/>
      <c r="F41" s="487"/>
      <c r="G41" s="487"/>
      <c r="H41" s="487"/>
      <c r="I41" s="487"/>
      <c r="J41" s="487"/>
      <c r="K41" s="487"/>
      <c r="L41" s="487"/>
      <c r="M41" s="487"/>
      <c r="N41" s="488"/>
    </row>
    <row r="42" spans="2:14" x14ac:dyDescent="0.2">
      <c r="B42" s="526" t="s">
        <v>27</v>
      </c>
      <c r="C42" s="441"/>
      <c r="D42" s="533">
        <f>D34</f>
        <v>0</v>
      </c>
      <c r="E42" s="249">
        <f>E34</f>
        <v>857584.85985900019</v>
      </c>
      <c r="F42" s="249">
        <f t="shared" ref="F42:N42" si="23">F34</f>
        <v>1124661.2876436601</v>
      </c>
      <c r="G42" s="249">
        <f t="shared" si="23"/>
        <v>1210885.3196963407</v>
      </c>
      <c r="H42" s="259">
        <f t="shared" si="23"/>
        <v>1927412.9994684807</v>
      </c>
      <c r="I42" s="259">
        <f t="shared" si="23"/>
        <v>2164689.0560023896</v>
      </c>
      <c r="J42" s="259">
        <f t="shared" si="23"/>
        <v>2258658.4252412943</v>
      </c>
      <c r="K42" s="254">
        <f t="shared" si="23"/>
        <v>2314169.413722367</v>
      </c>
      <c r="L42" s="254">
        <f t="shared" si="23"/>
        <v>2360452.8019968141</v>
      </c>
      <c r="M42" s="254">
        <f t="shared" si="23"/>
        <v>2407661.8580367505</v>
      </c>
      <c r="N42" s="517">
        <f t="shared" si="23"/>
        <v>2455815.0951974858</v>
      </c>
    </row>
    <row r="43" spans="2:14" x14ac:dyDescent="0.2">
      <c r="B43" s="526" t="s">
        <v>69</v>
      </c>
      <c r="C43" s="571">
        <f>C54</f>
        <v>0.05</v>
      </c>
      <c r="D43" s="448"/>
      <c r="E43" s="244"/>
      <c r="F43" s="244"/>
      <c r="G43" s="244"/>
      <c r="H43" s="509"/>
      <c r="I43" s="509"/>
      <c r="J43" s="509"/>
      <c r="K43" s="426"/>
      <c r="L43" s="426"/>
      <c r="M43" s="426"/>
      <c r="N43" s="517">
        <f>N42/C43</f>
        <v>49116301.903949715</v>
      </c>
    </row>
    <row r="44" spans="2:14" x14ac:dyDescent="0.2">
      <c r="B44" s="526" t="s">
        <v>70</v>
      </c>
      <c r="C44" s="443">
        <v>0.03</v>
      </c>
      <c r="D44" s="448"/>
      <c r="E44" s="244"/>
      <c r="F44" s="244"/>
      <c r="G44" s="244"/>
      <c r="H44" s="509"/>
      <c r="I44" s="509"/>
      <c r="J44" s="509"/>
      <c r="K44" s="426"/>
      <c r="L44" s="426"/>
      <c r="M44" s="426"/>
      <c r="N44" s="517">
        <f>N43*-C44</f>
        <v>-1473489.0571184915</v>
      </c>
    </row>
    <row r="45" spans="2:14" ht="13.5" thickBot="1" x14ac:dyDescent="0.25">
      <c r="B45" s="526" t="s">
        <v>25</v>
      </c>
      <c r="C45" s="443"/>
      <c r="D45" s="533">
        <f>-D40</f>
        <v>0</v>
      </c>
      <c r="E45" s="249">
        <f>-E40</f>
        <v>-12118025.829600001</v>
      </c>
      <c r="F45" s="249">
        <f t="shared" ref="F45:N45" si="24">-F40</f>
        <v>0</v>
      </c>
      <c r="G45" s="249">
        <f t="shared" si="24"/>
        <v>0</v>
      </c>
      <c r="H45" s="259">
        <f t="shared" si="24"/>
        <v>-17797363.451500293</v>
      </c>
      <c r="I45" s="259">
        <f t="shared" si="24"/>
        <v>0</v>
      </c>
      <c r="J45" s="259">
        <f t="shared" si="24"/>
        <v>0</v>
      </c>
      <c r="K45" s="254">
        <f t="shared" si="24"/>
        <v>0</v>
      </c>
      <c r="L45" s="254">
        <f t="shared" si="24"/>
        <v>0</v>
      </c>
      <c r="M45" s="254">
        <f t="shared" si="24"/>
        <v>0</v>
      </c>
      <c r="N45" s="517">
        <f t="shared" si="24"/>
        <v>0</v>
      </c>
    </row>
    <row r="46" spans="2:14" ht="13.5" thickBot="1" x14ac:dyDescent="0.25">
      <c r="B46" s="523"/>
      <c r="C46" s="524"/>
      <c r="D46" s="534"/>
      <c r="E46" s="487"/>
      <c r="F46" s="487"/>
      <c r="G46" s="487"/>
      <c r="H46" s="487"/>
      <c r="I46" s="487"/>
      <c r="J46" s="487"/>
      <c r="K46" s="487"/>
      <c r="L46" s="487"/>
      <c r="M46" s="487"/>
      <c r="N46" s="488"/>
    </row>
    <row r="47" spans="2:14" x14ac:dyDescent="0.2">
      <c r="B47" s="525" t="s">
        <v>29</v>
      </c>
      <c r="C47" s="443"/>
      <c r="D47" s="533">
        <f>SUM(D42:D45)</f>
        <v>0</v>
      </c>
      <c r="E47" s="249">
        <f>SUM(E42:E45)</f>
        <v>-11260440.969741</v>
      </c>
      <c r="F47" s="249">
        <f t="shared" ref="F47:N47" si="25">SUM(F42:F45)</f>
        <v>1124661.2876436601</v>
      </c>
      <c r="G47" s="249">
        <f t="shared" si="25"/>
        <v>1210885.3196963407</v>
      </c>
      <c r="H47" s="259">
        <f t="shared" si="25"/>
        <v>-15869950.452031812</v>
      </c>
      <c r="I47" s="259">
        <f t="shared" si="25"/>
        <v>2164689.0560023896</v>
      </c>
      <c r="J47" s="259">
        <f t="shared" si="25"/>
        <v>2258658.4252412943</v>
      </c>
      <c r="K47" s="254">
        <f t="shared" si="25"/>
        <v>2314169.413722367</v>
      </c>
      <c r="L47" s="254">
        <f t="shared" si="25"/>
        <v>2360452.8019968141</v>
      </c>
      <c r="M47" s="254">
        <f t="shared" si="25"/>
        <v>2407661.8580367505</v>
      </c>
      <c r="N47" s="517">
        <f t="shared" si="25"/>
        <v>50098627.942028709</v>
      </c>
    </row>
    <row r="48" spans="2:14" x14ac:dyDescent="0.2">
      <c r="B48" s="357" t="s">
        <v>32</v>
      </c>
      <c r="C48" s="443">
        <f>C53</f>
        <v>0.06</v>
      </c>
      <c r="D48" s="444">
        <f>NPV(C48,E47:N47)</f>
        <v>14453864.800120337</v>
      </c>
      <c r="E48" s="152"/>
      <c r="F48" s="152"/>
      <c r="G48" s="152"/>
      <c r="H48" s="152"/>
      <c r="I48" s="152"/>
      <c r="J48" s="152"/>
      <c r="K48" s="152"/>
      <c r="L48" s="152"/>
      <c r="M48" s="152"/>
      <c r="N48" s="474"/>
    </row>
    <row r="49" spans="1:14" x14ac:dyDescent="0.2">
      <c r="B49" s="357" t="s">
        <v>34</v>
      </c>
      <c r="C49" s="441"/>
      <c r="D49" s="445">
        <f>IRR(D47:N47,0)</f>
        <v>0.14541047466641133</v>
      </c>
      <c r="E49" s="152"/>
      <c r="F49" s="152"/>
      <c r="G49" s="152"/>
      <c r="H49" s="152"/>
      <c r="I49" s="152"/>
      <c r="J49" s="152"/>
      <c r="K49" s="152"/>
      <c r="L49" s="152"/>
      <c r="M49" s="152"/>
      <c r="N49" s="474"/>
    </row>
    <row r="50" spans="1:14" ht="13.5" thickBot="1" x14ac:dyDescent="0.25">
      <c r="B50" s="358" t="s">
        <v>36</v>
      </c>
      <c r="C50" s="472"/>
      <c r="D50" s="446"/>
      <c r="E50" s="475"/>
      <c r="F50" s="475"/>
      <c r="G50" s="475"/>
      <c r="H50" s="475"/>
      <c r="I50" s="475"/>
      <c r="J50" s="475"/>
      <c r="K50" s="475"/>
      <c r="L50" s="475"/>
      <c r="M50" s="475"/>
      <c r="N50" s="476"/>
    </row>
    <row r="51" spans="1:14" ht="13.5" thickBot="1" x14ac:dyDescent="0.25"/>
    <row r="52" spans="1:14" x14ac:dyDescent="0.2">
      <c r="B52" s="1245" t="s">
        <v>71</v>
      </c>
      <c r="C52" s="1246"/>
    </row>
    <row r="53" spans="1:14" x14ac:dyDescent="0.2">
      <c r="B53" s="112" t="s">
        <v>153</v>
      </c>
      <c r="C53" s="478">
        <v>0.06</v>
      </c>
    </row>
    <row r="54" spans="1:14" ht="13.5" thickBot="1" x14ac:dyDescent="0.25">
      <c r="B54" s="479" t="s">
        <v>244</v>
      </c>
      <c r="C54" s="481">
        <v>0.05</v>
      </c>
    </row>
    <row r="55" spans="1:14" x14ac:dyDescent="0.2">
      <c r="A55" s="125"/>
      <c r="B55" s="370"/>
      <c r="C55" s="513"/>
      <c r="D55" s="323"/>
      <c r="E55" s="325"/>
      <c r="F55" s="325"/>
      <c r="G55" s="325"/>
      <c r="H55" s="325"/>
      <c r="I55" s="325"/>
      <c r="J55" s="325"/>
      <c r="K55" s="325"/>
      <c r="L55" s="325"/>
      <c r="M55" s="325"/>
      <c r="N55" s="325"/>
    </row>
    <row r="56" spans="1:14" ht="13.5" thickBot="1" x14ac:dyDescent="0.25">
      <c r="A56" s="125"/>
      <c r="B56" s="370"/>
      <c r="C56" s="513"/>
      <c r="D56" s="323"/>
      <c r="E56" s="325"/>
      <c r="F56" s="325"/>
      <c r="G56" s="325"/>
      <c r="H56" s="325"/>
      <c r="I56" s="325"/>
      <c r="J56" s="325"/>
      <c r="K56" s="325"/>
      <c r="L56" s="325"/>
      <c r="M56" s="325"/>
      <c r="N56" s="325"/>
    </row>
    <row r="57" spans="1:14" x14ac:dyDescent="0.2">
      <c r="B57" s="1226" t="s">
        <v>237</v>
      </c>
      <c r="C57" s="1227"/>
      <c r="D57" s="1227"/>
      <c r="E57" s="1227"/>
      <c r="F57" s="1227"/>
      <c r="G57" s="1227"/>
      <c r="H57" s="1227"/>
      <c r="I57" s="1227"/>
      <c r="J57" s="1227"/>
      <c r="K57" s="1227"/>
      <c r="L57" s="1227"/>
      <c r="M57" s="1227"/>
      <c r="N57" s="1228"/>
    </row>
    <row r="58" spans="1:14" x14ac:dyDescent="0.2">
      <c r="B58" s="112"/>
      <c r="C58" s="441"/>
      <c r="D58" s="477">
        <v>0</v>
      </c>
      <c r="E58" s="505">
        <f>E4</f>
        <v>1</v>
      </c>
      <c r="F58" s="505">
        <f t="shared" ref="F58:N58" si="26">F4</f>
        <v>2</v>
      </c>
      <c r="G58" s="505">
        <f t="shared" si="26"/>
        <v>3</v>
      </c>
      <c r="H58" s="505">
        <f t="shared" si="26"/>
        <v>4</v>
      </c>
      <c r="I58" s="505">
        <f t="shared" si="26"/>
        <v>5</v>
      </c>
      <c r="J58" s="505">
        <f t="shared" si="26"/>
        <v>6</v>
      </c>
      <c r="K58" s="505">
        <f t="shared" si="26"/>
        <v>7</v>
      </c>
      <c r="L58" s="505">
        <f t="shared" si="26"/>
        <v>8</v>
      </c>
      <c r="M58" s="505">
        <f t="shared" si="26"/>
        <v>9</v>
      </c>
      <c r="N58" s="506">
        <f t="shared" si="26"/>
        <v>10</v>
      </c>
    </row>
    <row r="59" spans="1:14" ht="13.5" thickBot="1" x14ac:dyDescent="0.25">
      <c r="B59" s="112"/>
      <c r="C59" s="199"/>
      <c r="D59" s="126" t="str">
        <f>D5</f>
        <v>2020-2021</v>
      </c>
      <c r="E59" s="475">
        <f t="shared" ref="E59:N59" si="27">E5</f>
        <v>2022</v>
      </c>
      <c r="F59" s="475">
        <f t="shared" si="27"/>
        <v>2023</v>
      </c>
      <c r="G59" s="475">
        <f t="shared" si="27"/>
        <v>2024</v>
      </c>
      <c r="H59" s="475">
        <f t="shared" si="27"/>
        <v>2025</v>
      </c>
      <c r="I59" s="475">
        <f t="shared" si="27"/>
        <v>2026</v>
      </c>
      <c r="J59" s="475">
        <f t="shared" si="27"/>
        <v>2027</v>
      </c>
      <c r="K59" s="475">
        <f t="shared" si="27"/>
        <v>2028</v>
      </c>
      <c r="L59" s="475">
        <f t="shared" si="27"/>
        <v>2029</v>
      </c>
      <c r="M59" s="475">
        <f t="shared" si="27"/>
        <v>2030</v>
      </c>
      <c r="N59" s="476">
        <f t="shared" si="27"/>
        <v>2031</v>
      </c>
    </row>
    <row r="60" spans="1:14" ht="15" x14ac:dyDescent="0.2">
      <c r="B60" s="546" t="s">
        <v>206</v>
      </c>
      <c r="C60" s="954">
        <v>50758</v>
      </c>
      <c r="D60" s="152"/>
      <c r="E60" s="644">
        <f>C60</f>
        <v>50758</v>
      </c>
      <c r="F60" s="644"/>
      <c r="G60" s="644"/>
      <c r="H60" s="504"/>
      <c r="I60" s="504"/>
      <c r="J60" s="504"/>
      <c r="K60" s="504"/>
      <c r="L60" s="504"/>
      <c r="M60" s="504"/>
      <c r="N60" s="508"/>
    </row>
    <row r="61" spans="1:14" ht="15" x14ac:dyDescent="0.2">
      <c r="B61" s="547" t="s">
        <v>207</v>
      </c>
      <c r="C61" s="954">
        <v>70247</v>
      </c>
      <c r="D61" s="152"/>
      <c r="E61" s="504"/>
      <c r="F61" s="504"/>
      <c r="G61" s="504"/>
      <c r="H61" s="644">
        <f>C61</f>
        <v>70247</v>
      </c>
      <c r="I61" s="644"/>
      <c r="J61" s="644"/>
      <c r="K61" s="504"/>
      <c r="L61" s="504"/>
      <c r="M61" s="504"/>
      <c r="N61" s="508"/>
    </row>
    <row r="62" spans="1:14" ht="15" x14ac:dyDescent="0.2">
      <c r="B62" s="548" t="s">
        <v>208</v>
      </c>
      <c r="C62" s="954">
        <v>0</v>
      </c>
      <c r="D62" s="152"/>
      <c r="E62" s="152"/>
      <c r="F62" s="152"/>
      <c r="G62" s="152"/>
      <c r="H62" s="152"/>
      <c r="I62" s="152"/>
      <c r="J62" s="152"/>
      <c r="K62" s="645"/>
      <c r="L62" s="645"/>
      <c r="M62" s="645"/>
      <c r="N62" s="646"/>
    </row>
    <row r="63" spans="1:14" x14ac:dyDescent="0.2">
      <c r="B63" s="775" t="s">
        <v>41</v>
      </c>
      <c r="C63" s="806">
        <f>SUM(C60:C62)</f>
        <v>121005</v>
      </c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474"/>
    </row>
    <row r="64" spans="1:14" ht="13.5" thickBot="1" x14ac:dyDescent="0.25">
      <c r="B64" s="775"/>
      <c r="C64" s="441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474"/>
    </row>
    <row r="65" spans="2:14" ht="15.75" customHeight="1" thickBot="1" x14ac:dyDescent="0.25">
      <c r="B65" s="1261" t="s">
        <v>241</v>
      </c>
      <c r="C65" s="1262"/>
      <c r="D65" s="587" t="s">
        <v>242</v>
      </c>
      <c r="E65" s="584">
        <f>E60</f>
        <v>50758</v>
      </c>
      <c r="F65" s="584">
        <f t="shared" ref="F65:G65" si="28">F60</f>
        <v>0</v>
      </c>
      <c r="G65" s="584">
        <f t="shared" si="28"/>
        <v>0</v>
      </c>
      <c r="H65" s="584">
        <f>H61</f>
        <v>70247</v>
      </c>
      <c r="I65" s="584">
        <f t="shared" ref="I65:J65" si="29">I61</f>
        <v>0</v>
      </c>
      <c r="J65" s="584">
        <f t="shared" si="29"/>
        <v>0</v>
      </c>
      <c r="K65" s="158">
        <f>K62</f>
        <v>0</v>
      </c>
      <c r="L65" s="158">
        <f t="shared" ref="L65:N65" si="30">L62</f>
        <v>0</v>
      </c>
      <c r="M65" s="158">
        <f t="shared" si="30"/>
        <v>0</v>
      </c>
      <c r="N65" s="585">
        <f t="shared" si="30"/>
        <v>0</v>
      </c>
    </row>
    <row r="66" spans="2:14" x14ac:dyDescent="0.2">
      <c r="D66" s="33"/>
    </row>
    <row r="67" spans="2:14" x14ac:dyDescent="0.2">
      <c r="D67" s="33"/>
    </row>
    <row r="68" spans="2:14" x14ac:dyDescent="0.2">
      <c r="D68" s="33"/>
    </row>
    <row r="69" spans="2:14" x14ac:dyDescent="0.2">
      <c r="D69" s="33"/>
    </row>
    <row r="71" spans="2:14" x14ac:dyDescent="0.2">
      <c r="B71" s="135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</row>
    <row r="72" spans="2:14" x14ac:dyDescent="0.2">
      <c r="B72" s="132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</row>
    <row r="75" spans="2:14" x14ac:dyDescent="0.2">
      <c r="B75" s="135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</row>
    <row r="76" spans="2:14" x14ac:dyDescent="0.2">
      <c r="B76" s="264"/>
    </row>
  </sheetData>
  <mergeCells count="6">
    <mergeCell ref="B65:C65"/>
    <mergeCell ref="K3:N3"/>
    <mergeCell ref="H3:J3"/>
    <mergeCell ref="E3:G3"/>
    <mergeCell ref="B52:C52"/>
    <mergeCell ref="B57:N57"/>
  </mergeCells>
  <conditionalFormatting sqref="B68:F69 B3:D3 B48:C48 I68:XFD68 H69:XFD69 A2:L2 O2:XFD3 A49:N51 O49:XFD62 E48:XFD48 A70:XFD1048576 D60:N62 A4:XFD6 A58:N59 D52:N56 A8:XFD14 A7 C7:XFD7 A16:XFD22 A15 C15:XFD15 A24:XFD47 A23 C23:XFD23 A66:XFD67 A63:A65 E65:XFD65 C63:XFD64">
    <cfRule type="cellIs" dxfId="109" priority="37" operator="lessThan">
      <formula>0</formula>
    </cfRule>
  </conditionalFormatting>
  <conditionalFormatting sqref="C36">
    <cfRule type="cellIs" dxfId="108" priority="36" operator="lessThan">
      <formula>0</formula>
    </cfRule>
  </conditionalFormatting>
  <conditionalFormatting sqref="C13">
    <cfRule type="cellIs" dxfId="107" priority="34" operator="lessThan">
      <formula>0</formula>
    </cfRule>
  </conditionalFormatting>
  <conditionalFormatting sqref="D12:N12">
    <cfRule type="cellIs" dxfId="106" priority="32" operator="lessThan">
      <formula>0</formula>
    </cfRule>
  </conditionalFormatting>
  <conditionalFormatting sqref="C59 E60:N60 D61:N62">
    <cfRule type="cellIs" dxfId="105" priority="30" operator="lessThan">
      <formula>0</formula>
    </cfRule>
  </conditionalFormatting>
  <conditionalFormatting sqref="J61:L61">
    <cfRule type="cellIs" dxfId="104" priority="29" operator="lessThan">
      <formula>0</formula>
    </cfRule>
  </conditionalFormatting>
  <conditionalFormatting sqref="E61:N61">
    <cfRule type="cellIs" dxfId="103" priority="28" operator="lessThan">
      <formula>0</formula>
    </cfRule>
  </conditionalFormatting>
  <conditionalFormatting sqref="E61:N61">
    <cfRule type="cellIs" dxfId="102" priority="27" operator="lessThan">
      <formula>0</formula>
    </cfRule>
  </conditionalFormatting>
  <conditionalFormatting sqref="C58:N58 D59:N62">
    <cfRule type="cellIs" dxfId="101" priority="31" operator="lessThan">
      <formula>0</formula>
    </cfRule>
  </conditionalFormatting>
  <conditionalFormatting sqref="D69">
    <cfRule type="cellIs" dxfId="100" priority="24" operator="lessThan">
      <formula>0</formula>
    </cfRule>
  </conditionalFormatting>
  <conditionalFormatting sqref="D69">
    <cfRule type="cellIs" dxfId="99" priority="23" operator="lessThan">
      <formula>0</formula>
    </cfRule>
  </conditionalFormatting>
  <conditionalFormatting sqref="D67:D69">
    <cfRule type="cellIs" dxfId="98" priority="22" operator="lessThan">
      <formula>0</formula>
    </cfRule>
  </conditionalFormatting>
  <conditionalFormatting sqref="C21">
    <cfRule type="cellIs" dxfId="97" priority="20" operator="lessThan">
      <formula>0</formula>
    </cfRule>
  </conditionalFormatting>
  <conditionalFormatting sqref="D20:N20">
    <cfRule type="cellIs" dxfId="96" priority="19" operator="lessThan">
      <formula>0</formula>
    </cfRule>
  </conditionalFormatting>
  <conditionalFormatting sqref="C29">
    <cfRule type="cellIs" dxfId="95" priority="18" operator="lessThan">
      <formula>0</formula>
    </cfRule>
  </conditionalFormatting>
  <conditionalFormatting sqref="D28:N28">
    <cfRule type="cellIs" dxfId="94" priority="17" operator="lessThan">
      <formula>0</formula>
    </cfRule>
  </conditionalFormatting>
  <conditionalFormatting sqref="C60:C62">
    <cfRule type="cellIs" dxfId="93" priority="16" operator="lessThan">
      <formula>0</formula>
    </cfRule>
  </conditionalFormatting>
  <conditionalFormatting sqref="C60:C62">
    <cfRule type="cellIs" dxfId="92" priority="15" operator="lessThan">
      <formula>0</formula>
    </cfRule>
  </conditionalFormatting>
  <conditionalFormatting sqref="C29 C21">
    <cfRule type="cellIs" dxfId="91" priority="14" operator="lessThan">
      <formula>0</formula>
    </cfRule>
  </conditionalFormatting>
  <conditionalFormatting sqref="D48">
    <cfRule type="cellIs" dxfId="90" priority="13" operator="lessThan">
      <formula>0</formula>
    </cfRule>
  </conditionalFormatting>
  <conditionalFormatting sqref="B53:C56">
    <cfRule type="cellIs" dxfId="89" priority="12" operator="lessThan">
      <formula>0</formula>
    </cfRule>
  </conditionalFormatting>
  <conditionalFormatting sqref="B52 B53:C56">
    <cfRule type="cellIs" dxfId="88" priority="11" operator="lessThan">
      <formula>0</formula>
    </cfRule>
  </conditionalFormatting>
  <conditionalFormatting sqref="B53:C53">
    <cfRule type="cellIs" dxfId="87" priority="10" operator="lessThan">
      <formula>0</formula>
    </cfRule>
  </conditionalFormatting>
  <conditionalFormatting sqref="C54:C56">
    <cfRule type="cellIs" dxfId="86" priority="9" operator="lessThan">
      <formula>0</formula>
    </cfRule>
  </conditionalFormatting>
  <conditionalFormatting sqref="B57">
    <cfRule type="cellIs" dxfId="85" priority="8" operator="lessThan">
      <formula>0</formula>
    </cfRule>
  </conditionalFormatting>
  <conditionalFormatting sqref="B23 B15 B7">
    <cfRule type="cellIs" dxfId="84" priority="7" operator="lessThan">
      <formula>0</formula>
    </cfRule>
  </conditionalFormatting>
  <conditionalFormatting sqref="B65">
    <cfRule type="cellIs" dxfId="83" priority="6" operator="lessThan">
      <formula>0</formula>
    </cfRule>
  </conditionalFormatting>
  <conditionalFormatting sqref="B60:B62">
    <cfRule type="cellIs" dxfId="82" priority="5" operator="lessThan">
      <formula>0</formula>
    </cfRule>
  </conditionalFormatting>
  <conditionalFormatting sqref="E3 K3 H3">
    <cfRule type="cellIs" dxfId="81" priority="4" operator="lessThan">
      <formula>0</formula>
    </cfRule>
  </conditionalFormatting>
  <conditionalFormatting sqref="C63">
    <cfRule type="cellIs" dxfId="80" priority="2" operator="lessThan">
      <formula>0</formula>
    </cfRule>
  </conditionalFormatting>
  <conditionalFormatting sqref="M2:N2">
    <cfRule type="cellIs" dxfId="79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592D6-A0A0-441F-A3B1-B66C830C5243}">
  <dimension ref="B1:O75"/>
  <sheetViews>
    <sheetView zoomScale="85" zoomScaleNormal="85" workbookViewId="0">
      <selection activeCell="J18" sqref="J18"/>
    </sheetView>
  </sheetViews>
  <sheetFormatPr defaultColWidth="9.140625" defaultRowHeight="12.75" x14ac:dyDescent="0.2"/>
  <cols>
    <col min="1" max="1" width="9.140625" style="6"/>
    <col min="2" max="2" width="34.28515625" style="6" bestFit="1" customWidth="1"/>
    <col min="3" max="3" width="13.140625" style="9" bestFit="1" customWidth="1"/>
    <col min="4" max="4" width="13.7109375" style="10" bestFit="1" customWidth="1"/>
    <col min="5" max="5" width="14.42578125" style="33" bestFit="1" customWidth="1"/>
    <col min="6" max="13" width="13.7109375" style="33" bestFit="1" customWidth="1"/>
    <col min="14" max="14" width="14.5703125" style="33" bestFit="1" customWidth="1"/>
    <col min="15" max="15" width="12.7109375" style="41" customWidth="1"/>
    <col min="16" max="16384" width="9.140625" style="6"/>
  </cols>
  <sheetData>
    <row r="1" spans="2:15" ht="13.5" thickBot="1" x14ac:dyDescent="0.25">
      <c r="D1" s="323"/>
      <c r="E1" s="325"/>
      <c r="F1" s="325"/>
      <c r="G1" s="325"/>
      <c r="H1" s="325"/>
      <c r="I1" s="325"/>
      <c r="J1" s="325"/>
      <c r="K1" s="325"/>
      <c r="L1" s="325"/>
      <c r="M1" s="127"/>
      <c r="N1" s="325"/>
    </row>
    <row r="2" spans="2:15" ht="15.75" thickBot="1" x14ac:dyDescent="0.25">
      <c r="B2" s="113"/>
      <c r="C2" s="518"/>
      <c r="D2" s="519"/>
      <c r="E2" s="520"/>
      <c r="F2" s="520"/>
      <c r="G2" s="520"/>
      <c r="H2" s="520"/>
      <c r="I2" s="520"/>
      <c r="J2" s="520"/>
      <c r="K2" s="520"/>
      <c r="L2" s="520"/>
      <c r="M2" s="952" t="s">
        <v>1</v>
      </c>
      <c r="N2" s="953" t="s">
        <v>105</v>
      </c>
      <c r="O2" s="58"/>
    </row>
    <row r="3" spans="2:15" x14ac:dyDescent="0.2">
      <c r="B3" s="112"/>
      <c r="C3" s="441"/>
      <c r="D3" s="455"/>
      <c r="E3" s="1235" t="s">
        <v>2</v>
      </c>
      <c r="F3" s="1235"/>
      <c r="G3" s="1235"/>
      <c r="H3" s="1234" t="s">
        <v>207</v>
      </c>
      <c r="I3" s="1234"/>
      <c r="J3" s="1234"/>
      <c r="K3" s="1247" t="s">
        <v>208</v>
      </c>
      <c r="L3" s="1247"/>
      <c r="M3" s="1247"/>
      <c r="N3" s="1248"/>
      <c r="O3" s="58"/>
    </row>
    <row r="4" spans="2:15" x14ac:dyDescent="0.2">
      <c r="B4" s="112"/>
      <c r="C4" s="441"/>
      <c r="D4" s="456">
        <v>0</v>
      </c>
      <c r="E4" s="427">
        <f>D4+1</f>
        <v>1</v>
      </c>
      <c r="F4" s="427">
        <f t="shared" ref="F4:N4" si="0">E4+1</f>
        <v>2</v>
      </c>
      <c r="G4" s="427">
        <f t="shared" si="0"/>
        <v>3</v>
      </c>
      <c r="H4" s="434">
        <f t="shared" si="0"/>
        <v>4</v>
      </c>
      <c r="I4" s="434">
        <f t="shared" si="0"/>
        <v>5</v>
      </c>
      <c r="J4" s="434">
        <f t="shared" si="0"/>
        <v>6</v>
      </c>
      <c r="K4" s="428">
        <f t="shared" si="0"/>
        <v>7</v>
      </c>
      <c r="L4" s="428">
        <f t="shared" si="0"/>
        <v>8</v>
      </c>
      <c r="M4" s="428">
        <f t="shared" si="0"/>
        <v>9</v>
      </c>
      <c r="N4" s="458">
        <f t="shared" si="0"/>
        <v>10</v>
      </c>
      <c r="O4" s="34"/>
    </row>
    <row r="5" spans="2:15" ht="13.5" thickBot="1" x14ac:dyDescent="0.25">
      <c r="B5" s="112"/>
      <c r="C5" s="441" t="s">
        <v>52</v>
      </c>
      <c r="D5" s="457" t="str">
        <f>'1. Infrastructure Costs'!D5</f>
        <v>2020-2021</v>
      </c>
      <c r="E5" s="410">
        <f>'1. Infrastructure Costs'!E5</f>
        <v>2022</v>
      </c>
      <c r="F5" s="415">
        <f t="shared" ref="F5:N5" si="1">E5+1</f>
        <v>2023</v>
      </c>
      <c r="G5" s="415">
        <f t="shared" si="1"/>
        <v>2024</v>
      </c>
      <c r="H5" s="435">
        <f t="shared" si="1"/>
        <v>2025</v>
      </c>
      <c r="I5" s="435">
        <f t="shared" si="1"/>
        <v>2026</v>
      </c>
      <c r="J5" s="435">
        <f t="shared" si="1"/>
        <v>2027</v>
      </c>
      <c r="K5" s="433">
        <f t="shared" si="1"/>
        <v>2028</v>
      </c>
      <c r="L5" s="433">
        <f t="shared" si="1"/>
        <v>2029</v>
      </c>
      <c r="M5" s="433">
        <f t="shared" si="1"/>
        <v>2030</v>
      </c>
      <c r="N5" s="459">
        <f t="shared" si="1"/>
        <v>2031</v>
      </c>
      <c r="O5" s="58"/>
    </row>
    <row r="6" spans="2:15" ht="13.5" thickBot="1" x14ac:dyDescent="0.25">
      <c r="B6" s="522" t="s">
        <v>71</v>
      </c>
      <c r="C6" s="485"/>
      <c r="D6" s="486"/>
      <c r="E6" s="487"/>
      <c r="F6" s="487"/>
      <c r="G6" s="487"/>
      <c r="H6" s="487"/>
      <c r="I6" s="487"/>
      <c r="J6" s="487"/>
      <c r="K6" s="487"/>
      <c r="L6" s="487"/>
      <c r="M6" s="487"/>
      <c r="N6" s="488"/>
      <c r="O6" s="43"/>
    </row>
    <row r="7" spans="2:15" s="12" customFormat="1" x14ac:dyDescent="0.2">
      <c r="B7" s="525" t="s">
        <v>206</v>
      </c>
      <c r="C7" s="441"/>
      <c r="D7" s="451"/>
      <c r="E7" s="244"/>
      <c r="F7" s="244"/>
      <c r="G7" s="244"/>
      <c r="H7" s="509"/>
      <c r="I7" s="509"/>
      <c r="J7" s="509"/>
      <c r="K7" s="426"/>
      <c r="L7" s="426"/>
      <c r="M7" s="426"/>
      <c r="N7" s="514"/>
      <c r="O7" s="43"/>
    </row>
    <row r="8" spans="2:15" x14ac:dyDescent="0.2">
      <c r="B8" s="526" t="s">
        <v>53</v>
      </c>
      <c r="C8" s="443">
        <v>0.02</v>
      </c>
      <c r="D8" s="445"/>
      <c r="E8" s="510"/>
      <c r="F8" s="510"/>
      <c r="G8" s="510"/>
      <c r="H8" s="511"/>
      <c r="I8" s="511"/>
      <c r="J8" s="511"/>
      <c r="K8" s="512"/>
      <c r="L8" s="512"/>
      <c r="M8" s="512"/>
      <c r="N8" s="515"/>
      <c r="O8" s="240"/>
    </row>
    <row r="9" spans="2:15" hidden="1" x14ac:dyDescent="0.2">
      <c r="B9" s="526" t="s">
        <v>78</v>
      </c>
      <c r="C9" s="443"/>
      <c r="D9" s="445"/>
      <c r="E9" s="510"/>
      <c r="F9" s="510"/>
      <c r="G9" s="510"/>
      <c r="H9" s="511"/>
      <c r="I9" s="511"/>
      <c r="J9" s="511"/>
      <c r="K9" s="512"/>
      <c r="L9" s="512"/>
      <c r="M9" s="512"/>
      <c r="N9" s="515"/>
      <c r="O9" s="240"/>
    </row>
    <row r="10" spans="2:15" x14ac:dyDescent="0.2">
      <c r="B10" s="526" t="s">
        <v>79</v>
      </c>
      <c r="C10" s="441"/>
      <c r="D10" s="451"/>
      <c r="E10" s="261">
        <f>E59</f>
        <v>0</v>
      </c>
      <c r="F10" s="261">
        <f t="shared" ref="F10" si="2">F59</f>
        <v>202741.33333333331</v>
      </c>
      <c r="G10" s="261">
        <f>C59</f>
        <v>304112</v>
      </c>
      <c r="H10" s="436">
        <f>G10</f>
        <v>304112</v>
      </c>
      <c r="I10" s="436">
        <f t="shared" ref="I10:N10" si="3">H10</f>
        <v>304112</v>
      </c>
      <c r="J10" s="436">
        <f t="shared" si="3"/>
        <v>304112</v>
      </c>
      <c r="K10" s="273">
        <f t="shared" si="3"/>
        <v>304112</v>
      </c>
      <c r="L10" s="273">
        <f t="shared" si="3"/>
        <v>304112</v>
      </c>
      <c r="M10" s="273">
        <f t="shared" si="3"/>
        <v>304112</v>
      </c>
      <c r="N10" s="460">
        <f t="shared" si="3"/>
        <v>304112</v>
      </c>
      <c r="O10" s="241"/>
    </row>
    <row r="11" spans="2:15" x14ac:dyDescent="0.2">
      <c r="B11" s="526" t="s">
        <v>63</v>
      </c>
      <c r="C11" s="443">
        <v>0.9</v>
      </c>
      <c r="D11" s="445"/>
      <c r="E11" s="261">
        <f>$C$11*E10</f>
        <v>0</v>
      </c>
      <c r="F11" s="261">
        <f t="shared" ref="F11:N11" si="4">$C$11*F10</f>
        <v>182467.19999999998</v>
      </c>
      <c r="G11" s="261">
        <f t="shared" si="4"/>
        <v>273700.8</v>
      </c>
      <c r="H11" s="436">
        <f t="shared" si="4"/>
        <v>273700.8</v>
      </c>
      <c r="I11" s="436">
        <f t="shared" si="4"/>
        <v>273700.8</v>
      </c>
      <c r="J11" s="436">
        <f t="shared" si="4"/>
        <v>273700.8</v>
      </c>
      <c r="K11" s="273">
        <f t="shared" si="4"/>
        <v>273700.8</v>
      </c>
      <c r="L11" s="273">
        <f t="shared" si="4"/>
        <v>273700.8</v>
      </c>
      <c r="M11" s="273">
        <f t="shared" si="4"/>
        <v>273700.8</v>
      </c>
      <c r="N11" s="460">
        <f t="shared" si="4"/>
        <v>273700.8</v>
      </c>
      <c r="O11" s="241"/>
    </row>
    <row r="12" spans="2:15" x14ac:dyDescent="0.2">
      <c r="B12" s="526" t="s">
        <v>80</v>
      </c>
      <c r="C12" s="443"/>
      <c r="D12" s="531">
        <v>0</v>
      </c>
      <c r="E12" s="245">
        <v>1</v>
      </c>
      <c r="F12" s="245">
        <v>0.4</v>
      </c>
      <c r="G12" s="246">
        <v>0.1</v>
      </c>
      <c r="H12" s="256">
        <v>3.5000000000000003E-2</v>
      </c>
      <c r="I12" s="256">
        <v>3.5000000000000003E-2</v>
      </c>
      <c r="J12" s="256">
        <v>3.5000000000000003E-2</v>
      </c>
      <c r="K12" s="251">
        <v>3.5000000000000003E-2</v>
      </c>
      <c r="L12" s="251">
        <v>3.5000000000000003E-2</v>
      </c>
      <c r="M12" s="251">
        <v>3.5000000000000003E-2</v>
      </c>
      <c r="N12" s="516">
        <v>3.5000000000000003E-2</v>
      </c>
      <c r="O12" s="238"/>
    </row>
    <row r="13" spans="2:15" x14ac:dyDescent="0.2">
      <c r="B13" s="526" t="s">
        <v>113</v>
      </c>
      <c r="C13" s="449">
        <v>21.65</v>
      </c>
      <c r="D13" s="450">
        <f>C13</f>
        <v>21.65</v>
      </c>
      <c r="E13" s="210">
        <f t="shared" ref="E13:N13" si="5">$D13*(1+$C$8)^E$4</f>
        <v>22.082999999999998</v>
      </c>
      <c r="F13" s="210">
        <f t="shared" si="5"/>
        <v>22.524659999999997</v>
      </c>
      <c r="G13" s="210">
        <f t="shared" si="5"/>
        <v>22.975153199999998</v>
      </c>
      <c r="H13" s="213">
        <f t="shared" si="5"/>
        <v>23.434656263999997</v>
      </c>
      <c r="I13" s="213">
        <f t="shared" si="5"/>
        <v>23.903349389279999</v>
      </c>
      <c r="J13" s="213">
        <f t="shared" si="5"/>
        <v>24.381416377065602</v>
      </c>
      <c r="K13" s="216">
        <f t="shared" si="5"/>
        <v>24.869044704606907</v>
      </c>
      <c r="L13" s="216">
        <f t="shared" si="5"/>
        <v>25.366425598699045</v>
      </c>
      <c r="M13" s="216">
        <f t="shared" si="5"/>
        <v>25.873754110673026</v>
      </c>
      <c r="N13" s="462">
        <f t="shared" si="5"/>
        <v>26.391229192886488</v>
      </c>
      <c r="O13" s="55"/>
    </row>
    <row r="14" spans="2:15" x14ac:dyDescent="0.2">
      <c r="B14" s="529" t="s">
        <v>81</v>
      </c>
      <c r="C14" s="495"/>
      <c r="D14" s="496"/>
      <c r="E14" s="248">
        <f>E13*(1-E12)*E11</f>
        <v>0</v>
      </c>
      <c r="F14" s="248">
        <f t="shared" ref="F14:N14" si="6">F13*(1-F12)*F11</f>
        <v>2466006.9846911994</v>
      </c>
      <c r="G14" s="248">
        <f t="shared" si="6"/>
        <v>5659486.0298663033</v>
      </c>
      <c r="H14" s="258">
        <f t="shared" si="6"/>
        <v>6189591.2213304471</v>
      </c>
      <c r="I14" s="258">
        <f t="shared" si="6"/>
        <v>6313383.0457570562</v>
      </c>
      <c r="J14" s="258">
        <f t="shared" si="6"/>
        <v>6439650.7066721981</v>
      </c>
      <c r="K14" s="253">
        <f t="shared" si="6"/>
        <v>6568443.7208056403</v>
      </c>
      <c r="L14" s="253">
        <f t="shared" si="6"/>
        <v>6699812.5952217532</v>
      </c>
      <c r="M14" s="253">
        <f t="shared" si="6"/>
        <v>6833808.8471261878</v>
      </c>
      <c r="N14" s="530">
        <f t="shared" si="6"/>
        <v>6970485.0240687123</v>
      </c>
      <c r="O14" s="75"/>
    </row>
    <row r="15" spans="2:15" x14ac:dyDescent="0.2">
      <c r="B15" s="357" t="s">
        <v>207</v>
      </c>
      <c r="C15" s="441"/>
      <c r="D15" s="451"/>
      <c r="E15" s="249"/>
      <c r="F15" s="249"/>
      <c r="G15" s="249"/>
      <c r="H15" s="259"/>
      <c r="I15" s="259"/>
      <c r="J15" s="259"/>
      <c r="K15" s="254"/>
      <c r="L15" s="254"/>
      <c r="M15" s="254"/>
      <c r="N15" s="517"/>
      <c r="O15" s="75"/>
    </row>
    <row r="16" spans="2:15" x14ac:dyDescent="0.2">
      <c r="B16" s="526" t="s">
        <v>53</v>
      </c>
      <c r="C16" s="443">
        <v>0.02</v>
      </c>
      <c r="D16" s="445"/>
      <c r="E16" s="510"/>
      <c r="F16" s="510"/>
      <c r="G16" s="510"/>
      <c r="H16" s="511"/>
      <c r="I16" s="511"/>
      <c r="J16" s="511"/>
      <c r="K16" s="512"/>
      <c r="L16" s="512"/>
      <c r="M16" s="512"/>
      <c r="N16" s="515"/>
      <c r="O16" s="75"/>
    </row>
    <row r="17" spans="2:15" x14ac:dyDescent="0.2">
      <c r="B17" s="526" t="s">
        <v>78</v>
      </c>
      <c r="C17" s="443"/>
      <c r="D17" s="445"/>
      <c r="E17" s="510"/>
      <c r="F17" s="510"/>
      <c r="G17" s="510"/>
      <c r="H17" s="511"/>
      <c r="I17" s="511"/>
      <c r="J17" s="511"/>
      <c r="K17" s="512"/>
      <c r="L17" s="512"/>
      <c r="M17" s="512"/>
      <c r="N17" s="515"/>
      <c r="O17" s="75"/>
    </row>
    <row r="18" spans="2:15" x14ac:dyDescent="0.2">
      <c r="B18" s="526" t="s">
        <v>79</v>
      </c>
      <c r="C18" s="441"/>
      <c r="D18" s="451"/>
      <c r="E18" s="261">
        <f>E65</f>
        <v>0</v>
      </c>
      <c r="F18" s="261">
        <f>F65</f>
        <v>0</v>
      </c>
      <c r="G18" s="261">
        <f>G65</f>
        <v>0</v>
      </c>
      <c r="H18" s="436">
        <f>H60</f>
        <v>128973</v>
      </c>
      <c r="I18" s="436">
        <f>H18</f>
        <v>128973</v>
      </c>
      <c r="J18" s="436">
        <f>C60</f>
        <v>128973</v>
      </c>
      <c r="K18" s="273">
        <f>J18</f>
        <v>128973</v>
      </c>
      <c r="L18" s="273">
        <f t="shared" ref="L18" si="7">K18</f>
        <v>128973</v>
      </c>
      <c r="M18" s="273">
        <f t="shared" ref="M18" si="8">L18</f>
        <v>128973</v>
      </c>
      <c r="N18" s="460">
        <f t="shared" ref="N18" si="9">M18</f>
        <v>128973</v>
      </c>
      <c r="O18" s="75"/>
    </row>
    <row r="19" spans="2:15" x14ac:dyDescent="0.2">
      <c r="B19" s="526" t="s">
        <v>63</v>
      </c>
      <c r="C19" s="443">
        <v>0.9</v>
      </c>
      <c r="D19" s="445"/>
      <c r="E19" s="261">
        <f>$C$19*E18</f>
        <v>0</v>
      </c>
      <c r="F19" s="261">
        <f t="shared" ref="F19:N19" si="10">$C$19*F18</f>
        <v>0</v>
      </c>
      <c r="G19" s="261">
        <f t="shared" si="10"/>
        <v>0</v>
      </c>
      <c r="H19" s="436">
        <f t="shared" si="10"/>
        <v>116075.7</v>
      </c>
      <c r="I19" s="436">
        <f t="shared" si="10"/>
        <v>116075.7</v>
      </c>
      <c r="J19" s="436">
        <f t="shared" si="10"/>
        <v>116075.7</v>
      </c>
      <c r="K19" s="273">
        <f t="shared" si="10"/>
        <v>116075.7</v>
      </c>
      <c r="L19" s="273">
        <f t="shared" si="10"/>
        <v>116075.7</v>
      </c>
      <c r="M19" s="273">
        <f t="shared" si="10"/>
        <v>116075.7</v>
      </c>
      <c r="N19" s="460">
        <f t="shared" si="10"/>
        <v>116075.7</v>
      </c>
      <c r="O19" s="75"/>
    </row>
    <row r="20" spans="2:15" x14ac:dyDescent="0.2">
      <c r="B20" s="526" t="s">
        <v>80</v>
      </c>
      <c r="C20" s="443"/>
      <c r="D20" s="531">
        <v>0</v>
      </c>
      <c r="E20" s="245">
        <v>1</v>
      </c>
      <c r="F20" s="245">
        <v>1</v>
      </c>
      <c r="G20" s="246">
        <v>1</v>
      </c>
      <c r="H20" s="256">
        <v>0.4</v>
      </c>
      <c r="I20" s="256">
        <v>0.2</v>
      </c>
      <c r="J20" s="256">
        <v>3.5000000000000003E-2</v>
      </c>
      <c r="K20" s="251">
        <v>3.5000000000000003E-2</v>
      </c>
      <c r="L20" s="251">
        <v>3.5000000000000003E-2</v>
      </c>
      <c r="M20" s="251">
        <v>3.5000000000000003E-2</v>
      </c>
      <c r="N20" s="516">
        <v>3.5000000000000003E-2</v>
      </c>
      <c r="O20" s="75"/>
    </row>
    <row r="21" spans="2:15" x14ac:dyDescent="0.2">
      <c r="B21" s="526" t="s">
        <v>113</v>
      </c>
      <c r="C21" s="449">
        <v>21.65</v>
      </c>
      <c r="D21" s="450">
        <f>C21</f>
        <v>21.65</v>
      </c>
      <c r="E21" s="210">
        <f>$D21*(1+$C$16)^E$4</f>
        <v>22.082999999999998</v>
      </c>
      <c r="F21" s="210">
        <f t="shared" ref="F21:N21" si="11">$D21*(1+$C$16)^F$4</f>
        <v>22.524659999999997</v>
      </c>
      <c r="G21" s="210">
        <f t="shared" si="11"/>
        <v>22.975153199999998</v>
      </c>
      <c r="H21" s="213">
        <f t="shared" si="11"/>
        <v>23.434656263999997</v>
      </c>
      <c r="I21" s="213">
        <f t="shared" si="11"/>
        <v>23.903349389279999</v>
      </c>
      <c r="J21" s="213">
        <f t="shared" si="11"/>
        <v>24.381416377065602</v>
      </c>
      <c r="K21" s="216">
        <f t="shared" si="11"/>
        <v>24.869044704606907</v>
      </c>
      <c r="L21" s="216">
        <f t="shared" si="11"/>
        <v>25.366425598699045</v>
      </c>
      <c r="M21" s="216">
        <f t="shared" si="11"/>
        <v>25.873754110673026</v>
      </c>
      <c r="N21" s="462">
        <f t="shared" si="11"/>
        <v>26.391229192886488</v>
      </c>
      <c r="O21" s="75"/>
    </row>
    <row r="22" spans="2:15" x14ac:dyDescent="0.2">
      <c r="B22" s="529" t="s">
        <v>81</v>
      </c>
      <c r="C22" s="495"/>
      <c r="D22" s="496"/>
      <c r="E22" s="248">
        <f>E21*(1-E20)*E19</f>
        <v>0</v>
      </c>
      <c r="F22" s="248">
        <f t="shared" ref="F22:N22" si="12">F21*(1-F20)*F19</f>
        <v>0</v>
      </c>
      <c r="G22" s="248">
        <f t="shared" si="12"/>
        <v>0</v>
      </c>
      <c r="H22" s="258">
        <f t="shared" si="12"/>
        <v>1632116.4780619105</v>
      </c>
      <c r="I22" s="258">
        <f t="shared" si="12"/>
        <v>2219678.4101641988</v>
      </c>
      <c r="J22" s="258">
        <f t="shared" si="12"/>
        <v>2731036.8239057763</v>
      </c>
      <c r="K22" s="253">
        <f t="shared" si="12"/>
        <v>2785657.5603838912</v>
      </c>
      <c r="L22" s="253">
        <f t="shared" si="12"/>
        <v>2841370.7115915688</v>
      </c>
      <c r="M22" s="253">
        <f t="shared" si="12"/>
        <v>2898198.1258234</v>
      </c>
      <c r="N22" s="530">
        <f t="shared" si="12"/>
        <v>2956162.0883398685</v>
      </c>
      <c r="O22" s="75"/>
    </row>
    <row r="23" spans="2:15" x14ac:dyDescent="0.2">
      <c r="B23" s="357" t="s">
        <v>208</v>
      </c>
      <c r="C23" s="441"/>
      <c r="D23" s="451"/>
      <c r="E23" s="249"/>
      <c r="F23" s="249"/>
      <c r="G23" s="249"/>
      <c r="H23" s="259"/>
      <c r="I23" s="259"/>
      <c r="J23" s="259"/>
      <c r="K23" s="254"/>
      <c r="L23" s="254"/>
      <c r="M23" s="254"/>
      <c r="N23" s="517"/>
      <c r="O23" s="75"/>
    </row>
    <row r="24" spans="2:15" x14ac:dyDescent="0.2">
      <c r="B24" s="526" t="s">
        <v>53</v>
      </c>
      <c r="C24" s="443">
        <v>0.02</v>
      </c>
      <c r="D24" s="445"/>
      <c r="E24" s="510"/>
      <c r="F24" s="510"/>
      <c r="G24" s="510"/>
      <c r="H24" s="511"/>
      <c r="I24" s="511"/>
      <c r="J24" s="511"/>
      <c r="K24" s="512"/>
      <c r="L24" s="512"/>
      <c r="M24" s="512"/>
      <c r="N24" s="515"/>
      <c r="O24" s="75"/>
    </row>
    <row r="25" spans="2:15" x14ac:dyDescent="0.2">
      <c r="B25" s="526" t="s">
        <v>78</v>
      </c>
      <c r="C25" s="443"/>
      <c r="D25" s="445"/>
      <c r="E25" s="510"/>
      <c r="F25" s="510"/>
      <c r="G25" s="510"/>
      <c r="H25" s="511"/>
      <c r="I25" s="511"/>
      <c r="J25" s="511"/>
      <c r="K25" s="512"/>
      <c r="L25" s="512"/>
      <c r="M25" s="512"/>
      <c r="N25" s="515"/>
      <c r="O25" s="75"/>
    </row>
    <row r="26" spans="2:15" x14ac:dyDescent="0.2">
      <c r="B26" s="526" t="s">
        <v>79</v>
      </c>
      <c r="C26" s="441"/>
      <c r="D26" s="451"/>
      <c r="E26" s="261">
        <f>E72</f>
        <v>0</v>
      </c>
      <c r="F26" s="261">
        <f t="shared" ref="F26:J26" si="13">F72</f>
        <v>0</v>
      </c>
      <c r="G26" s="261">
        <f t="shared" si="13"/>
        <v>0</v>
      </c>
      <c r="H26" s="436">
        <f t="shared" si="13"/>
        <v>0</v>
      </c>
      <c r="I26" s="436">
        <f t="shared" si="13"/>
        <v>0</v>
      </c>
      <c r="J26" s="436">
        <f t="shared" si="13"/>
        <v>0</v>
      </c>
      <c r="K26" s="273">
        <f>J26</f>
        <v>0</v>
      </c>
      <c r="L26" s="273">
        <f t="shared" ref="L26" si="14">K26</f>
        <v>0</v>
      </c>
      <c r="M26" s="273">
        <f t="shared" ref="M26" si="15">L26</f>
        <v>0</v>
      </c>
      <c r="N26" s="460">
        <f t="shared" ref="N26" si="16">M26</f>
        <v>0</v>
      </c>
      <c r="O26" s="75"/>
    </row>
    <row r="27" spans="2:15" x14ac:dyDescent="0.2">
      <c r="B27" s="526" t="s">
        <v>63</v>
      </c>
      <c r="C27" s="443">
        <v>0.9</v>
      </c>
      <c r="D27" s="445"/>
      <c r="E27" s="261">
        <f>$C$11*E26</f>
        <v>0</v>
      </c>
      <c r="F27" s="261">
        <f t="shared" ref="F27:N27" si="17">$C$11*F26</f>
        <v>0</v>
      </c>
      <c r="G27" s="261">
        <f t="shared" si="17"/>
        <v>0</v>
      </c>
      <c r="H27" s="436">
        <f t="shared" si="17"/>
        <v>0</v>
      </c>
      <c r="I27" s="436">
        <f t="shared" si="17"/>
        <v>0</v>
      </c>
      <c r="J27" s="436">
        <f t="shared" si="17"/>
        <v>0</v>
      </c>
      <c r="K27" s="273">
        <f t="shared" si="17"/>
        <v>0</v>
      </c>
      <c r="L27" s="273">
        <f t="shared" si="17"/>
        <v>0</v>
      </c>
      <c r="M27" s="273">
        <f t="shared" si="17"/>
        <v>0</v>
      </c>
      <c r="N27" s="460">
        <f t="shared" si="17"/>
        <v>0</v>
      </c>
      <c r="O27" s="75"/>
    </row>
    <row r="28" spans="2:15" x14ac:dyDescent="0.2">
      <c r="B28" s="526" t="s">
        <v>80</v>
      </c>
      <c r="C28" s="443"/>
      <c r="D28" s="531">
        <v>0</v>
      </c>
      <c r="E28" s="245">
        <v>1</v>
      </c>
      <c r="F28" s="245">
        <v>0.4</v>
      </c>
      <c r="G28" s="246">
        <v>3.4000000000000002E-2</v>
      </c>
      <c r="H28" s="256">
        <v>3.4000000000000002E-2</v>
      </c>
      <c r="I28" s="256">
        <v>3.4000000000000002E-2</v>
      </c>
      <c r="J28" s="256">
        <v>3.4000000000000002E-2</v>
      </c>
      <c r="K28" s="251">
        <v>3.4000000000000002E-2</v>
      </c>
      <c r="L28" s="251">
        <v>3.4000000000000002E-2</v>
      </c>
      <c r="M28" s="251">
        <v>3.4000000000000002E-2</v>
      </c>
      <c r="N28" s="516">
        <v>3.4000000000000002E-2</v>
      </c>
      <c r="O28" s="75"/>
    </row>
    <row r="29" spans="2:15" x14ac:dyDescent="0.2">
      <c r="B29" s="526" t="s">
        <v>113</v>
      </c>
      <c r="C29" s="449">
        <v>21.65</v>
      </c>
      <c r="D29" s="450">
        <f>C29</f>
        <v>21.65</v>
      </c>
      <c r="E29" s="210">
        <f>$D29*(1+$C$24)^E$4</f>
        <v>22.082999999999998</v>
      </c>
      <c r="F29" s="210">
        <f t="shared" ref="F29:N29" si="18">$D29*(1+$C$24)^F$4</f>
        <v>22.524659999999997</v>
      </c>
      <c r="G29" s="210">
        <f t="shared" si="18"/>
        <v>22.975153199999998</v>
      </c>
      <c r="H29" s="213">
        <f t="shared" si="18"/>
        <v>23.434656263999997</v>
      </c>
      <c r="I29" s="213">
        <f t="shared" si="18"/>
        <v>23.903349389279999</v>
      </c>
      <c r="J29" s="213">
        <f t="shared" si="18"/>
        <v>24.381416377065602</v>
      </c>
      <c r="K29" s="216">
        <f t="shared" si="18"/>
        <v>24.869044704606907</v>
      </c>
      <c r="L29" s="216">
        <f t="shared" si="18"/>
        <v>25.366425598699045</v>
      </c>
      <c r="M29" s="216">
        <f t="shared" si="18"/>
        <v>25.873754110673026</v>
      </c>
      <c r="N29" s="462">
        <f t="shared" si="18"/>
        <v>26.391229192886488</v>
      </c>
      <c r="O29" s="75"/>
    </row>
    <row r="30" spans="2:15" ht="13.5" thickBot="1" x14ac:dyDescent="0.25">
      <c r="B30" s="112" t="s">
        <v>81</v>
      </c>
      <c r="C30" s="441"/>
      <c r="D30" s="451"/>
      <c r="E30" s="249">
        <f>E29*(1-E28)*E27</f>
        <v>0</v>
      </c>
      <c r="F30" s="249">
        <f t="shared" ref="F30:N30" si="19">F29*(1-F28)*F27</f>
        <v>0</v>
      </c>
      <c r="G30" s="249">
        <f t="shared" si="19"/>
        <v>0</v>
      </c>
      <c r="H30" s="259">
        <f t="shared" si="19"/>
        <v>0</v>
      </c>
      <c r="I30" s="259">
        <f t="shared" si="19"/>
        <v>0</v>
      </c>
      <c r="J30" s="259">
        <f t="shared" si="19"/>
        <v>0</v>
      </c>
      <c r="K30" s="254">
        <f t="shared" si="19"/>
        <v>0</v>
      </c>
      <c r="L30" s="254">
        <f t="shared" si="19"/>
        <v>0</v>
      </c>
      <c r="M30" s="254">
        <f t="shared" si="19"/>
        <v>0</v>
      </c>
      <c r="N30" s="517">
        <f t="shared" si="19"/>
        <v>0</v>
      </c>
      <c r="O30" s="75"/>
    </row>
    <row r="31" spans="2:15" ht="13.5" thickBot="1" x14ac:dyDescent="0.25">
      <c r="B31" s="522" t="s">
        <v>3</v>
      </c>
      <c r="C31" s="485"/>
      <c r="D31" s="486"/>
      <c r="E31" s="487"/>
      <c r="F31" s="487"/>
      <c r="G31" s="487"/>
      <c r="H31" s="487"/>
      <c r="I31" s="487"/>
      <c r="J31" s="487"/>
      <c r="K31" s="487"/>
      <c r="L31" s="487"/>
      <c r="M31" s="487"/>
      <c r="N31" s="488"/>
      <c r="O31" s="43"/>
    </row>
    <row r="32" spans="2:15" x14ac:dyDescent="0.2">
      <c r="B32" s="526" t="s">
        <v>82</v>
      </c>
      <c r="C32" s="441"/>
      <c r="D32" s="451"/>
      <c r="E32" s="249">
        <f t="shared" ref="E32:N32" si="20">SUM(E14,E22,E30)</f>
        <v>0</v>
      </c>
      <c r="F32" s="249">
        <f t="shared" si="20"/>
        <v>2466006.9846911994</v>
      </c>
      <c r="G32" s="249">
        <f t="shared" si="20"/>
        <v>5659486.0298663033</v>
      </c>
      <c r="H32" s="259">
        <f t="shared" si="20"/>
        <v>7821707.6993923578</v>
      </c>
      <c r="I32" s="259">
        <f t="shared" si="20"/>
        <v>8533061.4559212551</v>
      </c>
      <c r="J32" s="259">
        <f t="shared" si="20"/>
        <v>9170687.5305779744</v>
      </c>
      <c r="K32" s="254">
        <f t="shared" si="20"/>
        <v>9354101.2811895311</v>
      </c>
      <c r="L32" s="254">
        <f t="shared" si="20"/>
        <v>9541183.306813322</v>
      </c>
      <c r="M32" s="254">
        <f t="shared" si="20"/>
        <v>9732006.9729495868</v>
      </c>
      <c r="N32" s="517">
        <f t="shared" si="20"/>
        <v>9926647.1124085803</v>
      </c>
      <c r="O32" s="75"/>
    </row>
    <row r="33" spans="2:15" s="49" customFormat="1" x14ac:dyDescent="0.2">
      <c r="B33" s="527" t="s">
        <v>114</v>
      </c>
      <c r="C33" s="528">
        <v>0.35</v>
      </c>
      <c r="D33" s="532"/>
      <c r="E33" s="249">
        <f>-(E32*$C$33)</f>
        <v>0</v>
      </c>
      <c r="F33" s="249">
        <f t="shared" ref="F33:N33" si="21">-(F32*$C$33)</f>
        <v>-863102.44464191969</v>
      </c>
      <c r="G33" s="249">
        <f t="shared" si="21"/>
        <v>-1980820.1104532061</v>
      </c>
      <c r="H33" s="259">
        <f t="shared" si="21"/>
        <v>-2737597.6947873249</v>
      </c>
      <c r="I33" s="259">
        <f t="shared" si="21"/>
        <v>-2986571.5095724389</v>
      </c>
      <c r="J33" s="259">
        <f t="shared" si="21"/>
        <v>-3209740.635702291</v>
      </c>
      <c r="K33" s="254">
        <f t="shared" si="21"/>
        <v>-3273935.4484163355</v>
      </c>
      <c r="L33" s="254">
        <f t="shared" si="21"/>
        <v>-3339414.1573846624</v>
      </c>
      <c r="M33" s="254">
        <f t="shared" si="21"/>
        <v>-3406202.4405323551</v>
      </c>
      <c r="N33" s="517">
        <f t="shared" si="21"/>
        <v>-3474326.4893430029</v>
      </c>
      <c r="O33" s="75"/>
    </row>
    <row r="34" spans="2:15" ht="13.5" thickBot="1" x14ac:dyDescent="0.25">
      <c r="B34" s="525" t="s">
        <v>27</v>
      </c>
      <c r="C34" s="441"/>
      <c r="D34" s="451"/>
      <c r="E34" s="249">
        <f>SUM(E32:E33)</f>
        <v>0</v>
      </c>
      <c r="F34" s="249">
        <f t="shared" ref="F34:N34" si="22">SUM(F32:F33)</f>
        <v>1602904.5400492796</v>
      </c>
      <c r="G34" s="249">
        <f t="shared" si="22"/>
        <v>3678665.9194130972</v>
      </c>
      <c r="H34" s="259">
        <f t="shared" si="22"/>
        <v>5084110.0046050325</v>
      </c>
      <c r="I34" s="259">
        <f t="shared" si="22"/>
        <v>5546489.9463488162</v>
      </c>
      <c r="J34" s="259">
        <f t="shared" si="22"/>
        <v>5960946.8948756829</v>
      </c>
      <c r="K34" s="254">
        <f t="shared" si="22"/>
        <v>6080165.8327731956</v>
      </c>
      <c r="L34" s="254">
        <f t="shared" si="22"/>
        <v>6201769.1494286601</v>
      </c>
      <c r="M34" s="254">
        <f t="shared" si="22"/>
        <v>6325804.5324172322</v>
      </c>
      <c r="N34" s="517">
        <f t="shared" si="22"/>
        <v>6452320.6230655778</v>
      </c>
      <c r="O34" s="75"/>
    </row>
    <row r="35" spans="2:15" ht="13.5" thickBot="1" x14ac:dyDescent="0.25">
      <c r="B35" s="522" t="s">
        <v>20</v>
      </c>
      <c r="C35" s="485"/>
      <c r="D35" s="486"/>
      <c r="E35" s="487"/>
      <c r="F35" s="487"/>
      <c r="G35" s="487"/>
      <c r="H35" s="487"/>
      <c r="I35" s="487"/>
      <c r="J35" s="487"/>
      <c r="K35" s="487"/>
      <c r="L35" s="487"/>
      <c r="M35" s="487"/>
      <c r="N35" s="488"/>
      <c r="O35" s="43"/>
    </row>
    <row r="36" spans="2:15" x14ac:dyDescent="0.2">
      <c r="B36" s="526" t="s">
        <v>111</v>
      </c>
      <c r="C36" s="449">
        <v>147.72</v>
      </c>
      <c r="D36" s="450">
        <f>C36</f>
        <v>147.72</v>
      </c>
      <c r="E36" s="210">
        <f t="shared" ref="E36:N36" si="23">$D36*(1+$C$8)^E$4</f>
        <v>150.67439999999999</v>
      </c>
      <c r="F36" s="210">
        <f t="shared" si="23"/>
        <v>153.68788799999999</v>
      </c>
      <c r="G36" s="210">
        <f t="shared" si="23"/>
        <v>156.76164575999999</v>
      </c>
      <c r="H36" s="213">
        <f t="shared" si="23"/>
        <v>159.89687867519999</v>
      </c>
      <c r="I36" s="213">
        <f t="shared" si="23"/>
        <v>163.09481624870401</v>
      </c>
      <c r="J36" s="213">
        <f t="shared" si="23"/>
        <v>166.3567125736781</v>
      </c>
      <c r="K36" s="216">
        <f t="shared" si="23"/>
        <v>169.68384682515162</v>
      </c>
      <c r="L36" s="216">
        <f t="shared" si="23"/>
        <v>173.07752376165467</v>
      </c>
      <c r="M36" s="216">
        <f t="shared" si="23"/>
        <v>176.53907423688776</v>
      </c>
      <c r="N36" s="462">
        <f t="shared" si="23"/>
        <v>180.06985572162552</v>
      </c>
      <c r="O36" s="55"/>
    </row>
    <row r="37" spans="2:15" x14ac:dyDescent="0.2">
      <c r="B37" s="526" t="s">
        <v>68</v>
      </c>
      <c r="C37" s="441"/>
      <c r="D37" s="451">
        <f>D38/SUM($D$38:$N$38)</f>
        <v>0</v>
      </c>
      <c r="E37" s="245">
        <f t="shared" ref="E37:N37" si="24">E38/SUM($D$38:$N$38)</f>
        <v>0</v>
      </c>
      <c r="F37" s="245">
        <f t="shared" si="24"/>
        <v>0.46043783541154476</v>
      </c>
      <c r="G37" s="245">
        <f t="shared" si="24"/>
        <v>0.23482329605988783</v>
      </c>
      <c r="H37" s="265">
        <f t="shared" si="24"/>
        <v>0.30473886852856735</v>
      </c>
      <c r="I37" s="265">
        <f t="shared" si="24"/>
        <v>0</v>
      </c>
      <c r="J37" s="265">
        <f t="shared" si="24"/>
        <v>0</v>
      </c>
      <c r="K37" s="266">
        <f t="shared" si="24"/>
        <v>0</v>
      </c>
      <c r="L37" s="266">
        <f t="shared" si="24"/>
        <v>0</v>
      </c>
      <c r="M37" s="266">
        <f t="shared" si="24"/>
        <v>0</v>
      </c>
      <c r="N37" s="568">
        <f t="shared" si="24"/>
        <v>0</v>
      </c>
      <c r="O37" s="131"/>
    </row>
    <row r="38" spans="2:15" x14ac:dyDescent="0.2">
      <c r="B38" s="526" t="s">
        <v>20</v>
      </c>
      <c r="C38" s="441"/>
      <c r="D38" s="451"/>
      <c r="E38" s="270">
        <f>E36*E59</f>
        <v>0</v>
      </c>
      <c r="F38" s="270">
        <f t="shared" ref="F38:G38" si="25">F36*F59</f>
        <v>31158887.330303993</v>
      </c>
      <c r="G38" s="270">
        <f t="shared" si="25"/>
        <v>15891032.538455037</v>
      </c>
      <c r="H38" s="290">
        <f>H36*H60</f>
        <v>20622380.133376569</v>
      </c>
      <c r="I38" s="290">
        <f t="shared" ref="I38:J38" si="26">I36*I60</f>
        <v>0</v>
      </c>
      <c r="J38" s="290">
        <f t="shared" si="26"/>
        <v>0</v>
      </c>
      <c r="K38" s="271">
        <f>K36*K61</f>
        <v>0</v>
      </c>
      <c r="L38" s="271">
        <f t="shared" ref="L38:N38" si="27">L36*L61</f>
        <v>0</v>
      </c>
      <c r="M38" s="271">
        <f t="shared" si="27"/>
        <v>0</v>
      </c>
      <c r="N38" s="466">
        <f t="shared" si="27"/>
        <v>0</v>
      </c>
      <c r="O38" s="129"/>
    </row>
    <row r="39" spans="2:15" hidden="1" x14ac:dyDescent="0.2">
      <c r="B39" s="526" t="s">
        <v>47</v>
      </c>
      <c r="C39" s="441"/>
      <c r="D39" s="451"/>
      <c r="E39" s="43"/>
      <c r="F39" s="43"/>
      <c r="G39" s="43"/>
      <c r="H39" s="509"/>
      <c r="I39" s="509"/>
      <c r="J39" s="509"/>
      <c r="K39" s="426"/>
      <c r="L39" s="426"/>
      <c r="M39" s="426"/>
      <c r="N39" s="514"/>
      <c r="O39" s="43"/>
    </row>
    <row r="40" spans="2:15" ht="13.5" thickBot="1" x14ac:dyDescent="0.25">
      <c r="B40" s="525" t="s">
        <v>25</v>
      </c>
      <c r="C40" s="441"/>
      <c r="D40" s="533">
        <f>SUM(D38:D39)</f>
        <v>0</v>
      </c>
      <c r="E40" s="249">
        <f>SUM(E38:E39)</f>
        <v>0</v>
      </c>
      <c r="F40" s="249">
        <f t="shared" ref="F40:N40" si="28">SUM(F38:F39)</f>
        <v>31158887.330303993</v>
      </c>
      <c r="G40" s="249">
        <f t="shared" si="28"/>
        <v>15891032.538455037</v>
      </c>
      <c r="H40" s="259">
        <f t="shared" si="28"/>
        <v>20622380.133376569</v>
      </c>
      <c r="I40" s="259">
        <f t="shared" si="28"/>
        <v>0</v>
      </c>
      <c r="J40" s="259">
        <f t="shared" si="28"/>
        <v>0</v>
      </c>
      <c r="K40" s="254">
        <f t="shared" si="28"/>
        <v>0</v>
      </c>
      <c r="L40" s="254">
        <f t="shared" si="28"/>
        <v>0</v>
      </c>
      <c r="M40" s="254">
        <f t="shared" si="28"/>
        <v>0</v>
      </c>
      <c r="N40" s="517">
        <f t="shared" si="28"/>
        <v>0</v>
      </c>
      <c r="O40" s="75"/>
    </row>
    <row r="41" spans="2:15" ht="13.5" thickBot="1" x14ac:dyDescent="0.25">
      <c r="B41" s="522" t="s">
        <v>26</v>
      </c>
      <c r="C41" s="485"/>
      <c r="D41" s="534"/>
      <c r="E41" s="487"/>
      <c r="F41" s="487"/>
      <c r="G41" s="487"/>
      <c r="H41" s="487"/>
      <c r="I41" s="487"/>
      <c r="J41" s="487"/>
      <c r="K41" s="487"/>
      <c r="L41" s="487"/>
      <c r="M41" s="487"/>
      <c r="N41" s="488"/>
      <c r="O41" s="43"/>
    </row>
    <row r="42" spans="2:15" x14ac:dyDescent="0.2">
      <c r="B42" s="526" t="s">
        <v>27</v>
      </c>
      <c r="C42" s="441"/>
      <c r="D42" s="533">
        <f>D34</f>
        <v>0</v>
      </c>
      <c r="E42" s="249">
        <f>E34</f>
        <v>0</v>
      </c>
      <c r="F42" s="249">
        <f t="shared" ref="F42:M42" si="29">F34</f>
        <v>1602904.5400492796</v>
      </c>
      <c r="G42" s="249">
        <f t="shared" si="29"/>
        <v>3678665.9194130972</v>
      </c>
      <c r="H42" s="259">
        <f t="shared" si="29"/>
        <v>5084110.0046050325</v>
      </c>
      <c r="I42" s="259">
        <f t="shared" si="29"/>
        <v>5546489.9463488162</v>
      </c>
      <c r="J42" s="259">
        <f t="shared" si="29"/>
        <v>5960946.8948756829</v>
      </c>
      <c r="K42" s="254">
        <f t="shared" si="29"/>
        <v>6080165.8327731956</v>
      </c>
      <c r="L42" s="254">
        <f t="shared" si="29"/>
        <v>6201769.1494286601</v>
      </c>
      <c r="M42" s="254">
        <f t="shared" si="29"/>
        <v>6325804.5324172322</v>
      </c>
      <c r="N42" s="517">
        <f>N34</f>
        <v>6452320.6230655778</v>
      </c>
      <c r="O42" s="75"/>
    </row>
    <row r="43" spans="2:15" x14ac:dyDescent="0.2">
      <c r="B43" s="526" t="s">
        <v>69</v>
      </c>
      <c r="C43" s="502">
        <f>C54</f>
        <v>5.8999999999999997E-2</v>
      </c>
      <c r="D43" s="533"/>
      <c r="E43" s="249"/>
      <c r="F43" s="249"/>
      <c r="G43" s="249"/>
      <c r="H43" s="259"/>
      <c r="I43" s="259"/>
      <c r="J43" s="259"/>
      <c r="K43" s="254"/>
      <c r="L43" s="254"/>
      <c r="M43" s="254"/>
      <c r="N43" s="517">
        <f>N42/C43</f>
        <v>109361366.49263692</v>
      </c>
      <c r="O43" s="75"/>
    </row>
    <row r="44" spans="2:15" x14ac:dyDescent="0.2">
      <c r="B44" s="112" t="s">
        <v>76</v>
      </c>
      <c r="C44" s="447">
        <v>0.03</v>
      </c>
      <c r="D44" s="533"/>
      <c r="E44" s="249"/>
      <c r="F44" s="249"/>
      <c r="G44" s="249"/>
      <c r="H44" s="259"/>
      <c r="I44" s="259"/>
      <c r="J44" s="259"/>
      <c r="K44" s="254"/>
      <c r="L44" s="254"/>
      <c r="M44" s="254"/>
      <c r="N44" s="517">
        <f>N43*-C44</f>
        <v>-3280840.9947791076</v>
      </c>
      <c r="O44" s="75"/>
    </row>
    <row r="45" spans="2:15" ht="13.5" thickBot="1" x14ac:dyDescent="0.25">
      <c r="B45" s="526" t="s">
        <v>25</v>
      </c>
      <c r="C45" s="443"/>
      <c r="D45" s="533">
        <f>-D40</f>
        <v>0</v>
      </c>
      <c r="E45" s="249">
        <f>-E40</f>
        <v>0</v>
      </c>
      <c r="F45" s="249">
        <f t="shared" ref="F45:N45" si="30">-F40</f>
        <v>-31158887.330303993</v>
      </c>
      <c r="G45" s="249">
        <f t="shared" si="30"/>
        <v>-15891032.538455037</v>
      </c>
      <c r="H45" s="259">
        <f t="shared" si="30"/>
        <v>-20622380.133376569</v>
      </c>
      <c r="I45" s="259">
        <f t="shared" si="30"/>
        <v>0</v>
      </c>
      <c r="J45" s="259">
        <f t="shared" si="30"/>
        <v>0</v>
      </c>
      <c r="K45" s="254">
        <f t="shared" si="30"/>
        <v>0</v>
      </c>
      <c r="L45" s="254">
        <f t="shared" si="30"/>
        <v>0</v>
      </c>
      <c r="M45" s="254">
        <f t="shared" si="30"/>
        <v>0</v>
      </c>
      <c r="N45" s="517">
        <f t="shared" si="30"/>
        <v>0</v>
      </c>
      <c r="O45" s="75"/>
    </row>
    <row r="46" spans="2:15" ht="13.5" thickBot="1" x14ac:dyDescent="0.25">
      <c r="B46" s="523"/>
      <c r="C46" s="524"/>
      <c r="D46" s="534"/>
      <c r="E46" s="487"/>
      <c r="F46" s="487"/>
      <c r="G46" s="487"/>
      <c r="H46" s="487"/>
      <c r="I46" s="487"/>
      <c r="J46" s="487"/>
      <c r="K46" s="487"/>
      <c r="L46" s="487"/>
      <c r="M46" s="487"/>
      <c r="N46" s="488"/>
      <c r="O46" s="43"/>
    </row>
    <row r="47" spans="2:15" x14ac:dyDescent="0.2">
      <c r="B47" s="525" t="s">
        <v>29</v>
      </c>
      <c r="C47" s="443"/>
      <c r="D47" s="533">
        <f>SUM(D42:D45)</f>
        <v>0</v>
      </c>
      <c r="E47" s="249">
        <f>SUM(E42:E45)</f>
        <v>0</v>
      </c>
      <c r="F47" s="249">
        <f t="shared" ref="F47:N47" si="31">SUM(F42:F45)</f>
        <v>-29555982.790254712</v>
      </c>
      <c r="G47" s="249">
        <f t="shared" si="31"/>
        <v>-12212366.61904194</v>
      </c>
      <c r="H47" s="259">
        <f t="shared" si="31"/>
        <v>-15538270.128771536</v>
      </c>
      <c r="I47" s="259">
        <f t="shared" si="31"/>
        <v>5546489.9463488162</v>
      </c>
      <c r="J47" s="259">
        <f t="shared" si="31"/>
        <v>5960946.8948756829</v>
      </c>
      <c r="K47" s="254">
        <f t="shared" si="31"/>
        <v>6080165.8327731956</v>
      </c>
      <c r="L47" s="254">
        <f t="shared" si="31"/>
        <v>6201769.1494286601</v>
      </c>
      <c r="M47" s="254">
        <f t="shared" si="31"/>
        <v>6325804.5324172322</v>
      </c>
      <c r="N47" s="517">
        <f t="shared" si="31"/>
        <v>112532846.12092339</v>
      </c>
      <c r="O47" s="75"/>
    </row>
    <row r="48" spans="2:15" x14ac:dyDescent="0.2">
      <c r="B48" s="357" t="s">
        <v>32</v>
      </c>
      <c r="C48" s="443">
        <f>C53</f>
        <v>0.06</v>
      </c>
      <c r="D48" s="444">
        <f>NPV(C48,E47:N47)</f>
        <v>33997380.72802759</v>
      </c>
      <c r="E48" s="152"/>
      <c r="F48" s="152"/>
      <c r="G48" s="152"/>
      <c r="H48" s="152"/>
      <c r="I48" s="152"/>
      <c r="J48" s="152"/>
      <c r="K48" s="152"/>
      <c r="L48" s="152"/>
      <c r="M48" s="152"/>
      <c r="N48" s="474"/>
      <c r="O48" s="43"/>
    </row>
    <row r="49" spans="2:15" x14ac:dyDescent="0.2">
      <c r="B49" s="357" t="s">
        <v>34</v>
      </c>
      <c r="C49" s="441"/>
      <c r="D49" s="445">
        <f>IRR(D47:N47,0)</f>
        <v>0.14999967330455788</v>
      </c>
      <c r="E49" s="152"/>
      <c r="F49" s="152"/>
      <c r="G49" s="152"/>
      <c r="H49" s="152"/>
      <c r="I49" s="152"/>
      <c r="J49" s="152"/>
      <c r="K49" s="152"/>
      <c r="L49" s="152"/>
      <c r="M49" s="152"/>
      <c r="N49" s="474"/>
      <c r="O49" s="43"/>
    </row>
    <row r="50" spans="2:15" ht="13.5" thickBot="1" x14ac:dyDescent="0.25">
      <c r="B50" s="358" t="s">
        <v>36</v>
      </c>
      <c r="C50" s="472"/>
      <c r="D50" s="446"/>
      <c r="E50" s="475"/>
      <c r="F50" s="475"/>
      <c r="G50" s="475"/>
      <c r="H50" s="475"/>
      <c r="I50" s="475"/>
      <c r="J50" s="475"/>
      <c r="K50" s="475"/>
      <c r="L50" s="475"/>
      <c r="M50" s="475"/>
      <c r="N50" s="476"/>
      <c r="O50" s="43"/>
    </row>
    <row r="51" spans="2:15" ht="13.5" thickBot="1" x14ac:dyDescent="0.25"/>
    <row r="52" spans="2:15" x14ac:dyDescent="0.2">
      <c r="B52" s="1245" t="s">
        <v>71</v>
      </c>
      <c r="C52" s="1246"/>
      <c r="F52" s="325"/>
      <c r="G52" s="325"/>
      <c r="H52" s="325"/>
      <c r="I52" s="325"/>
      <c r="J52" s="325"/>
      <c r="K52" s="325"/>
      <c r="L52" s="325"/>
      <c r="M52" s="325"/>
      <c r="N52" s="325"/>
    </row>
    <row r="53" spans="2:15" x14ac:dyDescent="0.2">
      <c r="B53" s="112" t="s">
        <v>153</v>
      </c>
      <c r="C53" s="478">
        <v>0.06</v>
      </c>
    </row>
    <row r="54" spans="2:15" ht="13.5" thickBot="1" x14ac:dyDescent="0.25">
      <c r="B54" s="479" t="s">
        <v>244</v>
      </c>
      <c r="C54" s="481">
        <v>5.8999999999999997E-2</v>
      </c>
    </row>
    <row r="55" spans="2:15" ht="13.5" thickBot="1" x14ac:dyDescent="0.25">
      <c r="C55" s="137"/>
    </row>
    <row r="56" spans="2:15" x14ac:dyDescent="0.2">
      <c r="B56" s="1226" t="s">
        <v>237</v>
      </c>
      <c r="C56" s="1227"/>
      <c r="D56" s="1227"/>
      <c r="E56" s="1227"/>
      <c r="F56" s="1227"/>
      <c r="G56" s="1227"/>
      <c r="H56" s="1227"/>
      <c r="I56" s="1227"/>
      <c r="J56" s="1227"/>
      <c r="K56" s="1227"/>
      <c r="L56" s="1227"/>
      <c r="M56" s="1227"/>
      <c r="N56" s="1228"/>
    </row>
    <row r="57" spans="2:15" x14ac:dyDescent="0.2">
      <c r="B57" s="112"/>
      <c r="C57" s="441"/>
      <c r="D57" s="477">
        <v>0</v>
      </c>
      <c r="E57" s="505">
        <f>E4</f>
        <v>1</v>
      </c>
      <c r="F57" s="505">
        <f t="shared" ref="F57:N57" si="32">F4</f>
        <v>2</v>
      </c>
      <c r="G57" s="505">
        <f t="shared" si="32"/>
        <v>3</v>
      </c>
      <c r="H57" s="505">
        <f t="shared" si="32"/>
        <v>4</v>
      </c>
      <c r="I57" s="505">
        <f t="shared" si="32"/>
        <v>5</v>
      </c>
      <c r="J57" s="505">
        <f t="shared" si="32"/>
        <v>6</v>
      </c>
      <c r="K57" s="505">
        <f t="shared" si="32"/>
        <v>7</v>
      </c>
      <c r="L57" s="505">
        <f t="shared" si="32"/>
        <v>8</v>
      </c>
      <c r="M57" s="505">
        <f t="shared" si="32"/>
        <v>9</v>
      </c>
      <c r="N57" s="506">
        <f t="shared" si="32"/>
        <v>10</v>
      </c>
      <c r="O57" s="242"/>
    </row>
    <row r="58" spans="2:15" ht="13.5" thickBot="1" x14ac:dyDescent="0.25">
      <c r="B58" s="112"/>
      <c r="C58" s="955"/>
      <c r="D58" s="126" t="str">
        <f>D5</f>
        <v>2020-2021</v>
      </c>
      <c r="E58" s="475">
        <f t="shared" ref="E58:N58" si="33">E5</f>
        <v>2022</v>
      </c>
      <c r="F58" s="475">
        <f t="shared" si="33"/>
        <v>2023</v>
      </c>
      <c r="G58" s="475">
        <f t="shared" si="33"/>
        <v>2024</v>
      </c>
      <c r="H58" s="475">
        <f t="shared" si="33"/>
        <v>2025</v>
      </c>
      <c r="I58" s="475">
        <f t="shared" si="33"/>
        <v>2026</v>
      </c>
      <c r="J58" s="475">
        <f t="shared" si="33"/>
        <v>2027</v>
      </c>
      <c r="K58" s="475">
        <f t="shared" si="33"/>
        <v>2028</v>
      </c>
      <c r="L58" s="475">
        <f t="shared" si="33"/>
        <v>2029</v>
      </c>
      <c r="M58" s="475">
        <f t="shared" si="33"/>
        <v>2030</v>
      </c>
      <c r="N58" s="476">
        <f t="shared" si="33"/>
        <v>2031</v>
      </c>
      <c r="O58" s="43"/>
    </row>
    <row r="59" spans="2:15" ht="15" x14ac:dyDescent="0.2">
      <c r="B59" s="546" t="s">
        <v>206</v>
      </c>
      <c r="C59" s="954">
        <v>304112</v>
      </c>
      <c r="D59" s="152"/>
      <c r="E59" s="644"/>
      <c r="F59" s="644">
        <f>$C$59*(2/3)</f>
        <v>202741.33333333331</v>
      </c>
      <c r="G59" s="644">
        <f>$C$59*(1/3)</f>
        <v>101370.66666666666</v>
      </c>
      <c r="H59" s="504"/>
      <c r="I59" s="504"/>
      <c r="J59" s="504"/>
      <c r="K59" s="504"/>
      <c r="L59" s="504"/>
      <c r="M59" s="504"/>
      <c r="N59" s="508"/>
      <c r="O59" s="241"/>
    </row>
    <row r="60" spans="2:15" ht="15" x14ac:dyDescent="0.2">
      <c r="B60" s="547" t="s">
        <v>207</v>
      </c>
      <c r="C60" s="954">
        <v>128973</v>
      </c>
      <c r="D60" s="152"/>
      <c r="E60" s="504"/>
      <c r="F60" s="504"/>
      <c r="G60" s="504"/>
      <c r="H60" s="644">
        <f>C60</f>
        <v>128973</v>
      </c>
      <c r="I60" s="644"/>
      <c r="J60" s="645"/>
      <c r="K60" s="152"/>
      <c r="L60" s="152"/>
      <c r="M60" s="504"/>
      <c r="N60" s="508"/>
      <c r="O60" s="241"/>
    </row>
    <row r="61" spans="2:15" ht="15" x14ac:dyDescent="0.2">
      <c r="B61" s="548" t="s">
        <v>208</v>
      </c>
      <c r="C61" s="954">
        <v>0</v>
      </c>
      <c r="D61" s="152"/>
      <c r="E61" s="152"/>
      <c r="F61" s="152"/>
      <c r="G61" s="152"/>
      <c r="H61" s="152"/>
      <c r="I61" s="152"/>
      <c r="J61" s="152"/>
      <c r="K61" s="645"/>
      <c r="L61" s="645"/>
      <c r="M61" s="645"/>
      <c r="N61" s="646"/>
      <c r="O61" s="43"/>
    </row>
    <row r="62" spans="2:15" x14ac:dyDescent="0.2">
      <c r="B62" s="775" t="s">
        <v>41</v>
      </c>
      <c r="C62" s="808">
        <f>SUM(C59:C61)</f>
        <v>433085</v>
      </c>
      <c r="D62" s="477"/>
      <c r="E62" s="440"/>
      <c r="F62" s="440"/>
      <c r="G62" s="440"/>
      <c r="H62" s="440"/>
      <c r="I62" s="440"/>
      <c r="J62" s="440"/>
      <c r="K62" s="440"/>
      <c r="L62" s="440"/>
      <c r="M62" s="440"/>
      <c r="N62" s="589"/>
      <c r="O62" s="12"/>
    </row>
    <row r="63" spans="2:15" ht="13.5" thickBot="1" x14ac:dyDescent="0.25">
      <c r="B63" s="775"/>
      <c r="C63" s="441"/>
      <c r="D63" s="477"/>
      <c r="E63" s="440"/>
      <c r="F63" s="440"/>
      <c r="G63" s="440"/>
      <c r="H63" s="440"/>
      <c r="I63" s="440"/>
      <c r="J63" s="440"/>
      <c r="K63" s="440"/>
      <c r="L63" s="440"/>
      <c r="M63" s="440"/>
      <c r="N63" s="589"/>
      <c r="O63" s="12"/>
    </row>
    <row r="64" spans="2:15" ht="15.75" customHeight="1" thickBot="1" x14ac:dyDescent="0.25">
      <c r="B64" s="1263" t="s">
        <v>241</v>
      </c>
      <c r="C64" s="1264"/>
      <c r="D64" s="586" t="s">
        <v>242</v>
      </c>
      <c r="E64" s="580">
        <f>E59</f>
        <v>0</v>
      </c>
      <c r="F64" s="541">
        <f t="shared" ref="F64:G64" si="34">F59</f>
        <v>202741.33333333331</v>
      </c>
      <c r="G64" s="541">
        <f t="shared" si="34"/>
        <v>101370.66666666666</v>
      </c>
      <c r="H64" s="541">
        <f>H60</f>
        <v>128973</v>
      </c>
      <c r="I64" s="541">
        <f t="shared" ref="I64:J64" si="35">I60</f>
        <v>0</v>
      </c>
      <c r="J64" s="541">
        <f t="shared" si="35"/>
        <v>0</v>
      </c>
      <c r="K64" s="542">
        <f>K61</f>
        <v>0</v>
      </c>
      <c r="L64" s="542">
        <f t="shared" ref="L64:N64" si="36">L61</f>
        <v>0</v>
      </c>
      <c r="M64" s="542">
        <f t="shared" si="36"/>
        <v>0</v>
      </c>
      <c r="N64" s="543">
        <f t="shared" si="36"/>
        <v>0</v>
      </c>
      <c r="O64" s="12"/>
    </row>
    <row r="66" spans="2:15" ht="15" x14ac:dyDescent="0.2">
      <c r="I66" s="149"/>
    </row>
    <row r="70" spans="2:15" x14ac:dyDescent="0.2"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</row>
    <row r="71" spans="2:15" x14ac:dyDescent="0.2">
      <c r="B71" s="135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</row>
    <row r="72" spans="2:15" x14ac:dyDescent="0.2">
      <c r="B72" s="132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243"/>
    </row>
    <row r="74" spans="2:15" x14ac:dyDescent="0.2">
      <c r="B74" s="135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</row>
    <row r="75" spans="2:15" x14ac:dyDescent="0.2">
      <c r="B75" s="264"/>
    </row>
  </sheetData>
  <mergeCells count="6">
    <mergeCell ref="B64:C64"/>
    <mergeCell ref="E3:G3"/>
    <mergeCell ref="H3:J3"/>
    <mergeCell ref="K3:N3"/>
    <mergeCell ref="B52:C52"/>
    <mergeCell ref="B56:N56"/>
  </mergeCells>
  <conditionalFormatting sqref="D61:O61 M60:O60 C58:O58 D59:O59 D60:I60 E64:O64 C62:O63">
    <cfRule type="cellIs" dxfId="78" priority="36" operator="lessThan">
      <formula>0</formula>
    </cfRule>
  </conditionalFormatting>
  <conditionalFormatting sqref="C13">
    <cfRule type="cellIs" dxfId="77" priority="34" operator="lessThan">
      <formula>0</formula>
    </cfRule>
  </conditionalFormatting>
  <conditionalFormatting sqref="B57:O57 E55:O55">
    <cfRule type="cellIs" dxfId="76" priority="29" operator="lessThan">
      <formula>0</formula>
    </cfRule>
  </conditionalFormatting>
  <conditionalFormatting sqref="D12:O12">
    <cfRule type="cellIs" dxfId="75" priority="32" operator="lessThan">
      <formula>0</formula>
    </cfRule>
  </conditionalFormatting>
  <conditionalFormatting sqref="C36">
    <cfRule type="cellIs" dxfId="74" priority="30" operator="lessThan">
      <formula>0</formula>
    </cfRule>
  </conditionalFormatting>
  <conditionalFormatting sqref="E59:O59 H60">
    <cfRule type="cellIs" dxfId="73" priority="28" operator="lessThan">
      <formula>0</formula>
    </cfRule>
  </conditionalFormatting>
  <conditionalFormatting sqref="E59:L59 H60">
    <cfRule type="cellIs" dxfId="72" priority="26" operator="lessThan">
      <formula>0</formula>
    </cfRule>
  </conditionalFormatting>
  <conditionalFormatting sqref="B55:D55">
    <cfRule type="cellIs" dxfId="71" priority="23" operator="lessThan">
      <formula>0</formula>
    </cfRule>
  </conditionalFormatting>
  <conditionalFormatting sqref="D48">
    <cfRule type="cellIs" dxfId="70" priority="22" operator="lessThan">
      <formula>0</formula>
    </cfRule>
  </conditionalFormatting>
  <conditionalFormatting sqref="C59:C60">
    <cfRule type="cellIs" dxfId="69" priority="21" operator="lessThan">
      <formula>0</formula>
    </cfRule>
  </conditionalFormatting>
  <conditionalFormatting sqref="C59:C60">
    <cfRule type="cellIs" dxfId="68" priority="20" operator="lessThan">
      <formula>0</formula>
    </cfRule>
  </conditionalFormatting>
  <conditionalFormatting sqref="D67:D69 D65">
    <cfRule type="cellIs" dxfId="67" priority="19" operator="lessThan">
      <formula>0</formula>
    </cfRule>
  </conditionalFormatting>
  <conditionalFormatting sqref="C61">
    <cfRule type="cellIs" dxfId="66" priority="18" operator="lessThan">
      <formula>0</formula>
    </cfRule>
  </conditionalFormatting>
  <conditionalFormatting sqref="C61">
    <cfRule type="cellIs" dxfId="65" priority="17" operator="lessThan">
      <formula>0</formula>
    </cfRule>
  </conditionalFormatting>
  <conditionalFormatting sqref="D20:N20">
    <cfRule type="cellIs" dxfId="64" priority="15" operator="lessThan">
      <formula>0</formula>
    </cfRule>
  </conditionalFormatting>
  <conditionalFormatting sqref="D28:N28">
    <cfRule type="cellIs" dxfId="63" priority="13" operator="lessThan">
      <formula>0</formula>
    </cfRule>
  </conditionalFormatting>
  <conditionalFormatting sqref="C21">
    <cfRule type="cellIs" dxfId="62" priority="16" operator="lessThan">
      <formula>0</formula>
    </cfRule>
  </conditionalFormatting>
  <conditionalFormatting sqref="C29">
    <cfRule type="cellIs" dxfId="61" priority="14" operator="lessThan">
      <formula>0</formula>
    </cfRule>
  </conditionalFormatting>
  <conditionalFormatting sqref="D74:N74">
    <cfRule type="cellIs" dxfId="60" priority="12" operator="lessThan">
      <formula>0</formula>
    </cfRule>
  </conditionalFormatting>
  <conditionalFormatting sqref="D70:N71">
    <cfRule type="cellIs" dxfId="59" priority="11" operator="lessThan">
      <formula>0</formula>
    </cfRule>
  </conditionalFormatting>
  <conditionalFormatting sqref="B59:B61">
    <cfRule type="cellIs" dxfId="58" priority="10" operator="lessThan">
      <formula>0</formula>
    </cfRule>
  </conditionalFormatting>
  <conditionalFormatting sqref="B53:C54">
    <cfRule type="cellIs" dxfId="57" priority="9" operator="lessThan">
      <formula>0</formula>
    </cfRule>
  </conditionalFormatting>
  <conditionalFormatting sqref="B52 B53:C54">
    <cfRule type="cellIs" dxfId="56" priority="8" operator="lessThan">
      <formula>0</formula>
    </cfRule>
  </conditionalFormatting>
  <conditionalFormatting sqref="B53:C53">
    <cfRule type="cellIs" dxfId="55" priority="7" operator="lessThan">
      <formula>0</formula>
    </cfRule>
  </conditionalFormatting>
  <conditionalFormatting sqref="C54">
    <cfRule type="cellIs" dxfId="54" priority="6" operator="lessThan">
      <formula>0</formula>
    </cfRule>
  </conditionalFormatting>
  <conditionalFormatting sqref="B56">
    <cfRule type="cellIs" dxfId="53" priority="5" operator="lessThan">
      <formula>0</formula>
    </cfRule>
  </conditionalFormatting>
  <conditionalFormatting sqref="B64">
    <cfRule type="cellIs" dxfId="52" priority="4" operator="lessThan">
      <formula>0</formula>
    </cfRule>
  </conditionalFormatting>
  <conditionalFormatting sqref="E3 K3 H3">
    <cfRule type="cellIs" dxfId="51" priority="3" operator="lessThan">
      <formula>0</formula>
    </cfRule>
  </conditionalFormatting>
  <conditionalFormatting sqref="M2:N2">
    <cfRule type="cellIs" dxfId="50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2B975-5EE8-44D5-9C2F-47353868489A}">
  <dimension ref="B1:O71"/>
  <sheetViews>
    <sheetView zoomScale="85" zoomScaleNormal="85" workbookViewId="0">
      <selection activeCell="D66" sqref="D66"/>
    </sheetView>
  </sheetViews>
  <sheetFormatPr defaultRowHeight="15" x14ac:dyDescent="0.25"/>
  <cols>
    <col min="1" max="1" width="4.140625" customWidth="1"/>
    <col min="2" max="2" width="29.42578125" bestFit="1" customWidth="1"/>
    <col min="3" max="3" width="12.85546875" bestFit="1" customWidth="1"/>
    <col min="4" max="4" width="20" bestFit="1" customWidth="1"/>
    <col min="5" max="5" width="13.7109375" bestFit="1" customWidth="1"/>
    <col min="6" max="6" width="12.5703125" bestFit="1" customWidth="1"/>
    <col min="7" max="7" width="11.85546875" bestFit="1" customWidth="1"/>
    <col min="8" max="8" width="12.5703125" bestFit="1" customWidth="1"/>
    <col min="9" max="9" width="13.7109375" bestFit="1" customWidth="1"/>
    <col min="10" max="10" width="12.85546875" bestFit="1" customWidth="1"/>
    <col min="11" max="11" width="13.7109375" bestFit="1" customWidth="1"/>
    <col min="12" max="12" width="12.5703125" bestFit="1" customWidth="1"/>
    <col min="13" max="13" width="12.85546875" bestFit="1" customWidth="1"/>
    <col min="14" max="14" width="14.5703125" bestFit="1" customWidth="1"/>
  </cols>
  <sheetData>
    <row r="1" spans="2:14" ht="15.75" thickBot="1" x14ac:dyDescent="0.3"/>
    <row r="2" spans="2:14" ht="15.75" thickBot="1" x14ac:dyDescent="0.3">
      <c r="B2" s="113"/>
      <c r="C2" s="518"/>
      <c r="D2" s="519"/>
      <c r="E2" s="520"/>
      <c r="F2" s="520"/>
      <c r="G2" s="520"/>
      <c r="H2" s="520"/>
      <c r="I2" s="520"/>
      <c r="J2" s="520"/>
      <c r="K2" s="520"/>
      <c r="L2" s="520"/>
      <c r="M2" s="952" t="s">
        <v>1</v>
      </c>
      <c r="N2" s="953" t="s">
        <v>105</v>
      </c>
    </row>
    <row r="3" spans="2:14" x14ac:dyDescent="0.25">
      <c r="B3" s="112"/>
      <c r="C3" s="441"/>
      <c r="D3" s="455"/>
      <c r="E3" s="1235" t="s">
        <v>2</v>
      </c>
      <c r="F3" s="1235"/>
      <c r="G3" s="1235"/>
      <c r="H3" s="1234" t="s">
        <v>207</v>
      </c>
      <c r="I3" s="1234"/>
      <c r="J3" s="1234"/>
      <c r="K3" s="1247" t="s">
        <v>208</v>
      </c>
      <c r="L3" s="1247"/>
      <c r="M3" s="1247"/>
      <c r="N3" s="1248"/>
    </row>
    <row r="4" spans="2:14" x14ac:dyDescent="0.25">
      <c r="B4" s="112"/>
      <c r="C4" s="441"/>
      <c r="D4" s="456">
        <v>0</v>
      </c>
      <c r="E4" s="427">
        <f>D4+1</f>
        <v>1</v>
      </c>
      <c r="F4" s="427">
        <f t="shared" ref="F4:N5" si="0">E4+1</f>
        <v>2</v>
      </c>
      <c r="G4" s="427">
        <f t="shared" si="0"/>
        <v>3</v>
      </c>
      <c r="H4" s="434">
        <f t="shared" si="0"/>
        <v>4</v>
      </c>
      <c r="I4" s="434">
        <f t="shared" si="0"/>
        <v>5</v>
      </c>
      <c r="J4" s="434">
        <f t="shared" si="0"/>
        <v>6</v>
      </c>
      <c r="K4" s="428">
        <f t="shared" si="0"/>
        <v>7</v>
      </c>
      <c r="L4" s="428">
        <f t="shared" si="0"/>
        <v>8</v>
      </c>
      <c r="M4" s="428">
        <f t="shared" si="0"/>
        <v>9</v>
      </c>
      <c r="N4" s="458">
        <f t="shared" si="0"/>
        <v>10</v>
      </c>
    </row>
    <row r="5" spans="2:14" ht="15.75" thickBot="1" x14ac:dyDescent="0.3">
      <c r="B5" s="112"/>
      <c r="C5" s="441" t="s">
        <v>52</v>
      </c>
      <c r="D5" s="457" t="str">
        <f>'1. Infrastructure Costs'!D5</f>
        <v>2020-2021</v>
      </c>
      <c r="E5" s="410">
        <f>'1. Infrastructure Costs'!E5</f>
        <v>2022</v>
      </c>
      <c r="F5" s="415">
        <f t="shared" si="0"/>
        <v>2023</v>
      </c>
      <c r="G5" s="415">
        <f t="shared" si="0"/>
        <v>2024</v>
      </c>
      <c r="H5" s="435">
        <f t="shared" si="0"/>
        <v>2025</v>
      </c>
      <c r="I5" s="435">
        <f t="shared" si="0"/>
        <v>2026</v>
      </c>
      <c r="J5" s="435">
        <f t="shared" si="0"/>
        <v>2027</v>
      </c>
      <c r="K5" s="433">
        <f t="shared" si="0"/>
        <v>2028</v>
      </c>
      <c r="L5" s="433">
        <f t="shared" si="0"/>
        <v>2029</v>
      </c>
      <c r="M5" s="433">
        <f t="shared" si="0"/>
        <v>2030</v>
      </c>
      <c r="N5" s="459">
        <f t="shared" si="0"/>
        <v>2031</v>
      </c>
    </row>
    <row r="6" spans="2:14" ht="15.75" thickBot="1" x14ac:dyDescent="0.3">
      <c r="B6" s="522" t="s">
        <v>71</v>
      </c>
      <c r="C6" s="485"/>
      <c r="D6" s="486"/>
      <c r="E6" s="487"/>
      <c r="F6" s="487"/>
      <c r="G6" s="487"/>
      <c r="H6" s="487"/>
      <c r="I6" s="487"/>
      <c r="J6" s="487"/>
      <c r="K6" s="487"/>
      <c r="L6" s="487"/>
      <c r="M6" s="487"/>
      <c r="N6" s="488"/>
    </row>
    <row r="7" spans="2:14" x14ac:dyDescent="0.25">
      <c r="B7" s="525" t="s">
        <v>206</v>
      </c>
      <c r="C7" s="441"/>
      <c r="D7" s="451"/>
      <c r="E7" s="244"/>
      <c r="F7" s="244"/>
      <c r="G7" s="244"/>
      <c r="H7" s="509"/>
      <c r="I7" s="509"/>
      <c r="J7" s="509"/>
      <c r="K7" s="426"/>
      <c r="L7" s="426"/>
      <c r="M7" s="426"/>
      <c r="N7" s="514"/>
    </row>
    <row r="8" spans="2:14" x14ac:dyDescent="0.25">
      <c r="B8" s="526" t="s">
        <v>53</v>
      </c>
      <c r="C8" s="443">
        <v>0.02</v>
      </c>
      <c r="D8" s="445"/>
      <c r="E8" s="510"/>
      <c r="F8" s="510"/>
      <c r="G8" s="510"/>
      <c r="H8" s="511"/>
      <c r="I8" s="511"/>
      <c r="J8" s="511"/>
      <c r="K8" s="512"/>
      <c r="L8" s="512"/>
      <c r="M8" s="512"/>
      <c r="N8" s="515"/>
    </row>
    <row r="9" spans="2:14" x14ac:dyDescent="0.25">
      <c r="B9" s="526" t="s">
        <v>79</v>
      </c>
      <c r="C9" s="441"/>
      <c r="D9" s="451"/>
      <c r="E9" s="261">
        <f>E56</f>
        <v>0</v>
      </c>
      <c r="F9" s="261">
        <f t="shared" ref="F9:N9" si="1">F56</f>
        <v>0</v>
      </c>
      <c r="G9" s="261">
        <f t="shared" si="1"/>
        <v>0</v>
      </c>
      <c r="H9" s="436">
        <f t="shared" si="1"/>
        <v>0</v>
      </c>
      <c r="I9" s="436">
        <f t="shared" si="1"/>
        <v>0</v>
      </c>
      <c r="J9" s="436">
        <f t="shared" si="1"/>
        <v>0</v>
      </c>
      <c r="K9" s="273">
        <f t="shared" si="1"/>
        <v>0</v>
      </c>
      <c r="L9" s="273">
        <f t="shared" si="1"/>
        <v>0</v>
      </c>
      <c r="M9" s="273">
        <f t="shared" si="1"/>
        <v>0</v>
      </c>
      <c r="N9" s="460">
        <f t="shared" si="1"/>
        <v>0</v>
      </c>
    </row>
    <row r="10" spans="2:14" x14ac:dyDescent="0.25">
      <c r="B10" s="526" t="s">
        <v>63</v>
      </c>
      <c r="C10" s="443">
        <v>0.9</v>
      </c>
      <c r="D10" s="445"/>
      <c r="E10" s="261">
        <f>$C$10*E9</f>
        <v>0</v>
      </c>
      <c r="F10" s="261">
        <f t="shared" ref="F10:N10" si="2">$C$10*F9</f>
        <v>0</v>
      </c>
      <c r="G10" s="261">
        <f t="shared" si="2"/>
        <v>0</v>
      </c>
      <c r="H10" s="436">
        <f t="shared" si="2"/>
        <v>0</v>
      </c>
      <c r="I10" s="436">
        <f t="shared" si="2"/>
        <v>0</v>
      </c>
      <c r="J10" s="436">
        <f t="shared" si="2"/>
        <v>0</v>
      </c>
      <c r="K10" s="273">
        <f t="shared" si="2"/>
        <v>0</v>
      </c>
      <c r="L10" s="273">
        <f t="shared" si="2"/>
        <v>0</v>
      </c>
      <c r="M10" s="273">
        <f t="shared" si="2"/>
        <v>0</v>
      </c>
      <c r="N10" s="460">
        <f t="shared" si="2"/>
        <v>0</v>
      </c>
    </row>
    <row r="11" spans="2:14" x14ac:dyDescent="0.25">
      <c r="B11" s="526" t="s">
        <v>80</v>
      </c>
      <c r="C11" s="443"/>
      <c r="D11" s="531">
        <v>0</v>
      </c>
      <c r="E11" s="245">
        <v>1</v>
      </c>
      <c r="F11" s="245">
        <v>1</v>
      </c>
      <c r="G11" s="246">
        <v>1</v>
      </c>
      <c r="H11" s="256">
        <v>1</v>
      </c>
      <c r="I11" s="256">
        <v>1</v>
      </c>
      <c r="J11" s="256">
        <v>1</v>
      </c>
      <c r="K11" s="251">
        <v>1</v>
      </c>
      <c r="L11" s="251">
        <v>1</v>
      </c>
      <c r="M11" s="251">
        <v>1</v>
      </c>
      <c r="N11" s="516">
        <v>1</v>
      </c>
    </row>
    <row r="12" spans="2:14" x14ac:dyDescent="0.25">
      <c r="B12" s="526" t="s">
        <v>113</v>
      </c>
      <c r="C12" s="449">
        <v>19.649999999999999</v>
      </c>
      <c r="D12" s="450">
        <f>C12</f>
        <v>19.649999999999999</v>
      </c>
      <c r="E12" s="247">
        <f t="shared" ref="E12:N12" si="3">$D12*(1+$C$8)^E$4</f>
        <v>20.042999999999999</v>
      </c>
      <c r="F12" s="247">
        <f t="shared" si="3"/>
        <v>20.443859999999997</v>
      </c>
      <c r="G12" s="247">
        <f t="shared" si="3"/>
        <v>20.852737199999996</v>
      </c>
      <c r="H12" s="257">
        <f t="shared" si="3"/>
        <v>21.269791943999998</v>
      </c>
      <c r="I12" s="257">
        <f t="shared" si="3"/>
        <v>21.695187782879998</v>
      </c>
      <c r="J12" s="257">
        <f t="shared" si="3"/>
        <v>22.129091538537601</v>
      </c>
      <c r="K12" s="252">
        <f t="shared" si="3"/>
        <v>22.571673369308346</v>
      </c>
      <c r="L12" s="252">
        <f t="shared" si="3"/>
        <v>23.023106836694517</v>
      </c>
      <c r="M12" s="252">
        <f t="shared" si="3"/>
        <v>23.483568973428405</v>
      </c>
      <c r="N12" s="471">
        <f t="shared" si="3"/>
        <v>23.953240352896977</v>
      </c>
    </row>
    <row r="13" spans="2:14" x14ac:dyDescent="0.25">
      <c r="B13" s="529" t="s">
        <v>81</v>
      </c>
      <c r="C13" s="495"/>
      <c r="D13" s="496"/>
      <c r="E13" s="248">
        <f>E12*(1-E11)*E10</f>
        <v>0</v>
      </c>
      <c r="F13" s="248">
        <f t="shared" ref="F13:N13" si="4">F12*(1-F11)*F10</f>
        <v>0</v>
      </c>
      <c r="G13" s="248">
        <f t="shared" si="4"/>
        <v>0</v>
      </c>
      <c r="H13" s="258">
        <f t="shared" si="4"/>
        <v>0</v>
      </c>
      <c r="I13" s="258">
        <f t="shared" si="4"/>
        <v>0</v>
      </c>
      <c r="J13" s="258">
        <f t="shared" si="4"/>
        <v>0</v>
      </c>
      <c r="K13" s="253">
        <f t="shared" si="4"/>
        <v>0</v>
      </c>
      <c r="L13" s="253">
        <f t="shared" si="4"/>
        <v>0</v>
      </c>
      <c r="M13" s="253">
        <f t="shared" si="4"/>
        <v>0</v>
      </c>
      <c r="N13" s="530">
        <f t="shared" si="4"/>
        <v>0</v>
      </c>
    </row>
    <row r="14" spans="2:14" x14ac:dyDescent="0.25">
      <c r="B14" s="357" t="s">
        <v>207</v>
      </c>
      <c r="C14" s="441"/>
      <c r="D14" s="451"/>
      <c r="E14" s="249"/>
      <c r="F14" s="249"/>
      <c r="G14" s="249"/>
      <c r="H14" s="259"/>
      <c r="I14" s="259"/>
      <c r="J14" s="259"/>
      <c r="K14" s="254"/>
      <c r="L14" s="254"/>
      <c r="M14" s="254"/>
      <c r="N14" s="517"/>
    </row>
    <row r="15" spans="2:14" x14ac:dyDescent="0.25">
      <c r="B15" s="526" t="s">
        <v>53</v>
      </c>
      <c r="C15" s="443">
        <v>0.02</v>
      </c>
      <c r="D15" s="445"/>
      <c r="E15" s="510"/>
      <c r="F15" s="510"/>
      <c r="G15" s="510"/>
      <c r="H15" s="511"/>
      <c r="I15" s="511"/>
      <c r="J15" s="511"/>
      <c r="K15" s="512"/>
      <c r="L15" s="512"/>
      <c r="M15" s="512"/>
      <c r="N15" s="515"/>
    </row>
    <row r="16" spans="2:14" x14ac:dyDescent="0.25">
      <c r="B16" s="526" t="s">
        <v>79</v>
      </c>
      <c r="C16" s="441"/>
      <c r="D16" s="451"/>
      <c r="E16" s="261">
        <f>E57</f>
        <v>0</v>
      </c>
      <c r="F16" s="261">
        <f t="shared" ref="F16:J16" si="5">F57</f>
        <v>0</v>
      </c>
      <c r="G16" s="261">
        <f t="shared" si="5"/>
        <v>0</v>
      </c>
      <c r="H16" s="436">
        <f t="shared" si="5"/>
        <v>0</v>
      </c>
      <c r="I16" s="436">
        <f t="shared" si="5"/>
        <v>63498.666666666664</v>
      </c>
      <c r="J16" s="436">
        <f t="shared" si="5"/>
        <v>31749.333333333332</v>
      </c>
      <c r="K16" s="273">
        <f>C57</f>
        <v>95248</v>
      </c>
      <c r="L16" s="273">
        <f>K16</f>
        <v>95248</v>
      </c>
      <c r="M16" s="273">
        <f t="shared" ref="M16:N16" si="6">L16</f>
        <v>95248</v>
      </c>
      <c r="N16" s="460">
        <f t="shared" si="6"/>
        <v>95248</v>
      </c>
    </row>
    <row r="17" spans="2:14" x14ac:dyDescent="0.25">
      <c r="B17" s="526" t="s">
        <v>63</v>
      </c>
      <c r="C17" s="443">
        <v>0.9</v>
      </c>
      <c r="D17" s="445"/>
      <c r="E17" s="261">
        <f>$C$17*E16</f>
        <v>0</v>
      </c>
      <c r="F17" s="261">
        <f t="shared" ref="F17:N17" si="7">$C$17*F16</f>
        <v>0</v>
      </c>
      <c r="G17" s="261">
        <f t="shared" si="7"/>
        <v>0</v>
      </c>
      <c r="H17" s="436">
        <f t="shared" si="7"/>
        <v>0</v>
      </c>
      <c r="I17" s="436">
        <f t="shared" si="7"/>
        <v>57148.799999999996</v>
      </c>
      <c r="J17" s="436">
        <f t="shared" si="7"/>
        <v>28574.399999999998</v>
      </c>
      <c r="K17" s="273">
        <f t="shared" si="7"/>
        <v>85723.199999999997</v>
      </c>
      <c r="L17" s="273">
        <f t="shared" si="7"/>
        <v>85723.199999999997</v>
      </c>
      <c r="M17" s="273">
        <f t="shared" si="7"/>
        <v>85723.199999999997</v>
      </c>
      <c r="N17" s="460">
        <f t="shared" si="7"/>
        <v>85723.199999999997</v>
      </c>
    </row>
    <row r="18" spans="2:14" x14ac:dyDescent="0.25">
      <c r="B18" s="526" t="s">
        <v>80</v>
      </c>
      <c r="C18" s="443"/>
      <c r="D18" s="531">
        <v>0</v>
      </c>
      <c r="E18" s="245">
        <v>1</v>
      </c>
      <c r="F18" s="245">
        <v>1</v>
      </c>
      <c r="G18" s="246">
        <v>1</v>
      </c>
      <c r="H18" s="256">
        <v>1</v>
      </c>
      <c r="I18" s="256">
        <v>0.4</v>
      </c>
      <c r="J18" s="256">
        <v>3.4000000000000002E-2</v>
      </c>
      <c r="K18" s="251">
        <v>3.4000000000000002E-2</v>
      </c>
      <c r="L18" s="251">
        <v>0.02</v>
      </c>
      <c r="M18" s="251">
        <v>0.02</v>
      </c>
      <c r="N18" s="516">
        <v>0.02</v>
      </c>
    </row>
    <row r="19" spans="2:14" x14ac:dyDescent="0.25">
      <c r="B19" s="526" t="s">
        <v>113</v>
      </c>
      <c r="C19" s="449">
        <v>19.649999999999999</v>
      </c>
      <c r="D19" s="450">
        <f>C19</f>
        <v>19.649999999999999</v>
      </c>
      <c r="E19" s="247">
        <f t="shared" ref="E19:N19" si="8">$D19*(1+$C$15)^E$4</f>
        <v>20.042999999999999</v>
      </c>
      <c r="F19" s="247">
        <f t="shared" si="8"/>
        <v>20.443859999999997</v>
      </c>
      <c r="G19" s="247">
        <f t="shared" si="8"/>
        <v>20.852737199999996</v>
      </c>
      <c r="H19" s="257">
        <f t="shared" si="8"/>
        <v>21.269791943999998</v>
      </c>
      <c r="I19" s="257">
        <f t="shared" si="8"/>
        <v>21.695187782879998</v>
      </c>
      <c r="J19" s="257">
        <f t="shared" si="8"/>
        <v>22.129091538537601</v>
      </c>
      <c r="K19" s="252">
        <f t="shared" si="8"/>
        <v>22.571673369308346</v>
      </c>
      <c r="L19" s="252">
        <f t="shared" si="8"/>
        <v>23.023106836694517</v>
      </c>
      <c r="M19" s="252">
        <f t="shared" si="8"/>
        <v>23.483568973428405</v>
      </c>
      <c r="N19" s="471">
        <f t="shared" si="8"/>
        <v>23.953240352896977</v>
      </c>
    </row>
    <row r="20" spans="2:14" x14ac:dyDescent="0.25">
      <c r="B20" s="529" t="s">
        <v>81</v>
      </c>
      <c r="C20" s="495"/>
      <c r="D20" s="496"/>
      <c r="E20" s="248">
        <f>E19*(1-E18)*E17</f>
        <v>0</v>
      </c>
      <c r="F20" s="248">
        <f t="shared" ref="F20:N20" si="9">F19*(1-F18)*F17</f>
        <v>0</v>
      </c>
      <c r="G20" s="248">
        <f t="shared" si="9"/>
        <v>0</v>
      </c>
      <c r="H20" s="258">
        <f t="shared" si="9"/>
        <v>0</v>
      </c>
      <c r="I20" s="258">
        <f t="shared" si="9"/>
        <v>743912.36853975139</v>
      </c>
      <c r="J20" s="258">
        <f t="shared" si="9"/>
        <v>610826.44580798992</v>
      </c>
      <c r="K20" s="253">
        <f t="shared" si="9"/>
        <v>1869128.9241724487</v>
      </c>
      <c r="L20" s="253">
        <f t="shared" si="9"/>
        <v>1934142.1041436647</v>
      </c>
      <c r="M20" s="253">
        <f t="shared" si="9"/>
        <v>1972824.9462265377</v>
      </c>
      <c r="N20" s="530">
        <f t="shared" si="9"/>
        <v>2012281.4451510687</v>
      </c>
    </row>
    <row r="21" spans="2:14" x14ac:dyDescent="0.25">
      <c r="B21" s="357" t="s">
        <v>208</v>
      </c>
      <c r="C21" s="441"/>
      <c r="D21" s="451"/>
      <c r="E21" s="249"/>
      <c r="F21" s="249"/>
      <c r="G21" s="249"/>
      <c r="H21" s="259"/>
      <c r="I21" s="259"/>
      <c r="J21" s="259"/>
      <c r="K21" s="254"/>
      <c r="L21" s="254"/>
      <c r="M21" s="254"/>
      <c r="N21" s="517"/>
    </row>
    <row r="22" spans="2:14" x14ac:dyDescent="0.25">
      <c r="B22" s="526" t="s">
        <v>53</v>
      </c>
      <c r="C22" s="443">
        <v>0.02</v>
      </c>
      <c r="D22" s="445"/>
      <c r="E22" s="510"/>
      <c r="F22" s="510"/>
      <c r="G22" s="510"/>
      <c r="H22" s="511"/>
      <c r="I22" s="511"/>
      <c r="J22" s="511"/>
      <c r="K22" s="512"/>
      <c r="L22" s="512"/>
      <c r="M22" s="512"/>
      <c r="N22" s="515"/>
    </row>
    <row r="23" spans="2:14" x14ac:dyDescent="0.25">
      <c r="B23" s="526" t="s">
        <v>79</v>
      </c>
      <c r="C23" s="441"/>
      <c r="D23" s="451"/>
      <c r="E23" s="261">
        <f>E58</f>
        <v>0</v>
      </c>
      <c r="F23" s="261">
        <f t="shared" ref="F23:L23" si="10">F58</f>
        <v>0</v>
      </c>
      <c r="G23" s="261">
        <f t="shared" si="10"/>
        <v>0</v>
      </c>
      <c r="H23" s="436">
        <f t="shared" si="10"/>
        <v>0</v>
      </c>
      <c r="I23" s="436">
        <f t="shared" si="10"/>
        <v>0</v>
      </c>
      <c r="J23" s="436">
        <f t="shared" si="10"/>
        <v>0</v>
      </c>
      <c r="K23" s="273">
        <f t="shared" si="10"/>
        <v>0</v>
      </c>
      <c r="L23" s="273">
        <f t="shared" si="10"/>
        <v>26931.333333333332</v>
      </c>
      <c r="M23" s="273">
        <f>L23</f>
        <v>26931.333333333332</v>
      </c>
      <c r="N23" s="460">
        <f>M23</f>
        <v>26931.333333333332</v>
      </c>
    </row>
    <row r="24" spans="2:14" x14ac:dyDescent="0.25">
      <c r="B24" s="526" t="s">
        <v>63</v>
      </c>
      <c r="C24" s="443">
        <v>0.9</v>
      </c>
      <c r="D24" s="445"/>
      <c r="E24" s="261">
        <f>$C$10*E23</f>
        <v>0</v>
      </c>
      <c r="F24" s="261">
        <f t="shared" ref="F24:N24" si="11">$C$10*F23</f>
        <v>0</v>
      </c>
      <c r="G24" s="261">
        <f t="shared" si="11"/>
        <v>0</v>
      </c>
      <c r="H24" s="436">
        <f t="shared" si="11"/>
        <v>0</v>
      </c>
      <c r="I24" s="436">
        <f t="shared" si="11"/>
        <v>0</v>
      </c>
      <c r="J24" s="436">
        <f t="shared" si="11"/>
        <v>0</v>
      </c>
      <c r="K24" s="273">
        <f t="shared" si="11"/>
        <v>0</v>
      </c>
      <c r="L24" s="273">
        <f t="shared" si="11"/>
        <v>24238.2</v>
      </c>
      <c r="M24" s="273">
        <f t="shared" si="11"/>
        <v>24238.2</v>
      </c>
      <c r="N24" s="460">
        <f t="shared" si="11"/>
        <v>24238.2</v>
      </c>
    </row>
    <row r="25" spans="2:14" x14ac:dyDescent="0.25">
      <c r="B25" s="526" t="s">
        <v>80</v>
      </c>
      <c r="C25" s="443"/>
      <c r="D25" s="531">
        <v>0</v>
      </c>
      <c r="E25" s="245">
        <v>1</v>
      </c>
      <c r="F25" s="245">
        <v>1</v>
      </c>
      <c r="G25" s="246">
        <v>1</v>
      </c>
      <c r="H25" s="256">
        <v>1</v>
      </c>
      <c r="I25" s="256">
        <v>1</v>
      </c>
      <c r="J25" s="256">
        <v>1</v>
      </c>
      <c r="K25" s="251">
        <v>1</v>
      </c>
      <c r="L25" s="251">
        <v>1</v>
      </c>
      <c r="M25" s="251">
        <v>1</v>
      </c>
      <c r="N25" s="516">
        <v>0.02</v>
      </c>
    </row>
    <row r="26" spans="2:14" x14ac:dyDescent="0.25">
      <c r="B26" s="526" t="s">
        <v>113</v>
      </c>
      <c r="C26" s="449">
        <v>7.25</v>
      </c>
      <c r="D26" s="450">
        <f>C26</f>
        <v>7.25</v>
      </c>
      <c r="E26" s="247">
        <f t="shared" ref="E26:N26" si="12">$D26*(1+$C$22)^E$4</f>
        <v>7.3950000000000005</v>
      </c>
      <c r="F26" s="247">
        <f t="shared" si="12"/>
        <v>7.5428999999999995</v>
      </c>
      <c r="G26" s="247">
        <f t="shared" si="12"/>
        <v>7.6937579999999999</v>
      </c>
      <c r="H26" s="257">
        <f t="shared" si="12"/>
        <v>7.84763316</v>
      </c>
      <c r="I26" s="257">
        <f t="shared" si="12"/>
        <v>8.0045858231999993</v>
      </c>
      <c r="J26" s="257">
        <f t="shared" si="12"/>
        <v>8.1646775396639999</v>
      </c>
      <c r="K26" s="252">
        <f t="shared" si="12"/>
        <v>8.3279710904572788</v>
      </c>
      <c r="L26" s="252">
        <f t="shared" si="12"/>
        <v>8.4945305122664259</v>
      </c>
      <c r="M26" s="252">
        <f t="shared" si="12"/>
        <v>8.6644211225117544</v>
      </c>
      <c r="N26" s="471">
        <f t="shared" si="12"/>
        <v>8.8377095449619887</v>
      </c>
    </row>
    <row r="27" spans="2:14" ht="15.75" thickBot="1" x14ac:dyDescent="0.3">
      <c r="B27" s="112" t="s">
        <v>81</v>
      </c>
      <c r="C27" s="441"/>
      <c r="D27" s="451"/>
      <c r="E27" s="249">
        <f>E26*(1-E25)*E24</f>
        <v>0</v>
      </c>
      <c r="F27" s="249">
        <f t="shared" ref="F27:N27" si="13">F26*(1-F25)*F24</f>
        <v>0</v>
      </c>
      <c r="G27" s="249">
        <f t="shared" si="13"/>
        <v>0</v>
      </c>
      <c r="H27" s="259">
        <f t="shared" si="13"/>
        <v>0</v>
      </c>
      <c r="I27" s="259">
        <f t="shared" si="13"/>
        <v>0</v>
      </c>
      <c r="J27" s="259">
        <f t="shared" si="13"/>
        <v>0</v>
      </c>
      <c r="K27" s="254">
        <f t="shared" si="13"/>
        <v>0</v>
      </c>
      <c r="L27" s="254">
        <f t="shared" si="13"/>
        <v>0</v>
      </c>
      <c r="M27" s="254">
        <f t="shared" si="13"/>
        <v>0</v>
      </c>
      <c r="N27" s="517">
        <f t="shared" si="13"/>
        <v>209925.96806284372</v>
      </c>
    </row>
    <row r="28" spans="2:14" ht="15.75" thickBot="1" x14ac:dyDescent="0.3">
      <c r="B28" s="522" t="s">
        <v>3</v>
      </c>
      <c r="C28" s="485"/>
      <c r="D28" s="486"/>
      <c r="E28" s="487"/>
      <c r="F28" s="487"/>
      <c r="G28" s="487"/>
      <c r="H28" s="487"/>
      <c r="I28" s="487"/>
      <c r="J28" s="487"/>
      <c r="K28" s="487"/>
      <c r="L28" s="487"/>
      <c r="M28" s="487"/>
      <c r="N28" s="488"/>
    </row>
    <row r="29" spans="2:14" x14ac:dyDescent="0.25">
      <c r="B29" s="526" t="s">
        <v>82</v>
      </c>
      <c r="C29" s="441"/>
      <c r="D29" s="451"/>
      <c r="E29" s="249">
        <f t="shared" ref="E29:N29" si="14">SUM(E13,E20,E27)</f>
        <v>0</v>
      </c>
      <c r="F29" s="249">
        <f t="shared" si="14"/>
        <v>0</v>
      </c>
      <c r="G29" s="249">
        <f t="shared" si="14"/>
        <v>0</v>
      </c>
      <c r="H29" s="259">
        <f t="shared" si="14"/>
        <v>0</v>
      </c>
      <c r="I29" s="259">
        <f t="shared" si="14"/>
        <v>743912.36853975139</v>
      </c>
      <c r="J29" s="259">
        <f t="shared" si="14"/>
        <v>610826.44580798992</v>
      </c>
      <c r="K29" s="254">
        <f t="shared" si="14"/>
        <v>1869128.9241724487</v>
      </c>
      <c r="L29" s="254">
        <f t="shared" si="14"/>
        <v>1934142.1041436647</v>
      </c>
      <c r="M29" s="254">
        <f t="shared" si="14"/>
        <v>1972824.9462265377</v>
      </c>
      <c r="N29" s="517">
        <f t="shared" si="14"/>
        <v>2222207.4132139124</v>
      </c>
    </row>
    <row r="30" spans="2:14" x14ac:dyDescent="0.25">
      <c r="B30" s="527" t="s">
        <v>114</v>
      </c>
      <c r="C30" s="528">
        <v>0.35</v>
      </c>
      <c r="D30" s="532"/>
      <c r="E30" s="249">
        <f>-(E29*$C$30)</f>
        <v>0</v>
      </c>
      <c r="F30" s="249">
        <f t="shared" ref="F30:N30" si="15">-(F29*$C$30)</f>
        <v>0</v>
      </c>
      <c r="G30" s="249">
        <f t="shared" si="15"/>
        <v>0</v>
      </c>
      <c r="H30" s="259">
        <f t="shared" si="15"/>
        <v>0</v>
      </c>
      <c r="I30" s="259">
        <f t="shared" si="15"/>
        <v>-260369.32898891298</v>
      </c>
      <c r="J30" s="259">
        <f t="shared" si="15"/>
        <v>-213789.25603279646</v>
      </c>
      <c r="K30" s="254">
        <f t="shared" si="15"/>
        <v>-654195.12346035696</v>
      </c>
      <c r="L30" s="254">
        <f t="shared" si="15"/>
        <v>-676949.73645028262</v>
      </c>
      <c r="M30" s="254">
        <f t="shared" si="15"/>
        <v>-690488.73117928812</v>
      </c>
      <c r="N30" s="517">
        <f t="shared" si="15"/>
        <v>-777772.59462486929</v>
      </c>
    </row>
    <row r="31" spans="2:14" ht="15.75" thickBot="1" x14ac:dyDescent="0.3">
      <c r="B31" s="525" t="s">
        <v>27</v>
      </c>
      <c r="C31" s="441"/>
      <c r="D31" s="451"/>
      <c r="E31" s="249">
        <f>SUM(E29:E30)</f>
        <v>0</v>
      </c>
      <c r="F31" s="249">
        <f t="shared" ref="F31:N31" si="16">SUM(F29:F30)</f>
        <v>0</v>
      </c>
      <c r="G31" s="249">
        <f t="shared" si="16"/>
        <v>0</v>
      </c>
      <c r="H31" s="259">
        <f t="shared" si="16"/>
        <v>0</v>
      </c>
      <c r="I31" s="259">
        <f t="shared" si="16"/>
        <v>483543.03955083841</v>
      </c>
      <c r="J31" s="259">
        <f t="shared" si="16"/>
        <v>397037.18977519346</v>
      </c>
      <c r="K31" s="254">
        <f t="shared" si="16"/>
        <v>1214933.8007120918</v>
      </c>
      <c r="L31" s="254">
        <f t="shared" si="16"/>
        <v>1257192.3676933821</v>
      </c>
      <c r="M31" s="254">
        <f t="shared" si="16"/>
        <v>1282336.2150472496</v>
      </c>
      <c r="N31" s="517">
        <f t="shared" si="16"/>
        <v>1444434.8185890431</v>
      </c>
    </row>
    <row r="32" spans="2:14" ht="15.75" thickBot="1" x14ac:dyDescent="0.3">
      <c r="B32" s="522" t="s">
        <v>20</v>
      </c>
      <c r="C32" s="485"/>
      <c r="D32" s="486"/>
      <c r="E32" s="487"/>
      <c r="F32" s="487"/>
      <c r="G32" s="487"/>
      <c r="H32" s="487"/>
      <c r="I32" s="487"/>
      <c r="J32" s="487"/>
      <c r="K32" s="487"/>
      <c r="L32" s="487"/>
      <c r="M32" s="487"/>
      <c r="N32" s="488"/>
    </row>
    <row r="33" spans="2:14" x14ac:dyDescent="0.25">
      <c r="B33" s="526" t="s">
        <v>111</v>
      </c>
      <c r="C33" s="449">
        <v>120.17</v>
      </c>
      <c r="D33" s="450">
        <f>C33</f>
        <v>120.17</v>
      </c>
      <c r="E33" s="247">
        <f t="shared" ref="E33:N33" si="17">$D33*(1+$C$8)^E$4</f>
        <v>122.57340000000001</v>
      </c>
      <c r="F33" s="247">
        <f t="shared" si="17"/>
        <v>125.024868</v>
      </c>
      <c r="G33" s="247">
        <f t="shared" si="17"/>
        <v>127.52536536</v>
      </c>
      <c r="H33" s="257">
        <f t="shared" si="17"/>
        <v>130.0758726672</v>
      </c>
      <c r="I33" s="257">
        <f t="shared" si="17"/>
        <v>132.677390120544</v>
      </c>
      <c r="J33" s="257">
        <f t="shared" si="17"/>
        <v>135.33093792295489</v>
      </c>
      <c r="K33" s="252">
        <f t="shared" si="17"/>
        <v>138.03755668141395</v>
      </c>
      <c r="L33" s="252">
        <f t="shared" si="17"/>
        <v>140.79830781504225</v>
      </c>
      <c r="M33" s="252">
        <f t="shared" si="17"/>
        <v>143.6142739713431</v>
      </c>
      <c r="N33" s="471">
        <f t="shared" si="17"/>
        <v>146.48655945076996</v>
      </c>
    </row>
    <row r="34" spans="2:14" x14ac:dyDescent="0.25">
      <c r="B34" s="526" t="s">
        <v>68</v>
      </c>
      <c r="C34" s="441"/>
      <c r="D34" s="451">
        <f>D35/SUM($D$35:$N$35)</f>
        <v>0</v>
      </c>
      <c r="E34" s="250">
        <f t="shared" ref="E34:N34" si="18">E35/SUM($D$35:$N$35)</f>
        <v>0</v>
      </c>
      <c r="F34" s="250">
        <f t="shared" si="18"/>
        <v>0</v>
      </c>
      <c r="G34" s="250">
        <f t="shared" si="18"/>
        <v>0</v>
      </c>
      <c r="H34" s="260">
        <f t="shared" si="18"/>
        <v>0</v>
      </c>
      <c r="I34" s="260">
        <f t="shared" si="18"/>
        <v>0.45669876073019883</v>
      </c>
      <c r="J34" s="260">
        <f t="shared" si="18"/>
        <v>0.23291636797240137</v>
      </c>
      <c r="K34" s="255">
        <f t="shared" si="18"/>
        <v>0</v>
      </c>
      <c r="L34" s="255">
        <f t="shared" si="18"/>
        <v>0.20555289489894032</v>
      </c>
      <c r="M34" s="255">
        <f t="shared" si="18"/>
        <v>0.10483197639845956</v>
      </c>
      <c r="N34" s="470">
        <f t="shared" si="18"/>
        <v>0</v>
      </c>
    </row>
    <row r="35" spans="2:14" x14ac:dyDescent="0.25">
      <c r="B35" s="526" t="s">
        <v>20</v>
      </c>
      <c r="C35" s="441"/>
      <c r="D35" s="451"/>
      <c r="E35" s="270">
        <f>E33*E56</f>
        <v>0</v>
      </c>
      <c r="F35" s="270">
        <f t="shared" ref="F35:G35" si="19">F33*F56</f>
        <v>0</v>
      </c>
      <c r="G35" s="270">
        <f t="shared" si="19"/>
        <v>0</v>
      </c>
      <c r="H35" s="290">
        <f>H33*H57</f>
        <v>0</v>
      </c>
      <c r="I35" s="290">
        <f t="shared" ref="I35:J35" si="20">I33*I57</f>
        <v>8424837.3694677167</v>
      </c>
      <c r="J35" s="290">
        <f t="shared" si="20"/>
        <v>4296667.0584285352</v>
      </c>
      <c r="K35" s="271">
        <f>K33*K58</f>
        <v>0</v>
      </c>
      <c r="L35" s="271">
        <f t="shared" ref="L35:N35" si="21">L33*L58</f>
        <v>3791886.1605361742</v>
      </c>
      <c r="M35" s="271">
        <f t="shared" si="21"/>
        <v>1933861.9418734489</v>
      </c>
      <c r="N35" s="466">
        <f t="shared" si="21"/>
        <v>0</v>
      </c>
    </row>
    <row r="36" spans="2:14" x14ac:dyDescent="0.25">
      <c r="B36" s="526" t="s">
        <v>47</v>
      </c>
      <c r="C36" s="441"/>
      <c r="D36" s="451"/>
      <c r="E36" s="244"/>
      <c r="F36" s="244"/>
      <c r="G36" s="244"/>
      <c r="H36" s="509"/>
      <c r="I36" s="509"/>
      <c r="J36" s="509"/>
      <c r="K36" s="426"/>
      <c r="L36" s="426"/>
      <c r="M36" s="426"/>
      <c r="N36" s="514"/>
    </row>
    <row r="37" spans="2:14" ht="15.75" thickBot="1" x14ac:dyDescent="0.3">
      <c r="B37" s="525" t="s">
        <v>25</v>
      </c>
      <c r="C37" s="441"/>
      <c r="D37" s="533">
        <f>SUM(D35:D36)</f>
        <v>0</v>
      </c>
      <c r="E37" s="249">
        <f>SUM(E35:E36)</f>
        <v>0</v>
      </c>
      <c r="F37" s="249">
        <f t="shared" ref="F37:N37" si="22">SUM(F35:F36)</f>
        <v>0</v>
      </c>
      <c r="G37" s="249">
        <f t="shared" si="22"/>
        <v>0</v>
      </c>
      <c r="H37" s="259">
        <f t="shared" si="22"/>
        <v>0</v>
      </c>
      <c r="I37" s="259">
        <f t="shared" si="22"/>
        <v>8424837.3694677167</v>
      </c>
      <c r="J37" s="259">
        <f t="shared" si="22"/>
        <v>4296667.0584285352</v>
      </c>
      <c r="K37" s="254">
        <f t="shared" si="22"/>
        <v>0</v>
      </c>
      <c r="L37" s="254">
        <f t="shared" si="22"/>
        <v>3791886.1605361742</v>
      </c>
      <c r="M37" s="254">
        <f t="shared" si="22"/>
        <v>1933861.9418734489</v>
      </c>
      <c r="N37" s="517">
        <f t="shared" si="22"/>
        <v>0</v>
      </c>
    </row>
    <row r="38" spans="2:14" ht="15.75" thickBot="1" x14ac:dyDescent="0.3">
      <c r="B38" s="522" t="s">
        <v>26</v>
      </c>
      <c r="C38" s="485"/>
      <c r="D38" s="534"/>
      <c r="E38" s="487"/>
      <c r="F38" s="487"/>
      <c r="G38" s="487"/>
      <c r="H38" s="487"/>
      <c r="I38" s="487"/>
      <c r="J38" s="487"/>
      <c r="K38" s="487"/>
      <c r="L38" s="487"/>
      <c r="M38" s="487"/>
      <c r="N38" s="488"/>
    </row>
    <row r="39" spans="2:14" x14ac:dyDescent="0.25">
      <c r="B39" s="526" t="s">
        <v>27</v>
      </c>
      <c r="C39" s="441"/>
      <c r="D39" s="533">
        <f>D31</f>
        <v>0</v>
      </c>
      <c r="E39" s="249">
        <f>E31</f>
        <v>0</v>
      </c>
      <c r="F39" s="249">
        <f t="shared" ref="F39:M39" si="23">F31</f>
        <v>0</v>
      </c>
      <c r="G39" s="249">
        <f t="shared" si="23"/>
        <v>0</v>
      </c>
      <c r="H39" s="259">
        <f t="shared" si="23"/>
        <v>0</v>
      </c>
      <c r="I39" s="259">
        <f t="shared" si="23"/>
        <v>483543.03955083841</v>
      </c>
      <c r="J39" s="259">
        <f t="shared" si="23"/>
        <v>397037.18977519346</v>
      </c>
      <c r="K39" s="254">
        <f t="shared" si="23"/>
        <v>1214933.8007120918</v>
      </c>
      <c r="L39" s="254">
        <f t="shared" si="23"/>
        <v>1257192.3676933821</v>
      </c>
      <c r="M39" s="254">
        <f t="shared" si="23"/>
        <v>1282336.2150472496</v>
      </c>
      <c r="N39" s="517">
        <f>N31</f>
        <v>1444434.8185890431</v>
      </c>
    </row>
    <row r="40" spans="2:14" x14ac:dyDescent="0.25">
      <c r="B40" s="526" t="s">
        <v>69</v>
      </c>
      <c r="C40" s="502">
        <f>C51</f>
        <v>0.06</v>
      </c>
      <c r="D40" s="533"/>
      <c r="E40" s="249"/>
      <c r="F40" s="249"/>
      <c r="G40" s="249"/>
      <c r="H40" s="259"/>
      <c r="I40" s="259"/>
      <c r="J40" s="259"/>
      <c r="K40" s="254"/>
      <c r="L40" s="254"/>
      <c r="M40" s="254"/>
      <c r="N40" s="517">
        <f>N39/C40</f>
        <v>24073913.643150721</v>
      </c>
    </row>
    <row r="41" spans="2:14" x14ac:dyDescent="0.25">
      <c r="B41" s="112" t="s">
        <v>76</v>
      </c>
      <c r="C41" s="535">
        <v>0.03</v>
      </c>
      <c r="D41" s="533"/>
      <c r="E41" s="249"/>
      <c r="F41" s="249"/>
      <c r="G41" s="249"/>
      <c r="H41" s="259"/>
      <c r="I41" s="259"/>
      <c r="J41" s="259"/>
      <c r="K41" s="254"/>
      <c r="L41" s="254"/>
      <c r="M41" s="254"/>
      <c r="N41" s="517">
        <f>N40*-C41</f>
        <v>-722217.40929452155</v>
      </c>
    </row>
    <row r="42" spans="2:14" ht="15.75" thickBot="1" x14ac:dyDescent="0.3">
      <c r="B42" s="526" t="s">
        <v>25</v>
      </c>
      <c r="C42" s="443"/>
      <c r="D42" s="533">
        <f>-D37</f>
        <v>0</v>
      </c>
      <c r="E42" s="249">
        <f>-E37</f>
        <v>0</v>
      </c>
      <c r="F42" s="249">
        <f t="shared" ref="F42:N42" si="24">-F37</f>
        <v>0</v>
      </c>
      <c r="G42" s="249">
        <f t="shared" si="24"/>
        <v>0</v>
      </c>
      <c r="H42" s="259">
        <f t="shared" si="24"/>
        <v>0</v>
      </c>
      <c r="I42" s="259">
        <f t="shared" si="24"/>
        <v>-8424837.3694677167</v>
      </c>
      <c r="J42" s="259">
        <f t="shared" si="24"/>
        <v>-4296667.0584285352</v>
      </c>
      <c r="K42" s="254">
        <f t="shared" si="24"/>
        <v>0</v>
      </c>
      <c r="L42" s="254">
        <f t="shared" si="24"/>
        <v>-3791886.1605361742</v>
      </c>
      <c r="M42" s="254">
        <f t="shared" si="24"/>
        <v>-1933861.9418734489</v>
      </c>
      <c r="N42" s="517">
        <f t="shared" si="24"/>
        <v>0</v>
      </c>
    </row>
    <row r="43" spans="2:14" ht="15.75" thickBot="1" x14ac:dyDescent="0.3">
      <c r="B43" s="523"/>
      <c r="C43" s="524"/>
      <c r="D43" s="534"/>
      <c r="E43" s="487"/>
      <c r="F43" s="487"/>
      <c r="G43" s="487"/>
      <c r="H43" s="487"/>
      <c r="I43" s="487"/>
      <c r="J43" s="487"/>
      <c r="K43" s="487"/>
      <c r="L43" s="487"/>
      <c r="M43" s="487"/>
      <c r="N43" s="488"/>
    </row>
    <row r="44" spans="2:14" x14ac:dyDescent="0.25">
      <c r="B44" s="525" t="s">
        <v>29</v>
      </c>
      <c r="C44" s="443"/>
      <c r="D44" s="533">
        <f>SUM(D39:D42)</f>
        <v>0</v>
      </c>
      <c r="E44" s="249">
        <f>SUM(E39:E42)</f>
        <v>0</v>
      </c>
      <c r="F44" s="249">
        <f t="shared" ref="F44:N44" si="25">SUM(F39:F42)</f>
        <v>0</v>
      </c>
      <c r="G44" s="249">
        <f t="shared" si="25"/>
        <v>0</v>
      </c>
      <c r="H44" s="259">
        <f t="shared" si="25"/>
        <v>0</v>
      </c>
      <c r="I44" s="259">
        <f t="shared" si="25"/>
        <v>-7941294.3299168786</v>
      </c>
      <c r="J44" s="259">
        <f t="shared" si="25"/>
        <v>-3899629.8686533417</v>
      </c>
      <c r="K44" s="254">
        <f t="shared" si="25"/>
        <v>1214933.8007120918</v>
      </c>
      <c r="L44" s="254">
        <f t="shared" si="25"/>
        <v>-2534693.7928427923</v>
      </c>
      <c r="M44" s="254">
        <f t="shared" si="25"/>
        <v>-651525.72682619933</v>
      </c>
      <c r="N44" s="517">
        <f t="shared" si="25"/>
        <v>24796131.05244524</v>
      </c>
    </row>
    <row r="45" spans="2:14" x14ac:dyDescent="0.25">
      <c r="B45" s="357" t="s">
        <v>32</v>
      </c>
      <c r="C45" s="443">
        <f>C50</f>
        <v>0.06</v>
      </c>
      <c r="D45" s="444">
        <f>NPV(C45,E44:N44)</f>
        <v>3994812.843394543</v>
      </c>
      <c r="E45" s="152"/>
      <c r="F45" s="152"/>
      <c r="G45" s="152"/>
      <c r="H45" s="152"/>
      <c r="I45" s="152"/>
      <c r="J45" s="152"/>
      <c r="K45" s="152"/>
      <c r="L45" s="152"/>
      <c r="M45" s="152"/>
      <c r="N45" s="474"/>
    </row>
    <row r="46" spans="2:14" x14ac:dyDescent="0.25">
      <c r="B46" s="357" t="s">
        <v>34</v>
      </c>
      <c r="C46" s="441"/>
      <c r="D46" s="445">
        <f>IRR(D44:N44,0)</f>
        <v>0.14734469798935157</v>
      </c>
      <c r="E46" s="152"/>
      <c r="F46" s="152"/>
      <c r="G46" s="152"/>
      <c r="H46" s="152"/>
      <c r="I46" s="152"/>
      <c r="J46" s="152"/>
      <c r="K46" s="152"/>
      <c r="L46" s="152"/>
      <c r="M46" s="152"/>
      <c r="N46" s="474"/>
    </row>
    <row r="47" spans="2:14" ht="15.75" thickBot="1" x14ac:dyDescent="0.3">
      <c r="B47" s="358" t="s">
        <v>36</v>
      </c>
      <c r="C47" s="472"/>
      <c r="D47" s="446"/>
      <c r="E47" s="475"/>
      <c r="F47" s="475"/>
      <c r="G47" s="475"/>
      <c r="H47" s="475"/>
      <c r="I47" s="475"/>
      <c r="J47" s="475"/>
      <c r="K47" s="475"/>
      <c r="L47" s="475"/>
      <c r="M47" s="475"/>
      <c r="N47" s="476"/>
    </row>
    <row r="48" spans="2:14" ht="15.75" thickBot="1" x14ac:dyDescent="0.3">
      <c r="B48" s="6"/>
      <c r="C48" s="9"/>
      <c r="D48" s="200"/>
      <c r="E48" s="33"/>
      <c r="F48" s="33"/>
      <c r="G48" s="33"/>
      <c r="H48" s="33"/>
      <c r="I48" s="33"/>
      <c r="J48" s="33"/>
      <c r="K48" s="33"/>
      <c r="L48" s="33"/>
      <c r="M48" s="33"/>
      <c r="N48" s="33"/>
    </row>
    <row r="49" spans="2:15" x14ac:dyDescent="0.25">
      <c r="B49" s="1245" t="s">
        <v>71</v>
      </c>
      <c r="C49" s="1246"/>
      <c r="D49" s="200"/>
      <c r="G49" s="33"/>
      <c r="H49" s="33"/>
      <c r="I49" s="33"/>
      <c r="J49" s="33"/>
      <c r="K49" s="33"/>
      <c r="L49" s="33"/>
      <c r="M49" s="33"/>
      <c r="N49" s="33"/>
    </row>
    <row r="50" spans="2:15" x14ac:dyDescent="0.25">
      <c r="B50" s="112" t="s">
        <v>153</v>
      </c>
      <c r="C50" s="478">
        <v>0.06</v>
      </c>
      <c r="D50" s="200"/>
      <c r="G50" s="33"/>
      <c r="H50" s="33"/>
      <c r="I50" s="33"/>
      <c r="J50" s="33"/>
      <c r="K50" s="33"/>
      <c r="L50" s="33"/>
      <c r="M50" s="33"/>
      <c r="N50" s="33"/>
    </row>
    <row r="51" spans="2:15" ht="15.75" thickBot="1" x14ac:dyDescent="0.3">
      <c r="B51" s="479" t="s">
        <v>244</v>
      </c>
      <c r="C51" s="481">
        <v>0.06</v>
      </c>
      <c r="D51" s="200"/>
      <c r="G51" s="33"/>
      <c r="H51" s="33"/>
      <c r="I51" s="33"/>
      <c r="J51" s="33"/>
      <c r="K51" s="33"/>
      <c r="L51" s="33"/>
      <c r="M51" s="33"/>
      <c r="N51" s="33"/>
    </row>
    <row r="52" spans="2:15" ht="15.75" thickBot="1" x14ac:dyDescent="0.3">
      <c r="B52" s="440"/>
      <c r="C52" s="502"/>
      <c r="D52" s="323"/>
      <c r="G52" s="325"/>
      <c r="H52" s="325"/>
      <c r="I52" s="325"/>
      <c r="J52" s="325"/>
      <c r="K52" s="325"/>
      <c r="L52" s="325"/>
      <c r="M52" s="325"/>
      <c r="N52" s="325"/>
    </row>
    <row r="53" spans="2:15" x14ac:dyDescent="0.25">
      <c r="B53" s="1226" t="s">
        <v>237</v>
      </c>
      <c r="C53" s="1227"/>
      <c r="D53" s="1227"/>
      <c r="E53" s="1227"/>
      <c r="F53" s="1227"/>
      <c r="G53" s="1227"/>
      <c r="H53" s="1227"/>
      <c r="I53" s="1227"/>
      <c r="J53" s="1227"/>
      <c r="K53" s="1227"/>
      <c r="L53" s="1227"/>
      <c r="M53" s="1227"/>
      <c r="N53" s="1228"/>
    </row>
    <row r="54" spans="2:15" x14ac:dyDescent="0.25">
      <c r="B54" s="112"/>
      <c r="C54" s="441"/>
      <c r="D54" s="477">
        <v>0</v>
      </c>
      <c r="E54" s="505">
        <f t="shared" ref="E54:N54" si="26">E4</f>
        <v>1</v>
      </c>
      <c r="F54" s="505">
        <f t="shared" si="26"/>
        <v>2</v>
      </c>
      <c r="G54" s="505">
        <f t="shared" si="26"/>
        <v>3</v>
      </c>
      <c r="H54" s="505">
        <f t="shared" si="26"/>
        <v>4</v>
      </c>
      <c r="I54" s="505">
        <f t="shared" si="26"/>
        <v>5</v>
      </c>
      <c r="J54" s="505">
        <f t="shared" si="26"/>
        <v>6</v>
      </c>
      <c r="K54" s="505">
        <f t="shared" si="26"/>
        <v>7</v>
      </c>
      <c r="L54" s="505">
        <f t="shared" si="26"/>
        <v>8</v>
      </c>
      <c r="M54" s="505">
        <f t="shared" si="26"/>
        <v>9</v>
      </c>
      <c r="N54" s="506">
        <f t="shared" si="26"/>
        <v>10</v>
      </c>
    </row>
    <row r="55" spans="2:15" ht="15.75" thickBot="1" x14ac:dyDescent="0.3">
      <c r="B55" s="112"/>
      <c r="C55" s="955"/>
      <c r="D55" s="126" t="str">
        <f>D5</f>
        <v>2020-2021</v>
      </c>
      <c r="E55" s="475">
        <f t="shared" ref="E55:N55" si="27">E5</f>
        <v>2022</v>
      </c>
      <c r="F55" s="475">
        <f t="shared" si="27"/>
        <v>2023</v>
      </c>
      <c r="G55" s="475">
        <f t="shared" si="27"/>
        <v>2024</v>
      </c>
      <c r="H55" s="475">
        <f t="shared" si="27"/>
        <v>2025</v>
      </c>
      <c r="I55" s="475">
        <f t="shared" si="27"/>
        <v>2026</v>
      </c>
      <c r="J55" s="475">
        <f t="shared" si="27"/>
        <v>2027</v>
      </c>
      <c r="K55" s="475">
        <f t="shared" si="27"/>
        <v>2028</v>
      </c>
      <c r="L55" s="475">
        <f t="shared" si="27"/>
        <v>2029</v>
      </c>
      <c r="M55" s="475">
        <f t="shared" si="27"/>
        <v>2030</v>
      </c>
      <c r="N55" s="476">
        <f t="shared" si="27"/>
        <v>2031</v>
      </c>
    </row>
    <row r="56" spans="2:15" x14ac:dyDescent="0.25">
      <c r="B56" s="546" t="s">
        <v>206</v>
      </c>
      <c r="C56" s="954">
        <v>0</v>
      </c>
      <c r="D56" s="322" t="s">
        <v>177</v>
      </c>
      <c r="E56" s="644"/>
      <c r="F56" s="644"/>
      <c r="G56" s="644"/>
      <c r="H56" s="504"/>
      <c r="I56" s="504"/>
      <c r="J56" s="504"/>
      <c r="K56" s="504"/>
      <c r="L56" s="504"/>
      <c r="M56" s="504"/>
      <c r="N56" s="508"/>
    </row>
    <row r="57" spans="2:15" x14ac:dyDescent="0.25">
      <c r="B57" s="547" t="s">
        <v>207</v>
      </c>
      <c r="C57" s="954">
        <v>95248</v>
      </c>
      <c r="D57" s="152" t="s">
        <v>215</v>
      </c>
      <c r="E57" s="504"/>
      <c r="F57" s="504"/>
      <c r="G57" s="504"/>
      <c r="H57" s="644"/>
      <c r="I57" s="644">
        <f>$C$57*(2/3)</f>
        <v>63498.666666666664</v>
      </c>
      <c r="J57" s="644">
        <f>$C$57*(1/3)</f>
        <v>31749.333333333332</v>
      </c>
      <c r="K57" s="152"/>
      <c r="L57" s="152"/>
      <c r="M57" s="504"/>
      <c r="N57" s="508"/>
    </row>
    <row r="58" spans="2:15" x14ac:dyDescent="0.25">
      <c r="B58" s="548" t="s">
        <v>208</v>
      </c>
      <c r="C58" s="954">
        <v>40397</v>
      </c>
      <c r="D58" s="152" t="s">
        <v>214</v>
      </c>
      <c r="E58" s="152"/>
      <c r="F58" s="152"/>
      <c r="G58" s="152"/>
      <c r="H58" s="152"/>
      <c r="I58" s="152"/>
      <c r="J58" s="152"/>
      <c r="K58" s="645"/>
      <c r="L58" s="648">
        <f>$C$58*(2/3)</f>
        <v>26931.333333333332</v>
      </c>
      <c r="M58" s="648">
        <f>$C$58*(1/3)</f>
        <v>13465.666666666666</v>
      </c>
      <c r="N58" s="646"/>
    </row>
    <row r="59" spans="2:15" x14ac:dyDescent="0.25">
      <c r="B59" s="775" t="s">
        <v>41</v>
      </c>
      <c r="C59" s="808">
        <f>SUM(C56:C58)</f>
        <v>135645</v>
      </c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474"/>
    </row>
    <row r="60" spans="2:15" ht="15.75" thickBot="1" x14ac:dyDescent="0.3">
      <c r="B60" s="775"/>
      <c r="C60" s="441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474"/>
    </row>
    <row r="61" spans="2:15" ht="15.75" thickBot="1" x14ac:dyDescent="0.3">
      <c r="B61" s="1263" t="s">
        <v>241</v>
      </c>
      <c r="C61" s="1264"/>
      <c r="D61" s="586" t="s">
        <v>242</v>
      </c>
      <c r="E61" s="544">
        <f>E56</f>
        <v>0</v>
      </c>
      <c r="F61" s="544">
        <f t="shared" ref="F61:G61" si="28">F56</f>
        <v>0</v>
      </c>
      <c r="G61" s="544">
        <f t="shared" si="28"/>
        <v>0</v>
      </c>
      <c r="H61" s="544">
        <f>H57</f>
        <v>0</v>
      </c>
      <c r="I61" s="579">
        <f t="shared" ref="I61:J61" si="29">I57</f>
        <v>63498.666666666664</v>
      </c>
      <c r="J61" s="584">
        <f t="shared" si="29"/>
        <v>31749.333333333332</v>
      </c>
      <c r="K61" s="584">
        <f>K58</f>
        <v>0</v>
      </c>
      <c r="L61" s="584">
        <f t="shared" ref="L61:N61" si="30">L58</f>
        <v>26931.333333333332</v>
      </c>
      <c r="M61" s="584">
        <f t="shared" si="30"/>
        <v>13465.666666666666</v>
      </c>
      <c r="N61" s="545">
        <f t="shared" si="30"/>
        <v>0</v>
      </c>
    </row>
    <row r="62" spans="2:15" x14ac:dyDescent="0.25">
      <c r="D62" s="503"/>
    </row>
    <row r="64" spans="2:15" x14ac:dyDescent="0.25">
      <c r="B64" s="135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</row>
    <row r="65" spans="2:15" x14ac:dyDescent="0.25">
      <c r="B65" s="275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</row>
    <row r="66" spans="2:15" x14ac:dyDescent="0.25"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</row>
    <row r="67" spans="2:15" x14ac:dyDescent="0.25"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</row>
    <row r="68" spans="2:15" x14ac:dyDescent="0.25">
      <c r="B68" s="274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</row>
    <row r="69" spans="2:15" x14ac:dyDescent="0.25">
      <c r="B69" s="275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</row>
    <row r="70" spans="2:15" x14ac:dyDescent="0.25"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</row>
    <row r="71" spans="2:15" x14ac:dyDescent="0.25"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</row>
  </sheetData>
  <mergeCells count="6">
    <mergeCell ref="B61:C61"/>
    <mergeCell ref="B49:C49"/>
    <mergeCell ref="B53:N53"/>
    <mergeCell ref="E3:G3"/>
    <mergeCell ref="H3:J3"/>
    <mergeCell ref="K3:N3"/>
  </mergeCells>
  <conditionalFormatting sqref="M57:N57 C55:N55 E56:N56 D57:D58 E57:J57 D58:N58 D51:D52 B50:C52 B56:B58">
    <cfRule type="cellIs" dxfId="49" priority="29" operator="lessThan">
      <formula>0</formula>
    </cfRule>
  </conditionalFormatting>
  <conditionalFormatting sqref="C12">
    <cfRule type="cellIs" dxfId="48" priority="28" operator="lessThan">
      <formula>0</formula>
    </cfRule>
  </conditionalFormatting>
  <conditionalFormatting sqref="D11:N11">
    <cfRule type="cellIs" dxfId="47" priority="27" operator="lessThan">
      <formula>0</formula>
    </cfRule>
  </conditionalFormatting>
  <conditionalFormatting sqref="C33">
    <cfRule type="cellIs" dxfId="46" priority="26" operator="lessThan">
      <formula>0</formula>
    </cfRule>
  </conditionalFormatting>
  <conditionalFormatting sqref="B54:N54 G51:N52 C59:N60 E61:H61 N61">
    <cfRule type="cellIs" dxfId="45" priority="25" operator="lessThan">
      <formula>0</formula>
    </cfRule>
  </conditionalFormatting>
  <conditionalFormatting sqref="E56:N56 C59:N60 N61 D61:H61">
    <cfRule type="cellIs" dxfId="44" priority="24" operator="lessThan">
      <formula>0</formula>
    </cfRule>
  </conditionalFormatting>
  <conditionalFormatting sqref="E56:L56">
    <cfRule type="cellIs" dxfId="43" priority="23" operator="lessThan">
      <formula>0</formula>
    </cfRule>
  </conditionalFormatting>
  <conditionalFormatting sqref="D45">
    <cfRule type="cellIs" dxfId="42" priority="21" operator="lessThan">
      <formula>0</formula>
    </cfRule>
  </conditionalFormatting>
  <conditionalFormatting sqref="C57:C58">
    <cfRule type="cellIs" dxfId="41" priority="20" operator="lessThan">
      <formula>0</formula>
    </cfRule>
  </conditionalFormatting>
  <conditionalFormatting sqref="C57:C58">
    <cfRule type="cellIs" dxfId="40" priority="19" operator="lessThan">
      <formula>0</formula>
    </cfRule>
  </conditionalFormatting>
  <conditionalFormatting sqref="C19">
    <cfRule type="cellIs" dxfId="39" priority="16" operator="lessThan">
      <formula>0</formula>
    </cfRule>
  </conditionalFormatting>
  <conditionalFormatting sqref="D18:N18">
    <cfRule type="cellIs" dxfId="38" priority="15" operator="lessThan">
      <formula>0</formula>
    </cfRule>
  </conditionalFormatting>
  <conditionalFormatting sqref="D25:N25">
    <cfRule type="cellIs" dxfId="37" priority="13" operator="lessThan">
      <formula>0</formula>
    </cfRule>
  </conditionalFormatting>
  <conditionalFormatting sqref="C26">
    <cfRule type="cellIs" dxfId="36" priority="14" operator="lessThan">
      <formula>0</formula>
    </cfRule>
  </conditionalFormatting>
  <conditionalFormatting sqref="C56">
    <cfRule type="cellIs" dxfId="35" priority="12" operator="lessThan">
      <formula>0</formula>
    </cfRule>
  </conditionalFormatting>
  <conditionalFormatting sqref="C56">
    <cfRule type="cellIs" dxfId="34" priority="11" operator="lessThan">
      <formula>0</formula>
    </cfRule>
  </conditionalFormatting>
  <conditionalFormatting sqref="C64:O71">
    <cfRule type="cellIs" dxfId="33" priority="10" operator="lessThan">
      <formula>0</formula>
    </cfRule>
  </conditionalFormatting>
  <conditionalFormatting sqref="B49 B50:C52">
    <cfRule type="cellIs" dxfId="32" priority="9" operator="lessThan">
      <formula>0</formula>
    </cfRule>
  </conditionalFormatting>
  <conditionalFormatting sqref="B50:C50">
    <cfRule type="cellIs" dxfId="31" priority="8" operator="lessThan">
      <formula>0</formula>
    </cfRule>
  </conditionalFormatting>
  <conditionalFormatting sqref="C51:C52">
    <cfRule type="cellIs" dxfId="30" priority="7" operator="lessThan">
      <formula>0</formula>
    </cfRule>
  </conditionalFormatting>
  <conditionalFormatting sqref="B53">
    <cfRule type="cellIs" dxfId="29" priority="6" operator="lessThan">
      <formula>0</formula>
    </cfRule>
  </conditionalFormatting>
  <conditionalFormatting sqref="B61">
    <cfRule type="cellIs" dxfId="28" priority="4" operator="lessThan">
      <formula>0</formula>
    </cfRule>
  </conditionalFormatting>
  <conditionalFormatting sqref="I61:M61">
    <cfRule type="cellIs" dxfId="27" priority="3" operator="lessThan">
      <formula>0</formula>
    </cfRule>
  </conditionalFormatting>
  <conditionalFormatting sqref="M2:N2">
    <cfRule type="cellIs" dxfId="26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4D069-BF30-49D0-A6FA-1FB7CA61DDBE}">
  <dimension ref="A1:M31"/>
  <sheetViews>
    <sheetView zoomScale="85" zoomScaleNormal="85" workbookViewId="0">
      <selection activeCell="H17" sqref="H17"/>
    </sheetView>
  </sheetViews>
  <sheetFormatPr defaultColWidth="9.140625" defaultRowHeight="12.75" x14ac:dyDescent="0.2"/>
  <cols>
    <col min="1" max="1" width="29.42578125" style="6" bestFit="1" customWidth="1"/>
    <col min="2" max="2" width="10.5703125" style="9" bestFit="1" customWidth="1"/>
    <col min="3" max="3" width="9.85546875" style="10" bestFit="1" customWidth="1"/>
    <col min="4" max="4" width="8.42578125" style="33" bestFit="1" customWidth="1"/>
    <col min="5" max="5" width="13.7109375" style="33" bestFit="1" customWidth="1"/>
    <col min="6" max="6" width="11.7109375" style="33" bestFit="1" customWidth="1"/>
    <col min="7" max="12" width="12.28515625" style="33" bestFit="1" customWidth="1"/>
    <col min="13" max="13" width="12.7109375" style="33" bestFit="1" customWidth="1"/>
    <col min="14" max="16384" width="9.140625" style="6"/>
  </cols>
  <sheetData>
    <row r="1" spans="1:13" ht="15.75" thickBot="1" x14ac:dyDescent="0.25">
      <c r="L1" s="952" t="s">
        <v>1</v>
      </c>
      <c r="M1" s="953" t="s">
        <v>105</v>
      </c>
    </row>
    <row r="2" spans="1:13" x14ac:dyDescent="0.2">
      <c r="C2" s="44"/>
      <c r="D2" s="72" t="s">
        <v>2</v>
      </c>
      <c r="L2" s="50"/>
      <c r="M2" s="50"/>
    </row>
    <row r="3" spans="1:13" x14ac:dyDescent="0.2">
      <c r="C3" s="13">
        <v>0</v>
      </c>
      <c r="D3" s="34">
        <f>C3+1</f>
        <v>1</v>
      </c>
      <c r="E3" s="34">
        <f t="shared" ref="E3:M3" si="0">D3+1</f>
        <v>2</v>
      </c>
      <c r="F3" s="34">
        <f t="shared" si="0"/>
        <v>3</v>
      </c>
      <c r="G3" s="34">
        <f t="shared" si="0"/>
        <v>4</v>
      </c>
      <c r="H3" s="34">
        <f t="shared" si="0"/>
        <v>5</v>
      </c>
      <c r="I3" s="34">
        <f t="shared" si="0"/>
        <v>6</v>
      </c>
      <c r="J3" s="34">
        <f t="shared" si="0"/>
        <v>7</v>
      </c>
      <c r="K3" s="34">
        <f t="shared" si="0"/>
        <v>8</v>
      </c>
      <c r="L3" s="34">
        <f t="shared" si="0"/>
        <v>9</v>
      </c>
      <c r="M3" s="34">
        <f t="shared" si="0"/>
        <v>10</v>
      </c>
    </row>
    <row r="4" spans="1:13" x14ac:dyDescent="0.2">
      <c r="A4" s="14"/>
      <c r="B4" s="60" t="s">
        <v>52</v>
      </c>
      <c r="C4" s="61" t="str">
        <f>'Summary Board'!E4</f>
        <v>2020-2021</v>
      </c>
      <c r="D4" s="658">
        <f>'Summary Board'!F4</f>
        <v>2022</v>
      </c>
      <c r="E4" s="50">
        <f t="shared" ref="E4:M4" si="1">D4+1</f>
        <v>2023</v>
      </c>
      <c r="F4" s="73">
        <f t="shared" si="1"/>
        <v>2024</v>
      </c>
      <c r="G4" s="73">
        <f t="shared" si="1"/>
        <v>2025</v>
      </c>
      <c r="H4" s="73">
        <f t="shared" si="1"/>
        <v>2026</v>
      </c>
      <c r="I4" s="73">
        <f t="shared" si="1"/>
        <v>2027</v>
      </c>
      <c r="J4" s="73">
        <f t="shared" si="1"/>
        <v>2028</v>
      </c>
      <c r="K4" s="73">
        <f t="shared" si="1"/>
        <v>2029</v>
      </c>
      <c r="L4" s="73">
        <f t="shared" si="1"/>
        <v>2030</v>
      </c>
      <c r="M4" s="73">
        <f t="shared" si="1"/>
        <v>2031</v>
      </c>
    </row>
    <row r="5" spans="1:13" x14ac:dyDescent="0.2">
      <c r="A5" s="291" t="s">
        <v>71</v>
      </c>
      <c r="B5" s="223"/>
      <c r="C5" s="224"/>
      <c r="D5" s="222"/>
      <c r="E5" s="222"/>
      <c r="F5" s="222"/>
      <c r="G5" s="222"/>
      <c r="H5" s="222"/>
      <c r="I5" s="222"/>
      <c r="J5" s="222"/>
      <c r="K5" s="222"/>
      <c r="L5" s="222"/>
      <c r="M5" s="222"/>
    </row>
    <row r="6" spans="1:13" x14ac:dyDescent="0.2">
      <c r="A6" s="17" t="s">
        <v>53</v>
      </c>
      <c r="B6" s="62">
        <v>0.02</v>
      </c>
      <c r="C6" s="63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17" t="s">
        <v>101</v>
      </c>
      <c r="B7" s="18"/>
      <c r="C7" s="19">
        <v>0</v>
      </c>
      <c r="D7" s="21">
        <v>0</v>
      </c>
      <c r="E7" s="21">
        <v>0</v>
      </c>
      <c r="F7" s="21">
        <v>0</v>
      </c>
      <c r="G7" s="21">
        <v>0</v>
      </c>
      <c r="H7" s="21"/>
      <c r="I7" s="21"/>
      <c r="J7" s="21"/>
      <c r="K7" s="21"/>
      <c r="L7" s="21"/>
      <c r="M7" s="21"/>
    </row>
    <row r="8" spans="1:13" x14ac:dyDescent="0.2">
      <c r="A8" s="30" t="s">
        <v>80</v>
      </c>
      <c r="B8" s="76">
        <v>1</v>
      </c>
      <c r="C8" s="53">
        <f>B8</f>
        <v>1</v>
      </c>
      <c r="D8" s="77">
        <f>C8</f>
        <v>1</v>
      </c>
      <c r="E8" s="77">
        <v>0.6</v>
      </c>
      <c r="F8" s="77">
        <v>0.5</v>
      </c>
      <c r="G8" s="77">
        <v>0.3</v>
      </c>
      <c r="H8" s="77">
        <v>0.3</v>
      </c>
      <c r="I8" s="77">
        <v>0.3</v>
      </c>
      <c r="J8" s="77">
        <v>0.2</v>
      </c>
      <c r="K8" s="77">
        <f t="shared" ref="K8:M8" si="2">J8</f>
        <v>0.2</v>
      </c>
      <c r="L8" s="77">
        <f t="shared" si="2"/>
        <v>0.2</v>
      </c>
      <c r="M8" s="77">
        <f t="shared" si="2"/>
        <v>0.2</v>
      </c>
    </row>
    <row r="9" spans="1:13" x14ac:dyDescent="0.2">
      <c r="A9" s="30" t="s">
        <v>65</v>
      </c>
      <c r="B9" s="81">
        <f>1-B8</f>
        <v>0</v>
      </c>
      <c r="C9" s="37">
        <f>1-C8</f>
        <v>0</v>
      </c>
      <c r="D9" s="78">
        <f>1-D8</f>
        <v>0</v>
      </c>
      <c r="E9" s="78">
        <f t="shared" ref="E9:M9" si="3">1-E8</f>
        <v>0.4</v>
      </c>
      <c r="F9" s="78">
        <f t="shared" si="3"/>
        <v>0.5</v>
      </c>
      <c r="G9" s="78">
        <f t="shared" si="3"/>
        <v>0.7</v>
      </c>
      <c r="H9" s="78">
        <f t="shared" si="3"/>
        <v>0.7</v>
      </c>
      <c r="I9" s="78">
        <f t="shared" si="3"/>
        <v>0.7</v>
      </c>
      <c r="J9" s="78">
        <f t="shared" si="3"/>
        <v>0.8</v>
      </c>
      <c r="K9" s="78">
        <f t="shared" si="3"/>
        <v>0.8</v>
      </c>
      <c r="L9" s="78">
        <f t="shared" si="3"/>
        <v>0.8</v>
      </c>
      <c r="M9" s="78">
        <f t="shared" si="3"/>
        <v>0.8</v>
      </c>
    </row>
    <row r="10" spans="1:13" x14ac:dyDescent="0.2">
      <c r="A10" s="64" t="s">
        <v>102</v>
      </c>
      <c r="B10" s="24">
        <v>120</v>
      </c>
      <c r="C10" s="54">
        <f>B10</f>
        <v>120</v>
      </c>
      <c r="D10" s="75">
        <f>$C10*(1+$B$6)^D$3</f>
        <v>122.4</v>
      </c>
      <c r="E10" s="75">
        <f t="shared" ref="E10:M10" si="4">$C10*(1+$B$6)^E$3</f>
        <v>124.848</v>
      </c>
      <c r="F10" s="75">
        <f t="shared" si="4"/>
        <v>127.34495999999999</v>
      </c>
      <c r="G10" s="75">
        <f t="shared" si="4"/>
        <v>129.8918592</v>
      </c>
      <c r="H10" s="75">
        <f t="shared" si="4"/>
        <v>132.48969638400001</v>
      </c>
      <c r="I10" s="75">
        <f t="shared" si="4"/>
        <v>135.13949031168002</v>
      </c>
      <c r="J10" s="75">
        <f t="shared" si="4"/>
        <v>137.84228011791359</v>
      </c>
      <c r="K10" s="75">
        <f t="shared" si="4"/>
        <v>140.59912572027187</v>
      </c>
      <c r="L10" s="75">
        <f t="shared" si="4"/>
        <v>143.4111082346773</v>
      </c>
      <c r="M10" s="75">
        <f t="shared" si="4"/>
        <v>146.27933039937085</v>
      </c>
    </row>
    <row r="11" spans="1:13" x14ac:dyDescent="0.2">
      <c r="A11" s="291" t="s">
        <v>3</v>
      </c>
      <c r="B11" s="219"/>
      <c r="C11" s="220"/>
      <c r="D11" s="221"/>
      <c r="E11" s="221"/>
      <c r="F11" s="221"/>
      <c r="G11" s="221"/>
      <c r="H11" s="221"/>
      <c r="I11" s="221"/>
      <c r="J11" s="221"/>
      <c r="K11" s="221"/>
      <c r="L11" s="221"/>
      <c r="M11" s="221"/>
    </row>
    <row r="12" spans="1:13" x14ac:dyDescent="0.2">
      <c r="A12" s="17" t="s">
        <v>103</v>
      </c>
      <c r="B12" s="79">
        <v>365</v>
      </c>
      <c r="C12" s="23"/>
      <c r="D12" s="52">
        <f>SUM($C$7:D7)*D9*D10*$B$12</f>
        <v>0</v>
      </c>
      <c r="E12" s="52">
        <f>SUM($C$7:E7)*E9*E10*$B$12</f>
        <v>0</v>
      </c>
      <c r="F12" s="52">
        <f>SUM($C$7:F7)*F9*F10*$B$12</f>
        <v>0</v>
      </c>
      <c r="G12" s="52">
        <f>SUM($C$7:G7)*G9*G10*$B$12</f>
        <v>0</v>
      </c>
      <c r="H12" s="52">
        <f>SUM($C$7:H7)*H9*H10*$B$12</f>
        <v>0</v>
      </c>
      <c r="I12" s="52">
        <f>SUM($C$7:I7)*I9*I10*$B$12</f>
        <v>0</v>
      </c>
      <c r="J12" s="52">
        <f>SUM($C$7:J7)*J9*J10*$B$12</f>
        <v>0</v>
      </c>
      <c r="K12" s="52">
        <f>SUM($C$7:K7)*K9*K10*$B$12</f>
        <v>0</v>
      </c>
      <c r="L12" s="52">
        <f>SUM($C$7:L7)*L9*L10*$B$12</f>
        <v>0</v>
      </c>
      <c r="M12" s="52">
        <f>SUM($C$7:M7)*M9*M10*$B$12</f>
        <v>0</v>
      </c>
    </row>
    <row r="13" spans="1:13" s="49" customFormat="1" x14ac:dyDescent="0.2">
      <c r="A13" s="46" t="s">
        <v>104</v>
      </c>
      <c r="B13" s="47">
        <v>0.1</v>
      </c>
      <c r="C13" s="48"/>
      <c r="D13" s="80">
        <f>D12*$B$13</f>
        <v>0</v>
      </c>
      <c r="E13" s="80">
        <f t="shared" ref="E13:M13" si="5">E12*$B$13</f>
        <v>0</v>
      </c>
      <c r="F13" s="80">
        <f t="shared" si="5"/>
        <v>0</v>
      </c>
      <c r="G13" s="80">
        <f t="shared" si="5"/>
        <v>0</v>
      </c>
      <c r="H13" s="80">
        <f t="shared" si="5"/>
        <v>0</v>
      </c>
      <c r="I13" s="80">
        <f t="shared" si="5"/>
        <v>0</v>
      </c>
      <c r="J13" s="80">
        <f t="shared" si="5"/>
        <v>0</v>
      </c>
      <c r="K13" s="80">
        <f t="shared" si="5"/>
        <v>0</v>
      </c>
      <c r="L13" s="80">
        <f t="shared" si="5"/>
        <v>0</v>
      </c>
      <c r="M13" s="80">
        <f t="shared" si="5"/>
        <v>0</v>
      </c>
    </row>
    <row r="14" spans="1:13" s="49" customFormat="1" x14ac:dyDescent="0.2">
      <c r="A14" s="65" t="s">
        <v>115</v>
      </c>
      <c r="B14" s="25">
        <v>0.6</v>
      </c>
      <c r="C14" s="66"/>
      <c r="D14" s="80">
        <f>-(D12*$B$14)</f>
        <v>0</v>
      </c>
      <c r="E14" s="80">
        <f t="shared" ref="E14:M14" si="6">-(E12*$B$14)</f>
        <v>0</v>
      </c>
      <c r="F14" s="80">
        <f t="shared" si="6"/>
        <v>0</v>
      </c>
      <c r="G14" s="80">
        <f t="shared" si="6"/>
        <v>0</v>
      </c>
      <c r="H14" s="80">
        <f t="shared" si="6"/>
        <v>0</v>
      </c>
      <c r="I14" s="80">
        <f t="shared" si="6"/>
        <v>0</v>
      </c>
      <c r="J14" s="80">
        <f t="shared" si="6"/>
        <v>0</v>
      </c>
      <c r="K14" s="80">
        <f t="shared" si="6"/>
        <v>0</v>
      </c>
      <c r="L14" s="80">
        <f t="shared" si="6"/>
        <v>0</v>
      </c>
      <c r="M14" s="80">
        <f t="shared" si="6"/>
        <v>0</v>
      </c>
    </row>
    <row r="15" spans="1:13" x14ac:dyDescent="0.2">
      <c r="A15" s="26" t="s">
        <v>27</v>
      </c>
      <c r="B15" s="27"/>
      <c r="C15" s="28"/>
      <c r="D15" s="51">
        <f>SUM(D12:D14)</f>
        <v>0</v>
      </c>
      <c r="E15" s="51">
        <f t="shared" ref="E15:M15" si="7">SUM(E12:E14)</f>
        <v>0</v>
      </c>
      <c r="F15" s="51">
        <f t="shared" si="7"/>
        <v>0</v>
      </c>
      <c r="G15" s="51">
        <f t="shared" si="7"/>
        <v>0</v>
      </c>
      <c r="H15" s="51">
        <f t="shared" si="7"/>
        <v>0</v>
      </c>
      <c r="I15" s="51">
        <f t="shared" si="7"/>
        <v>0</v>
      </c>
      <c r="J15" s="51">
        <f t="shared" si="7"/>
        <v>0</v>
      </c>
      <c r="K15" s="51">
        <f t="shared" si="7"/>
        <v>0</v>
      </c>
      <c r="L15" s="51">
        <f t="shared" si="7"/>
        <v>0</v>
      </c>
      <c r="M15" s="51">
        <f t="shared" si="7"/>
        <v>0</v>
      </c>
    </row>
    <row r="16" spans="1:13" x14ac:dyDescent="0.2">
      <c r="A16" s="291" t="s">
        <v>20</v>
      </c>
      <c r="B16" s="219"/>
      <c r="C16" s="220"/>
      <c r="D16" s="221"/>
      <c r="E16" s="222"/>
      <c r="F16" s="222"/>
      <c r="G16" s="222"/>
      <c r="H16" s="222"/>
      <c r="I16" s="222"/>
      <c r="J16" s="222"/>
      <c r="K16" s="222"/>
      <c r="L16" s="222"/>
      <c r="M16" s="222"/>
    </row>
    <row r="17" spans="1:13" x14ac:dyDescent="0.2">
      <c r="A17" s="40" t="s">
        <v>111</v>
      </c>
      <c r="B17" s="24">
        <v>260</v>
      </c>
      <c r="C17" s="56">
        <f>B17</f>
        <v>260</v>
      </c>
      <c r="D17" s="119">
        <f>$C17*(1+$B$6)^D$3</f>
        <v>265.2</v>
      </c>
      <c r="E17" s="55">
        <f t="shared" ref="E17:M17" si="8">$C17*(1+$B$6)^E$3</f>
        <v>270.50400000000002</v>
      </c>
      <c r="F17" s="55">
        <f t="shared" si="8"/>
        <v>275.91407999999996</v>
      </c>
      <c r="G17" s="55">
        <f t="shared" si="8"/>
        <v>281.43236159999998</v>
      </c>
      <c r="H17" s="55">
        <f t="shared" si="8"/>
        <v>287.06100883200003</v>
      </c>
      <c r="I17" s="55">
        <f t="shared" si="8"/>
        <v>292.80222900864004</v>
      </c>
      <c r="J17" s="55">
        <f t="shared" si="8"/>
        <v>298.65827358881273</v>
      </c>
      <c r="K17" s="55">
        <f t="shared" si="8"/>
        <v>304.63143906058906</v>
      </c>
      <c r="L17" s="55">
        <f t="shared" si="8"/>
        <v>310.72406784180083</v>
      </c>
      <c r="M17" s="55">
        <f t="shared" si="8"/>
        <v>316.93854919863685</v>
      </c>
    </row>
    <row r="18" spans="1:13" x14ac:dyDescent="0.2">
      <c r="A18" s="17" t="s">
        <v>68</v>
      </c>
      <c r="B18" s="22"/>
      <c r="C18" s="23" t="e">
        <f>C19/SUM($C$19:$M$19)</f>
        <v>#DIV/0!</v>
      </c>
      <c r="D18" s="20" t="e">
        <f t="shared" ref="D18:M18" si="9">D19/SUM($C$19:$M$19)</f>
        <v>#DIV/0!</v>
      </c>
      <c r="E18" s="42" t="e">
        <f t="shared" si="9"/>
        <v>#DIV/0!</v>
      </c>
      <c r="F18" s="42" t="e">
        <f t="shared" si="9"/>
        <v>#DIV/0!</v>
      </c>
      <c r="G18" s="42" t="e">
        <f t="shared" si="9"/>
        <v>#DIV/0!</v>
      </c>
      <c r="H18" s="42" t="e">
        <f t="shared" si="9"/>
        <v>#DIV/0!</v>
      </c>
      <c r="I18" s="42" t="e">
        <f t="shared" si="9"/>
        <v>#DIV/0!</v>
      </c>
      <c r="J18" s="42" t="e">
        <f t="shared" si="9"/>
        <v>#DIV/0!</v>
      </c>
      <c r="K18" s="42" t="e">
        <f t="shared" si="9"/>
        <v>#DIV/0!</v>
      </c>
      <c r="L18" s="42" t="e">
        <f t="shared" si="9"/>
        <v>#DIV/0!</v>
      </c>
      <c r="M18" s="42" t="e">
        <f t="shared" si="9"/>
        <v>#DIV/0!</v>
      </c>
    </row>
    <row r="19" spans="1:13" x14ac:dyDescent="0.2">
      <c r="A19" s="17" t="s">
        <v>20</v>
      </c>
      <c r="B19" s="22"/>
      <c r="C19" s="23"/>
      <c r="D19" s="20"/>
      <c r="E19" s="21"/>
      <c r="F19" s="21"/>
      <c r="G19" s="21"/>
      <c r="H19" s="21"/>
      <c r="I19" s="21"/>
      <c r="J19" s="21"/>
      <c r="K19" s="21"/>
      <c r="L19" s="21"/>
      <c r="M19" s="21"/>
    </row>
    <row r="20" spans="1:13" x14ac:dyDescent="0.2">
      <c r="A20" s="17" t="s">
        <v>47</v>
      </c>
      <c r="B20" s="22"/>
      <c r="C20" s="23"/>
      <c r="D20" s="20"/>
      <c r="E20" s="20"/>
      <c r="F20" s="20"/>
      <c r="G20" s="20"/>
      <c r="H20" s="20"/>
      <c r="I20" s="20"/>
      <c r="J20" s="20"/>
      <c r="K20" s="20"/>
      <c r="L20" s="20"/>
      <c r="M20" s="20"/>
    </row>
    <row r="21" spans="1:13" x14ac:dyDescent="0.2">
      <c r="A21" s="26" t="s">
        <v>25</v>
      </c>
      <c r="B21" s="27"/>
      <c r="C21" s="121">
        <f>SUM(C19:C20)</f>
        <v>0</v>
      </c>
      <c r="D21" s="51">
        <f>SUM(D19:D20)</f>
        <v>0</v>
      </c>
      <c r="E21" s="51">
        <f t="shared" ref="E21:M21" si="10">SUM(E19:E20)</f>
        <v>0</v>
      </c>
      <c r="F21" s="51">
        <f t="shared" si="10"/>
        <v>0</v>
      </c>
      <c r="G21" s="51">
        <f t="shared" si="10"/>
        <v>0</v>
      </c>
      <c r="H21" s="51">
        <f t="shared" si="10"/>
        <v>0</v>
      </c>
      <c r="I21" s="51">
        <f t="shared" si="10"/>
        <v>0</v>
      </c>
      <c r="J21" s="51">
        <f t="shared" si="10"/>
        <v>0</v>
      </c>
      <c r="K21" s="51">
        <f t="shared" si="10"/>
        <v>0</v>
      </c>
      <c r="L21" s="51">
        <f t="shared" si="10"/>
        <v>0</v>
      </c>
      <c r="M21" s="51">
        <f t="shared" si="10"/>
        <v>0</v>
      </c>
    </row>
    <row r="22" spans="1:13" x14ac:dyDescent="0.2">
      <c r="A22" s="291" t="s">
        <v>26</v>
      </c>
      <c r="B22" s="219"/>
      <c r="C22" s="292"/>
      <c r="D22" s="221"/>
      <c r="E22" s="221"/>
      <c r="F22" s="221"/>
      <c r="G22" s="221"/>
      <c r="H22" s="221"/>
      <c r="I22" s="221"/>
      <c r="J22" s="221"/>
      <c r="K22" s="221"/>
      <c r="L22" s="221"/>
      <c r="M22" s="221"/>
    </row>
    <row r="23" spans="1:13" x14ac:dyDescent="0.2">
      <c r="A23" s="17" t="s">
        <v>27</v>
      </c>
      <c r="B23" s="29"/>
      <c r="C23" s="120">
        <f>C15</f>
        <v>0</v>
      </c>
      <c r="D23" s="52">
        <f>D15</f>
        <v>0</v>
      </c>
      <c r="E23" s="52">
        <f t="shared" ref="E23:M23" si="11">E15</f>
        <v>0</v>
      </c>
      <c r="F23" s="52">
        <f t="shared" si="11"/>
        <v>0</v>
      </c>
      <c r="G23" s="52">
        <f t="shared" si="11"/>
        <v>0</v>
      </c>
      <c r="H23" s="52">
        <f t="shared" si="11"/>
        <v>0</v>
      </c>
      <c r="I23" s="52">
        <f t="shared" si="11"/>
        <v>0</v>
      </c>
      <c r="J23" s="52">
        <f t="shared" si="11"/>
        <v>0</v>
      </c>
      <c r="K23" s="52">
        <f t="shared" si="11"/>
        <v>0</v>
      </c>
      <c r="L23" s="52">
        <f t="shared" si="11"/>
        <v>0</v>
      </c>
      <c r="M23" s="52">
        <f t="shared" si="11"/>
        <v>0</v>
      </c>
    </row>
    <row r="24" spans="1:13" x14ac:dyDescent="0.2">
      <c r="A24" s="17" t="s">
        <v>69</v>
      </c>
      <c r="B24" s="59">
        <v>0.05</v>
      </c>
      <c r="C24" s="36"/>
      <c r="D24" s="20"/>
      <c r="E24" s="20"/>
      <c r="F24" s="20"/>
      <c r="G24" s="20"/>
      <c r="H24" s="20"/>
      <c r="I24" s="20"/>
      <c r="J24" s="20"/>
      <c r="K24" s="20"/>
      <c r="L24" s="20"/>
      <c r="M24" s="52">
        <f>M23/B24</f>
        <v>0</v>
      </c>
    </row>
    <row r="25" spans="1:13" x14ac:dyDescent="0.2">
      <c r="A25" s="17" t="s">
        <v>70</v>
      </c>
      <c r="B25" s="59">
        <v>0.03</v>
      </c>
      <c r="C25" s="36"/>
      <c r="D25" s="20"/>
      <c r="E25" s="20"/>
      <c r="F25" s="20"/>
      <c r="G25" s="20"/>
      <c r="H25" s="20"/>
      <c r="I25" s="20"/>
      <c r="J25" s="20"/>
      <c r="K25" s="20"/>
      <c r="L25" s="20"/>
      <c r="M25" s="52">
        <f>M24*-B25</f>
        <v>0</v>
      </c>
    </row>
    <row r="26" spans="1:13" x14ac:dyDescent="0.2">
      <c r="A26" s="17" t="s">
        <v>25</v>
      </c>
      <c r="B26" s="62"/>
      <c r="C26" s="120">
        <f>-C21</f>
        <v>0</v>
      </c>
      <c r="D26" s="52">
        <f>-D21</f>
        <v>0</v>
      </c>
      <c r="E26" s="52">
        <f t="shared" ref="E26:M26" si="12">-E21</f>
        <v>0</v>
      </c>
      <c r="F26" s="52">
        <f t="shared" si="12"/>
        <v>0</v>
      </c>
      <c r="G26" s="52">
        <f t="shared" si="12"/>
        <v>0</v>
      </c>
      <c r="H26" s="52">
        <f t="shared" si="12"/>
        <v>0</v>
      </c>
      <c r="I26" s="52">
        <f t="shared" si="12"/>
        <v>0</v>
      </c>
      <c r="J26" s="52">
        <f t="shared" si="12"/>
        <v>0</v>
      </c>
      <c r="K26" s="52">
        <f t="shared" si="12"/>
        <v>0</v>
      </c>
      <c r="L26" s="52">
        <f t="shared" si="12"/>
        <v>0</v>
      </c>
      <c r="M26" s="52">
        <f t="shared" si="12"/>
        <v>0</v>
      </c>
    </row>
    <row r="27" spans="1:13" x14ac:dyDescent="0.2">
      <c r="A27" s="293"/>
      <c r="B27" s="294"/>
      <c r="C27" s="295"/>
      <c r="D27" s="296"/>
      <c r="E27" s="296"/>
      <c r="F27" s="296"/>
      <c r="G27" s="296"/>
      <c r="H27" s="296"/>
      <c r="I27" s="296"/>
      <c r="J27" s="296"/>
      <c r="K27" s="296"/>
      <c r="L27" s="296"/>
      <c r="M27" s="296"/>
    </row>
    <row r="28" spans="1:13" x14ac:dyDescent="0.2">
      <c r="A28" s="26" t="s">
        <v>29</v>
      </c>
      <c r="B28" s="67"/>
      <c r="C28" s="121">
        <f>SUM(C23:C26)</f>
        <v>0</v>
      </c>
      <c r="D28" s="51">
        <f>SUM(D23:D26)</f>
        <v>0</v>
      </c>
      <c r="E28" s="51">
        <f t="shared" ref="E28:M28" si="13">SUM(E23:E26)</f>
        <v>0</v>
      </c>
      <c r="F28" s="51">
        <f t="shared" si="13"/>
        <v>0</v>
      </c>
      <c r="G28" s="51">
        <f t="shared" si="13"/>
        <v>0</v>
      </c>
      <c r="H28" s="51">
        <f t="shared" si="13"/>
        <v>0</v>
      </c>
      <c r="I28" s="51">
        <f t="shared" si="13"/>
        <v>0</v>
      </c>
      <c r="J28" s="51">
        <f t="shared" si="13"/>
        <v>0</v>
      </c>
      <c r="K28" s="51">
        <f t="shared" si="13"/>
        <v>0</v>
      </c>
      <c r="L28" s="51">
        <f t="shared" si="13"/>
        <v>0</v>
      </c>
      <c r="M28" s="51">
        <f t="shared" si="13"/>
        <v>0</v>
      </c>
    </row>
    <row r="29" spans="1:13" x14ac:dyDescent="0.2">
      <c r="A29" s="31" t="s">
        <v>32</v>
      </c>
      <c r="B29" s="68"/>
      <c r="C29" s="69"/>
      <c r="D29" s="21"/>
      <c r="E29" s="21"/>
      <c r="F29" s="21"/>
      <c r="G29" s="21"/>
      <c r="H29" s="21"/>
      <c r="I29" s="21"/>
      <c r="J29" s="21"/>
      <c r="K29" s="21"/>
      <c r="L29" s="21"/>
      <c r="M29" s="21"/>
    </row>
    <row r="30" spans="1:13" x14ac:dyDescent="0.2">
      <c r="A30" s="32" t="s">
        <v>34</v>
      </c>
      <c r="B30" s="70"/>
      <c r="C30" s="45" t="e">
        <f>IRR(C28:M28,0)</f>
        <v>#NUM!</v>
      </c>
      <c r="D30" s="38"/>
      <c r="E30" s="38"/>
      <c r="F30" s="38"/>
      <c r="G30" s="38"/>
      <c r="H30" s="38"/>
      <c r="I30" s="38"/>
      <c r="J30" s="38"/>
      <c r="K30" s="38"/>
      <c r="L30" s="38"/>
      <c r="M30" s="38"/>
    </row>
    <row r="31" spans="1:13" ht="13.5" thickBot="1" x14ac:dyDescent="0.25">
      <c r="A31" s="32" t="s">
        <v>36</v>
      </c>
      <c r="B31" s="70"/>
      <c r="C31" s="71"/>
      <c r="D31" s="38"/>
      <c r="E31" s="38"/>
      <c r="F31" s="38"/>
      <c r="G31" s="38"/>
      <c r="H31" s="38"/>
      <c r="I31" s="38"/>
      <c r="J31" s="38"/>
      <c r="K31" s="38"/>
      <c r="L31" s="38"/>
      <c r="M31" s="38"/>
    </row>
  </sheetData>
  <conditionalFormatting sqref="B10">
    <cfRule type="cellIs" dxfId="25" priority="13" operator="lessThan">
      <formula>0</formula>
    </cfRule>
  </conditionalFormatting>
  <conditionalFormatting sqref="B14">
    <cfRule type="cellIs" dxfId="24" priority="12" operator="lessThan">
      <formula>0</formula>
    </cfRule>
  </conditionalFormatting>
  <conditionalFormatting sqref="B17">
    <cfRule type="cellIs" dxfId="23" priority="11" operator="lessThan">
      <formula>0</formula>
    </cfRule>
  </conditionalFormatting>
  <conditionalFormatting sqref="L1:M1">
    <cfRule type="cellIs" dxfId="22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2C3C3-55BD-428D-9F85-3ACA2C80152F}">
  <dimension ref="B1:N124"/>
  <sheetViews>
    <sheetView topLeftCell="B1" zoomScale="85" zoomScaleNormal="85" workbookViewId="0">
      <selection activeCell="L18" sqref="L18"/>
    </sheetView>
  </sheetViews>
  <sheetFormatPr defaultColWidth="9.140625" defaultRowHeight="12.75" x14ac:dyDescent="0.2"/>
  <cols>
    <col min="1" max="1" width="6.7109375" style="6" customWidth="1"/>
    <col min="2" max="2" width="42.28515625" style="6" bestFit="1" customWidth="1"/>
    <col min="3" max="3" width="20" style="9" bestFit="1" customWidth="1"/>
    <col min="4" max="4" width="13.5703125" style="10" bestFit="1" customWidth="1"/>
    <col min="5" max="5" width="7.7109375" style="33" bestFit="1" customWidth="1"/>
    <col min="6" max="6" width="18.42578125" style="33" bestFit="1" customWidth="1"/>
    <col min="7" max="7" width="11.85546875" style="33" bestFit="1" customWidth="1"/>
    <col min="8" max="8" width="13.85546875" style="33" bestFit="1" customWidth="1"/>
    <col min="9" max="9" width="13.7109375" style="33" bestFit="1" customWidth="1"/>
    <col min="10" max="10" width="13.42578125" style="33" bestFit="1" customWidth="1"/>
    <col min="11" max="12" width="13.7109375" style="33" bestFit="1" customWidth="1"/>
    <col min="13" max="13" width="13.85546875" style="33" bestFit="1" customWidth="1"/>
    <col min="14" max="14" width="12.28515625" style="33" bestFit="1" customWidth="1"/>
    <col min="15" max="16384" width="9.140625" style="6"/>
  </cols>
  <sheetData>
    <row r="1" spans="2:14" ht="13.5" thickBot="1" x14ac:dyDescent="0.25">
      <c r="D1" s="323"/>
      <c r="E1" s="325"/>
      <c r="F1" s="325"/>
      <c r="G1" s="325"/>
      <c r="H1" s="325"/>
      <c r="I1" s="325"/>
      <c r="J1" s="325"/>
      <c r="K1" s="325"/>
      <c r="L1" s="325"/>
      <c r="M1" s="325"/>
      <c r="N1" s="325"/>
    </row>
    <row r="2" spans="2:14" ht="15.75" thickBot="1" x14ac:dyDescent="0.25">
      <c r="B2" s="113"/>
      <c r="C2" s="518"/>
      <c r="D2" s="519"/>
      <c r="E2" s="520"/>
      <c r="F2" s="520"/>
      <c r="G2" s="520"/>
      <c r="H2" s="520"/>
      <c r="I2" s="520"/>
      <c r="J2" s="520"/>
      <c r="K2" s="520"/>
      <c r="L2" s="520"/>
      <c r="M2" s="952" t="s">
        <v>1</v>
      </c>
      <c r="N2" s="953" t="s">
        <v>105</v>
      </c>
    </row>
    <row r="3" spans="2:14" x14ac:dyDescent="0.2">
      <c r="B3" s="112"/>
      <c r="C3" s="441"/>
      <c r="D3" s="455"/>
      <c r="E3" s="1235" t="s">
        <v>2</v>
      </c>
      <c r="F3" s="1235"/>
      <c r="G3" s="1235"/>
      <c r="H3" s="1234" t="s">
        <v>207</v>
      </c>
      <c r="I3" s="1234"/>
      <c r="J3" s="1234"/>
      <c r="K3" s="1247" t="s">
        <v>208</v>
      </c>
      <c r="L3" s="1247"/>
      <c r="M3" s="1247"/>
      <c r="N3" s="1248"/>
    </row>
    <row r="4" spans="2:14" x14ac:dyDescent="0.2">
      <c r="B4" s="112"/>
      <c r="C4" s="441"/>
      <c r="D4" s="456">
        <v>0</v>
      </c>
      <c r="E4" s="427">
        <f>D4+1</f>
        <v>1</v>
      </c>
      <c r="F4" s="427">
        <f t="shared" ref="F4:N4" si="0">E4+1</f>
        <v>2</v>
      </c>
      <c r="G4" s="427">
        <f t="shared" si="0"/>
        <v>3</v>
      </c>
      <c r="H4" s="434">
        <f t="shared" si="0"/>
        <v>4</v>
      </c>
      <c r="I4" s="434">
        <f t="shared" si="0"/>
        <v>5</v>
      </c>
      <c r="J4" s="434">
        <f t="shared" si="0"/>
        <v>6</v>
      </c>
      <c r="K4" s="428">
        <f t="shared" si="0"/>
        <v>7</v>
      </c>
      <c r="L4" s="428">
        <f t="shared" si="0"/>
        <v>8</v>
      </c>
      <c r="M4" s="428">
        <f t="shared" si="0"/>
        <v>9</v>
      </c>
      <c r="N4" s="458">
        <f t="shared" si="0"/>
        <v>10</v>
      </c>
    </row>
    <row r="5" spans="2:14" ht="13.5" thickBot="1" x14ac:dyDescent="0.25">
      <c r="B5" s="112"/>
      <c r="C5" s="441" t="s">
        <v>52</v>
      </c>
      <c r="D5" s="457" t="str">
        <f>'1. Infrastructure Costs'!D5</f>
        <v>2020-2021</v>
      </c>
      <c r="E5" s="410">
        <f>'1. Infrastructure Costs'!E5</f>
        <v>2022</v>
      </c>
      <c r="F5" s="297">
        <f t="shared" ref="F5:N5" si="1">E5+1</f>
        <v>2023</v>
      </c>
      <c r="G5" s="415">
        <f t="shared" si="1"/>
        <v>2024</v>
      </c>
      <c r="H5" s="435">
        <f t="shared" si="1"/>
        <v>2025</v>
      </c>
      <c r="I5" s="435">
        <f t="shared" si="1"/>
        <v>2026</v>
      </c>
      <c r="J5" s="435">
        <f t="shared" si="1"/>
        <v>2027</v>
      </c>
      <c r="K5" s="433">
        <f t="shared" si="1"/>
        <v>2028</v>
      </c>
      <c r="L5" s="433">
        <f t="shared" si="1"/>
        <v>2029</v>
      </c>
      <c r="M5" s="433">
        <f t="shared" si="1"/>
        <v>2030</v>
      </c>
      <c r="N5" s="459">
        <f t="shared" si="1"/>
        <v>2031</v>
      </c>
    </row>
    <row r="6" spans="2:14" ht="13.5" thickBot="1" x14ac:dyDescent="0.25">
      <c r="B6" s="484" t="s">
        <v>71</v>
      </c>
      <c r="C6" s="485"/>
      <c r="D6" s="489"/>
      <c r="E6" s="490"/>
      <c r="F6" s="490"/>
      <c r="G6" s="490"/>
      <c r="H6" s="490"/>
      <c r="I6" s="490"/>
      <c r="J6" s="490"/>
      <c r="K6" s="490"/>
      <c r="L6" s="490"/>
      <c r="M6" s="490"/>
      <c r="N6" s="491"/>
    </row>
    <row r="7" spans="2:14" s="12" customFormat="1" x14ac:dyDescent="0.2">
      <c r="B7" s="357" t="s">
        <v>206</v>
      </c>
      <c r="C7" s="441"/>
      <c r="D7" s="451"/>
      <c r="E7" s="244"/>
      <c r="F7" s="244"/>
      <c r="G7" s="244"/>
      <c r="H7" s="509"/>
      <c r="I7" s="509"/>
      <c r="J7" s="509"/>
      <c r="K7" s="426"/>
      <c r="L7" s="426"/>
      <c r="M7" s="426"/>
      <c r="N7" s="514"/>
    </row>
    <row r="8" spans="2:14" x14ac:dyDescent="0.2">
      <c r="B8" s="112" t="s">
        <v>53</v>
      </c>
      <c r="C8" s="443">
        <v>0.02</v>
      </c>
      <c r="D8" s="445"/>
      <c r="E8" s="244"/>
      <c r="F8" s="244"/>
      <c r="G8" s="244"/>
      <c r="H8" s="509"/>
      <c r="I8" s="509"/>
      <c r="J8" s="509"/>
      <c r="K8" s="426"/>
      <c r="L8" s="426"/>
      <c r="M8" s="426"/>
      <c r="N8" s="514"/>
    </row>
    <row r="9" spans="2:14" x14ac:dyDescent="0.2">
      <c r="B9" s="112" t="s">
        <v>100</v>
      </c>
      <c r="C9" s="441"/>
      <c r="D9" s="451"/>
      <c r="E9" s="261">
        <f>E105</f>
        <v>0</v>
      </c>
      <c r="F9" s="261">
        <f t="shared" ref="F9:G9" si="2">F105</f>
        <v>0</v>
      </c>
      <c r="G9" s="261">
        <f t="shared" si="2"/>
        <v>455.9</v>
      </c>
      <c r="H9" s="436">
        <f t="shared" ref="H9:N9" si="3">G9</f>
        <v>455.9</v>
      </c>
      <c r="I9" s="436">
        <f t="shared" si="3"/>
        <v>455.9</v>
      </c>
      <c r="J9" s="436">
        <f t="shared" si="3"/>
        <v>455.9</v>
      </c>
      <c r="K9" s="273">
        <f t="shared" si="3"/>
        <v>455.9</v>
      </c>
      <c r="L9" s="273">
        <f t="shared" si="3"/>
        <v>455.9</v>
      </c>
      <c r="M9" s="273">
        <f t="shared" si="3"/>
        <v>455.9</v>
      </c>
      <c r="N9" s="460">
        <f t="shared" si="3"/>
        <v>455.9</v>
      </c>
    </row>
    <row r="10" spans="2:14" x14ac:dyDescent="0.2">
      <c r="B10" s="112" t="s">
        <v>116</v>
      </c>
      <c r="C10" s="441"/>
      <c r="D10" s="451"/>
      <c r="E10" s="261">
        <f>E106</f>
        <v>0</v>
      </c>
      <c r="F10" s="261">
        <f t="shared" ref="F10" si="4">F106</f>
        <v>68385</v>
      </c>
      <c r="G10" s="261">
        <f>C105</f>
        <v>136770</v>
      </c>
      <c r="H10" s="436">
        <f>G10</f>
        <v>136770</v>
      </c>
      <c r="I10" s="436">
        <f t="shared" ref="I10:N10" si="5">H10</f>
        <v>136770</v>
      </c>
      <c r="J10" s="436">
        <f t="shared" si="5"/>
        <v>136770</v>
      </c>
      <c r="K10" s="273">
        <f t="shared" si="5"/>
        <v>136770</v>
      </c>
      <c r="L10" s="273">
        <f t="shared" si="5"/>
        <v>136770</v>
      </c>
      <c r="M10" s="273">
        <f t="shared" si="5"/>
        <v>136770</v>
      </c>
      <c r="N10" s="460">
        <f t="shared" si="5"/>
        <v>136770</v>
      </c>
    </row>
    <row r="11" spans="2:14" x14ac:dyDescent="0.2">
      <c r="B11" s="112" t="s">
        <v>83</v>
      </c>
      <c r="C11" s="441"/>
      <c r="D11" s="451"/>
      <c r="E11" s="244"/>
      <c r="F11" s="244"/>
      <c r="G11" s="244"/>
      <c r="H11" s="509"/>
      <c r="I11" s="509"/>
      <c r="J11" s="509"/>
      <c r="K11" s="426"/>
      <c r="L11" s="426"/>
      <c r="M11" s="426"/>
      <c r="N11" s="514"/>
    </row>
    <row r="12" spans="2:14" x14ac:dyDescent="0.2">
      <c r="B12" s="461" t="s">
        <v>84</v>
      </c>
      <c r="C12" s="449">
        <v>50</v>
      </c>
      <c r="D12" s="450">
        <f>C12</f>
        <v>50</v>
      </c>
      <c r="E12" s="210">
        <f t="shared" ref="E12:N12" si="6">$D$12*(1+$C8)^E$4</f>
        <v>51</v>
      </c>
      <c r="F12" s="210">
        <f t="shared" si="6"/>
        <v>52.019999999999996</v>
      </c>
      <c r="G12" s="210">
        <f t="shared" si="6"/>
        <v>53.060399999999994</v>
      </c>
      <c r="H12" s="213">
        <f t="shared" si="6"/>
        <v>54.121608000000002</v>
      </c>
      <c r="I12" s="213">
        <f t="shared" si="6"/>
        <v>55.204040159999998</v>
      </c>
      <c r="J12" s="213">
        <f t="shared" si="6"/>
        <v>56.308120963200004</v>
      </c>
      <c r="K12" s="216">
        <f t="shared" si="6"/>
        <v>57.434283382463988</v>
      </c>
      <c r="L12" s="216">
        <f t="shared" si="6"/>
        <v>58.582969050113277</v>
      </c>
      <c r="M12" s="216">
        <f t="shared" si="6"/>
        <v>59.754628431115542</v>
      </c>
      <c r="N12" s="462">
        <f t="shared" si="6"/>
        <v>60.949720999737856</v>
      </c>
    </row>
    <row r="13" spans="2:14" x14ac:dyDescent="0.2">
      <c r="B13" s="461" t="s">
        <v>85</v>
      </c>
      <c r="C13" s="447">
        <v>0.6</v>
      </c>
      <c r="D13" s="453">
        <f t="shared" ref="D13:D14" si="7">C13</f>
        <v>0.6</v>
      </c>
      <c r="E13" s="244"/>
      <c r="F13" s="244"/>
      <c r="G13" s="244"/>
      <c r="H13" s="509"/>
      <c r="I13" s="509"/>
      <c r="J13" s="509"/>
      <c r="K13" s="426"/>
      <c r="L13" s="426"/>
      <c r="M13" s="426"/>
      <c r="N13" s="514"/>
    </row>
    <row r="14" spans="2:14" x14ac:dyDescent="0.2">
      <c r="B14" s="461" t="s">
        <v>86</v>
      </c>
      <c r="C14" s="447">
        <v>0.6</v>
      </c>
      <c r="D14" s="453">
        <f t="shared" si="7"/>
        <v>0.6</v>
      </c>
      <c r="E14" s="244"/>
      <c r="F14" s="244"/>
      <c r="G14" s="244"/>
      <c r="H14" s="509"/>
      <c r="I14" s="509"/>
      <c r="J14" s="509"/>
      <c r="K14" s="426"/>
      <c r="L14" s="426"/>
      <c r="M14" s="426"/>
      <c r="N14" s="514"/>
    </row>
    <row r="15" spans="2:14" x14ac:dyDescent="0.2">
      <c r="B15" s="112" t="s">
        <v>87</v>
      </c>
      <c r="C15" s="441"/>
      <c r="D15" s="451"/>
      <c r="E15" s="244"/>
      <c r="F15" s="244"/>
      <c r="G15" s="244"/>
      <c r="H15" s="509"/>
      <c r="I15" s="509"/>
      <c r="J15" s="509"/>
      <c r="K15" s="426"/>
      <c r="L15" s="426"/>
      <c r="M15" s="426"/>
      <c r="N15" s="514"/>
    </row>
    <row r="16" spans="2:14" x14ac:dyDescent="0.2">
      <c r="B16" s="461" t="s">
        <v>88</v>
      </c>
      <c r="C16" s="441"/>
      <c r="D16" s="451">
        <f>D10</f>
        <v>0</v>
      </c>
      <c r="E16" s="429">
        <f>E9</f>
        <v>0</v>
      </c>
      <c r="F16" s="429">
        <f t="shared" ref="F16:N16" si="8">F9</f>
        <v>0</v>
      </c>
      <c r="G16" s="429">
        <f t="shared" si="8"/>
        <v>455.9</v>
      </c>
      <c r="H16" s="437">
        <f t="shared" si="8"/>
        <v>455.9</v>
      </c>
      <c r="I16" s="437">
        <f t="shared" si="8"/>
        <v>455.9</v>
      </c>
      <c r="J16" s="437">
        <f t="shared" si="8"/>
        <v>455.9</v>
      </c>
      <c r="K16" s="430">
        <f t="shared" si="8"/>
        <v>455.9</v>
      </c>
      <c r="L16" s="430">
        <f t="shared" si="8"/>
        <v>455.9</v>
      </c>
      <c r="M16" s="430">
        <f t="shared" si="8"/>
        <v>455.9</v>
      </c>
      <c r="N16" s="463">
        <f t="shared" si="8"/>
        <v>455.9</v>
      </c>
    </row>
    <row r="17" spans="2:14" x14ac:dyDescent="0.2">
      <c r="B17" s="461" t="s">
        <v>89</v>
      </c>
      <c r="C17" s="441">
        <v>109</v>
      </c>
      <c r="D17" s="451">
        <f>C17</f>
        <v>109</v>
      </c>
      <c r="E17" s="244"/>
      <c r="F17" s="244"/>
      <c r="G17" s="244"/>
      <c r="H17" s="509"/>
      <c r="I17" s="509"/>
      <c r="J17" s="509"/>
      <c r="K17" s="426"/>
      <c r="L17" s="426"/>
      <c r="M17" s="426"/>
      <c r="N17" s="514"/>
    </row>
    <row r="18" spans="2:14" x14ac:dyDescent="0.2">
      <c r="B18" s="461" t="s">
        <v>90</v>
      </c>
      <c r="C18" s="441">
        <v>24</v>
      </c>
      <c r="D18" s="451">
        <f t="shared" ref="D18:D22" si="9">C18</f>
        <v>24</v>
      </c>
      <c r="E18" s="244"/>
      <c r="F18" s="244"/>
      <c r="G18" s="244"/>
      <c r="H18" s="509"/>
      <c r="I18" s="509"/>
      <c r="J18" s="509"/>
      <c r="K18" s="426"/>
      <c r="L18" s="426"/>
      <c r="M18" s="426"/>
      <c r="N18" s="514"/>
    </row>
    <row r="19" spans="2:14" x14ac:dyDescent="0.2">
      <c r="B19" s="461" t="s">
        <v>91</v>
      </c>
      <c r="C19" s="447">
        <v>0.3</v>
      </c>
      <c r="D19" s="453">
        <f t="shared" si="9"/>
        <v>0.3</v>
      </c>
      <c r="E19" s="244"/>
      <c r="F19" s="244"/>
      <c r="G19" s="244"/>
      <c r="H19" s="509"/>
      <c r="I19" s="509"/>
      <c r="J19" s="509"/>
      <c r="K19" s="426"/>
      <c r="L19" s="426"/>
      <c r="M19" s="426"/>
      <c r="N19" s="514"/>
    </row>
    <row r="20" spans="2:14" x14ac:dyDescent="0.2">
      <c r="B20" s="461" t="s">
        <v>92</v>
      </c>
      <c r="C20" s="441">
        <f>365-C17</f>
        <v>256</v>
      </c>
      <c r="D20" s="451">
        <f t="shared" si="9"/>
        <v>256</v>
      </c>
      <c r="E20" s="244"/>
      <c r="F20" s="244"/>
      <c r="G20" s="244"/>
      <c r="H20" s="509"/>
      <c r="I20" s="509"/>
      <c r="J20" s="509"/>
      <c r="K20" s="426"/>
      <c r="L20" s="426"/>
      <c r="M20" s="426"/>
      <c r="N20" s="514"/>
    </row>
    <row r="21" spans="2:14" x14ac:dyDescent="0.2">
      <c r="B21" s="461" t="s">
        <v>90</v>
      </c>
      <c r="C21" s="441">
        <v>24</v>
      </c>
      <c r="D21" s="451">
        <f t="shared" si="9"/>
        <v>24</v>
      </c>
      <c r="E21" s="244"/>
      <c r="F21" s="244"/>
      <c r="G21" s="244"/>
      <c r="H21" s="509"/>
      <c r="I21" s="509"/>
      <c r="J21" s="509"/>
      <c r="K21" s="426"/>
      <c r="L21" s="426"/>
      <c r="M21" s="426"/>
      <c r="N21" s="514"/>
    </row>
    <row r="22" spans="2:14" x14ac:dyDescent="0.2">
      <c r="B22" s="461" t="s">
        <v>91</v>
      </c>
      <c r="C22" s="447">
        <v>0.3</v>
      </c>
      <c r="D22" s="453">
        <f t="shared" si="9"/>
        <v>0.3</v>
      </c>
      <c r="E22" s="244"/>
      <c r="F22" s="244"/>
      <c r="G22" s="244"/>
      <c r="H22" s="509"/>
      <c r="I22" s="509"/>
      <c r="J22" s="509"/>
      <c r="K22" s="426"/>
      <c r="L22" s="426"/>
      <c r="M22" s="426"/>
      <c r="N22" s="514"/>
    </row>
    <row r="23" spans="2:14" x14ac:dyDescent="0.2">
      <c r="B23" s="461" t="s">
        <v>93</v>
      </c>
      <c r="C23" s="449">
        <v>2</v>
      </c>
      <c r="D23" s="450">
        <f>C23</f>
        <v>2</v>
      </c>
      <c r="E23" s="210">
        <f t="shared" ref="E23:N23" si="10">$D$23*(1+$C8)^E$4</f>
        <v>2.04</v>
      </c>
      <c r="F23" s="210">
        <f t="shared" si="10"/>
        <v>2.0808</v>
      </c>
      <c r="G23" s="210">
        <f t="shared" si="10"/>
        <v>2.1224159999999999</v>
      </c>
      <c r="H23" s="213">
        <f t="shared" si="10"/>
        <v>2.16486432</v>
      </c>
      <c r="I23" s="213">
        <f t="shared" si="10"/>
        <v>2.2081616064</v>
      </c>
      <c r="J23" s="213">
        <f t="shared" si="10"/>
        <v>2.2523248385280001</v>
      </c>
      <c r="K23" s="216">
        <f t="shared" si="10"/>
        <v>2.2973713352985596</v>
      </c>
      <c r="L23" s="216">
        <f t="shared" si="10"/>
        <v>2.343318762004531</v>
      </c>
      <c r="M23" s="216">
        <f t="shared" si="10"/>
        <v>2.3901851372446217</v>
      </c>
      <c r="N23" s="462">
        <f t="shared" si="10"/>
        <v>2.4379888399895142</v>
      </c>
    </row>
    <row r="24" spans="2:14" x14ac:dyDescent="0.2">
      <c r="B24" s="112" t="s">
        <v>117</v>
      </c>
      <c r="C24" s="449">
        <v>0.5</v>
      </c>
      <c r="D24" s="450">
        <f>C24</f>
        <v>0.5</v>
      </c>
      <c r="E24" s="210">
        <f t="shared" ref="E24:N24" si="11">$D$24*(1+$C9)^E$4</f>
        <v>0.5</v>
      </c>
      <c r="F24" s="210">
        <f t="shared" si="11"/>
        <v>0.5</v>
      </c>
      <c r="G24" s="210">
        <f t="shared" si="11"/>
        <v>0.5</v>
      </c>
      <c r="H24" s="213">
        <f t="shared" si="11"/>
        <v>0.5</v>
      </c>
      <c r="I24" s="213">
        <f t="shared" si="11"/>
        <v>0.5</v>
      </c>
      <c r="J24" s="213">
        <f t="shared" si="11"/>
        <v>0.5</v>
      </c>
      <c r="K24" s="216">
        <f t="shared" si="11"/>
        <v>0.5</v>
      </c>
      <c r="L24" s="216">
        <f t="shared" si="11"/>
        <v>0.5</v>
      </c>
      <c r="M24" s="216">
        <f t="shared" si="11"/>
        <v>0.5</v>
      </c>
      <c r="N24" s="462">
        <f t="shared" si="11"/>
        <v>0.5</v>
      </c>
    </row>
    <row r="25" spans="2:14" hidden="1" x14ac:dyDescent="0.2">
      <c r="B25" s="464" t="s">
        <v>95</v>
      </c>
      <c r="C25" s="441">
        <v>0</v>
      </c>
      <c r="D25" s="451"/>
      <c r="E25" s="244"/>
      <c r="F25" s="244"/>
      <c r="G25" s="244"/>
      <c r="H25" s="509"/>
      <c r="I25" s="509"/>
      <c r="J25" s="509"/>
      <c r="K25" s="426"/>
      <c r="L25" s="426"/>
      <c r="M25" s="426"/>
      <c r="N25" s="514"/>
    </row>
    <row r="26" spans="2:14" x14ac:dyDescent="0.2">
      <c r="B26" s="465" t="s">
        <v>218</v>
      </c>
      <c r="C26" s="441"/>
      <c r="D26" s="451"/>
      <c r="E26" s="210">
        <f>E9*E12*$D14*$C$75</f>
        <v>0</v>
      </c>
      <c r="F26" s="270">
        <f>F9*F12*$D14*$C$75</f>
        <v>0</v>
      </c>
      <c r="G26" s="270">
        <f t="shared" ref="G26:N26" si="12">G9*G12*$D14*$C$75</f>
        <v>174169.70179199998</v>
      </c>
      <c r="H26" s="290">
        <f t="shared" si="12"/>
        <v>177653.09582783998</v>
      </c>
      <c r="I26" s="290">
        <f t="shared" si="12"/>
        <v>181206.15774439677</v>
      </c>
      <c r="J26" s="290">
        <f t="shared" si="12"/>
        <v>184830.28089928473</v>
      </c>
      <c r="K26" s="271">
        <f t="shared" si="12"/>
        <v>188526.88651727035</v>
      </c>
      <c r="L26" s="271">
        <f t="shared" si="12"/>
        <v>192297.42424761583</v>
      </c>
      <c r="M26" s="271">
        <f t="shared" si="12"/>
        <v>196143.37273256812</v>
      </c>
      <c r="N26" s="466">
        <f t="shared" si="12"/>
        <v>200066.24018721946</v>
      </c>
    </row>
    <row r="27" spans="2:14" x14ac:dyDescent="0.2">
      <c r="B27" s="465" t="s">
        <v>219</v>
      </c>
      <c r="C27" s="441"/>
      <c r="D27" s="451"/>
      <c r="E27" s="270">
        <f>(E9*$D$17*$D$18*$D$19*E23)+(E16*$D$20*$D$21*$D$22*E23)</f>
        <v>0</v>
      </c>
      <c r="F27" s="270">
        <f>(F9*$D$17*$D$18*$D$19*F23)+(F16*$D$20*$D$21*$D$22*F23)</f>
        <v>0</v>
      </c>
      <c r="G27" s="270">
        <f t="shared" ref="G27:N27" si="13">(G9*$D$17*$D$18*$D$19*G23)+(G16*$D$20*$D$21*$D$22*G23)</f>
        <v>2542877.6461631991</v>
      </c>
      <c r="H27" s="290">
        <f t="shared" si="13"/>
        <v>2593735.1990864635</v>
      </c>
      <c r="I27" s="290">
        <f t="shared" si="13"/>
        <v>2645609.9030681928</v>
      </c>
      <c r="J27" s="290">
        <f t="shared" si="13"/>
        <v>2698522.101129557</v>
      </c>
      <c r="K27" s="271">
        <f t="shared" si="13"/>
        <v>2752492.5431521474</v>
      </c>
      <c r="L27" s="271">
        <f t="shared" si="13"/>
        <v>2807542.3940151907</v>
      </c>
      <c r="M27" s="271">
        <f t="shared" si="13"/>
        <v>2863693.2418954945</v>
      </c>
      <c r="N27" s="466">
        <f t="shared" si="13"/>
        <v>2920967.1067334046</v>
      </c>
    </row>
    <row r="28" spans="2:14" x14ac:dyDescent="0.2">
      <c r="B28" s="494" t="s">
        <v>220</v>
      </c>
      <c r="C28" s="495"/>
      <c r="D28" s="496"/>
      <c r="E28" s="497">
        <f>E24*E10</f>
        <v>0</v>
      </c>
      <c r="F28" s="497">
        <f t="shared" ref="F28:N28" si="14">F24*F10</f>
        <v>34192.5</v>
      </c>
      <c r="G28" s="497">
        <f t="shared" si="14"/>
        <v>68385</v>
      </c>
      <c r="H28" s="498">
        <f t="shared" si="14"/>
        <v>68385</v>
      </c>
      <c r="I28" s="498">
        <f t="shared" si="14"/>
        <v>68385</v>
      </c>
      <c r="J28" s="498">
        <f t="shared" si="14"/>
        <v>68385</v>
      </c>
      <c r="K28" s="499">
        <f t="shared" si="14"/>
        <v>68385</v>
      </c>
      <c r="L28" s="499">
        <f t="shared" si="14"/>
        <v>68385</v>
      </c>
      <c r="M28" s="499">
        <f t="shared" si="14"/>
        <v>68385</v>
      </c>
      <c r="N28" s="500">
        <f t="shared" si="14"/>
        <v>68385</v>
      </c>
    </row>
    <row r="29" spans="2:14" x14ac:dyDescent="0.2">
      <c r="B29" s="473" t="s">
        <v>207</v>
      </c>
      <c r="C29" s="441"/>
      <c r="D29" s="451"/>
      <c r="E29" s="244"/>
      <c r="F29" s="244"/>
      <c r="G29" s="244"/>
      <c r="H29" s="509"/>
      <c r="I29" s="509"/>
      <c r="J29" s="509"/>
      <c r="K29" s="426"/>
      <c r="L29" s="426"/>
      <c r="M29" s="426"/>
      <c r="N29" s="514"/>
    </row>
    <row r="30" spans="2:14" x14ac:dyDescent="0.2">
      <c r="B30" s="112" t="s">
        <v>53</v>
      </c>
      <c r="C30" s="443">
        <v>0.02</v>
      </c>
      <c r="D30" s="445"/>
      <c r="E30" s="244"/>
      <c r="F30" s="244"/>
      <c r="G30" s="244"/>
      <c r="H30" s="509"/>
      <c r="I30" s="509"/>
      <c r="J30" s="509"/>
      <c r="K30" s="426"/>
      <c r="L30" s="426"/>
      <c r="M30" s="426"/>
      <c r="N30" s="514"/>
    </row>
    <row r="31" spans="2:14" x14ac:dyDescent="0.2">
      <c r="B31" s="112" t="s">
        <v>100</v>
      </c>
      <c r="C31" s="441"/>
      <c r="D31" s="451"/>
      <c r="E31" s="261">
        <f>E107</f>
        <v>0</v>
      </c>
      <c r="F31" s="261">
        <f t="shared" ref="F31:I31" si="15">F107</f>
        <v>0</v>
      </c>
      <c r="G31" s="261">
        <f t="shared" si="15"/>
        <v>0</v>
      </c>
      <c r="H31" s="436">
        <f t="shared" si="15"/>
        <v>0</v>
      </c>
      <c r="I31" s="436">
        <f t="shared" si="15"/>
        <v>216.3</v>
      </c>
      <c r="J31" s="436">
        <f>I31</f>
        <v>216.3</v>
      </c>
      <c r="K31" s="273">
        <f>J31</f>
        <v>216.3</v>
      </c>
      <c r="L31" s="273">
        <f t="shared" ref="L31:N31" si="16">K31</f>
        <v>216.3</v>
      </c>
      <c r="M31" s="273">
        <f t="shared" si="16"/>
        <v>216.3</v>
      </c>
      <c r="N31" s="460">
        <f t="shared" si="16"/>
        <v>216.3</v>
      </c>
    </row>
    <row r="32" spans="2:14" x14ac:dyDescent="0.2">
      <c r="B32" s="112" t="s">
        <v>116</v>
      </c>
      <c r="C32" s="441"/>
      <c r="D32" s="451"/>
      <c r="E32" s="261">
        <f>E108</f>
        <v>0</v>
      </c>
      <c r="F32" s="261">
        <f t="shared" ref="F32:H32" si="17">F108</f>
        <v>0</v>
      </c>
      <c r="G32" s="261">
        <f t="shared" si="17"/>
        <v>0</v>
      </c>
      <c r="H32" s="436">
        <f t="shared" si="17"/>
        <v>32445</v>
      </c>
      <c r="I32" s="436">
        <f>C107</f>
        <v>64890</v>
      </c>
      <c r="J32" s="436">
        <f>I32</f>
        <v>64890</v>
      </c>
      <c r="K32" s="273">
        <f t="shared" ref="K32:N32" si="18">J32</f>
        <v>64890</v>
      </c>
      <c r="L32" s="273">
        <f t="shared" si="18"/>
        <v>64890</v>
      </c>
      <c r="M32" s="273">
        <f t="shared" si="18"/>
        <v>64890</v>
      </c>
      <c r="N32" s="460">
        <f t="shared" si="18"/>
        <v>64890</v>
      </c>
    </row>
    <row r="33" spans="2:14" x14ac:dyDescent="0.2">
      <c r="B33" s="112" t="s">
        <v>83</v>
      </c>
      <c r="C33" s="441"/>
      <c r="D33" s="451"/>
      <c r="E33" s="244"/>
      <c r="F33" s="244"/>
      <c r="G33" s="244"/>
      <c r="H33" s="509"/>
      <c r="I33" s="509"/>
      <c r="J33" s="509"/>
      <c r="K33" s="426"/>
      <c r="L33" s="426"/>
      <c r="M33" s="426"/>
      <c r="N33" s="514"/>
    </row>
    <row r="34" spans="2:14" x14ac:dyDescent="0.2">
      <c r="B34" s="461" t="s">
        <v>84</v>
      </c>
      <c r="C34" s="449">
        <f>C12</f>
        <v>50</v>
      </c>
      <c r="D34" s="450">
        <f>C34</f>
        <v>50</v>
      </c>
      <c r="E34" s="210">
        <f t="shared" ref="E34:N34" si="19">$D$12*(1+$C30)^E$4</f>
        <v>51</v>
      </c>
      <c r="F34" s="210">
        <f t="shared" si="19"/>
        <v>52.019999999999996</v>
      </c>
      <c r="G34" s="210">
        <f t="shared" si="19"/>
        <v>53.060399999999994</v>
      </c>
      <c r="H34" s="213">
        <f t="shared" si="19"/>
        <v>54.121608000000002</v>
      </c>
      <c r="I34" s="213">
        <f t="shared" si="19"/>
        <v>55.204040159999998</v>
      </c>
      <c r="J34" s="213">
        <f t="shared" si="19"/>
        <v>56.308120963200004</v>
      </c>
      <c r="K34" s="216">
        <f t="shared" si="19"/>
        <v>57.434283382463988</v>
      </c>
      <c r="L34" s="216">
        <f t="shared" si="19"/>
        <v>58.582969050113277</v>
      </c>
      <c r="M34" s="216">
        <f t="shared" si="19"/>
        <v>59.754628431115542</v>
      </c>
      <c r="N34" s="462">
        <f t="shared" si="19"/>
        <v>60.949720999737856</v>
      </c>
    </row>
    <row r="35" spans="2:14" x14ac:dyDescent="0.2">
      <c r="B35" s="461" t="s">
        <v>85</v>
      </c>
      <c r="C35" s="447">
        <f>C13</f>
        <v>0.6</v>
      </c>
      <c r="D35" s="453">
        <f t="shared" ref="D35:D36" si="20">C35</f>
        <v>0.6</v>
      </c>
      <c r="E35" s="244"/>
      <c r="F35" s="244"/>
      <c r="G35" s="244"/>
      <c r="H35" s="509"/>
      <c r="I35" s="509"/>
      <c r="J35" s="509"/>
      <c r="K35" s="426"/>
      <c r="L35" s="426"/>
      <c r="M35" s="426"/>
      <c r="N35" s="514"/>
    </row>
    <row r="36" spans="2:14" x14ac:dyDescent="0.2">
      <c r="B36" s="461" t="s">
        <v>86</v>
      </c>
      <c r="C36" s="447">
        <f>C14</f>
        <v>0.6</v>
      </c>
      <c r="D36" s="453">
        <f t="shared" si="20"/>
        <v>0.6</v>
      </c>
      <c r="E36" s="244"/>
      <c r="F36" s="244"/>
      <c r="G36" s="244"/>
      <c r="H36" s="509"/>
      <c r="I36" s="509"/>
      <c r="J36" s="509"/>
      <c r="K36" s="426"/>
      <c r="L36" s="426"/>
      <c r="M36" s="426"/>
      <c r="N36" s="514"/>
    </row>
    <row r="37" spans="2:14" x14ac:dyDescent="0.2">
      <c r="B37" s="112" t="s">
        <v>87</v>
      </c>
      <c r="C37" s="449"/>
      <c r="D37" s="451"/>
      <c r="E37" s="244"/>
      <c r="F37" s="244"/>
      <c r="G37" s="244"/>
      <c r="H37" s="509"/>
      <c r="I37" s="509"/>
      <c r="J37" s="509"/>
      <c r="K37" s="426"/>
      <c r="L37" s="426"/>
      <c r="M37" s="426"/>
      <c r="N37" s="514"/>
    </row>
    <row r="38" spans="2:14" x14ac:dyDescent="0.2">
      <c r="B38" s="461" t="s">
        <v>88</v>
      </c>
      <c r="C38" s="454">
        <f t="shared" ref="C38:C47" si="21">C16</f>
        <v>0</v>
      </c>
      <c r="D38" s="451">
        <f>D32</f>
        <v>0</v>
      </c>
      <c r="E38" s="429">
        <f>E31</f>
        <v>0</v>
      </c>
      <c r="F38" s="429">
        <f t="shared" ref="F38:N38" si="22">F31</f>
        <v>0</v>
      </c>
      <c r="G38" s="429">
        <f t="shared" si="22"/>
        <v>0</v>
      </c>
      <c r="H38" s="437">
        <f t="shared" si="22"/>
        <v>0</v>
      </c>
      <c r="I38" s="437">
        <f t="shared" si="22"/>
        <v>216.3</v>
      </c>
      <c r="J38" s="437">
        <f t="shared" si="22"/>
        <v>216.3</v>
      </c>
      <c r="K38" s="430">
        <f t="shared" si="22"/>
        <v>216.3</v>
      </c>
      <c r="L38" s="430">
        <f t="shared" si="22"/>
        <v>216.3</v>
      </c>
      <c r="M38" s="430">
        <f t="shared" si="22"/>
        <v>216.3</v>
      </c>
      <c r="N38" s="463">
        <f t="shared" si="22"/>
        <v>216.3</v>
      </c>
    </row>
    <row r="39" spans="2:14" x14ac:dyDescent="0.2">
      <c r="B39" s="461" t="s">
        <v>89</v>
      </c>
      <c r="C39" s="454">
        <f t="shared" si="21"/>
        <v>109</v>
      </c>
      <c r="D39" s="451">
        <f>C39</f>
        <v>109</v>
      </c>
      <c r="E39" s="244"/>
      <c r="F39" s="244"/>
      <c r="G39" s="244"/>
      <c r="H39" s="509"/>
      <c r="I39" s="509"/>
      <c r="J39" s="509"/>
      <c r="K39" s="426"/>
      <c r="L39" s="426"/>
      <c r="M39" s="426"/>
      <c r="N39" s="514"/>
    </row>
    <row r="40" spans="2:14" x14ac:dyDescent="0.2">
      <c r="B40" s="461" t="s">
        <v>90</v>
      </c>
      <c r="C40" s="454">
        <f t="shared" si="21"/>
        <v>24</v>
      </c>
      <c r="D40" s="451">
        <f t="shared" ref="D40:D44" si="23">C40</f>
        <v>24</v>
      </c>
      <c r="E40" s="244"/>
      <c r="F40" s="244"/>
      <c r="G40" s="244"/>
      <c r="H40" s="509"/>
      <c r="I40" s="509"/>
      <c r="J40" s="509"/>
      <c r="K40" s="426"/>
      <c r="L40" s="426"/>
      <c r="M40" s="426"/>
      <c r="N40" s="514"/>
    </row>
    <row r="41" spans="2:14" x14ac:dyDescent="0.2">
      <c r="B41" s="461" t="s">
        <v>91</v>
      </c>
      <c r="C41" s="447">
        <f t="shared" si="21"/>
        <v>0.3</v>
      </c>
      <c r="D41" s="453">
        <f t="shared" si="23"/>
        <v>0.3</v>
      </c>
      <c r="E41" s="244"/>
      <c r="F41" s="244"/>
      <c r="G41" s="244"/>
      <c r="H41" s="509"/>
      <c r="I41" s="509"/>
      <c r="J41" s="509"/>
      <c r="K41" s="426"/>
      <c r="L41" s="426"/>
      <c r="M41" s="426"/>
      <c r="N41" s="514"/>
    </row>
    <row r="42" spans="2:14" x14ac:dyDescent="0.2">
      <c r="B42" s="461" t="s">
        <v>92</v>
      </c>
      <c r="C42" s="454">
        <f t="shared" si="21"/>
        <v>256</v>
      </c>
      <c r="D42" s="451">
        <f t="shared" si="23"/>
        <v>256</v>
      </c>
      <c r="E42" s="244"/>
      <c r="F42" s="244"/>
      <c r="G42" s="244"/>
      <c r="H42" s="509"/>
      <c r="I42" s="509"/>
      <c r="J42" s="509"/>
      <c r="K42" s="426"/>
      <c r="L42" s="426"/>
      <c r="M42" s="426"/>
      <c r="N42" s="514"/>
    </row>
    <row r="43" spans="2:14" x14ac:dyDescent="0.2">
      <c r="B43" s="461" t="s">
        <v>90</v>
      </c>
      <c r="C43" s="454">
        <f t="shared" si="21"/>
        <v>24</v>
      </c>
      <c r="D43" s="451">
        <f t="shared" si="23"/>
        <v>24</v>
      </c>
      <c r="E43" s="244"/>
      <c r="F43" s="244"/>
      <c r="G43" s="244"/>
      <c r="H43" s="509"/>
      <c r="I43" s="509"/>
      <c r="J43" s="509"/>
      <c r="K43" s="426"/>
      <c r="L43" s="426"/>
      <c r="M43" s="426"/>
      <c r="N43" s="514"/>
    </row>
    <row r="44" spans="2:14" x14ac:dyDescent="0.2">
      <c r="B44" s="461" t="s">
        <v>91</v>
      </c>
      <c r="C44" s="447">
        <f t="shared" si="21"/>
        <v>0.3</v>
      </c>
      <c r="D44" s="453">
        <f t="shared" si="23"/>
        <v>0.3</v>
      </c>
      <c r="E44" s="244"/>
      <c r="F44" s="244"/>
      <c r="G44" s="244"/>
      <c r="H44" s="509"/>
      <c r="I44" s="509"/>
      <c r="J44" s="509"/>
      <c r="K44" s="426"/>
      <c r="L44" s="426"/>
      <c r="M44" s="426"/>
      <c r="N44" s="514"/>
    </row>
    <row r="45" spans="2:14" x14ac:dyDescent="0.2">
      <c r="B45" s="461" t="s">
        <v>93</v>
      </c>
      <c r="C45" s="449">
        <f t="shared" si="21"/>
        <v>2</v>
      </c>
      <c r="D45" s="450">
        <f>C45</f>
        <v>2</v>
      </c>
      <c r="E45" s="210">
        <f t="shared" ref="E45:N45" si="24">$D$23*(1+$C30)^E$4</f>
        <v>2.04</v>
      </c>
      <c r="F45" s="210">
        <f t="shared" si="24"/>
        <v>2.0808</v>
      </c>
      <c r="G45" s="210">
        <f t="shared" si="24"/>
        <v>2.1224159999999999</v>
      </c>
      <c r="H45" s="213">
        <f t="shared" si="24"/>
        <v>2.16486432</v>
      </c>
      <c r="I45" s="213">
        <f t="shared" si="24"/>
        <v>2.2081616064</v>
      </c>
      <c r="J45" s="213">
        <f t="shared" si="24"/>
        <v>2.2523248385280001</v>
      </c>
      <c r="K45" s="216">
        <f t="shared" si="24"/>
        <v>2.2973713352985596</v>
      </c>
      <c r="L45" s="216">
        <f t="shared" si="24"/>
        <v>2.343318762004531</v>
      </c>
      <c r="M45" s="216">
        <f t="shared" si="24"/>
        <v>2.3901851372446217</v>
      </c>
      <c r="N45" s="462">
        <f t="shared" si="24"/>
        <v>2.4379888399895142</v>
      </c>
    </row>
    <row r="46" spans="2:14" x14ac:dyDescent="0.2">
      <c r="B46" s="112" t="s">
        <v>117</v>
      </c>
      <c r="C46" s="449">
        <f t="shared" si="21"/>
        <v>0.5</v>
      </c>
      <c r="D46" s="450">
        <f>C46</f>
        <v>0.5</v>
      </c>
      <c r="E46" s="210">
        <f t="shared" ref="E46:N46" si="25">$D$24*(1+$C31)^E$4</f>
        <v>0.5</v>
      </c>
      <c r="F46" s="210">
        <f t="shared" si="25"/>
        <v>0.5</v>
      </c>
      <c r="G46" s="210">
        <f t="shared" si="25"/>
        <v>0.5</v>
      </c>
      <c r="H46" s="213">
        <f t="shared" si="25"/>
        <v>0.5</v>
      </c>
      <c r="I46" s="213">
        <f t="shared" si="25"/>
        <v>0.5</v>
      </c>
      <c r="J46" s="213">
        <f t="shared" si="25"/>
        <v>0.5</v>
      </c>
      <c r="K46" s="216">
        <f t="shared" si="25"/>
        <v>0.5</v>
      </c>
      <c r="L46" s="216">
        <f t="shared" si="25"/>
        <v>0.5</v>
      </c>
      <c r="M46" s="216">
        <f t="shared" si="25"/>
        <v>0.5</v>
      </c>
      <c r="N46" s="462">
        <f t="shared" si="25"/>
        <v>0.5</v>
      </c>
    </row>
    <row r="47" spans="2:14" hidden="1" x14ac:dyDescent="0.2">
      <c r="B47" s="464" t="s">
        <v>95</v>
      </c>
      <c r="C47" s="449">
        <f t="shared" si="21"/>
        <v>0</v>
      </c>
      <c r="D47" s="451"/>
      <c r="E47" s="244"/>
      <c r="F47" s="244"/>
      <c r="G47" s="244"/>
      <c r="H47" s="509"/>
      <c r="I47" s="509"/>
      <c r="J47" s="509"/>
      <c r="K47" s="426"/>
      <c r="L47" s="426"/>
      <c r="M47" s="426"/>
      <c r="N47" s="514"/>
    </row>
    <row r="48" spans="2:14" x14ac:dyDescent="0.2">
      <c r="B48" s="465" t="s">
        <v>218</v>
      </c>
      <c r="C48" s="449"/>
      <c r="D48" s="451"/>
      <c r="E48" s="210">
        <f>E31*E34*$D36*$C$75</f>
        <v>0</v>
      </c>
      <c r="F48" s="210">
        <f t="shared" ref="F48:N48" si="26">F31*F34*$D36*$C$75</f>
        <v>0</v>
      </c>
      <c r="G48" s="210">
        <f t="shared" si="26"/>
        <v>0</v>
      </c>
      <c r="H48" s="213">
        <f t="shared" si="26"/>
        <v>0</v>
      </c>
      <c r="I48" s="213">
        <f t="shared" si="26"/>
        <v>85972.563983577609</v>
      </c>
      <c r="J48" s="213">
        <f t="shared" si="26"/>
        <v>87692.015263249166</v>
      </c>
      <c r="K48" s="216">
        <f t="shared" si="26"/>
        <v>89445.855568514118</v>
      </c>
      <c r="L48" s="216">
        <f t="shared" si="26"/>
        <v>91234.772679884409</v>
      </c>
      <c r="M48" s="216">
        <f t="shared" si="26"/>
        <v>93059.468133482093</v>
      </c>
      <c r="N48" s="462">
        <f t="shared" si="26"/>
        <v>94920.657496151747</v>
      </c>
    </row>
    <row r="49" spans="2:14" x14ac:dyDescent="0.2">
      <c r="B49" s="465" t="s">
        <v>219</v>
      </c>
      <c r="C49" s="449"/>
      <c r="D49" s="451"/>
      <c r="E49" s="270">
        <f>(E31*$D$39*$D$40*$D$41*E45)+(E38*$D$42*$D$43*$D$44*E45)</f>
        <v>0</v>
      </c>
      <c r="F49" s="270">
        <f t="shared" ref="F49:N49" si="27">(F31*$D$39*$D$40*$D$41*F45)+(F38*$D$42*$D$43*$D$44*F45)</f>
        <v>0</v>
      </c>
      <c r="G49" s="270">
        <f t="shared" si="27"/>
        <v>0</v>
      </c>
      <c r="H49" s="290">
        <f t="shared" si="27"/>
        <v>0</v>
      </c>
      <c r="I49" s="290">
        <f t="shared" si="27"/>
        <v>1255199.434160233</v>
      </c>
      <c r="J49" s="290">
        <f t="shared" si="27"/>
        <v>1280303.4228434379</v>
      </c>
      <c r="K49" s="271">
        <f t="shared" si="27"/>
        <v>1305909.4913003063</v>
      </c>
      <c r="L49" s="271">
        <f t="shared" si="27"/>
        <v>1332027.6811263126</v>
      </c>
      <c r="M49" s="271">
        <f t="shared" si="27"/>
        <v>1358668.2347488387</v>
      </c>
      <c r="N49" s="466">
        <f t="shared" si="27"/>
        <v>1385841.5994438156</v>
      </c>
    </row>
    <row r="50" spans="2:14" x14ac:dyDescent="0.2">
      <c r="B50" s="494" t="s">
        <v>220</v>
      </c>
      <c r="C50" s="501"/>
      <c r="D50" s="496"/>
      <c r="E50" s="497">
        <f>E46*E32</f>
        <v>0</v>
      </c>
      <c r="F50" s="497">
        <f t="shared" ref="F50:N50" si="28">F46*F32</f>
        <v>0</v>
      </c>
      <c r="G50" s="497">
        <f t="shared" si="28"/>
        <v>0</v>
      </c>
      <c r="H50" s="498">
        <f t="shared" si="28"/>
        <v>16222.5</v>
      </c>
      <c r="I50" s="498">
        <f t="shared" si="28"/>
        <v>32445</v>
      </c>
      <c r="J50" s="498">
        <f t="shared" si="28"/>
        <v>32445</v>
      </c>
      <c r="K50" s="499">
        <f t="shared" si="28"/>
        <v>32445</v>
      </c>
      <c r="L50" s="499">
        <f t="shared" si="28"/>
        <v>32445</v>
      </c>
      <c r="M50" s="499">
        <f t="shared" si="28"/>
        <v>32445</v>
      </c>
      <c r="N50" s="500">
        <f t="shared" si="28"/>
        <v>32445</v>
      </c>
    </row>
    <row r="51" spans="2:14" x14ac:dyDescent="0.2">
      <c r="B51" s="473" t="s">
        <v>208</v>
      </c>
      <c r="C51" s="449"/>
      <c r="D51" s="451"/>
      <c r="E51" s="244"/>
      <c r="F51" s="244"/>
      <c r="G51" s="244"/>
      <c r="H51" s="509"/>
      <c r="I51" s="509"/>
      <c r="J51" s="509"/>
      <c r="K51" s="426"/>
      <c r="L51" s="426"/>
      <c r="M51" s="426"/>
      <c r="N51" s="514"/>
    </row>
    <row r="52" spans="2:14" x14ac:dyDescent="0.2">
      <c r="B52" s="112" t="s">
        <v>53</v>
      </c>
      <c r="C52" s="449"/>
      <c r="D52" s="445"/>
      <c r="E52" s="244"/>
      <c r="F52" s="244"/>
      <c r="G52" s="244"/>
      <c r="H52" s="509"/>
      <c r="I52" s="509"/>
      <c r="J52" s="509"/>
      <c r="K52" s="276"/>
      <c r="L52" s="276"/>
      <c r="M52" s="276"/>
      <c r="N52" s="514"/>
    </row>
    <row r="53" spans="2:14" x14ac:dyDescent="0.2">
      <c r="B53" s="112" t="s">
        <v>100</v>
      </c>
      <c r="C53" s="441"/>
      <c r="D53" s="451"/>
      <c r="E53" s="244">
        <f>E109</f>
        <v>0</v>
      </c>
      <c r="F53" s="244">
        <f t="shared" ref="F53:L53" si="29">F109</f>
        <v>0</v>
      </c>
      <c r="G53" s="244">
        <f t="shared" si="29"/>
        <v>0</v>
      </c>
      <c r="H53" s="509">
        <f t="shared" si="29"/>
        <v>0</v>
      </c>
      <c r="I53" s="509">
        <f t="shared" si="29"/>
        <v>0</v>
      </c>
      <c r="J53" s="509">
        <f t="shared" si="29"/>
        <v>0</v>
      </c>
      <c r="K53" s="276">
        <f t="shared" si="29"/>
        <v>0</v>
      </c>
      <c r="L53" s="276">
        <f t="shared" si="29"/>
        <v>230.08</v>
      </c>
      <c r="M53" s="276">
        <f>L53</f>
        <v>230.08</v>
      </c>
      <c r="N53" s="467">
        <f>M53</f>
        <v>230.08</v>
      </c>
    </row>
    <row r="54" spans="2:14" x14ac:dyDescent="0.2">
      <c r="B54" s="112" t="s">
        <v>116</v>
      </c>
      <c r="C54" s="441"/>
      <c r="D54" s="451"/>
      <c r="E54" s="244">
        <f>E110</f>
        <v>0</v>
      </c>
      <c r="F54" s="244">
        <f t="shared" ref="F54:L54" si="30">F110</f>
        <v>0</v>
      </c>
      <c r="G54" s="244">
        <f t="shared" si="30"/>
        <v>0</v>
      </c>
      <c r="H54" s="509">
        <f t="shared" si="30"/>
        <v>0</v>
      </c>
      <c r="I54" s="509">
        <f t="shared" si="30"/>
        <v>0</v>
      </c>
      <c r="J54" s="509">
        <f t="shared" si="30"/>
        <v>0</v>
      </c>
      <c r="K54" s="426">
        <f t="shared" si="30"/>
        <v>34512</v>
      </c>
      <c r="L54" s="426">
        <f t="shared" si="30"/>
        <v>34512</v>
      </c>
      <c r="M54" s="426">
        <f>L54</f>
        <v>34512</v>
      </c>
      <c r="N54" s="514">
        <f>M54</f>
        <v>34512</v>
      </c>
    </row>
    <row r="55" spans="2:14" x14ac:dyDescent="0.2">
      <c r="B55" s="112" t="s">
        <v>83</v>
      </c>
      <c r="C55" s="441"/>
      <c r="D55" s="451"/>
      <c r="E55" s="244"/>
      <c r="F55" s="244"/>
      <c r="G55" s="244"/>
      <c r="H55" s="509"/>
      <c r="I55" s="509"/>
      <c r="J55" s="509"/>
      <c r="K55" s="426"/>
      <c r="L55" s="426"/>
      <c r="M55" s="426"/>
      <c r="N55" s="514"/>
    </row>
    <row r="56" spans="2:14" x14ac:dyDescent="0.2">
      <c r="B56" s="461" t="s">
        <v>84</v>
      </c>
      <c r="C56" s="449">
        <f>C34</f>
        <v>50</v>
      </c>
      <c r="D56" s="450">
        <f>C56</f>
        <v>50</v>
      </c>
      <c r="E56" s="210">
        <f t="shared" ref="E56:N56" si="31">$D$12*(1+$C52)^E$4</f>
        <v>50</v>
      </c>
      <c r="F56" s="210">
        <f t="shared" si="31"/>
        <v>50</v>
      </c>
      <c r="G56" s="210">
        <f t="shared" si="31"/>
        <v>50</v>
      </c>
      <c r="H56" s="213">
        <f t="shared" si="31"/>
        <v>50</v>
      </c>
      <c r="I56" s="213">
        <f t="shared" si="31"/>
        <v>50</v>
      </c>
      <c r="J56" s="213">
        <f t="shared" si="31"/>
        <v>50</v>
      </c>
      <c r="K56" s="216">
        <f t="shared" si="31"/>
        <v>50</v>
      </c>
      <c r="L56" s="216">
        <f t="shared" si="31"/>
        <v>50</v>
      </c>
      <c r="M56" s="216">
        <f t="shared" si="31"/>
        <v>50</v>
      </c>
      <c r="N56" s="462">
        <f t="shared" si="31"/>
        <v>50</v>
      </c>
    </row>
    <row r="57" spans="2:14" x14ac:dyDescent="0.2">
      <c r="B57" s="461" t="s">
        <v>85</v>
      </c>
      <c r="C57" s="447">
        <f>C35</f>
        <v>0.6</v>
      </c>
      <c r="D57" s="453">
        <f t="shared" ref="D57:D58" si="32">C57</f>
        <v>0.6</v>
      </c>
      <c r="E57" s="244"/>
      <c r="F57" s="244"/>
      <c r="G57" s="244"/>
      <c r="H57" s="509"/>
      <c r="I57" s="509"/>
      <c r="J57" s="509"/>
      <c r="K57" s="426"/>
      <c r="L57" s="426"/>
      <c r="M57" s="426"/>
      <c r="N57" s="514"/>
    </row>
    <row r="58" spans="2:14" x14ac:dyDescent="0.2">
      <c r="B58" s="461" t="s">
        <v>86</v>
      </c>
      <c r="C58" s="447">
        <f>C36</f>
        <v>0.6</v>
      </c>
      <c r="D58" s="453">
        <f t="shared" si="32"/>
        <v>0.6</v>
      </c>
      <c r="E58" s="244"/>
      <c r="F58" s="244"/>
      <c r="G58" s="244"/>
      <c r="H58" s="509"/>
      <c r="I58" s="509"/>
      <c r="J58" s="509"/>
      <c r="K58" s="426"/>
      <c r="L58" s="426"/>
      <c r="M58" s="426"/>
      <c r="N58" s="514"/>
    </row>
    <row r="59" spans="2:14" x14ac:dyDescent="0.2">
      <c r="B59" s="112" t="s">
        <v>87</v>
      </c>
      <c r="C59" s="441"/>
      <c r="D59" s="451"/>
      <c r="E59" s="244"/>
      <c r="F59" s="244"/>
      <c r="G59" s="244"/>
      <c r="H59" s="509"/>
      <c r="I59" s="509"/>
      <c r="J59" s="509"/>
      <c r="K59" s="426"/>
      <c r="L59" s="426"/>
      <c r="M59" s="426"/>
      <c r="N59" s="514"/>
    </row>
    <row r="60" spans="2:14" x14ac:dyDescent="0.2">
      <c r="B60" s="461" t="s">
        <v>88</v>
      </c>
      <c r="C60" s="441">
        <f>C38</f>
        <v>0</v>
      </c>
      <c r="D60" s="451">
        <f>D54</f>
        <v>0</v>
      </c>
      <c r="E60" s="432">
        <f>E53</f>
        <v>0</v>
      </c>
      <c r="F60" s="432">
        <f t="shared" ref="F60:N60" si="33">F53</f>
        <v>0</v>
      </c>
      <c r="G60" s="432">
        <f t="shared" si="33"/>
        <v>0</v>
      </c>
      <c r="H60" s="438">
        <f t="shared" si="33"/>
        <v>0</v>
      </c>
      <c r="I60" s="438">
        <f t="shared" si="33"/>
        <v>0</v>
      </c>
      <c r="J60" s="438">
        <f t="shared" si="33"/>
        <v>0</v>
      </c>
      <c r="K60" s="439">
        <f t="shared" si="33"/>
        <v>0</v>
      </c>
      <c r="L60" s="439">
        <f t="shared" si="33"/>
        <v>230.08</v>
      </c>
      <c r="M60" s="439">
        <f t="shared" si="33"/>
        <v>230.08</v>
      </c>
      <c r="N60" s="468">
        <f t="shared" si="33"/>
        <v>230.08</v>
      </c>
    </row>
    <row r="61" spans="2:14" x14ac:dyDescent="0.2">
      <c r="B61" s="461" t="s">
        <v>89</v>
      </c>
      <c r="C61" s="441">
        <f t="shared" ref="C61:C62" si="34">C39</f>
        <v>109</v>
      </c>
      <c r="D61" s="451">
        <f>C61</f>
        <v>109</v>
      </c>
      <c r="E61" s="244"/>
      <c r="F61" s="244"/>
      <c r="G61" s="244"/>
      <c r="H61" s="509"/>
      <c r="I61" s="509"/>
      <c r="J61" s="509"/>
      <c r="K61" s="426"/>
      <c r="L61" s="426"/>
      <c r="M61" s="426"/>
      <c r="N61" s="514"/>
    </row>
    <row r="62" spans="2:14" x14ac:dyDescent="0.2">
      <c r="B62" s="461" t="s">
        <v>90</v>
      </c>
      <c r="C62" s="441">
        <f t="shared" si="34"/>
        <v>24</v>
      </c>
      <c r="D62" s="451">
        <f t="shared" ref="D62:D66" si="35">C62</f>
        <v>24</v>
      </c>
      <c r="E62" s="244"/>
      <c r="F62" s="244"/>
      <c r="G62" s="244"/>
      <c r="H62" s="509"/>
      <c r="I62" s="509"/>
      <c r="J62" s="509"/>
      <c r="K62" s="426"/>
      <c r="L62" s="426"/>
      <c r="M62" s="426"/>
      <c r="N62" s="514"/>
    </row>
    <row r="63" spans="2:14" x14ac:dyDescent="0.2">
      <c r="B63" s="461" t="s">
        <v>91</v>
      </c>
      <c r="C63" s="447">
        <f>C41</f>
        <v>0.3</v>
      </c>
      <c r="D63" s="453">
        <f t="shared" si="35"/>
        <v>0.3</v>
      </c>
      <c r="E63" s="244"/>
      <c r="F63" s="244"/>
      <c r="G63" s="244"/>
      <c r="H63" s="509"/>
      <c r="I63" s="509"/>
      <c r="J63" s="509"/>
      <c r="K63" s="426"/>
      <c r="L63" s="426"/>
      <c r="M63" s="426"/>
      <c r="N63" s="514"/>
    </row>
    <row r="64" spans="2:14" x14ac:dyDescent="0.2">
      <c r="B64" s="461" t="s">
        <v>92</v>
      </c>
      <c r="C64" s="441">
        <f>C42</f>
        <v>256</v>
      </c>
      <c r="D64" s="451">
        <f t="shared" si="35"/>
        <v>256</v>
      </c>
      <c r="E64" s="244"/>
      <c r="F64" s="244"/>
      <c r="G64" s="244"/>
      <c r="H64" s="509"/>
      <c r="I64" s="509"/>
      <c r="J64" s="509"/>
      <c r="K64" s="426"/>
      <c r="L64" s="426"/>
      <c r="M64" s="426"/>
      <c r="N64" s="514"/>
    </row>
    <row r="65" spans="2:14" x14ac:dyDescent="0.2">
      <c r="B65" s="461" t="s">
        <v>90</v>
      </c>
      <c r="C65" s="441">
        <f>C43</f>
        <v>24</v>
      </c>
      <c r="D65" s="451">
        <f t="shared" si="35"/>
        <v>24</v>
      </c>
      <c r="E65" s="244"/>
      <c r="F65" s="244"/>
      <c r="G65" s="244"/>
      <c r="H65" s="509"/>
      <c r="I65" s="509"/>
      <c r="J65" s="509"/>
      <c r="K65" s="426"/>
      <c r="L65" s="426"/>
      <c r="M65" s="426"/>
      <c r="N65" s="514"/>
    </row>
    <row r="66" spans="2:14" x14ac:dyDescent="0.2">
      <c r="B66" s="461" t="s">
        <v>91</v>
      </c>
      <c r="C66" s="447">
        <f>C44</f>
        <v>0.3</v>
      </c>
      <c r="D66" s="453">
        <f t="shared" si="35"/>
        <v>0.3</v>
      </c>
      <c r="E66" s="244"/>
      <c r="F66" s="244"/>
      <c r="G66" s="244"/>
      <c r="H66" s="509"/>
      <c r="I66" s="509"/>
      <c r="J66" s="509"/>
      <c r="K66" s="426"/>
      <c r="L66" s="426"/>
      <c r="M66" s="426"/>
      <c r="N66" s="514"/>
    </row>
    <row r="67" spans="2:14" x14ac:dyDescent="0.2">
      <c r="B67" s="461" t="s">
        <v>93</v>
      </c>
      <c r="C67" s="449">
        <f>C45</f>
        <v>2</v>
      </c>
      <c r="D67" s="450">
        <f>C67</f>
        <v>2</v>
      </c>
      <c r="E67" s="210">
        <f t="shared" ref="E67:N67" si="36">$D$23*(1+$C52)^E$4</f>
        <v>2</v>
      </c>
      <c r="F67" s="210">
        <f t="shared" si="36"/>
        <v>2</v>
      </c>
      <c r="G67" s="210">
        <f t="shared" si="36"/>
        <v>2</v>
      </c>
      <c r="H67" s="213">
        <f t="shared" si="36"/>
        <v>2</v>
      </c>
      <c r="I67" s="213">
        <f t="shared" si="36"/>
        <v>2</v>
      </c>
      <c r="J67" s="213">
        <f t="shared" si="36"/>
        <v>2</v>
      </c>
      <c r="K67" s="216">
        <f t="shared" si="36"/>
        <v>2</v>
      </c>
      <c r="L67" s="216">
        <f t="shared" si="36"/>
        <v>2</v>
      </c>
      <c r="M67" s="216">
        <f t="shared" si="36"/>
        <v>2</v>
      </c>
      <c r="N67" s="462">
        <f t="shared" si="36"/>
        <v>2</v>
      </c>
    </row>
    <row r="68" spans="2:14" x14ac:dyDescent="0.2">
      <c r="B68" s="112" t="s">
        <v>117</v>
      </c>
      <c r="C68" s="449">
        <f t="shared" ref="C68:C69" si="37">C46</f>
        <v>0.5</v>
      </c>
      <c r="D68" s="450">
        <f>C68</f>
        <v>0.5</v>
      </c>
      <c r="E68" s="210">
        <f t="shared" ref="E68:N68" si="38">$D$24*(1+$C53)^E$4</f>
        <v>0.5</v>
      </c>
      <c r="F68" s="210">
        <f t="shared" si="38"/>
        <v>0.5</v>
      </c>
      <c r="G68" s="210">
        <f t="shared" si="38"/>
        <v>0.5</v>
      </c>
      <c r="H68" s="213">
        <f t="shared" si="38"/>
        <v>0.5</v>
      </c>
      <c r="I68" s="213">
        <f t="shared" si="38"/>
        <v>0.5</v>
      </c>
      <c r="J68" s="213">
        <f t="shared" si="38"/>
        <v>0.5</v>
      </c>
      <c r="K68" s="216">
        <f t="shared" si="38"/>
        <v>0.5</v>
      </c>
      <c r="L68" s="216">
        <f t="shared" si="38"/>
        <v>0.5</v>
      </c>
      <c r="M68" s="216">
        <f t="shared" si="38"/>
        <v>0.5</v>
      </c>
      <c r="N68" s="462">
        <f t="shared" si="38"/>
        <v>0.5</v>
      </c>
    </row>
    <row r="69" spans="2:14" hidden="1" x14ac:dyDescent="0.2">
      <c r="B69" s="464" t="s">
        <v>95</v>
      </c>
      <c r="C69" s="449">
        <f t="shared" si="37"/>
        <v>0</v>
      </c>
      <c r="D69" s="451"/>
      <c r="E69" s="244"/>
      <c r="F69" s="244"/>
      <c r="G69" s="244"/>
      <c r="H69" s="509"/>
      <c r="I69" s="509"/>
      <c r="J69" s="509"/>
      <c r="K69" s="426"/>
      <c r="L69" s="426"/>
      <c r="M69" s="426"/>
      <c r="N69" s="514"/>
    </row>
    <row r="70" spans="2:14" x14ac:dyDescent="0.2">
      <c r="B70" s="465" t="s">
        <v>218</v>
      </c>
      <c r="C70" s="449"/>
      <c r="D70" s="451"/>
      <c r="E70" s="210">
        <f>E53*E56*$D58*$C$75</f>
        <v>0</v>
      </c>
      <c r="F70" s="210">
        <f t="shared" ref="F70:N70" si="39">F53*F56*$D58*$C$75</f>
        <v>0</v>
      </c>
      <c r="G70" s="210">
        <f t="shared" si="39"/>
        <v>0</v>
      </c>
      <c r="H70" s="213">
        <f t="shared" si="39"/>
        <v>0</v>
      </c>
      <c r="I70" s="213">
        <f t="shared" si="39"/>
        <v>0</v>
      </c>
      <c r="J70" s="213">
        <f t="shared" si="39"/>
        <v>0</v>
      </c>
      <c r="K70" s="216">
        <f t="shared" si="39"/>
        <v>0</v>
      </c>
      <c r="L70" s="216">
        <f t="shared" si="39"/>
        <v>82828.799999999988</v>
      </c>
      <c r="M70" s="216">
        <f t="shared" si="39"/>
        <v>82828.799999999988</v>
      </c>
      <c r="N70" s="462">
        <f t="shared" si="39"/>
        <v>82828.799999999988</v>
      </c>
    </row>
    <row r="71" spans="2:14" x14ac:dyDescent="0.2">
      <c r="B71" s="465" t="s">
        <v>219</v>
      </c>
      <c r="C71" s="449"/>
      <c r="D71" s="451"/>
      <c r="E71" s="270">
        <f>(E53*$D$61*$D$62*$D$63*E67)+(E60*$D$64*$D$65*$D$66*E67)</f>
        <v>0</v>
      </c>
      <c r="F71" s="270">
        <f t="shared" ref="F71:N71" si="40">(F53*$D$61*$D$62*$D$63*F67)+(F60*$D$64*$D$65*$D$66*F67)</f>
        <v>0</v>
      </c>
      <c r="G71" s="270">
        <f t="shared" si="40"/>
        <v>0</v>
      </c>
      <c r="H71" s="290">
        <f t="shared" si="40"/>
        <v>0</v>
      </c>
      <c r="I71" s="290">
        <f t="shared" si="40"/>
        <v>0</v>
      </c>
      <c r="J71" s="290">
        <f t="shared" si="40"/>
        <v>0</v>
      </c>
      <c r="K71" s="271">
        <f t="shared" si="40"/>
        <v>0</v>
      </c>
      <c r="L71" s="271">
        <f t="shared" si="40"/>
        <v>1209300.48</v>
      </c>
      <c r="M71" s="271">
        <f t="shared" si="40"/>
        <v>1209300.48</v>
      </c>
      <c r="N71" s="466">
        <f t="shared" si="40"/>
        <v>1209300.48</v>
      </c>
    </row>
    <row r="72" spans="2:14" ht="13.5" thickBot="1" x14ac:dyDescent="0.25">
      <c r="B72" s="464" t="s">
        <v>220</v>
      </c>
      <c r="C72" s="449"/>
      <c r="D72" s="451"/>
      <c r="E72" s="210">
        <f>E68*E54</f>
        <v>0</v>
      </c>
      <c r="F72" s="210">
        <f t="shared" ref="F72:N72" si="41">F68*F54</f>
        <v>0</v>
      </c>
      <c r="G72" s="210">
        <f t="shared" si="41"/>
        <v>0</v>
      </c>
      <c r="H72" s="213">
        <f t="shared" si="41"/>
        <v>0</v>
      </c>
      <c r="I72" s="213">
        <f t="shared" si="41"/>
        <v>0</v>
      </c>
      <c r="J72" s="213">
        <f t="shared" si="41"/>
        <v>0</v>
      </c>
      <c r="K72" s="216">
        <f t="shared" si="41"/>
        <v>17256</v>
      </c>
      <c r="L72" s="216">
        <f t="shared" si="41"/>
        <v>17256</v>
      </c>
      <c r="M72" s="216">
        <f t="shared" si="41"/>
        <v>17256</v>
      </c>
      <c r="N72" s="462">
        <f t="shared" si="41"/>
        <v>17256</v>
      </c>
    </row>
    <row r="73" spans="2:14" ht="13.5" thickBot="1" x14ac:dyDescent="0.25">
      <c r="B73" s="484" t="s">
        <v>27</v>
      </c>
      <c r="C73" s="485"/>
      <c r="D73" s="489"/>
      <c r="E73" s="490"/>
      <c r="F73" s="490"/>
      <c r="G73" s="490"/>
      <c r="H73" s="490"/>
      <c r="I73" s="490"/>
      <c r="J73" s="490"/>
      <c r="K73" s="490"/>
      <c r="L73" s="490"/>
      <c r="M73" s="490"/>
      <c r="N73" s="491"/>
    </row>
    <row r="74" spans="2:14" x14ac:dyDescent="0.2">
      <c r="B74" s="112" t="s">
        <v>96</v>
      </c>
      <c r="C74" s="441"/>
      <c r="D74" s="451"/>
      <c r="E74" s="244"/>
      <c r="F74" s="244"/>
      <c r="G74" s="244"/>
      <c r="H74" s="509"/>
      <c r="I74" s="509"/>
      <c r="J74" s="509"/>
      <c r="K74" s="426"/>
      <c r="L74" s="426"/>
      <c r="M74" s="426"/>
      <c r="N74" s="514"/>
    </row>
    <row r="75" spans="2:14" x14ac:dyDescent="0.2">
      <c r="B75" s="461" t="s">
        <v>97</v>
      </c>
      <c r="C75" s="452">
        <v>12</v>
      </c>
      <c r="D75" s="450">
        <f>D9*D12*$D14*$C$75</f>
        <v>0</v>
      </c>
      <c r="E75" s="212">
        <f>SUM(E26,E48,E70)</f>
        <v>0</v>
      </c>
      <c r="F75" s="212">
        <f t="shared" ref="F75:N75" si="42">SUM(F26,F48,F70)</f>
        <v>0</v>
      </c>
      <c r="G75" s="212">
        <f t="shared" si="42"/>
        <v>174169.70179199998</v>
      </c>
      <c r="H75" s="215">
        <f t="shared" si="42"/>
        <v>177653.09582783998</v>
      </c>
      <c r="I75" s="215">
        <f t="shared" si="42"/>
        <v>267178.72172797436</v>
      </c>
      <c r="J75" s="215">
        <f t="shared" si="42"/>
        <v>272522.29616253392</v>
      </c>
      <c r="K75" s="218">
        <f t="shared" si="42"/>
        <v>277972.74208578444</v>
      </c>
      <c r="L75" s="218">
        <f t="shared" si="42"/>
        <v>366360.99692750024</v>
      </c>
      <c r="M75" s="218">
        <f t="shared" si="42"/>
        <v>372031.64086605021</v>
      </c>
      <c r="N75" s="469">
        <f t="shared" si="42"/>
        <v>377815.6976833712</v>
      </c>
    </row>
    <row r="76" spans="2:14" x14ac:dyDescent="0.2">
      <c r="B76" s="461" t="s">
        <v>98</v>
      </c>
      <c r="C76" s="441"/>
      <c r="D76" s="450">
        <f>(D16*$D17*$D18*$D19*D23)+(D11*$D20*$D21*$D22*D23)</f>
        <v>0</v>
      </c>
      <c r="E76" s="212">
        <f>SUM(E27,E49,E71)</f>
        <v>0</v>
      </c>
      <c r="F76" s="212">
        <f t="shared" ref="F76:N76" si="43">SUM(F27,F49,F71)</f>
        <v>0</v>
      </c>
      <c r="G76" s="212">
        <f t="shared" si="43"/>
        <v>2542877.6461631991</v>
      </c>
      <c r="H76" s="215">
        <f t="shared" si="43"/>
        <v>2593735.1990864635</v>
      </c>
      <c r="I76" s="215">
        <f t="shared" si="43"/>
        <v>3900809.3372284258</v>
      </c>
      <c r="J76" s="215">
        <f t="shared" si="43"/>
        <v>3978825.5239729946</v>
      </c>
      <c r="K76" s="218">
        <f t="shared" si="43"/>
        <v>4058402.0344524537</v>
      </c>
      <c r="L76" s="218">
        <f t="shared" si="43"/>
        <v>5348870.555141503</v>
      </c>
      <c r="M76" s="218">
        <f t="shared" si="43"/>
        <v>5431661.9566443339</v>
      </c>
      <c r="N76" s="469">
        <f t="shared" si="43"/>
        <v>5516109.1861772202</v>
      </c>
    </row>
    <row r="77" spans="2:14" x14ac:dyDescent="0.2">
      <c r="B77" s="112" t="s">
        <v>99</v>
      </c>
      <c r="C77" s="441"/>
      <c r="D77" s="442">
        <f>SUM(D75:D76)</f>
        <v>0</v>
      </c>
      <c r="E77" s="270">
        <f>SUM(E75:E76)</f>
        <v>0</v>
      </c>
      <c r="F77" s="270">
        <f t="shared" ref="F77:M77" si="44">SUM(F75:F76)</f>
        <v>0</v>
      </c>
      <c r="G77" s="270">
        <f t="shared" si="44"/>
        <v>2717047.347955199</v>
      </c>
      <c r="H77" s="290">
        <f t="shared" si="44"/>
        <v>2771388.2949143033</v>
      </c>
      <c r="I77" s="290">
        <f t="shared" si="44"/>
        <v>4167988.0589564</v>
      </c>
      <c r="J77" s="290">
        <f t="shared" si="44"/>
        <v>4251347.8201355282</v>
      </c>
      <c r="K77" s="271">
        <f t="shared" si="44"/>
        <v>4336374.7765382379</v>
      </c>
      <c r="L77" s="271">
        <f t="shared" si="44"/>
        <v>5715231.5520690028</v>
      </c>
      <c r="M77" s="271">
        <f t="shared" si="44"/>
        <v>5803693.5975103844</v>
      </c>
      <c r="N77" s="466">
        <f>SUM(N75:N76)</f>
        <v>5893924.8838605918</v>
      </c>
    </row>
    <row r="78" spans="2:14" x14ac:dyDescent="0.2">
      <c r="B78" s="112" t="s">
        <v>94</v>
      </c>
      <c r="C78" s="441"/>
      <c r="D78" s="442">
        <f>-(D24*D10)</f>
        <v>0</v>
      </c>
      <c r="E78" s="270">
        <f>-SUM(E28,E50,E72)</f>
        <v>0</v>
      </c>
      <c r="F78" s="270">
        <f>-SUM(F28,F50,F72)</f>
        <v>-34192.5</v>
      </c>
      <c r="G78" s="270">
        <f t="shared" ref="G78:N78" si="45">-SUM(G28,G50,G72)</f>
        <v>-68385</v>
      </c>
      <c r="H78" s="290">
        <f t="shared" si="45"/>
        <v>-84607.5</v>
      </c>
      <c r="I78" s="290">
        <f t="shared" si="45"/>
        <v>-100830</v>
      </c>
      <c r="J78" s="290">
        <f t="shared" si="45"/>
        <v>-100830</v>
      </c>
      <c r="K78" s="271">
        <f t="shared" si="45"/>
        <v>-118086</v>
      </c>
      <c r="L78" s="271">
        <f t="shared" si="45"/>
        <v>-118086</v>
      </c>
      <c r="M78" s="271">
        <f t="shared" si="45"/>
        <v>-118086</v>
      </c>
      <c r="N78" s="466">
        <f t="shared" si="45"/>
        <v>-118086</v>
      </c>
    </row>
    <row r="79" spans="2:14" ht="13.5" thickBot="1" x14ac:dyDescent="0.25">
      <c r="B79" s="112" t="s">
        <v>27</v>
      </c>
      <c r="C79" s="441"/>
      <c r="D79" s="442">
        <f>SUM(D77:D78)</f>
        <v>0</v>
      </c>
      <c r="E79" s="270">
        <f>SUM(E77:E78)</f>
        <v>0</v>
      </c>
      <c r="F79" s="270">
        <f t="shared" ref="F79:N79" si="46">SUM(F77:F78)</f>
        <v>-34192.5</v>
      </c>
      <c r="G79" s="270">
        <f t="shared" si="46"/>
        <v>2648662.347955199</v>
      </c>
      <c r="H79" s="290">
        <f t="shared" si="46"/>
        <v>2686780.7949143033</v>
      </c>
      <c r="I79" s="290">
        <f t="shared" si="46"/>
        <v>4067158.0589564</v>
      </c>
      <c r="J79" s="290">
        <f t="shared" si="46"/>
        <v>4150517.8201355282</v>
      </c>
      <c r="K79" s="271">
        <f t="shared" si="46"/>
        <v>4218288.7765382379</v>
      </c>
      <c r="L79" s="271">
        <f t="shared" si="46"/>
        <v>5597145.5520690028</v>
      </c>
      <c r="M79" s="271">
        <f t="shared" si="46"/>
        <v>5685607.5975103844</v>
      </c>
      <c r="N79" s="466">
        <f t="shared" si="46"/>
        <v>5775838.8838605918</v>
      </c>
    </row>
    <row r="80" spans="2:14" ht="13.5" thickBot="1" x14ac:dyDescent="0.25">
      <c r="B80" s="484" t="s">
        <v>20</v>
      </c>
      <c r="C80" s="485"/>
      <c r="D80" s="489"/>
      <c r="E80" s="490"/>
      <c r="F80" s="490"/>
      <c r="G80" s="490"/>
      <c r="H80" s="490"/>
      <c r="I80" s="490"/>
      <c r="J80" s="490"/>
      <c r="K80" s="490"/>
      <c r="L80" s="490"/>
      <c r="M80" s="490"/>
      <c r="N80" s="491"/>
    </row>
    <row r="81" spans="2:14" x14ac:dyDescent="0.2">
      <c r="B81" s="112" t="s">
        <v>111</v>
      </c>
      <c r="C81" s="449">
        <v>80.47</v>
      </c>
      <c r="D81" s="450">
        <f>C81</f>
        <v>80.47</v>
      </c>
      <c r="E81" s="210">
        <f t="shared" ref="E81:N81" si="47">$D$81*(1+$C8)^E$4</f>
        <v>82.079400000000007</v>
      </c>
      <c r="F81" s="210">
        <f t="shared" si="47"/>
        <v>83.720987999999991</v>
      </c>
      <c r="G81" s="210">
        <f t="shared" si="47"/>
        <v>85.395407759999998</v>
      </c>
      <c r="H81" s="213">
        <f t="shared" si="47"/>
        <v>87.1033159152</v>
      </c>
      <c r="I81" s="213">
        <f t="shared" si="47"/>
        <v>88.845382233503997</v>
      </c>
      <c r="J81" s="213">
        <f t="shared" si="47"/>
        <v>90.622289878174087</v>
      </c>
      <c r="K81" s="216">
        <f t="shared" si="47"/>
        <v>92.434735675737542</v>
      </c>
      <c r="L81" s="216">
        <f t="shared" si="47"/>
        <v>94.283430389252302</v>
      </c>
      <c r="M81" s="216">
        <f t="shared" si="47"/>
        <v>96.169098997037352</v>
      </c>
      <c r="N81" s="462">
        <f t="shared" si="47"/>
        <v>98.092480976978109</v>
      </c>
    </row>
    <row r="82" spans="2:14" x14ac:dyDescent="0.2">
      <c r="B82" s="112" t="s">
        <v>68</v>
      </c>
      <c r="C82" s="441"/>
      <c r="D82" s="451">
        <f>D83/SUM($D$83:$N$83)</f>
        <v>0</v>
      </c>
      <c r="E82" s="250">
        <f t="shared" ref="E82:N82" si="48">E83/SUM($D$83:$N$83)</f>
        <v>0</v>
      </c>
      <c r="F82" s="250">
        <f t="shared" si="48"/>
        <v>0.24139188656119467</v>
      </c>
      <c r="G82" s="250">
        <f t="shared" si="48"/>
        <v>0.24621972429241859</v>
      </c>
      <c r="H82" s="260">
        <f t="shared" si="48"/>
        <v>0.11915436036792969</v>
      </c>
      <c r="I82" s="260">
        <f t="shared" si="48"/>
        <v>0.12153744757528828</v>
      </c>
      <c r="J82" s="260">
        <f t="shared" si="48"/>
        <v>0</v>
      </c>
      <c r="K82" s="255">
        <f t="shared" si="48"/>
        <v>0.13450325802137061</v>
      </c>
      <c r="L82" s="255">
        <f t="shared" si="48"/>
        <v>0.13719332318179803</v>
      </c>
      <c r="M82" s="255">
        <f t="shared" si="48"/>
        <v>0</v>
      </c>
      <c r="N82" s="470">
        <f t="shared" si="48"/>
        <v>0</v>
      </c>
    </row>
    <row r="83" spans="2:14" x14ac:dyDescent="0.2">
      <c r="B83" s="112" t="s">
        <v>20</v>
      </c>
      <c r="C83" s="441"/>
      <c r="D83" s="451"/>
      <c r="E83" s="270">
        <f>E81*E106</f>
        <v>0</v>
      </c>
      <c r="F83" s="270">
        <f>F81*F106</f>
        <v>5725259.7643799996</v>
      </c>
      <c r="G83" s="270">
        <f>G81*G106</f>
        <v>5839764.9596675998</v>
      </c>
      <c r="H83" s="290">
        <f>H81*H108</f>
        <v>2826067.0848686639</v>
      </c>
      <c r="I83" s="290">
        <f>I81*I108</f>
        <v>2882588.4265660373</v>
      </c>
      <c r="J83" s="290">
        <f>J81*J108</f>
        <v>0</v>
      </c>
      <c r="K83" s="271">
        <f>K81*K110</f>
        <v>3190107.5976410541</v>
      </c>
      <c r="L83" s="271">
        <f>L81*L110</f>
        <v>3253909.7495938754</v>
      </c>
      <c r="M83" s="271">
        <f>M81*M110</f>
        <v>0</v>
      </c>
      <c r="N83" s="466">
        <f>N81*N110</f>
        <v>0</v>
      </c>
    </row>
    <row r="84" spans="2:14" x14ac:dyDescent="0.2">
      <c r="B84" s="112" t="s">
        <v>47</v>
      </c>
      <c r="C84" s="441"/>
      <c r="D84" s="451"/>
      <c r="E84" s="244"/>
      <c r="F84" s="244"/>
      <c r="G84" s="244"/>
      <c r="H84" s="509"/>
      <c r="I84" s="509"/>
      <c r="J84" s="509"/>
      <c r="K84" s="426"/>
      <c r="L84" s="426"/>
      <c r="M84" s="426"/>
      <c r="N84" s="514"/>
    </row>
    <row r="85" spans="2:14" ht="13.5" thickBot="1" x14ac:dyDescent="0.25">
      <c r="B85" s="112" t="s">
        <v>25</v>
      </c>
      <c r="C85" s="441"/>
      <c r="D85" s="450">
        <f>SUM(D83:D84)</f>
        <v>0</v>
      </c>
      <c r="E85" s="247">
        <f t="shared" ref="E85:N85" si="49">SUM(E83:E84)</f>
        <v>0</v>
      </c>
      <c r="F85" s="212">
        <f t="shared" si="49"/>
        <v>5725259.7643799996</v>
      </c>
      <c r="G85" s="212">
        <f t="shared" si="49"/>
        <v>5839764.9596675998</v>
      </c>
      <c r="H85" s="215">
        <f t="shared" si="49"/>
        <v>2826067.0848686639</v>
      </c>
      <c r="I85" s="215">
        <f t="shared" si="49"/>
        <v>2882588.4265660373</v>
      </c>
      <c r="J85" s="215">
        <f t="shared" si="49"/>
        <v>0</v>
      </c>
      <c r="K85" s="218">
        <f t="shared" si="49"/>
        <v>3190107.5976410541</v>
      </c>
      <c r="L85" s="218">
        <f t="shared" si="49"/>
        <v>3253909.7495938754</v>
      </c>
      <c r="M85" s="218">
        <f t="shared" si="49"/>
        <v>0</v>
      </c>
      <c r="N85" s="471">
        <f t="shared" si="49"/>
        <v>0</v>
      </c>
    </row>
    <row r="86" spans="2:14" ht="13.5" thickBot="1" x14ac:dyDescent="0.25">
      <c r="B86" s="484" t="s">
        <v>26</v>
      </c>
      <c r="C86" s="485"/>
      <c r="D86" s="489"/>
      <c r="E86" s="490"/>
      <c r="F86" s="490"/>
      <c r="G86" s="490"/>
      <c r="H86" s="490"/>
      <c r="I86" s="490"/>
      <c r="J86" s="490"/>
      <c r="K86" s="490"/>
      <c r="L86" s="490"/>
      <c r="M86" s="490"/>
      <c r="N86" s="491"/>
    </row>
    <row r="87" spans="2:14" x14ac:dyDescent="0.2">
      <c r="B87" s="112" t="s">
        <v>27</v>
      </c>
      <c r="C87" s="441"/>
      <c r="D87" s="442">
        <f>D79</f>
        <v>0</v>
      </c>
      <c r="E87" s="210">
        <f>E79</f>
        <v>0</v>
      </c>
      <c r="F87" s="270">
        <f t="shared" ref="F87:N87" si="50">F79</f>
        <v>-34192.5</v>
      </c>
      <c r="G87" s="270">
        <f t="shared" si="50"/>
        <v>2648662.347955199</v>
      </c>
      <c r="H87" s="213">
        <f t="shared" si="50"/>
        <v>2686780.7949143033</v>
      </c>
      <c r="I87" s="213">
        <f t="shared" si="50"/>
        <v>4067158.0589564</v>
      </c>
      <c r="J87" s="213">
        <f t="shared" si="50"/>
        <v>4150517.8201355282</v>
      </c>
      <c r="K87" s="216">
        <f t="shared" si="50"/>
        <v>4218288.7765382379</v>
      </c>
      <c r="L87" s="216">
        <f t="shared" si="50"/>
        <v>5597145.5520690028</v>
      </c>
      <c r="M87" s="216">
        <f t="shared" si="50"/>
        <v>5685607.5975103844</v>
      </c>
      <c r="N87" s="466">
        <f t="shared" si="50"/>
        <v>5775838.8838605918</v>
      </c>
    </row>
    <row r="88" spans="2:14" x14ac:dyDescent="0.2">
      <c r="B88" s="112" t="s">
        <v>69</v>
      </c>
      <c r="C88" s="447">
        <v>0.11</v>
      </c>
      <c r="D88" s="448"/>
      <c r="E88" s="244"/>
      <c r="F88" s="244"/>
      <c r="G88" s="244"/>
      <c r="H88" s="509"/>
      <c r="I88" s="509"/>
      <c r="J88" s="509"/>
      <c r="K88" s="426"/>
      <c r="L88" s="426"/>
      <c r="M88" s="426"/>
      <c r="N88" s="466">
        <f>N87/C88</f>
        <v>52507626.216914468</v>
      </c>
    </row>
    <row r="89" spans="2:14" x14ac:dyDescent="0.2">
      <c r="B89" s="112" t="s">
        <v>70</v>
      </c>
      <c r="C89" s="447">
        <v>0.03</v>
      </c>
      <c r="D89" s="448"/>
      <c r="E89" s="244"/>
      <c r="F89" s="244"/>
      <c r="G89" s="244"/>
      <c r="H89" s="509"/>
      <c r="I89" s="509"/>
      <c r="J89" s="509"/>
      <c r="K89" s="426"/>
      <c r="L89" s="426"/>
      <c r="M89" s="426"/>
      <c r="N89" s="466">
        <f>N88*-C89</f>
        <v>-1575228.786507434</v>
      </c>
    </row>
    <row r="90" spans="2:14" ht="13.5" thickBot="1" x14ac:dyDescent="0.25">
      <c r="B90" s="112" t="s">
        <v>25</v>
      </c>
      <c r="C90" s="441"/>
      <c r="D90" s="442">
        <f>-D85</f>
        <v>0</v>
      </c>
      <c r="E90" s="210">
        <f>-E85</f>
        <v>0</v>
      </c>
      <c r="F90" s="270">
        <f t="shared" ref="F90:N90" si="51">-F85</f>
        <v>-5725259.7643799996</v>
      </c>
      <c r="G90" s="270">
        <f t="shared" si="51"/>
        <v>-5839764.9596675998</v>
      </c>
      <c r="H90" s="290">
        <f t="shared" si="51"/>
        <v>-2826067.0848686639</v>
      </c>
      <c r="I90" s="290">
        <f t="shared" si="51"/>
        <v>-2882588.4265660373</v>
      </c>
      <c r="J90" s="290">
        <f t="shared" si="51"/>
        <v>0</v>
      </c>
      <c r="K90" s="271">
        <f t="shared" si="51"/>
        <v>-3190107.5976410541</v>
      </c>
      <c r="L90" s="271">
        <f t="shared" si="51"/>
        <v>-3253909.7495938754</v>
      </c>
      <c r="M90" s="271">
        <f t="shared" si="51"/>
        <v>0</v>
      </c>
      <c r="N90" s="466">
        <f t="shared" si="51"/>
        <v>0</v>
      </c>
    </row>
    <row r="91" spans="2:14" ht="13.5" thickBot="1" x14ac:dyDescent="0.25">
      <c r="B91" s="484"/>
      <c r="C91" s="485"/>
      <c r="D91" s="489"/>
      <c r="E91" s="490"/>
      <c r="F91" s="490"/>
      <c r="G91" s="492"/>
      <c r="H91" s="492"/>
      <c r="I91" s="492"/>
      <c r="J91" s="492"/>
      <c r="K91" s="492"/>
      <c r="L91" s="492"/>
      <c r="M91" s="492"/>
      <c r="N91" s="493"/>
    </row>
    <row r="92" spans="2:14" x14ac:dyDescent="0.2">
      <c r="B92" s="112" t="s">
        <v>29</v>
      </c>
      <c r="C92" s="441"/>
      <c r="D92" s="442">
        <f>SUM(D87:D90)</f>
        <v>0</v>
      </c>
      <c r="E92" s="210">
        <f t="shared" ref="E92:N92" si="52">SUM(E87:E90)</f>
        <v>0</v>
      </c>
      <c r="F92" s="270">
        <f t="shared" si="52"/>
        <v>-5759452.2643799996</v>
      </c>
      <c r="G92" s="270">
        <f t="shared" si="52"/>
        <v>-3191102.6117124008</v>
      </c>
      <c r="H92" s="290">
        <f t="shared" si="52"/>
        <v>-139286.28995436057</v>
      </c>
      <c r="I92" s="290">
        <f t="shared" si="52"/>
        <v>1184569.6323903627</v>
      </c>
      <c r="J92" s="290">
        <f t="shared" si="52"/>
        <v>4150517.8201355282</v>
      </c>
      <c r="K92" s="271">
        <f t="shared" si="52"/>
        <v>1028181.1788971839</v>
      </c>
      <c r="L92" s="271">
        <f t="shared" si="52"/>
        <v>2343235.8024751274</v>
      </c>
      <c r="M92" s="271">
        <f t="shared" si="52"/>
        <v>5685607.5975103844</v>
      </c>
      <c r="N92" s="466">
        <f t="shared" si="52"/>
        <v>56708236.314267628</v>
      </c>
    </row>
    <row r="93" spans="2:14" x14ac:dyDescent="0.2">
      <c r="B93" s="112" t="s">
        <v>32</v>
      </c>
      <c r="C93" s="443"/>
      <c r="D93" s="444">
        <f>NPV(C93,E92:N92)</f>
        <v>62010507.179629453</v>
      </c>
      <c r="E93" s="152"/>
      <c r="F93" s="152"/>
      <c r="G93" s="152"/>
      <c r="H93" s="152"/>
      <c r="I93" s="152"/>
      <c r="J93" s="152"/>
      <c r="K93" s="152"/>
      <c r="L93" s="152"/>
      <c r="M93" s="152"/>
      <c r="N93" s="474"/>
    </row>
    <row r="94" spans="2:14" x14ac:dyDescent="0.2">
      <c r="B94" s="357" t="s">
        <v>34</v>
      </c>
      <c r="C94" s="441"/>
      <c r="D94" s="445">
        <f>IRR(D92:N92,0)</f>
        <v>0.34958738854087223</v>
      </c>
      <c r="E94" s="152"/>
      <c r="F94" s="152"/>
      <c r="G94" s="152"/>
      <c r="H94" s="152"/>
      <c r="I94" s="152"/>
      <c r="J94" s="152"/>
      <c r="K94" s="152"/>
      <c r="L94" s="152"/>
      <c r="M94" s="152"/>
      <c r="N94" s="474"/>
    </row>
    <row r="95" spans="2:14" ht="13.5" thickBot="1" x14ac:dyDescent="0.25">
      <c r="B95" s="358" t="s">
        <v>36</v>
      </c>
      <c r="C95" s="472"/>
      <c r="D95" s="446"/>
      <c r="E95" s="475"/>
      <c r="F95" s="475"/>
      <c r="G95" s="475"/>
      <c r="H95" s="475"/>
      <c r="I95" s="475"/>
      <c r="J95" s="475"/>
      <c r="K95" s="475"/>
      <c r="L95" s="475"/>
      <c r="M95" s="475"/>
      <c r="N95" s="476"/>
    </row>
    <row r="96" spans="2:14" ht="13.5" thickBot="1" x14ac:dyDescent="0.25">
      <c r="B96" s="123"/>
      <c r="C96" s="124"/>
      <c r="D96" s="42"/>
      <c r="E96" s="43"/>
      <c r="F96" s="43"/>
      <c r="G96" s="43"/>
      <c r="H96" s="43"/>
      <c r="I96" s="43"/>
      <c r="J96" s="43"/>
      <c r="K96" s="43"/>
      <c r="L96" s="43"/>
      <c r="M96" s="43"/>
      <c r="N96" s="43"/>
    </row>
    <row r="97" spans="2:14" x14ac:dyDescent="0.2">
      <c r="B97" s="1265" t="s">
        <v>71</v>
      </c>
      <c r="C97" s="1266"/>
      <c r="D97" s="57"/>
      <c r="E97" s="41"/>
      <c r="F97" s="41"/>
      <c r="G97" s="41"/>
      <c r="H97" s="41"/>
      <c r="I97" s="41"/>
      <c r="J97" s="41"/>
      <c r="K97" s="41"/>
      <c r="L97" s="41"/>
      <c r="M97" s="41"/>
      <c r="N97" s="41"/>
    </row>
    <row r="98" spans="2:14" ht="15" x14ac:dyDescent="0.25">
      <c r="B98" s="112" t="s">
        <v>153</v>
      </c>
      <c r="C98" s="478">
        <v>0.06</v>
      </c>
      <c r="F98" s="202"/>
    </row>
    <row r="99" spans="2:14" ht="13.5" thickBot="1" x14ac:dyDescent="0.25">
      <c r="B99" s="479" t="s">
        <v>217</v>
      </c>
      <c r="C99" s="480">
        <v>300</v>
      </c>
    </row>
    <row r="101" spans="2:14" ht="13.5" thickBot="1" x14ac:dyDescent="0.25"/>
    <row r="102" spans="2:14" ht="15" customHeight="1" x14ac:dyDescent="0.2">
      <c r="B102" s="1226" t="s">
        <v>237</v>
      </c>
      <c r="C102" s="1227"/>
      <c r="D102" s="1227"/>
      <c r="E102" s="1227"/>
      <c r="F102" s="1227"/>
      <c r="G102" s="1227"/>
      <c r="H102" s="1227"/>
      <c r="I102" s="1227"/>
      <c r="J102" s="1227"/>
      <c r="K102" s="1227"/>
      <c r="L102" s="1227"/>
      <c r="M102" s="1227"/>
      <c r="N102" s="1228"/>
    </row>
    <row r="103" spans="2:14" x14ac:dyDescent="0.2">
      <c r="B103" s="112"/>
      <c r="C103" s="441"/>
      <c r="D103" s="477">
        <v>0</v>
      </c>
      <c r="E103" s="505">
        <v>1</v>
      </c>
      <c r="F103" s="505">
        <v>2</v>
      </c>
      <c r="G103" s="505">
        <v>3</v>
      </c>
      <c r="H103" s="505">
        <v>4</v>
      </c>
      <c r="I103" s="505">
        <v>5</v>
      </c>
      <c r="J103" s="505">
        <v>6</v>
      </c>
      <c r="K103" s="505">
        <v>7</v>
      </c>
      <c r="L103" s="505">
        <v>8</v>
      </c>
      <c r="M103" s="505">
        <v>9</v>
      </c>
      <c r="N103" s="506">
        <v>10</v>
      </c>
    </row>
    <row r="104" spans="2:14" ht="13.5" thickBot="1" x14ac:dyDescent="0.25">
      <c r="B104" s="112"/>
      <c r="C104" s="199"/>
      <c r="D104" s="126" t="s">
        <v>154</v>
      </c>
      <c r="E104" s="475">
        <v>2022</v>
      </c>
      <c r="F104" s="475">
        <v>2023</v>
      </c>
      <c r="G104" s="475">
        <v>2024</v>
      </c>
      <c r="H104" s="475">
        <v>2025</v>
      </c>
      <c r="I104" s="475">
        <v>2026</v>
      </c>
      <c r="J104" s="475">
        <v>2027</v>
      </c>
      <c r="K104" s="475">
        <v>2028</v>
      </c>
      <c r="L104" s="475">
        <v>2029</v>
      </c>
      <c r="M104" s="475">
        <v>2030</v>
      </c>
      <c r="N104" s="476">
        <v>2031</v>
      </c>
    </row>
    <row r="105" spans="2:14" ht="15" x14ac:dyDescent="0.25">
      <c r="B105" s="1253" t="s">
        <v>206</v>
      </c>
      <c r="C105" s="1267">
        <v>136770</v>
      </c>
      <c r="D105" s="507">
        <f>$C$105/$C$99</f>
        <v>455.9</v>
      </c>
      <c r="E105" s="644"/>
      <c r="F105" s="644"/>
      <c r="G105" s="644">
        <f>D105</f>
        <v>455.9</v>
      </c>
      <c r="H105" s="504"/>
      <c r="I105" s="504"/>
      <c r="J105" s="504"/>
      <c r="K105" s="504"/>
      <c r="L105" s="504"/>
      <c r="M105" s="504"/>
      <c r="N105" s="508"/>
    </row>
    <row r="106" spans="2:14" ht="15" x14ac:dyDescent="0.25">
      <c r="B106" s="1253"/>
      <c r="C106" s="1267"/>
      <c r="D106" s="507"/>
      <c r="E106" s="644"/>
      <c r="F106" s="644">
        <f>$C$105/2</f>
        <v>68385</v>
      </c>
      <c r="G106" s="644">
        <f>$C$105/2</f>
        <v>68385</v>
      </c>
      <c r="H106" s="504"/>
      <c r="I106" s="504"/>
      <c r="J106" s="504"/>
      <c r="K106" s="504"/>
      <c r="L106" s="504"/>
      <c r="M106" s="504"/>
      <c r="N106" s="508"/>
    </row>
    <row r="107" spans="2:14" ht="15" x14ac:dyDescent="0.25">
      <c r="B107" s="1249" t="s">
        <v>207</v>
      </c>
      <c r="C107" s="1267">
        <v>64890</v>
      </c>
      <c r="D107" s="507">
        <f>C107/$C$99</f>
        <v>216.3</v>
      </c>
      <c r="E107" s="504"/>
      <c r="F107" s="504"/>
      <c r="G107" s="504"/>
      <c r="H107" s="644"/>
      <c r="I107" s="644">
        <f>D107</f>
        <v>216.3</v>
      </c>
      <c r="J107" s="644"/>
      <c r="K107" s="152"/>
      <c r="L107" s="152"/>
      <c r="M107" s="504"/>
      <c r="N107" s="508"/>
    </row>
    <row r="108" spans="2:14" ht="15" x14ac:dyDescent="0.25">
      <c r="B108" s="1249"/>
      <c r="C108" s="1267"/>
      <c r="D108" s="507"/>
      <c r="E108" s="504"/>
      <c r="F108" s="504"/>
      <c r="G108" s="504"/>
      <c r="H108" s="644">
        <f>$C$107/2</f>
        <v>32445</v>
      </c>
      <c r="I108" s="644">
        <f>$C$107/2</f>
        <v>32445</v>
      </c>
      <c r="J108" s="644"/>
      <c r="K108" s="152"/>
      <c r="L108" s="152"/>
      <c r="M108" s="504"/>
      <c r="N108" s="508"/>
    </row>
    <row r="109" spans="2:14" ht="15" x14ac:dyDescent="0.25">
      <c r="B109" s="1250" t="s">
        <v>208</v>
      </c>
      <c r="C109" s="1267">
        <v>69024</v>
      </c>
      <c r="D109" s="507">
        <f>C109/$C$99</f>
        <v>230.08</v>
      </c>
      <c r="E109" s="152"/>
      <c r="F109" s="152"/>
      <c r="G109" s="152"/>
      <c r="H109" s="152"/>
      <c r="I109" s="152"/>
      <c r="J109" s="152"/>
      <c r="K109" s="648"/>
      <c r="L109" s="648">
        <f>D109</f>
        <v>230.08</v>
      </c>
      <c r="M109" s="648"/>
      <c r="N109" s="646"/>
    </row>
    <row r="110" spans="2:14" ht="15" x14ac:dyDescent="0.25">
      <c r="B110" s="1250"/>
      <c r="C110" s="1267"/>
      <c r="D110" s="507"/>
      <c r="E110" s="152"/>
      <c r="F110" s="152"/>
      <c r="G110" s="152"/>
      <c r="H110" s="152"/>
      <c r="I110" s="152"/>
      <c r="J110" s="152"/>
      <c r="K110" s="644">
        <f>$C$109/2</f>
        <v>34512</v>
      </c>
      <c r="L110" s="644">
        <f>$C$109/2</f>
        <v>34512</v>
      </c>
      <c r="M110" s="644"/>
      <c r="N110" s="646"/>
    </row>
    <row r="111" spans="2:14" x14ac:dyDescent="0.2">
      <c r="B111" s="775" t="s">
        <v>41</v>
      </c>
      <c r="C111" s="808">
        <f>SUM(C105:C109)</f>
        <v>270684</v>
      </c>
      <c r="D111" s="649">
        <f>SUM(D105:D109)</f>
        <v>902.28000000000009</v>
      </c>
      <c r="E111" s="152"/>
      <c r="F111" s="152"/>
      <c r="G111" s="152"/>
      <c r="H111" s="152"/>
      <c r="I111" s="152"/>
      <c r="J111" s="152"/>
      <c r="K111" s="152"/>
      <c r="L111" s="152"/>
      <c r="M111" s="152"/>
      <c r="N111" s="474"/>
    </row>
    <row r="112" spans="2:14" ht="13.5" thickBot="1" x14ac:dyDescent="0.25">
      <c r="B112" s="112"/>
      <c r="C112" s="98"/>
      <c r="D112" s="477"/>
      <c r="E112" s="152"/>
      <c r="F112" s="152"/>
      <c r="G112" s="152"/>
      <c r="H112" s="152"/>
      <c r="I112" s="152"/>
      <c r="J112" s="152"/>
      <c r="K112" s="152"/>
      <c r="L112" s="152"/>
      <c r="M112" s="152"/>
      <c r="N112" s="474"/>
    </row>
    <row r="113" spans="2:14" ht="15" customHeight="1" x14ac:dyDescent="0.2">
      <c r="B113" s="1238" t="s">
        <v>241</v>
      </c>
      <c r="C113" s="1239"/>
      <c r="D113" s="549" t="s">
        <v>242</v>
      </c>
      <c r="E113" s="536">
        <f>E106</f>
        <v>0</v>
      </c>
      <c r="F113" s="536">
        <f t="shared" ref="F113:G113" si="53">F106</f>
        <v>68385</v>
      </c>
      <c r="G113" s="536">
        <f t="shared" si="53"/>
        <v>68385</v>
      </c>
      <c r="H113" s="536">
        <f>H108</f>
        <v>32445</v>
      </c>
      <c r="I113" s="536">
        <f t="shared" ref="I113:J113" si="54">I108</f>
        <v>32445</v>
      </c>
      <c r="J113" s="536">
        <f t="shared" si="54"/>
        <v>0</v>
      </c>
      <c r="K113" s="536">
        <f>K110</f>
        <v>34512</v>
      </c>
      <c r="L113" s="536">
        <f t="shared" ref="L113:N113" si="55">L110</f>
        <v>34512</v>
      </c>
      <c r="M113" s="536">
        <f t="shared" si="55"/>
        <v>0</v>
      </c>
      <c r="N113" s="537">
        <f t="shared" si="55"/>
        <v>0</v>
      </c>
    </row>
    <row r="114" spans="2:14" ht="15.75" customHeight="1" thickBot="1" x14ac:dyDescent="0.25">
      <c r="B114" s="1084"/>
      <c r="C114" s="1240"/>
      <c r="D114" s="407" t="s">
        <v>243</v>
      </c>
      <c r="E114" s="538">
        <f>E105</f>
        <v>0</v>
      </c>
      <c r="F114" s="538">
        <f t="shared" ref="F114:G114" si="56">F105</f>
        <v>0</v>
      </c>
      <c r="G114" s="538">
        <f t="shared" si="56"/>
        <v>455.9</v>
      </c>
      <c r="H114" s="538">
        <f>H107</f>
        <v>0</v>
      </c>
      <c r="I114" s="538">
        <f t="shared" ref="I114:J114" si="57">I107</f>
        <v>216.3</v>
      </c>
      <c r="J114" s="538">
        <f t="shared" si="57"/>
        <v>0</v>
      </c>
      <c r="K114" s="539">
        <f>K109</f>
        <v>0</v>
      </c>
      <c r="L114" s="539">
        <f t="shared" ref="L114:N114" si="58">L109</f>
        <v>230.08</v>
      </c>
      <c r="M114" s="539">
        <f t="shared" si="58"/>
        <v>0</v>
      </c>
      <c r="N114" s="540">
        <f t="shared" si="58"/>
        <v>0</v>
      </c>
    </row>
    <row r="116" spans="2:14" x14ac:dyDescent="0.2"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</row>
    <row r="122" spans="2:14" x14ac:dyDescent="0.2">
      <c r="B122" s="198"/>
      <c r="D122" s="822"/>
    </row>
    <row r="123" spans="2:14" x14ac:dyDescent="0.2">
      <c r="B123" s="132"/>
    </row>
    <row r="124" spans="2:14" ht="15" x14ac:dyDescent="0.2">
      <c r="D124" s="239"/>
      <c r="E124" s="239"/>
    </row>
  </sheetData>
  <mergeCells count="12">
    <mergeCell ref="B97:C97"/>
    <mergeCell ref="B102:N102"/>
    <mergeCell ref="B113:C114"/>
    <mergeCell ref="K3:N3"/>
    <mergeCell ref="H3:J3"/>
    <mergeCell ref="E3:G3"/>
    <mergeCell ref="B109:B110"/>
    <mergeCell ref="B107:B108"/>
    <mergeCell ref="B105:B106"/>
    <mergeCell ref="C105:C106"/>
    <mergeCell ref="C107:C108"/>
    <mergeCell ref="C109:C110"/>
  </mergeCells>
  <conditionalFormatting sqref="B2:L2 O2:XFD3 A94:XFD96 E93:XFD93 A4:XFD92 B98:E98 G98:XFD98 A99:XFD101 C115:XFD116 B97 D97:XFD97 A103:XFD110 O102:XFD102 A102:B102 D113:XFD114 A113:B113 A112:XFD112 A111 C111:XFD111 A117:XFD1048576">
    <cfRule type="cellIs" dxfId="21" priority="25" operator="lessThan">
      <formula>0</formula>
    </cfRule>
  </conditionalFormatting>
  <conditionalFormatting sqref="C13:C14">
    <cfRule type="cellIs" dxfId="20" priority="23" operator="lessThan">
      <formula>0</formula>
    </cfRule>
  </conditionalFormatting>
  <conditionalFormatting sqref="C81">
    <cfRule type="cellIs" dxfId="19" priority="21" operator="lessThan">
      <formula>0</formula>
    </cfRule>
  </conditionalFormatting>
  <conditionalFormatting sqref="B103:N103 C111:N111">
    <cfRule type="cellIs" dxfId="18" priority="19" operator="lessThan">
      <formula>0</formula>
    </cfRule>
  </conditionalFormatting>
  <conditionalFormatting sqref="D116:N116">
    <cfRule type="cellIs" dxfId="17" priority="12" operator="lessThan">
      <formula>0</formula>
    </cfRule>
  </conditionalFormatting>
  <conditionalFormatting sqref="M107:N108 C104:N104 E105:N106 E107:J108 E109:N110">
    <cfRule type="cellIs" dxfId="16" priority="20" operator="lessThan">
      <formula>0</formula>
    </cfRule>
  </conditionalFormatting>
  <conditionalFormatting sqref="E105:N106 C111:N111">
    <cfRule type="cellIs" dxfId="15" priority="18" operator="lessThan">
      <formula>0</formula>
    </cfRule>
  </conditionalFormatting>
  <conditionalFormatting sqref="E105:L106">
    <cfRule type="cellIs" dxfId="14" priority="17" operator="lessThan">
      <formula>0</formula>
    </cfRule>
  </conditionalFormatting>
  <conditionalFormatting sqref="B98:C98">
    <cfRule type="cellIs" dxfId="13" priority="11" operator="lessThan">
      <formula>0</formula>
    </cfRule>
  </conditionalFormatting>
  <conditionalFormatting sqref="C34:C52">
    <cfRule type="cellIs" dxfId="12" priority="10" operator="lessThan">
      <formula>0</formula>
    </cfRule>
  </conditionalFormatting>
  <conditionalFormatting sqref="C56 C67:C72">
    <cfRule type="cellIs" dxfId="11" priority="8" operator="lessThan">
      <formula>0</formula>
    </cfRule>
  </conditionalFormatting>
  <conditionalFormatting sqref="C57:C58">
    <cfRule type="cellIs" dxfId="10" priority="7" operator="lessThan">
      <formula>0</formula>
    </cfRule>
  </conditionalFormatting>
  <conditionalFormatting sqref="C75">
    <cfRule type="cellIs" dxfId="9" priority="6" operator="lessThan">
      <formula>0</formula>
    </cfRule>
  </conditionalFormatting>
  <conditionalFormatting sqref="B3:E3 K3 H3 B93:C93">
    <cfRule type="cellIs" dxfId="8" priority="5" operator="lessThan">
      <formula>0</formula>
    </cfRule>
  </conditionalFormatting>
  <conditionalFormatting sqref="D93">
    <cfRule type="cellIs" dxfId="7" priority="4" operator="lessThan">
      <formula>0</formula>
    </cfRule>
  </conditionalFormatting>
  <conditionalFormatting sqref="C111">
    <cfRule type="cellIs" dxfId="6" priority="2" operator="lessThan">
      <formula>0</formula>
    </cfRule>
  </conditionalFormatting>
  <conditionalFormatting sqref="M2:N2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D7A16-410A-4428-897A-4591EF551EDA}">
  <dimension ref="A1:M60"/>
  <sheetViews>
    <sheetView topLeftCell="A22" zoomScale="70" zoomScaleNormal="70" workbookViewId="0">
      <selection activeCell="J48" sqref="J48"/>
    </sheetView>
  </sheetViews>
  <sheetFormatPr defaultColWidth="9.140625" defaultRowHeight="12.75" x14ac:dyDescent="0.2"/>
  <cols>
    <col min="1" max="1" width="42.28515625" style="6" bestFit="1" customWidth="1"/>
    <col min="2" max="2" width="8.140625" style="9" bestFit="1" customWidth="1"/>
    <col min="3" max="3" width="9.5703125" style="10" bestFit="1" customWidth="1"/>
    <col min="4" max="4" width="13.42578125" style="33" bestFit="1" customWidth="1"/>
    <col min="5" max="5" width="12.28515625" style="33" bestFit="1" customWidth="1"/>
    <col min="6" max="6" width="11.7109375" style="33" bestFit="1" customWidth="1"/>
    <col min="7" max="10" width="12.28515625" style="33" bestFit="1" customWidth="1"/>
    <col min="11" max="12" width="11.7109375" style="33" bestFit="1" customWidth="1"/>
    <col min="13" max="13" width="12.7109375" style="33" bestFit="1" customWidth="1"/>
    <col min="14" max="16384" width="9.140625" style="6"/>
  </cols>
  <sheetData>
    <row r="1" spans="1:13" ht="15.75" thickBot="1" x14ac:dyDescent="0.25">
      <c r="L1" s="952" t="s">
        <v>1</v>
      </c>
      <c r="M1" s="953" t="s">
        <v>105</v>
      </c>
    </row>
    <row r="2" spans="1:13" x14ac:dyDescent="0.2">
      <c r="C2" s="44"/>
      <c r="D2" s="39" t="s">
        <v>2</v>
      </c>
      <c r="L2" s="50"/>
      <c r="M2" s="50"/>
    </row>
    <row r="3" spans="1:13" x14ac:dyDescent="0.2">
      <c r="B3" s="11"/>
      <c r="C3" s="13">
        <v>0</v>
      </c>
      <c r="D3" s="34">
        <f>C3+1</f>
        <v>1</v>
      </c>
      <c r="E3" s="34">
        <f t="shared" ref="E3:M4" si="0">D3+1</f>
        <v>2</v>
      </c>
      <c r="F3" s="34">
        <f t="shared" si="0"/>
        <v>3</v>
      </c>
      <c r="G3" s="34">
        <f t="shared" si="0"/>
        <v>4</v>
      </c>
      <c r="H3" s="34">
        <f t="shared" si="0"/>
        <v>5</v>
      </c>
      <c r="I3" s="34">
        <f t="shared" si="0"/>
        <v>6</v>
      </c>
      <c r="J3" s="34">
        <f t="shared" si="0"/>
        <v>7</v>
      </c>
      <c r="K3" s="34">
        <f t="shared" si="0"/>
        <v>8</v>
      </c>
      <c r="L3" s="34">
        <f t="shared" si="0"/>
        <v>9</v>
      </c>
      <c r="M3" s="34">
        <f t="shared" si="0"/>
        <v>10</v>
      </c>
    </row>
    <row r="4" spans="1:13" x14ac:dyDescent="0.2">
      <c r="A4" s="14"/>
      <c r="B4" s="15" t="s">
        <v>52</v>
      </c>
      <c r="C4" s="16" t="str">
        <f>'1. Infrastructure Costs'!D5</f>
        <v>2020-2021</v>
      </c>
      <c r="D4" s="143">
        <f>'1. Infrastructure Costs'!E5</f>
        <v>2022</v>
      </c>
      <c r="E4" s="58">
        <f t="shared" si="0"/>
        <v>2023</v>
      </c>
      <c r="F4" s="35">
        <f t="shared" si="0"/>
        <v>2024</v>
      </c>
      <c r="G4" s="35">
        <f t="shared" si="0"/>
        <v>2025</v>
      </c>
      <c r="H4" s="35">
        <f t="shared" si="0"/>
        <v>2026</v>
      </c>
      <c r="I4" s="35">
        <f t="shared" si="0"/>
        <v>2027</v>
      </c>
      <c r="J4" s="35">
        <f t="shared" si="0"/>
        <v>2028</v>
      </c>
      <c r="K4" s="35">
        <f t="shared" si="0"/>
        <v>2029</v>
      </c>
      <c r="L4" s="35">
        <f t="shared" si="0"/>
        <v>2030</v>
      </c>
      <c r="M4" s="35">
        <f t="shared" si="0"/>
        <v>2031</v>
      </c>
    </row>
    <row r="5" spans="1:13" x14ac:dyDescent="0.2">
      <c r="A5" s="654" t="s">
        <v>71</v>
      </c>
      <c r="B5" s="655"/>
      <c r="C5" s="656"/>
      <c r="D5" s="657"/>
      <c r="E5" s="221"/>
      <c r="F5" s="657"/>
      <c r="G5" s="657"/>
      <c r="H5" s="657"/>
      <c r="I5" s="657"/>
      <c r="J5" s="657"/>
      <c r="K5" s="657"/>
      <c r="L5" s="657"/>
      <c r="M5" s="657"/>
    </row>
    <row r="6" spans="1:13" x14ac:dyDescent="0.2">
      <c r="A6" s="82" t="s">
        <v>53</v>
      </c>
      <c r="B6" s="62">
        <v>0.02</v>
      </c>
      <c r="C6" s="63"/>
      <c r="D6" s="94"/>
      <c r="E6" s="94"/>
      <c r="F6" s="94"/>
      <c r="G6" s="94"/>
      <c r="H6" s="94"/>
      <c r="I6" s="94"/>
      <c r="J6" s="94"/>
      <c r="K6" s="94"/>
      <c r="L6" s="94"/>
      <c r="M6" s="94"/>
    </row>
    <row r="7" spans="1:13" x14ac:dyDescent="0.2">
      <c r="A7" s="82" t="s">
        <v>100</v>
      </c>
      <c r="B7" s="83"/>
      <c r="C7" s="84">
        <v>0</v>
      </c>
      <c r="D7" s="94"/>
      <c r="E7" s="94"/>
      <c r="F7" s="94"/>
      <c r="G7" s="94"/>
      <c r="H7" s="94"/>
      <c r="I7" s="94"/>
      <c r="J7" s="94"/>
      <c r="K7" s="94"/>
      <c r="L7" s="94"/>
      <c r="M7" s="94"/>
    </row>
    <row r="8" spans="1:13" x14ac:dyDescent="0.2">
      <c r="A8" s="82" t="s">
        <v>116</v>
      </c>
      <c r="B8" s="98"/>
      <c r="C8" s="97">
        <v>0</v>
      </c>
      <c r="D8" s="99"/>
      <c r="E8" s="99"/>
      <c r="F8" s="99"/>
      <c r="G8" s="99"/>
      <c r="H8" s="99"/>
      <c r="I8" s="99"/>
      <c r="J8" s="99"/>
      <c r="K8" s="99"/>
      <c r="L8" s="99"/>
      <c r="M8" s="99"/>
    </row>
    <row r="9" spans="1:13" x14ac:dyDescent="0.2">
      <c r="A9" s="82" t="s">
        <v>83</v>
      </c>
      <c r="C9" s="97"/>
    </row>
    <row r="10" spans="1:13" x14ac:dyDescent="0.2">
      <c r="A10" s="86" t="s">
        <v>84</v>
      </c>
      <c r="B10" s="24">
        <v>200</v>
      </c>
      <c r="C10" s="85">
        <f>B10</f>
        <v>200</v>
      </c>
      <c r="D10" s="95">
        <f t="shared" ref="D10:M10" si="1">$C$10*(1+$B6)^D$3</f>
        <v>204</v>
      </c>
      <c r="E10" s="95">
        <f t="shared" si="1"/>
        <v>208.07999999999998</v>
      </c>
      <c r="F10" s="95">
        <f t="shared" si="1"/>
        <v>212.24159999999998</v>
      </c>
      <c r="G10" s="95">
        <f t="shared" si="1"/>
        <v>216.48643200000001</v>
      </c>
      <c r="H10" s="95">
        <f t="shared" si="1"/>
        <v>220.81616063999999</v>
      </c>
      <c r="I10" s="95">
        <f t="shared" si="1"/>
        <v>225.23248385280002</v>
      </c>
      <c r="J10" s="95">
        <f t="shared" si="1"/>
        <v>229.73713352985595</v>
      </c>
      <c r="K10" s="95">
        <f t="shared" si="1"/>
        <v>234.33187620045311</v>
      </c>
      <c r="L10" s="95">
        <f t="shared" si="1"/>
        <v>239.01851372446217</v>
      </c>
      <c r="M10" s="95">
        <f t="shared" si="1"/>
        <v>243.79888399895142</v>
      </c>
    </row>
    <row r="11" spans="1:13" x14ac:dyDescent="0.2">
      <c r="A11" s="86" t="s">
        <v>85</v>
      </c>
      <c r="B11" s="25">
        <v>0.6</v>
      </c>
      <c r="C11" s="103">
        <f t="shared" ref="C11:C12" si="2">B11</f>
        <v>0.6</v>
      </c>
      <c r="D11" s="94"/>
      <c r="E11" s="94"/>
      <c r="F11" s="94"/>
      <c r="G11" s="94"/>
      <c r="H11" s="94"/>
      <c r="I11" s="94"/>
      <c r="J11" s="94"/>
      <c r="K11" s="94"/>
      <c r="L11" s="94"/>
      <c r="M11" s="94"/>
    </row>
    <row r="12" spans="1:13" x14ac:dyDescent="0.2">
      <c r="A12" s="86" t="s">
        <v>86</v>
      </c>
      <c r="B12" s="25">
        <v>0.6</v>
      </c>
      <c r="C12" s="103">
        <f t="shared" si="2"/>
        <v>0.6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</row>
    <row r="13" spans="1:13" x14ac:dyDescent="0.2">
      <c r="A13" s="82" t="s">
        <v>87</v>
      </c>
      <c r="B13" s="83"/>
      <c r="C13" s="84"/>
      <c r="D13" s="94"/>
      <c r="E13" s="100"/>
      <c r="F13" s="100"/>
      <c r="G13" s="100"/>
      <c r="H13" s="100"/>
      <c r="I13" s="100"/>
      <c r="J13" s="100"/>
      <c r="K13" s="100"/>
      <c r="L13" s="100"/>
      <c r="M13" s="100"/>
    </row>
    <row r="14" spans="1:13" x14ac:dyDescent="0.2">
      <c r="A14" s="86" t="s">
        <v>88</v>
      </c>
      <c r="B14" s="83"/>
      <c r="C14" s="84">
        <f>C8</f>
        <v>0</v>
      </c>
      <c r="D14" s="92">
        <f t="shared" ref="D14:M14" si="3">D8</f>
        <v>0</v>
      </c>
      <c r="E14" s="102">
        <f t="shared" si="3"/>
        <v>0</v>
      </c>
      <c r="F14" s="102">
        <f t="shared" si="3"/>
        <v>0</v>
      </c>
      <c r="G14" s="102">
        <f t="shared" si="3"/>
        <v>0</v>
      </c>
      <c r="H14" s="102">
        <f t="shared" si="3"/>
        <v>0</v>
      </c>
      <c r="I14" s="102">
        <f t="shared" si="3"/>
        <v>0</v>
      </c>
      <c r="J14" s="102">
        <f t="shared" si="3"/>
        <v>0</v>
      </c>
      <c r="K14" s="102">
        <f t="shared" si="3"/>
        <v>0</v>
      </c>
      <c r="L14" s="102">
        <f t="shared" si="3"/>
        <v>0</v>
      </c>
      <c r="M14" s="102">
        <f t="shared" si="3"/>
        <v>0</v>
      </c>
    </row>
    <row r="15" spans="1:13" x14ac:dyDescent="0.2">
      <c r="A15" s="86" t="s">
        <v>89</v>
      </c>
      <c r="B15" s="83">
        <v>110</v>
      </c>
      <c r="C15" s="84">
        <f>B15</f>
        <v>110</v>
      </c>
      <c r="D15" s="94"/>
      <c r="E15" s="101"/>
      <c r="F15" s="101"/>
      <c r="G15" s="101"/>
      <c r="H15" s="101"/>
      <c r="I15" s="101"/>
      <c r="J15" s="101"/>
      <c r="K15" s="101"/>
      <c r="L15" s="101"/>
      <c r="M15" s="101"/>
    </row>
    <row r="16" spans="1:13" x14ac:dyDescent="0.2">
      <c r="A16" s="86" t="s">
        <v>90</v>
      </c>
      <c r="B16" s="83">
        <v>24</v>
      </c>
      <c r="C16" s="84">
        <f t="shared" ref="C16:C20" si="4">B16</f>
        <v>24</v>
      </c>
      <c r="D16" s="94"/>
      <c r="E16" s="94"/>
      <c r="F16" s="94"/>
      <c r="G16" s="94"/>
      <c r="H16" s="94"/>
      <c r="I16" s="94"/>
      <c r="J16" s="94"/>
      <c r="K16" s="94"/>
      <c r="L16" s="94"/>
      <c r="M16" s="94"/>
    </row>
    <row r="17" spans="1:13" x14ac:dyDescent="0.2">
      <c r="A17" s="86" t="s">
        <v>91</v>
      </c>
      <c r="B17" s="105">
        <v>0.3</v>
      </c>
      <c r="C17" s="103">
        <f t="shared" si="4"/>
        <v>0.3</v>
      </c>
      <c r="D17" s="94"/>
      <c r="E17" s="94"/>
      <c r="F17" s="94"/>
      <c r="G17" s="94"/>
      <c r="H17" s="94"/>
      <c r="I17" s="94"/>
      <c r="J17" s="94"/>
      <c r="K17" s="94"/>
      <c r="L17" s="94"/>
      <c r="M17" s="94"/>
    </row>
    <row r="18" spans="1:13" x14ac:dyDescent="0.2">
      <c r="A18" s="86" t="s">
        <v>92</v>
      </c>
      <c r="B18" s="83">
        <f>365-B15</f>
        <v>255</v>
      </c>
      <c r="C18" s="84">
        <f t="shared" si="4"/>
        <v>255</v>
      </c>
      <c r="D18" s="94"/>
      <c r="E18" s="94"/>
      <c r="F18" s="94"/>
      <c r="G18" s="94"/>
      <c r="H18" s="94"/>
      <c r="I18" s="94"/>
      <c r="J18" s="94"/>
      <c r="K18" s="94"/>
      <c r="L18" s="94"/>
      <c r="M18" s="94"/>
    </row>
    <row r="19" spans="1:13" x14ac:dyDescent="0.2">
      <c r="A19" s="86" t="s">
        <v>90</v>
      </c>
      <c r="B19" s="83">
        <v>24</v>
      </c>
      <c r="C19" s="84">
        <f t="shared" si="4"/>
        <v>24</v>
      </c>
      <c r="D19" s="94"/>
      <c r="E19" s="94"/>
      <c r="F19" s="94"/>
      <c r="G19" s="94"/>
      <c r="H19" s="94"/>
      <c r="I19" s="94"/>
      <c r="J19" s="94"/>
      <c r="K19" s="94"/>
      <c r="L19" s="94"/>
      <c r="M19" s="94"/>
    </row>
    <row r="20" spans="1:13" x14ac:dyDescent="0.2">
      <c r="A20" s="86" t="s">
        <v>91</v>
      </c>
      <c r="B20" s="105">
        <v>0.3</v>
      </c>
      <c r="C20" s="103">
        <f t="shared" si="4"/>
        <v>0.3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</row>
    <row r="21" spans="1:13" x14ac:dyDescent="0.2">
      <c r="A21" s="86" t="s">
        <v>93</v>
      </c>
      <c r="B21" s="24">
        <v>5</v>
      </c>
      <c r="C21" s="85">
        <f>B21</f>
        <v>5</v>
      </c>
      <c r="D21" s="95">
        <f t="shared" ref="D21:M21" si="5">$C$21*(1+$B6)^D$3</f>
        <v>5.0999999999999996</v>
      </c>
      <c r="E21" s="95">
        <f t="shared" si="5"/>
        <v>5.202</v>
      </c>
      <c r="F21" s="95">
        <f t="shared" si="5"/>
        <v>5.3060399999999994</v>
      </c>
      <c r="G21" s="95">
        <f t="shared" si="5"/>
        <v>5.4121607999999997</v>
      </c>
      <c r="H21" s="95">
        <f t="shared" si="5"/>
        <v>5.5204040160000005</v>
      </c>
      <c r="I21" s="95">
        <f t="shared" si="5"/>
        <v>5.6308120963200006</v>
      </c>
      <c r="J21" s="95">
        <f t="shared" si="5"/>
        <v>5.7434283382463995</v>
      </c>
      <c r="K21" s="95">
        <f t="shared" si="5"/>
        <v>5.8582969050113274</v>
      </c>
      <c r="L21" s="95">
        <f t="shared" si="5"/>
        <v>5.9754628431115542</v>
      </c>
      <c r="M21" s="95">
        <f t="shared" si="5"/>
        <v>6.094972099973786</v>
      </c>
    </row>
    <row r="22" spans="1:13" x14ac:dyDescent="0.2">
      <c r="A22" s="82" t="s">
        <v>117</v>
      </c>
      <c r="B22" s="24">
        <v>0.5</v>
      </c>
      <c r="C22" s="85">
        <f>B22</f>
        <v>0.5</v>
      </c>
      <c r="D22" s="95">
        <f t="shared" ref="D22:M22" si="6">$C$22*(1+$B7)^D$3</f>
        <v>0.5</v>
      </c>
      <c r="E22" s="95">
        <f t="shared" si="6"/>
        <v>0.5</v>
      </c>
      <c r="F22" s="95">
        <f t="shared" si="6"/>
        <v>0.5</v>
      </c>
      <c r="G22" s="95">
        <f t="shared" si="6"/>
        <v>0.5</v>
      </c>
      <c r="H22" s="95">
        <f t="shared" si="6"/>
        <v>0.5</v>
      </c>
      <c r="I22" s="95">
        <f t="shared" si="6"/>
        <v>0.5</v>
      </c>
      <c r="J22" s="95">
        <f t="shared" si="6"/>
        <v>0.5</v>
      </c>
      <c r="K22" s="95">
        <f t="shared" si="6"/>
        <v>0.5</v>
      </c>
      <c r="L22" s="95">
        <f t="shared" si="6"/>
        <v>0.5</v>
      </c>
      <c r="M22" s="95">
        <f t="shared" si="6"/>
        <v>0.5</v>
      </c>
    </row>
    <row r="23" spans="1:13" x14ac:dyDescent="0.2">
      <c r="A23" s="87" t="s">
        <v>95</v>
      </c>
      <c r="C23" s="97"/>
    </row>
    <row r="24" spans="1:13" x14ac:dyDescent="0.2">
      <c r="A24" s="654" t="s">
        <v>27</v>
      </c>
      <c r="B24" s="655"/>
      <c r="C24" s="656"/>
      <c r="D24" s="657"/>
      <c r="E24" s="657"/>
      <c r="F24" s="657"/>
      <c r="G24" s="657"/>
      <c r="H24" s="657"/>
      <c r="I24" s="657"/>
      <c r="J24" s="657"/>
      <c r="K24" s="657"/>
      <c r="L24" s="657"/>
      <c r="M24" s="657"/>
    </row>
    <row r="25" spans="1:13" x14ac:dyDescent="0.2">
      <c r="A25" s="82" t="s">
        <v>96</v>
      </c>
      <c r="B25" s="83"/>
      <c r="C25" s="84"/>
      <c r="D25" s="94"/>
      <c r="E25" s="100"/>
      <c r="F25" s="100"/>
      <c r="G25" s="100"/>
      <c r="H25" s="100"/>
      <c r="I25" s="100"/>
      <c r="J25" s="100"/>
      <c r="K25" s="100"/>
      <c r="L25" s="100"/>
      <c r="M25" s="100"/>
    </row>
    <row r="26" spans="1:13" x14ac:dyDescent="0.2">
      <c r="A26" s="86" t="s">
        <v>97</v>
      </c>
      <c r="B26" s="24">
        <v>12</v>
      </c>
      <c r="C26" s="85">
        <f>C7*C10*$C12*$B$26</f>
        <v>0</v>
      </c>
      <c r="D26" s="93">
        <f t="shared" ref="D26:M26" si="7">D7*D10*$C12*$B$26</f>
        <v>0</v>
      </c>
      <c r="E26" s="104">
        <f t="shared" si="7"/>
        <v>0</v>
      </c>
      <c r="F26" s="104">
        <f t="shared" si="7"/>
        <v>0</v>
      </c>
      <c r="G26" s="104">
        <f t="shared" si="7"/>
        <v>0</v>
      </c>
      <c r="H26" s="104">
        <f t="shared" si="7"/>
        <v>0</v>
      </c>
      <c r="I26" s="104">
        <f t="shared" si="7"/>
        <v>0</v>
      </c>
      <c r="J26" s="104">
        <f t="shared" si="7"/>
        <v>0</v>
      </c>
      <c r="K26" s="104">
        <f t="shared" si="7"/>
        <v>0</v>
      </c>
      <c r="L26" s="104">
        <f t="shared" si="7"/>
        <v>0</v>
      </c>
      <c r="M26" s="104">
        <f t="shared" si="7"/>
        <v>0</v>
      </c>
    </row>
    <row r="27" spans="1:13" x14ac:dyDescent="0.2">
      <c r="A27" s="86" t="s">
        <v>98</v>
      </c>
      <c r="B27" s="83"/>
      <c r="C27" s="85">
        <f>(C14*$C15*$C16*$C17*C21)+(C9*$C18*$C19*$C20*C21)</f>
        <v>0</v>
      </c>
      <c r="D27" s="93">
        <f t="shared" ref="D27:M27" si="8">(D14*$C15*$C16*$C17*D21)+(D9*$C18*$C19*$C20*D21)</f>
        <v>0</v>
      </c>
      <c r="E27" s="104">
        <f t="shared" si="8"/>
        <v>0</v>
      </c>
      <c r="F27" s="104">
        <f t="shared" si="8"/>
        <v>0</v>
      </c>
      <c r="G27" s="104">
        <f t="shared" si="8"/>
        <v>0</v>
      </c>
      <c r="H27" s="104">
        <f t="shared" si="8"/>
        <v>0</v>
      </c>
      <c r="I27" s="104">
        <f t="shared" si="8"/>
        <v>0</v>
      </c>
      <c r="J27" s="104">
        <f t="shared" si="8"/>
        <v>0</v>
      </c>
      <c r="K27" s="104">
        <f t="shared" si="8"/>
        <v>0</v>
      </c>
      <c r="L27" s="104">
        <f t="shared" si="8"/>
        <v>0</v>
      </c>
      <c r="M27" s="104">
        <f t="shared" si="8"/>
        <v>0</v>
      </c>
    </row>
    <row r="28" spans="1:13" x14ac:dyDescent="0.2">
      <c r="A28" s="82" t="s">
        <v>99</v>
      </c>
      <c r="B28" s="83"/>
      <c r="C28" s="109">
        <f>SUM(C26:C27)</f>
        <v>0</v>
      </c>
      <c r="D28" s="95">
        <f>SUM(D26:D27)</f>
        <v>0</v>
      </c>
      <c r="E28" s="95">
        <f t="shared" ref="E28:L28" si="9">SUM(E26:E27)</f>
        <v>0</v>
      </c>
      <c r="F28" s="95">
        <f t="shared" si="9"/>
        <v>0</v>
      </c>
      <c r="G28" s="95">
        <f t="shared" si="9"/>
        <v>0</v>
      </c>
      <c r="H28" s="95">
        <f t="shared" si="9"/>
        <v>0</v>
      </c>
      <c r="I28" s="95">
        <f t="shared" si="9"/>
        <v>0</v>
      </c>
      <c r="J28" s="95">
        <f t="shared" si="9"/>
        <v>0</v>
      </c>
      <c r="K28" s="95">
        <f t="shared" si="9"/>
        <v>0</v>
      </c>
      <c r="L28" s="95">
        <f t="shared" si="9"/>
        <v>0</v>
      </c>
      <c r="M28" s="95">
        <f>SUM(M26:M27)</f>
        <v>0</v>
      </c>
    </row>
    <row r="29" spans="1:13" x14ac:dyDescent="0.2">
      <c r="A29" s="82" t="s">
        <v>94</v>
      </c>
      <c r="B29" s="83"/>
      <c r="C29" s="109">
        <f>-(C22*C8)</f>
        <v>0</v>
      </c>
      <c r="D29" s="95">
        <f t="shared" ref="D29:M29" si="10">-(D22*D8)</f>
        <v>0</v>
      </c>
      <c r="E29" s="95">
        <f t="shared" si="10"/>
        <v>0</v>
      </c>
      <c r="F29" s="95">
        <f t="shared" si="10"/>
        <v>0</v>
      </c>
      <c r="G29" s="95">
        <f t="shared" si="10"/>
        <v>0</v>
      </c>
      <c r="H29" s="95">
        <f t="shared" si="10"/>
        <v>0</v>
      </c>
      <c r="I29" s="95">
        <f t="shared" si="10"/>
        <v>0</v>
      </c>
      <c r="J29" s="95">
        <f t="shared" si="10"/>
        <v>0</v>
      </c>
      <c r="K29" s="95">
        <f t="shared" si="10"/>
        <v>0</v>
      </c>
      <c r="L29" s="95">
        <f t="shared" si="10"/>
        <v>0</v>
      </c>
      <c r="M29" s="95">
        <f t="shared" si="10"/>
        <v>0</v>
      </c>
    </row>
    <row r="30" spans="1:13" x14ac:dyDescent="0.2">
      <c r="A30" s="14" t="s">
        <v>27</v>
      </c>
      <c r="B30" s="60"/>
      <c r="C30" s="110">
        <f>SUM(C28:C29)</f>
        <v>0</v>
      </c>
      <c r="D30" s="106">
        <f>SUM(D28:D29)</f>
        <v>0</v>
      </c>
      <c r="E30" s="106">
        <f t="shared" ref="E30:M30" si="11">SUM(E28:E29)</f>
        <v>0</v>
      </c>
      <c r="F30" s="106">
        <f t="shared" si="11"/>
        <v>0</v>
      </c>
      <c r="G30" s="106">
        <f t="shared" si="11"/>
        <v>0</v>
      </c>
      <c r="H30" s="106">
        <f t="shared" si="11"/>
        <v>0</v>
      </c>
      <c r="I30" s="106">
        <f t="shared" si="11"/>
        <v>0</v>
      </c>
      <c r="J30" s="106">
        <f t="shared" si="11"/>
        <v>0</v>
      </c>
      <c r="K30" s="106">
        <f t="shared" si="11"/>
        <v>0</v>
      </c>
      <c r="L30" s="106">
        <f t="shared" si="11"/>
        <v>0</v>
      </c>
      <c r="M30" s="106">
        <f t="shared" si="11"/>
        <v>0</v>
      </c>
    </row>
    <row r="31" spans="1:13" x14ac:dyDescent="0.2">
      <c r="A31" s="654" t="s">
        <v>20</v>
      </c>
      <c r="B31" s="655"/>
      <c r="C31" s="656"/>
      <c r="D31" s="657"/>
      <c r="E31" s="657"/>
      <c r="F31" s="657"/>
      <c r="G31" s="657"/>
      <c r="H31" s="657"/>
      <c r="I31" s="657"/>
      <c r="J31" s="657"/>
      <c r="K31" s="657"/>
      <c r="L31" s="657"/>
      <c r="M31" s="657"/>
    </row>
    <row r="32" spans="1:13" x14ac:dyDescent="0.2">
      <c r="A32" s="107" t="s">
        <v>111</v>
      </c>
      <c r="B32" s="24">
        <v>49</v>
      </c>
      <c r="C32" s="56">
        <f>B32</f>
        <v>49</v>
      </c>
      <c r="D32" s="95">
        <f>$C$32*(1+$B6)^D$3</f>
        <v>49.980000000000004</v>
      </c>
      <c r="E32" s="108">
        <f t="shared" ref="E32:M32" si="12">$C$32*(1+$B6)^E$3</f>
        <v>50.979599999999998</v>
      </c>
      <c r="F32" s="108">
        <f t="shared" si="12"/>
        <v>51.999191999999994</v>
      </c>
      <c r="G32" s="108">
        <f t="shared" si="12"/>
        <v>53.039175839999999</v>
      </c>
      <c r="H32" s="108">
        <f t="shared" si="12"/>
        <v>54.099959356799999</v>
      </c>
      <c r="I32" s="108">
        <f t="shared" si="12"/>
        <v>55.181958543936005</v>
      </c>
      <c r="J32" s="108">
        <f t="shared" si="12"/>
        <v>56.285597714814713</v>
      </c>
      <c r="K32" s="108">
        <f t="shared" si="12"/>
        <v>57.411309669111013</v>
      </c>
      <c r="L32" s="108">
        <f t="shared" si="12"/>
        <v>58.559535862493235</v>
      </c>
      <c r="M32" s="108">
        <f t="shared" si="12"/>
        <v>59.730726579743099</v>
      </c>
    </row>
    <row r="33" spans="1:13" x14ac:dyDescent="0.2">
      <c r="A33" s="82" t="s">
        <v>68</v>
      </c>
      <c r="B33" s="83"/>
      <c r="C33" s="84" t="e">
        <f>C34/SUM($C$34:$M$34)</f>
        <v>#DIV/0!</v>
      </c>
      <c r="D33" s="92" t="e">
        <f t="shared" ref="D33:M33" si="13">D34/SUM($C$34:$M$34)</f>
        <v>#DIV/0!</v>
      </c>
      <c r="E33" s="102" t="e">
        <f t="shared" si="13"/>
        <v>#DIV/0!</v>
      </c>
      <c r="F33" s="102" t="e">
        <f t="shared" si="13"/>
        <v>#DIV/0!</v>
      </c>
      <c r="G33" s="102" t="e">
        <f t="shared" si="13"/>
        <v>#DIV/0!</v>
      </c>
      <c r="H33" s="102" t="e">
        <f t="shared" si="13"/>
        <v>#DIV/0!</v>
      </c>
      <c r="I33" s="102" t="e">
        <f t="shared" si="13"/>
        <v>#DIV/0!</v>
      </c>
      <c r="J33" s="102" t="e">
        <f t="shared" si="13"/>
        <v>#DIV/0!</v>
      </c>
      <c r="K33" s="102" t="e">
        <f t="shared" si="13"/>
        <v>#DIV/0!</v>
      </c>
      <c r="L33" s="102" t="e">
        <f t="shared" si="13"/>
        <v>#DIV/0!</v>
      </c>
      <c r="M33" s="102" t="e">
        <f t="shared" si="13"/>
        <v>#DIV/0!</v>
      </c>
    </row>
    <row r="34" spans="1:13" x14ac:dyDescent="0.2">
      <c r="A34" s="82" t="s">
        <v>20</v>
      </c>
      <c r="B34" s="83"/>
      <c r="C34" s="84"/>
      <c r="D34" s="94"/>
      <c r="E34" s="101"/>
      <c r="F34" s="101"/>
      <c r="G34" s="101"/>
      <c r="H34" s="101"/>
      <c r="I34" s="101"/>
      <c r="J34" s="101"/>
      <c r="K34" s="101"/>
      <c r="L34" s="101"/>
      <c r="M34" s="101"/>
    </row>
    <row r="35" spans="1:13" x14ac:dyDescent="0.2">
      <c r="A35" s="82" t="s">
        <v>47</v>
      </c>
      <c r="B35" s="83"/>
      <c r="C35" s="84"/>
      <c r="D35" s="94"/>
      <c r="E35" s="94"/>
      <c r="F35" s="94"/>
      <c r="G35" s="94"/>
      <c r="H35" s="94"/>
      <c r="I35" s="94"/>
      <c r="J35" s="94"/>
      <c r="K35" s="94"/>
      <c r="L35" s="94"/>
      <c r="M35" s="94"/>
    </row>
    <row r="36" spans="1:13" x14ac:dyDescent="0.2">
      <c r="A36" s="14" t="s">
        <v>25</v>
      </c>
      <c r="B36" s="60"/>
      <c r="C36" s="111">
        <f>SUM(C34:C35)</f>
        <v>0</v>
      </c>
      <c r="D36" s="104">
        <f t="shared" ref="D36:M36" si="14">SUM(D34:D35)</f>
        <v>0</v>
      </c>
      <c r="E36" s="104">
        <f t="shared" si="14"/>
        <v>0</v>
      </c>
      <c r="F36" s="104">
        <f t="shared" si="14"/>
        <v>0</v>
      </c>
      <c r="G36" s="104">
        <f t="shared" si="14"/>
        <v>0</v>
      </c>
      <c r="H36" s="104">
        <f t="shared" si="14"/>
        <v>0</v>
      </c>
      <c r="I36" s="104">
        <f t="shared" si="14"/>
        <v>0</v>
      </c>
      <c r="J36" s="104">
        <f t="shared" si="14"/>
        <v>0</v>
      </c>
      <c r="K36" s="104">
        <f t="shared" si="14"/>
        <v>0</v>
      </c>
      <c r="L36" s="104">
        <f t="shared" si="14"/>
        <v>0</v>
      </c>
      <c r="M36" s="104">
        <f t="shared" si="14"/>
        <v>0</v>
      </c>
    </row>
    <row r="37" spans="1:13" x14ac:dyDescent="0.2">
      <c r="A37" s="654" t="s">
        <v>26</v>
      </c>
      <c r="B37" s="655"/>
      <c r="C37" s="656"/>
      <c r="D37" s="657"/>
      <c r="E37" s="657"/>
      <c r="F37" s="657"/>
      <c r="G37" s="657"/>
      <c r="H37" s="657"/>
      <c r="I37" s="657"/>
      <c r="J37" s="657"/>
      <c r="K37" s="657"/>
      <c r="L37" s="657"/>
      <c r="M37" s="657"/>
    </row>
    <row r="38" spans="1:13" x14ac:dyDescent="0.2">
      <c r="A38" s="82" t="s">
        <v>27</v>
      </c>
      <c r="B38" s="83"/>
      <c r="C38" s="109">
        <f>C30</f>
        <v>0</v>
      </c>
      <c r="D38" s="95">
        <f>D30</f>
        <v>0</v>
      </c>
      <c r="E38" s="95">
        <f t="shared" ref="E38:M38" si="15">E30</f>
        <v>0</v>
      </c>
      <c r="F38" s="95">
        <f t="shared" si="15"/>
        <v>0</v>
      </c>
      <c r="G38" s="95">
        <f t="shared" si="15"/>
        <v>0</v>
      </c>
      <c r="H38" s="95">
        <f t="shared" si="15"/>
        <v>0</v>
      </c>
      <c r="I38" s="95">
        <f t="shared" si="15"/>
        <v>0</v>
      </c>
      <c r="J38" s="95">
        <f t="shared" si="15"/>
        <v>0</v>
      </c>
      <c r="K38" s="95">
        <f t="shared" si="15"/>
        <v>0</v>
      </c>
      <c r="L38" s="95">
        <f t="shared" si="15"/>
        <v>0</v>
      </c>
      <c r="M38" s="95">
        <f t="shared" si="15"/>
        <v>0</v>
      </c>
    </row>
    <row r="39" spans="1:13" x14ac:dyDescent="0.2">
      <c r="A39" s="82" t="s">
        <v>69</v>
      </c>
      <c r="B39" s="105">
        <v>0.1</v>
      </c>
      <c r="C39" s="122"/>
      <c r="D39" s="94"/>
      <c r="E39" s="94"/>
      <c r="F39" s="94"/>
      <c r="G39" s="94"/>
      <c r="H39" s="94"/>
      <c r="I39" s="94"/>
      <c r="J39" s="94"/>
      <c r="K39" s="94"/>
      <c r="L39" s="94"/>
      <c r="M39" s="95">
        <f>M38/B39</f>
        <v>0</v>
      </c>
    </row>
    <row r="40" spans="1:13" x14ac:dyDescent="0.2">
      <c r="A40" s="82" t="s">
        <v>70</v>
      </c>
      <c r="B40" s="105">
        <v>0.03</v>
      </c>
      <c r="C40" s="122"/>
      <c r="D40" s="94"/>
      <c r="E40" s="94"/>
      <c r="F40" s="94"/>
      <c r="G40" s="94"/>
      <c r="H40" s="94"/>
      <c r="I40" s="94"/>
      <c r="J40" s="94"/>
      <c r="K40" s="94"/>
      <c r="L40" s="94"/>
      <c r="M40" s="95">
        <f>M39*-B40</f>
        <v>0</v>
      </c>
    </row>
    <row r="41" spans="1:13" x14ac:dyDescent="0.2">
      <c r="A41" s="82" t="s">
        <v>25</v>
      </c>
      <c r="B41" s="83"/>
      <c r="C41" s="109">
        <f>-C36</f>
        <v>0</v>
      </c>
      <c r="D41" s="95">
        <f>-D36</f>
        <v>0</v>
      </c>
      <c r="E41" s="95">
        <f t="shared" ref="E41:M41" si="16">-E36</f>
        <v>0</v>
      </c>
      <c r="F41" s="95">
        <f t="shared" si="16"/>
        <v>0</v>
      </c>
      <c r="G41" s="95">
        <f t="shared" si="16"/>
        <v>0</v>
      </c>
      <c r="H41" s="95">
        <f t="shared" si="16"/>
        <v>0</v>
      </c>
      <c r="I41" s="95">
        <f t="shared" si="16"/>
        <v>0</v>
      </c>
      <c r="J41" s="95">
        <f t="shared" si="16"/>
        <v>0</v>
      </c>
      <c r="K41" s="95">
        <f t="shared" si="16"/>
        <v>0</v>
      </c>
      <c r="L41" s="95">
        <f t="shared" si="16"/>
        <v>0</v>
      </c>
      <c r="M41" s="95">
        <f t="shared" si="16"/>
        <v>0</v>
      </c>
    </row>
    <row r="42" spans="1:13" x14ac:dyDescent="0.2">
      <c r="A42" s="650"/>
      <c r="B42" s="651"/>
      <c r="C42" s="652"/>
      <c r="D42" s="653"/>
      <c r="E42" s="653"/>
      <c r="F42" s="653"/>
      <c r="G42" s="653"/>
      <c r="H42" s="653"/>
      <c r="I42" s="653"/>
      <c r="J42" s="653"/>
      <c r="K42" s="653"/>
      <c r="L42" s="653"/>
      <c r="M42" s="947"/>
    </row>
    <row r="43" spans="1:13" x14ac:dyDescent="0.2">
      <c r="A43" s="82" t="s">
        <v>29</v>
      </c>
      <c r="B43" s="83"/>
      <c r="C43" s="109">
        <f>SUM(C38:C41)</f>
        <v>0</v>
      </c>
      <c r="D43" s="95">
        <f t="shared" ref="D43:M43" si="17">SUM(D38:D41)</f>
        <v>0</v>
      </c>
      <c r="E43" s="95">
        <f t="shared" si="17"/>
        <v>0</v>
      </c>
      <c r="F43" s="95">
        <f t="shared" si="17"/>
        <v>0</v>
      </c>
      <c r="G43" s="95">
        <f t="shared" si="17"/>
        <v>0</v>
      </c>
      <c r="H43" s="95">
        <f t="shared" si="17"/>
        <v>0</v>
      </c>
      <c r="I43" s="95">
        <f t="shared" si="17"/>
        <v>0</v>
      </c>
      <c r="J43" s="95">
        <f t="shared" si="17"/>
        <v>0</v>
      </c>
      <c r="K43" s="95">
        <f t="shared" si="17"/>
        <v>0</v>
      </c>
      <c r="L43" s="95">
        <f t="shared" si="17"/>
        <v>0</v>
      </c>
      <c r="M43" s="95">
        <f t="shared" si="17"/>
        <v>0</v>
      </c>
    </row>
    <row r="44" spans="1:13" x14ac:dyDescent="0.2">
      <c r="A44" s="14" t="s">
        <v>32</v>
      </c>
      <c r="B44" s="88"/>
      <c r="C44" s="89"/>
      <c r="D44" s="96"/>
      <c r="E44" s="96"/>
      <c r="F44" s="96"/>
      <c r="G44" s="96"/>
      <c r="H44" s="96"/>
      <c r="I44" s="96"/>
      <c r="J44" s="96"/>
      <c r="K44" s="96"/>
      <c r="L44" s="96"/>
      <c r="M44" s="96"/>
    </row>
    <row r="45" spans="1:13" x14ac:dyDescent="0.2">
      <c r="A45" s="90" t="s">
        <v>34</v>
      </c>
      <c r="B45" s="60"/>
      <c r="C45" s="45" t="e">
        <f>IRR(C43:M43,0)</f>
        <v>#NUM!</v>
      </c>
      <c r="D45" s="96"/>
      <c r="E45" s="96"/>
      <c r="F45" s="96"/>
      <c r="G45" s="96"/>
      <c r="H45" s="96"/>
      <c r="I45" s="96"/>
      <c r="J45" s="96"/>
      <c r="K45" s="96"/>
      <c r="L45" s="96"/>
      <c r="M45" s="96"/>
    </row>
    <row r="46" spans="1:13" ht="13.5" thickBot="1" x14ac:dyDescent="0.25">
      <c r="A46" s="90" t="s">
        <v>36</v>
      </c>
      <c r="B46" s="60"/>
      <c r="C46" s="91"/>
      <c r="D46" s="96"/>
      <c r="E46" s="96"/>
      <c r="F46" s="96"/>
      <c r="G46" s="96"/>
      <c r="H46" s="96"/>
      <c r="I46" s="96"/>
      <c r="J46" s="96"/>
      <c r="K46" s="96"/>
      <c r="L46" s="96"/>
      <c r="M46" s="96"/>
    </row>
    <row r="60" spans="3:13" x14ac:dyDescent="0.2"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</row>
  </sheetData>
  <conditionalFormatting sqref="B10 B21:B22">
    <cfRule type="cellIs" dxfId="4" priority="6" operator="lessThan">
      <formula>0</formula>
    </cfRule>
  </conditionalFormatting>
  <conditionalFormatting sqref="B11:B12">
    <cfRule type="cellIs" dxfId="3" priority="5" operator="lessThan">
      <formula>0</formula>
    </cfRule>
  </conditionalFormatting>
  <conditionalFormatting sqref="B26">
    <cfRule type="cellIs" dxfId="2" priority="4" operator="lessThan">
      <formula>0</formula>
    </cfRule>
  </conditionalFormatting>
  <conditionalFormatting sqref="B32">
    <cfRule type="cellIs" dxfId="1" priority="3" operator="lessThan">
      <formula>0</formula>
    </cfRule>
  </conditionalFormatting>
  <conditionalFormatting sqref="L1:M1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D17C3-179C-4ECA-944D-885E4BAECCC3}">
  <dimension ref="A1:P124"/>
  <sheetViews>
    <sheetView topLeftCell="A2" zoomScale="70" zoomScaleNormal="70" workbookViewId="0">
      <selection activeCell="I109" sqref="I109"/>
    </sheetView>
  </sheetViews>
  <sheetFormatPr defaultRowHeight="15" x14ac:dyDescent="0.25"/>
  <cols>
    <col min="1" max="1" width="14.42578125" bestFit="1" customWidth="1"/>
    <col min="2" max="2" width="16.5703125" style="149" bestFit="1" customWidth="1"/>
    <col min="3" max="3" width="23.140625" style="149" bestFit="1" customWidth="1"/>
    <col min="4" max="4" width="18.42578125" style="149" bestFit="1" customWidth="1"/>
    <col min="5" max="5" width="16.5703125" style="149" bestFit="1" customWidth="1"/>
    <col min="6" max="6" width="16.42578125" style="149" bestFit="1" customWidth="1"/>
    <col min="7" max="7" width="18.140625" style="149" bestFit="1" customWidth="1"/>
    <col min="8" max="8" width="14.5703125" style="149" bestFit="1" customWidth="1"/>
    <col min="9" max="9" width="14.42578125" bestFit="1" customWidth="1"/>
    <col min="10" max="10" width="13.42578125" bestFit="1" customWidth="1"/>
    <col min="11" max="11" width="12.28515625" bestFit="1" customWidth="1"/>
    <col min="12" max="12" width="6.140625" bestFit="1" customWidth="1"/>
    <col min="13" max="13" width="11" bestFit="1" customWidth="1"/>
    <col min="14" max="14" width="12.5703125" bestFit="1" customWidth="1"/>
    <col min="15" max="15" width="9.7109375" bestFit="1" customWidth="1"/>
  </cols>
  <sheetData>
    <row r="1" spans="1:10" ht="15.75" thickBot="1" x14ac:dyDescent="0.3"/>
    <row r="2" spans="1:10" x14ac:dyDescent="0.25">
      <c r="B2" s="1073" t="s">
        <v>118</v>
      </c>
      <c r="C2" s="1074"/>
      <c r="D2" s="1074"/>
      <c r="E2" s="1074"/>
      <c r="F2" s="1074"/>
      <c r="G2" s="952" t="s">
        <v>1</v>
      </c>
      <c r="H2" s="953" t="s">
        <v>105</v>
      </c>
    </row>
    <row r="3" spans="1:10" x14ac:dyDescent="0.25">
      <c r="B3" s="1071" t="s">
        <v>158</v>
      </c>
      <c r="C3" s="1072"/>
      <c r="D3" s="1072"/>
      <c r="E3" s="1072"/>
      <c r="F3" s="1072"/>
      <c r="G3" s="618"/>
      <c r="H3" s="619"/>
    </row>
    <row r="4" spans="1:10" ht="15.75" thickBot="1" x14ac:dyDescent="0.3">
      <c r="B4" s="1084" t="s">
        <v>166</v>
      </c>
      <c r="C4" s="1085"/>
      <c r="D4" s="165" t="s">
        <v>167</v>
      </c>
      <c r="E4" s="165" t="s">
        <v>163</v>
      </c>
      <c r="F4" s="165" t="s">
        <v>116</v>
      </c>
      <c r="G4" s="165" t="s">
        <v>164</v>
      </c>
      <c r="H4" s="166" t="s">
        <v>165</v>
      </c>
    </row>
    <row r="5" spans="1:10" ht="15.75" thickBot="1" x14ac:dyDescent="0.3">
      <c r="A5" s="150"/>
      <c r="B5" s="1082" t="s">
        <v>176</v>
      </c>
      <c r="C5" s="1083"/>
      <c r="D5" s="153" t="s">
        <v>168</v>
      </c>
      <c r="E5" s="154">
        <v>46139801</v>
      </c>
      <c r="F5" s="155">
        <v>490400</v>
      </c>
      <c r="G5" s="154">
        <v>46139801</v>
      </c>
      <c r="H5" s="156">
        <f>G5/F5</f>
        <v>94.086054241435562</v>
      </c>
      <c r="I5" s="150"/>
      <c r="J5" s="150"/>
    </row>
    <row r="6" spans="1:10" ht="15.75" thickBot="1" x14ac:dyDescent="0.3">
      <c r="A6" s="150"/>
      <c r="B6" s="157"/>
      <c r="C6" s="158"/>
      <c r="D6" s="158"/>
      <c r="E6" s="159"/>
      <c r="F6" s="160"/>
      <c r="G6" s="159"/>
      <c r="H6" s="161"/>
      <c r="I6" s="150"/>
      <c r="J6" s="150"/>
    </row>
    <row r="7" spans="1:10" x14ac:dyDescent="0.25">
      <c r="A7" s="150"/>
      <c r="B7" s="1078" t="s">
        <v>174</v>
      </c>
      <c r="C7" s="152" t="s">
        <v>159</v>
      </c>
      <c r="D7" s="153" t="s">
        <v>170</v>
      </c>
      <c r="E7" s="162">
        <v>9445744</v>
      </c>
      <c r="F7" s="163">
        <v>46031</v>
      </c>
      <c r="G7" s="162">
        <v>9445744</v>
      </c>
      <c r="H7" s="164">
        <f>G7/F7</f>
        <v>205.2039712367752</v>
      </c>
      <c r="I7" s="150"/>
      <c r="J7" s="150"/>
    </row>
    <row r="8" spans="1:10" x14ac:dyDescent="0.25">
      <c r="A8" s="150"/>
      <c r="B8" s="1078"/>
      <c r="C8" s="152" t="s">
        <v>160</v>
      </c>
      <c r="D8" s="153" t="s">
        <v>170</v>
      </c>
      <c r="E8" s="162">
        <v>4498896</v>
      </c>
      <c r="F8" s="163">
        <v>51058</v>
      </c>
      <c r="G8" s="162">
        <v>4498896</v>
      </c>
      <c r="H8" s="164">
        <f>G8/F8</f>
        <v>88.113439617689693</v>
      </c>
      <c r="I8" s="150"/>
      <c r="J8" s="150"/>
    </row>
    <row r="9" spans="1:10" x14ac:dyDescent="0.25">
      <c r="A9" s="150"/>
      <c r="B9" s="1078"/>
      <c r="C9" s="152" t="s">
        <v>161</v>
      </c>
      <c r="D9" s="153" t="s">
        <v>170</v>
      </c>
      <c r="E9" s="162">
        <v>4956889</v>
      </c>
      <c r="F9" s="163">
        <v>70660</v>
      </c>
      <c r="G9" s="162">
        <v>4956889</v>
      </c>
      <c r="H9" s="164">
        <f>G9/F9</f>
        <v>70.151273705066515</v>
      </c>
      <c r="I9" s="150"/>
      <c r="J9" s="150"/>
    </row>
    <row r="10" spans="1:10" x14ac:dyDescent="0.25">
      <c r="A10" s="150"/>
      <c r="B10" s="1079" t="s">
        <v>175</v>
      </c>
      <c r="C10" s="167" t="s">
        <v>169</v>
      </c>
      <c r="D10" s="168" t="s">
        <v>173</v>
      </c>
      <c r="E10" s="168" t="s">
        <v>177</v>
      </c>
      <c r="F10" s="168" t="s">
        <v>177</v>
      </c>
      <c r="G10" s="168" t="s">
        <v>177</v>
      </c>
      <c r="H10" s="169" t="s">
        <v>177</v>
      </c>
      <c r="I10" s="150"/>
      <c r="J10" s="150"/>
    </row>
    <row r="11" spans="1:10" x14ac:dyDescent="0.25">
      <c r="A11" s="150"/>
      <c r="B11" s="1080"/>
      <c r="C11" s="152" t="s">
        <v>171</v>
      </c>
      <c r="D11" s="153" t="s">
        <v>170</v>
      </c>
      <c r="E11" s="162">
        <v>3305047</v>
      </c>
      <c r="F11" s="163">
        <v>17625</v>
      </c>
      <c r="G11" s="162">
        <v>3305047</v>
      </c>
      <c r="H11" s="164">
        <f>G11/F11</f>
        <v>187.52039716312058</v>
      </c>
      <c r="I11" s="150"/>
      <c r="J11" s="150"/>
    </row>
    <row r="12" spans="1:10" x14ac:dyDescent="0.25">
      <c r="A12" s="150"/>
      <c r="B12" s="1081"/>
      <c r="C12" s="170" t="s">
        <v>172</v>
      </c>
      <c r="D12" s="171" t="s">
        <v>170</v>
      </c>
      <c r="E12" s="172">
        <v>5778273</v>
      </c>
      <c r="F12" s="173">
        <v>51753.4</v>
      </c>
      <c r="G12" s="172">
        <v>5778273</v>
      </c>
      <c r="H12" s="174">
        <f>G12/F12</f>
        <v>111.65011380894782</v>
      </c>
      <c r="I12" s="150"/>
      <c r="J12" s="150"/>
    </row>
    <row r="13" spans="1:10" ht="15.75" thickBot="1" x14ac:dyDescent="0.3">
      <c r="A13" s="150"/>
      <c r="B13" s="659" t="s">
        <v>162</v>
      </c>
      <c r="C13" s="688"/>
      <c r="D13" s="689">
        <f>E13+E5</f>
        <v>74124650</v>
      </c>
      <c r="E13" s="283">
        <f>SUM(E7:E12)</f>
        <v>27984849</v>
      </c>
      <c r="F13" s="283">
        <f t="shared" ref="F13:G13" si="0">SUM(F7:F12)</f>
        <v>237127.4</v>
      </c>
      <c r="G13" s="283">
        <f t="shared" si="0"/>
        <v>27984849</v>
      </c>
      <c r="H13" s="284">
        <f>G13/F13</f>
        <v>118.01609177176489</v>
      </c>
      <c r="I13" s="150"/>
      <c r="J13" s="150"/>
    </row>
    <row r="14" spans="1:10" x14ac:dyDescent="0.25">
      <c r="A14" s="150"/>
      <c r="B14" s="151"/>
      <c r="C14" s="151"/>
      <c r="D14" s="151"/>
      <c r="E14" s="151"/>
      <c r="F14" s="151"/>
      <c r="G14" s="151"/>
      <c r="H14" s="151"/>
      <c r="I14" s="150"/>
      <c r="J14" s="150"/>
    </row>
    <row r="15" spans="1:10" ht="15.75" thickBot="1" x14ac:dyDescent="0.3">
      <c r="A15" s="150"/>
      <c r="B15" s="151"/>
      <c r="C15" s="151"/>
      <c r="D15" s="151"/>
      <c r="E15" s="151"/>
      <c r="F15" s="151"/>
      <c r="G15" s="151"/>
      <c r="H15" s="151"/>
      <c r="I15" s="150"/>
      <c r="J15" s="150"/>
    </row>
    <row r="16" spans="1:10" x14ac:dyDescent="0.25">
      <c r="A16" s="150"/>
      <c r="B16" s="1073" t="s">
        <v>121</v>
      </c>
      <c r="C16" s="1074"/>
      <c r="D16" s="1074"/>
      <c r="E16" s="1077"/>
      <c r="I16" s="150"/>
      <c r="J16" s="150"/>
    </row>
    <row r="17" spans="1:15" x14ac:dyDescent="0.25">
      <c r="A17" s="150"/>
      <c r="B17" s="1075" t="s">
        <v>178</v>
      </c>
      <c r="C17" s="1076"/>
      <c r="D17" s="176"/>
      <c r="E17" s="175">
        <v>334236</v>
      </c>
      <c r="F17" s="151"/>
      <c r="G17" s="151"/>
      <c r="H17" s="151"/>
      <c r="I17" s="150"/>
      <c r="J17" s="150"/>
      <c r="L17" s="148"/>
      <c r="M17" s="147"/>
      <c r="N17" s="148"/>
      <c r="O17" s="146"/>
    </row>
    <row r="18" spans="1:15" x14ac:dyDescent="0.25">
      <c r="B18" s="1067" t="s">
        <v>329</v>
      </c>
      <c r="C18" s="1068"/>
      <c r="D18" s="177"/>
      <c r="E18" s="178">
        <v>3.5</v>
      </c>
    </row>
    <row r="19" spans="1:15" ht="15.75" thickBot="1" x14ac:dyDescent="0.3">
      <c r="B19" s="1069" t="s">
        <v>179</v>
      </c>
      <c r="C19" s="1070"/>
      <c r="D19" s="179"/>
      <c r="E19" s="180">
        <f>E17*E18</f>
        <v>1169826</v>
      </c>
    </row>
    <row r="21" spans="1:15" x14ac:dyDescent="0.25">
      <c r="L21" s="148"/>
      <c r="M21" s="147"/>
      <c r="N21" s="148"/>
      <c r="O21" s="146"/>
    </row>
    <row r="22" spans="1:15" x14ac:dyDescent="0.25">
      <c r="D22" s="181"/>
    </row>
    <row r="23" spans="1:15" x14ac:dyDescent="0.25">
      <c r="D23" s="182"/>
      <c r="L23" s="148"/>
      <c r="M23" s="147"/>
      <c r="N23" s="148"/>
      <c r="O23" s="146"/>
    </row>
    <row r="24" spans="1:15" x14ac:dyDescent="0.25">
      <c r="D24" s="181"/>
    </row>
    <row r="27" spans="1:15" x14ac:dyDescent="0.25">
      <c r="B27" s="821"/>
      <c r="C27" s="821"/>
      <c r="D27" s="821"/>
      <c r="E27" s="821"/>
      <c r="F27" s="821"/>
      <c r="G27" s="821"/>
      <c r="H27" s="821"/>
    </row>
    <row r="28" spans="1:15" x14ac:dyDescent="0.25">
      <c r="B28" s="821"/>
      <c r="C28" s="821"/>
      <c r="D28" s="821"/>
      <c r="E28" s="821"/>
      <c r="F28" s="821"/>
      <c r="G28" s="821"/>
      <c r="H28" s="821"/>
    </row>
    <row r="29" spans="1:15" x14ac:dyDescent="0.25">
      <c r="B29" s="821"/>
      <c r="C29" s="821"/>
      <c r="D29" s="821"/>
      <c r="E29" s="821"/>
      <c r="F29" s="821"/>
      <c r="G29" s="821"/>
      <c r="H29" s="821"/>
    </row>
    <row r="30" spans="1:15" x14ac:dyDescent="0.25">
      <c r="B30" s="821"/>
      <c r="C30" s="821"/>
      <c r="D30" s="821"/>
      <c r="E30" s="821"/>
      <c r="F30" s="821"/>
      <c r="G30" s="821"/>
      <c r="H30" s="821"/>
    </row>
    <row r="31" spans="1:15" x14ac:dyDescent="0.25">
      <c r="B31" s="821"/>
      <c r="C31" s="821"/>
      <c r="D31" s="821"/>
      <c r="E31" s="821"/>
      <c r="F31" s="821"/>
      <c r="G31" s="821"/>
      <c r="H31" s="821"/>
    </row>
    <row r="32" spans="1:15" x14ac:dyDescent="0.25">
      <c r="B32" s="821"/>
      <c r="C32" s="821"/>
      <c r="D32" s="821"/>
      <c r="E32" s="821"/>
      <c r="F32" s="821"/>
      <c r="G32" s="821"/>
      <c r="H32" s="821"/>
    </row>
    <row r="33" spans="2:8" x14ac:dyDescent="0.25">
      <c r="B33" s="821"/>
      <c r="C33" s="821"/>
      <c r="D33" s="821"/>
      <c r="E33" s="821"/>
      <c r="F33" s="821"/>
      <c r="G33" s="821"/>
      <c r="H33" s="821"/>
    </row>
    <row r="34" spans="2:8" x14ac:dyDescent="0.25">
      <c r="B34" s="821"/>
      <c r="C34" s="821"/>
      <c r="D34" s="821"/>
      <c r="E34" s="821"/>
      <c r="F34" s="821"/>
      <c r="G34" s="821"/>
      <c r="H34" s="821"/>
    </row>
    <row r="35" spans="2:8" x14ac:dyDescent="0.25">
      <c r="B35" s="821"/>
      <c r="C35" s="821"/>
      <c r="D35" s="821"/>
      <c r="E35" s="821"/>
      <c r="F35" s="821"/>
      <c r="G35" s="821"/>
      <c r="H35" s="821"/>
    </row>
    <row r="36" spans="2:8" x14ac:dyDescent="0.25">
      <c r="B36" s="821"/>
      <c r="C36" s="821"/>
      <c r="D36" s="821"/>
      <c r="E36" s="821"/>
      <c r="F36" s="821"/>
      <c r="G36" s="821"/>
      <c r="H36" s="821"/>
    </row>
    <row r="37" spans="2:8" x14ac:dyDescent="0.25">
      <c r="B37" s="821"/>
      <c r="C37" s="821"/>
      <c r="D37" s="821"/>
      <c r="E37" s="821"/>
      <c r="F37" s="821"/>
      <c r="G37" s="821"/>
      <c r="H37" s="821"/>
    </row>
    <row r="38" spans="2:8" x14ac:dyDescent="0.25">
      <c r="B38" s="821"/>
      <c r="C38" s="821"/>
      <c r="D38" s="821"/>
      <c r="E38" s="821"/>
      <c r="F38" s="821"/>
      <c r="G38" s="821"/>
      <c r="H38" s="821"/>
    </row>
    <row r="39" spans="2:8" x14ac:dyDescent="0.25">
      <c r="B39" s="821"/>
      <c r="C39" s="821"/>
      <c r="D39" s="821"/>
      <c r="E39" s="821"/>
      <c r="F39" s="821"/>
      <c r="G39" s="821"/>
      <c r="H39" s="821"/>
    </row>
    <row r="40" spans="2:8" x14ac:dyDescent="0.25">
      <c r="B40" s="821"/>
      <c r="C40" s="821"/>
      <c r="D40" s="821"/>
      <c r="E40" s="821"/>
      <c r="F40" s="821"/>
      <c r="G40" s="821"/>
      <c r="H40" s="821"/>
    </row>
    <row r="41" spans="2:8" x14ac:dyDescent="0.25">
      <c r="B41" s="821"/>
      <c r="C41" s="821"/>
      <c r="D41" s="821"/>
      <c r="E41" s="821"/>
      <c r="F41" s="821"/>
      <c r="G41" s="821"/>
      <c r="H41" s="821"/>
    </row>
    <row r="42" spans="2:8" x14ac:dyDescent="0.25">
      <c r="B42" s="821"/>
      <c r="C42" s="821"/>
      <c r="D42" s="821"/>
      <c r="E42" s="821"/>
      <c r="F42" s="821"/>
      <c r="G42" s="821"/>
      <c r="H42" s="821"/>
    </row>
    <row r="43" spans="2:8" x14ac:dyDescent="0.25">
      <c r="B43" s="821"/>
      <c r="C43" s="821"/>
      <c r="D43" s="821"/>
      <c r="E43" s="821"/>
      <c r="F43" s="821"/>
      <c r="G43" s="821"/>
      <c r="H43" s="821"/>
    </row>
    <row r="44" spans="2:8" x14ac:dyDescent="0.25">
      <c r="B44" s="821"/>
      <c r="C44" s="821"/>
      <c r="D44" s="821"/>
      <c r="E44" s="821"/>
      <c r="F44" s="821"/>
      <c r="G44" s="821"/>
      <c r="H44" s="821"/>
    </row>
    <row r="45" spans="2:8" x14ac:dyDescent="0.25">
      <c r="B45" s="821"/>
      <c r="C45" s="821"/>
      <c r="D45" s="821"/>
      <c r="E45" s="821"/>
      <c r="F45" s="821"/>
      <c r="G45" s="821"/>
      <c r="H45" s="821"/>
    </row>
    <row r="46" spans="2:8" x14ac:dyDescent="0.25">
      <c r="B46" s="821"/>
      <c r="C46" s="821"/>
      <c r="D46" s="821"/>
      <c r="E46" s="821"/>
      <c r="F46" s="821"/>
      <c r="G46" s="821"/>
      <c r="H46" s="821"/>
    </row>
    <row r="47" spans="2:8" x14ac:dyDescent="0.25">
      <c r="B47" s="821"/>
      <c r="C47" s="821"/>
      <c r="D47" s="821"/>
      <c r="E47" s="821"/>
      <c r="F47" s="821"/>
      <c r="G47" s="821"/>
      <c r="H47" s="821"/>
    </row>
    <row r="68" spans="2:16" s="949" customFormat="1" x14ac:dyDescent="0.25">
      <c r="B68" s="948"/>
      <c r="C68" s="948"/>
      <c r="D68" s="948"/>
      <c r="E68" s="948"/>
      <c r="F68" s="948"/>
      <c r="G68" s="948"/>
      <c r="H68" s="948"/>
    </row>
    <row r="69" spans="2:16" s="949" customFormat="1" x14ac:dyDescent="0.25">
      <c r="B69" s="948"/>
      <c r="C69" s="948"/>
      <c r="D69" s="948"/>
      <c r="E69" s="948"/>
      <c r="F69" s="948"/>
      <c r="G69" s="948"/>
      <c r="H69" s="948"/>
    </row>
    <row r="70" spans="2:16" s="949" customFormat="1" x14ac:dyDescent="0.25">
      <c r="B70" s="948"/>
      <c r="C70" s="948"/>
      <c r="D70" s="948" t="s">
        <v>263</v>
      </c>
      <c r="E70" s="948"/>
      <c r="F70" s="948"/>
      <c r="G70" s="948"/>
      <c r="H70" s="948"/>
    </row>
    <row r="71" spans="2:16" s="949" customFormat="1" x14ac:dyDescent="0.25">
      <c r="B71" s="948"/>
      <c r="C71" s="1062" t="s">
        <v>262</v>
      </c>
      <c r="D71" s="950">
        <f>'2. Market-Rate Rental'!D52</f>
        <v>0.17053694248093776</v>
      </c>
      <c r="E71" s="948"/>
      <c r="F71" s="948"/>
      <c r="G71" s="948"/>
      <c r="H71" s="948"/>
    </row>
    <row r="72" spans="2:16" s="949" customFormat="1" x14ac:dyDescent="0.25">
      <c r="B72" s="948"/>
      <c r="C72" s="1062"/>
      <c r="D72" s="951">
        <f>'3. Market-Rate For-Sale'!D48</f>
        <v>0.76710329149024403</v>
      </c>
      <c r="E72" s="948"/>
      <c r="F72" s="948"/>
      <c r="G72" s="948"/>
      <c r="H72" s="948"/>
    </row>
    <row r="73" spans="2:16" s="949" customFormat="1" x14ac:dyDescent="0.25">
      <c r="B73" s="948"/>
      <c r="C73" s="1062"/>
      <c r="D73" s="950">
        <f>'4. Affordable Rental'!D52</f>
        <v>-4.108290835191708E-3</v>
      </c>
      <c r="E73" s="948"/>
      <c r="F73" s="948"/>
      <c r="G73" s="948"/>
      <c r="H73" s="948"/>
    </row>
    <row r="74" spans="2:16" s="949" customFormat="1" x14ac:dyDescent="0.25">
      <c r="B74" s="948"/>
      <c r="C74" s="1062"/>
      <c r="D74" s="951">
        <f>'5. Affordable For-Sale'!D48</f>
        <v>0.22126654968894521</v>
      </c>
      <c r="E74" s="948"/>
      <c r="F74" s="948"/>
      <c r="G74" s="948"/>
      <c r="H74" s="948"/>
    </row>
    <row r="75" spans="2:16" s="949" customFormat="1" x14ac:dyDescent="0.25">
      <c r="B75" s="948"/>
      <c r="C75" s="948" t="s">
        <v>264</v>
      </c>
      <c r="D75" s="951">
        <f>'6. Office_Commercial'!D49</f>
        <v>0.14541047466641133</v>
      </c>
      <c r="E75" s="948"/>
      <c r="F75" s="948"/>
      <c r="G75" s="948"/>
      <c r="H75" s="948"/>
    </row>
    <row r="76" spans="2:16" s="949" customFormat="1" x14ac:dyDescent="0.25">
      <c r="B76" s="948"/>
      <c r="C76" s="948" t="s">
        <v>55</v>
      </c>
      <c r="D76" s="951">
        <f>'7. Retail'!D49</f>
        <v>0.14999967330455788</v>
      </c>
      <c r="E76" s="948"/>
      <c r="F76" s="948"/>
      <c r="G76" s="948"/>
      <c r="H76" s="948"/>
    </row>
    <row r="77" spans="2:16" s="949" customFormat="1" x14ac:dyDescent="0.25">
      <c r="B77" s="948"/>
      <c r="C77" s="948" t="s">
        <v>265</v>
      </c>
      <c r="D77" s="951">
        <f>'8. Industrial_Gallery n School'!D46</f>
        <v>0.14734469798935157</v>
      </c>
      <c r="E77" s="948"/>
      <c r="F77" s="948"/>
      <c r="G77" s="948"/>
      <c r="H77" s="948"/>
    </row>
    <row r="78" spans="2:16" s="949" customFormat="1" x14ac:dyDescent="0.25">
      <c r="B78" s="948"/>
      <c r="C78" s="948" t="s">
        <v>266</v>
      </c>
      <c r="D78" s="951">
        <f>'10. Structured Parking'!D94</f>
        <v>0.34958738854087223</v>
      </c>
      <c r="E78" s="948"/>
      <c r="F78" s="948"/>
      <c r="G78" s="948"/>
      <c r="H78" s="948"/>
    </row>
    <row r="79" spans="2:16" s="949" customFormat="1" x14ac:dyDescent="0.25">
      <c r="B79" s="1000"/>
      <c r="C79" s="1000"/>
      <c r="D79" s="1000"/>
      <c r="E79" s="1000"/>
      <c r="F79" s="1000"/>
      <c r="G79" s="1000"/>
      <c r="H79" s="1000"/>
      <c r="I79" s="997"/>
      <c r="J79" s="997"/>
      <c r="K79" s="997"/>
      <c r="L79" s="997"/>
      <c r="M79" s="997"/>
      <c r="N79" s="997"/>
      <c r="O79" s="997"/>
      <c r="P79" s="997"/>
    </row>
    <row r="80" spans="2:16" s="949" customFormat="1" x14ac:dyDescent="0.25">
      <c r="B80" s="1000"/>
      <c r="C80" s="1000" t="s">
        <v>268</v>
      </c>
      <c r="D80" s="1001">
        <f>'Summary Board'!E54</f>
        <v>0.15310913980773844</v>
      </c>
      <c r="E80" s="1000"/>
      <c r="F80" s="1000"/>
      <c r="G80" s="1000"/>
      <c r="H80" s="1000"/>
      <c r="I80" s="997"/>
      <c r="J80" s="997"/>
      <c r="K80" s="997"/>
      <c r="L80" s="997"/>
      <c r="M80" s="997"/>
      <c r="N80" s="997"/>
      <c r="O80" s="997"/>
      <c r="P80" s="997"/>
    </row>
    <row r="81" spans="2:16" s="949" customFormat="1" x14ac:dyDescent="0.25">
      <c r="B81" s="1000"/>
      <c r="C81" s="1000" t="s">
        <v>267</v>
      </c>
      <c r="D81" s="1001">
        <f>'Summary Board'!E55</f>
        <v>0.2587724940590681</v>
      </c>
      <c r="E81" s="1000"/>
      <c r="F81" s="1000"/>
      <c r="G81" s="1000"/>
      <c r="H81" s="1000"/>
      <c r="I81" s="997"/>
      <c r="J81" s="997"/>
      <c r="K81" s="997"/>
      <c r="L81" s="997"/>
      <c r="M81" s="997"/>
      <c r="N81" s="997"/>
      <c r="O81" s="997"/>
      <c r="P81" s="997"/>
    </row>
    <row r="82" spans="2:16" s="949" customFormat="1" x14ac:dyDescent="0.25">
      <c r="B82" s="1000"/>
      <c r="C82" s="1000"/>
      <c r="D82" s="1000"/>
      <c r="E82" s="1000"/>
      <c r="F82" s="1000"/>
      <c r="G82" s="1000"/>
      <c r="H82" s="1000"/>
      <c r="I82" s="997"/>
      <c r="J82" s="997"/>
      <c r="K82" s="997"/>
      <c r="L82" s="997"/>
      <c r="M82" s="997"/>
      <c r="N82" s="997"/>
      <c r="O82" s="997"/>
      <c r="P82" s="997"/>
    </row>
    <row r="83" spans="2:16" s="949" customFormat="1" x14ac:dyDescent="0.25">
      <c r="B83" s="1000"/>
      <c r="C83" s="1000" t="s">
        <v>269</v>
      </c>
      <c r="D83" s="1002">
        <f>'Summary Board'!I54</f>
        <v>74124650</v>
      </c>
      <c r="E83" s="1000"/>
      <c r="F83" s="1000"/>
      <c r="G83" s="1000"/>
      <c r="H83" s="1000"/>
      <c r="I83" s="997"/>
      <c r="J83" s="997"/>
      <c r="K83" s="997"/>
      <c r="L83" s="997"/>
      <c r="M83" s="997"/>
      <c r="N83" s="997"/>
      <c r="O83" s="997"/>
      <c r="P83" s="997"/>
    </row>
    <row r="84" spans="2:16" s="949" customFormat="1" x14ac:dyDescent="0.25">
      <c r="B84" s="1000"/>
      <c r="C84" s="1000" t="s">
        <v>270</v>
      </c>
      <c r="D84" s="1002">
        <f>'Summary Board'!I55</f>
        <v>692885431.98743188</v>
      </c>
      <c r="E84" s="1000"/>
      <c r="F84" s="1000"/>
      <c r="G84" s="1000"/>
      <c r="H84" s="1000"/>
      <c r="I84" s="997"/>
      <c r="J84" s="997"/>
      <c r="K84" s="997"/>
      <c r="L84" s="997"/>
      <c r="M84" s="997"/>
      <c r="N84" s="997"/>
      <c r="O84" s="997"/>
      <c r="P84" s="997"/>
    </row>
    <row r="85" spans="2:16" s="949" customFormat="1" x14ac:dyDescent="0.25">
      <c r="B85" s="1000"/>
      <c r="C85" s="1000"/>
      <c r="D85" s="1000"/>
      <c r="E85" s="1000"/>
      <c r="F85" s="1000"/>
      <c r="G85" s="1000"/>
      <c r="H85" s="1000"/>
      <c r="I85" s="997"/>
      <c r="J85" s="997"/>
      <c r="K85" s="997"/>
      <c r="L85" s="997"/>
      <c r="M85" s="997"/>
      <c r="N85" s="997"/>
      <c r="O85" s="997"/>
      <c r="P85" s="997"/>
    </row>
    <row r="86" spans="2:16" s="949" customFormat="1" x14ac:dyDescent="0.25">
      <c r="B86" s="1000"/>
      <c r="C86" s="1000" t="s">
        <v>271</v>
      </c>
      <c r="D86" s="1003">
        <f>-SUM(C94:E94)</f>
        <v>200199062.47512981</v>
      </c>
      <c r="E86" s="1003">
        <f>-SUM(F94:H94)</f>
        <v>259204407.89453238</v>
      </c>
      <c r="F86" s="1003">
        <f>-SUM(I94:L94)</f>
        <v>152105718.06167796</v>
      </c>
      <c r="G86" s="1000"/>
      <c r="H86" s="1000"/>
      <c r="I86" s="997"/>
      <c r="J86" s="997"/>
      <c r="K86" s="997"/>
      <c r="L86" s="997"/>
      <c r="M86" s="997"/>
      <c r="N86" s="997"/>
      <c r="O86" s="997"/>
      <c r="P86" s="997"/>
    </row>
    <row r="87" spans="2:16" s="949" customFormat="1" x14ac:dyDescent="0.25">
      <c r="B87" s="1000"/>
      <c r="C87" s="1000" t="s">
        <v>272</v>
      </c>
      <c r="D87" s="1004">
        <f>SUM(C95:E95)</f>
        <v>955095.99999999988</v>
      </c>
      <c r="E87" s="1004">
        <f>SUM(F95:H95)</f>
        <v>1050280</v>
      </c>
      <c r="F87" s="1004">
        <f>SUM(I95:L95)</f>
        <v>560908</v>
      </c>
      <c r="G87" s="1000"/>
      <c r="H87" s="1000"/>
      <c r="I87" s="997"/>
      <c r="J87" s="997"/>
      <c r="K87" s="997"/>
      <c r="L87" s="997"/>
      <c r="M87" s="997"/>
      <c r="N87" s="997"/>
      <c r="O87" s="997"/>
      <c r="P87" s="997"/>
    </row>
    <row r="88" spans="2:16" s="949" customFormat="1" x14ac:dyDescent="0.25">
      <c r="B88" s="1000"/>
      <c r="C88" s="1000"/>
      <c r="D88" s="1000"/>
      <c r="E88" s="1000"/>
      <c r="F88" s="1000"/>
      <c r="G88" s="1000"/>
      <c r="H88" s="1000"/>
      <c r="I88" s="997"/>
      <c r="J88" s="997"/>
      <c r="K88" s="997"/>
      <c r="L88" s="997"/>
      <c r="M88" s="997"/>
      <c r="N88" s="997"/>
      <c r="O88" s="997"/>
      <c r="P88" s="997"/>
    </row>
    <row r="89" spans="2:16" s="949" customFormat="1" x14ac:dyDescent="0.25">
      <c r="B89" s="1000"/>
      <c r="C89" s="1000"/>
      <c r="D89" s="1000"/>
      <c r="E89" s="1000"/>
      <c r="F89" s="1000"/>
      <c r="G89" s="1000"/>
      <c r="H89" s="1000"/>
      <c r="I89" s="997"/>
      <c r="J89" s="997"/>
      <c r="K89" s="997"/>
      <c r="L89" s="997"/>
      <c r="M89" s="997"/>
      <c r="N89" s="997"/>
      <c r="O89" s="997"/>
      <c r="P89" s="997"/>
    </row>
    <row r="90" spans="2:16" s="949" customFormat="1" x14ac:dyDescent="0.25">
      <c r="B90" s="1000"/>
      <c r="C90" s="1000"/>
      <c r="D90" s="1000"/>
      <c r="E90" s="1000"/>
      <c r="F90" s="1000"/>
      <c r="G90" s="1000"/>
      <c r="H90" s="1000"/>
      <c r="I90" s="997"/>
      <c r="J90" s="997"/>
      <c r="K90" s="997"/>
      <c r="L90" s="997"/>
      <c r="M90" s="997"/>
      <c r="N90" s="997"/>
      <c r="O90" s="997"/>
      <c r="P90" s="997"/>
    </row>
    <row r="91" spans="2:16" s="949" customFormat="1" x14ac:dyDescent="0.25">
      <c r="B91" s="1000"/>
      <c r="C91" s="1000"/>
      <c r="D91" s="1000"/>
      <c r="E91" s="1000"/>
      <c r="F91" s="1000"/>
      <c r="G91" s="1000"/>
      <c r="H91" s="1000"/>
      <c r="I91" s="997"/>
      <c r="J91" s="997"/>
      <c r="K91" s="997"/>
      <c r="L91" s="997"/>
      <c r="M91" s="997"/>
      <c r="N91" s="997"/>
      <c r="O91" s="997"/>
      <c r="P91" s="997"/>
    </row>
    <row r="92" spans="2:16" s="949" customFormat="1" x14ac:dyDescent="0.25">
      <c r="B92" s="1000"/>
      <c r="C92" s="1000"/>
      <c r="D92" s="1000"/>
      <c r="E92" s="1000"/>
      <c r="F92" s="1000"/>
      <c r="G92" s="1000"/>
      <c r="H92" s="1000"/>
      <c r="I92" s="997"/>
      <c r="J92" s="997"/>
      <c r="K92" s="997"/>
      <c r="L92" s="997"/>
      <c r="M92" s="997"/>
      <c r="N92" s="997"/>
      <c r="O92" s="997"/>
      <c r="P92" s="997"/>
    </row>
    <row r="93" spans="2:16" s="949" customFormat="1" x14ac:dyDescent="0.25">
      <c r="B93" s="1000"/>
      <c r="C93" s="1065" t="s">
        <v>206</v>
      </c>
      <c r="D93" s="1066"/>
      <c r="E93" s="1066"/>
      <c r="F93" s="1065" t="s">
        <v>207</v>
      </c>
      <c r="G93" s="1066"/>
      <c r="H93" s="1066"/>
      <c r="I93" s="1063" t="s">
        <v>208</v>
      </c>
      <c r="J93" s="1064"/>
      <c r="K93" s="1064"/>
      <c r="L93" s="1064"/>
      <c r="M93" s="997"/>
      <c r="N93" s="997"/>
      <c r="O93" s="997"/>
      <c r="P93" s="997"/>
    </row>
    <row r="94" spans="2:16" s="949" customFormat="1" x14ac:dyDescent="0.25">
      <c r="B94" s="1005">
        <f>SUM(C94:L94)</f>
        <v>-611509188.4313401</v>
      </c>
      <c r="C94" s="1006">
        <f>'Summary Board'!F42</f>
        <v>-89597784.038879991</v>
      </c>
      <c r="D94" s="1007">
        <f>'Summary Board'!G42</f>
        <v>-81269756.63808237</v>
      </c>
      <c r="E94" s="1007">
        <f>'Summary Board'!H42</f>
        <v>-29331521.798167437</v>
      </c>
      <c r="F94" s="1006">
        <f>'Summary Board'!I42</f>
        <v>-75558967.286225736</v>
      </c>
      <c r="G94" s="1007">
        <f>'Summary Board'!J42</f>
        <v>-172837291.63053444</v>
      </c>
      <c r="H94" s="1007">
        <f>'Summary Board'!K42</f>
        <v>-10808148.977772208</v>
      </c>
      <c r="I94" s="1006">
        <f>'Summary Board'!L42</f>
        <v>-100726340.21649757</v>
      </c>
      <c r="J94" s="1007">
        <f>'Summary Board'!M42</f>
        <v>-42535479.198644072</v>
      </c>
      <c r="K94" s="1007">
        <f>'Summary Board'!N42</f>
        <v>-8843898.6465363093</v>
      </c>
      <c r="L94" s="1007">
        <f>'Summary Board'!O42</f>
        <v>0</v>
      </c>
      <c r="M94" s="997"/>
      <c r="N94" s="997"/>
      <c r="O94" s="997"/>
      <c r="P94" s="997"/>
    </row>
    <row r="95" spans="2:16" s="949" customFormat="1" x14ac:dyDescent="0.25">
      <c r="B95" s="1004">
        <f>SUM(C95:L95)</f>
        <v>2566284</v>
      </c>
      <c r="C95" s="1008">
        <v>352004.39999999997</v>
      </c>
      <c r="D95" s="1009">
        <v>433335.93333333329</v>
      </c>
      <c r="E95" s="1009">
        <v>169755.66666666666</v>
      </c>
      <c r="F95" s="1008">
        <v>352576.35</v>
      </c>
      <c r="G95" s="1009">
        <v>665954.31666666665</v>
      </c>
      <c r="H95" s="1009">
        <v>31749.333333333332</v>
      </c>
      <c r="I95" s="1008">
        <v>373127.25</v>
      </c>
      <c r="J95" s="1009">
        <v>174315.08333333334</v>
      </c>
      <c r="K95" s="1009">
        <v>13465.666666666666</v>
      </c>
      <c r="L95" s="1009">
        <v>0</v>
      </c>
      <c r="M95" s="997"/>
      <c r="N95" s="997"/>
      <c r="O95" s="997"/>
      <c r="P95" s="997"/>
    </row>
    <row r="96" spans="2:16" s="949" customFormat="1" x14ac:dyDescent="0.25">
      <c r="B96" s="1000"/>
      <c r="C96" s="1000"/>
      <c r="D96" s="1000"/>
      <c r="E96" s="1000"/>
      <c r="F96" s="1000"/>
      <c r="G96" s="1000"/>
      <c r="H96" s="1000"/>
      <c r="I96" s="997"/>
      <c r="J96" s="997"/>
      <c r="K96" s="997"/>
      <c r="L96" s="997"/>
      <c r="M96" s="997"/>
      <c r="N96" s="997"/>
      <c r="O96" s="997"/>
      <c r="P96" s="997"/>
    </row>
    <row r="97" spans="2:16" s="949" customFormat="1" x14ac:dyDescent="0.25">
      <c r="B97" s="1000"/>
      <c r="C97" s="1000"/>
      <c r="D97" s="1000"/>
      <c r="E97" s="1000"/>
      <c r="F97" s="1000"/>
      <c r="G97" s="1000"/>
      <c r="H97" s="1000"/>
      <c r="I97" s="997"/>
      <c r="J97" s="997"/>
      <c r="K97" s="997"/>
      <c r="L97" s="997"/>
      <c r="M97" s="997"/>
      <c r="N97" s="997"/>
      <c r="O97" s="997"/>
      <c r="P97" s="997"/>
    </row>
    <row r="98" spans="2:16" s="949" customFormat="1" x14ac:dyDescent="0.25">
      <c r="B98" s="1000"/>
      <c r="C98" s="1000"/>
      <c r="D98" s="1000"/>
      <c r="E98" s="1000"/>
      <c r="F98" s="1000"/>
      <c r="G98" s="1000"/>
      <c r="H98" s="1000"/>
      <c r="I98" s="997"/>
      <c r="J98" s="997"/>
      <c r="K98" s="997"/>
      <c r="L98" s="997"/>
      <c r="M98" s="997"/>
      <c r="N98" s="997"/>
      <c r="O98" s="997"/>
      <c r="P98" s="997"/>
    </row>
    <row r="99" spans="2:16" s="949" customFormat="1" x14ac:dyDescent="0.25">
      <c r="B99" s="1000"/>
      <c r="C99" s="1000"/>
      <c r="D99" s="1000" t="s">
        <v>273</v>
      </c>
      <c r="E99" s="1000"/>
      <c r="F99" s="1000"/>
      <c r="G99" s="1000"/>
      <c r="H99" s="1000"/>
      <c r="I99" s="997"/>
      <c r="J99" s="997"/>
      <c r="K99" s="997"/>
      <c r="L99" s="997"/>
      <c r="M99" s="997"/>
      <c r="N99" s="997"/>
      <c r="O99" s="997"/>
      <c r="P99" s="997"/>
    </row>
    <row r="100" spans="2:16" s="949" customFormat="1" x14ac:dyDescent="0.25">
      <c r="B100" s="1000"/>
      <c r="C100" s="1000" t="s">
        <v>276</v>
      </c>
      <c r="D100" s="1010">
        <f>'Financing and Budget'!Q22</f>
        <v>451179640.77564585</v>
      </c>
      <c r="E100" s="1011">
        <f>D100/$D$103</f>
        <v>0.73177221015066141</v>
      </c>
      <c r="F100" s="1000"/>
      <c r="G100" s="1000"/>
      <c r="H100" s="1000"/>
      <c r="I100" s="997"/>
      <c r="J100" s="997"/>
      <c r="K100" s="997"/>
      <c r="L100" s="997"/>
      <c r="M100" s="997"/>
      <c r="N100" s="997"/>
      <c r="O100" s="997"/>
      <c r="P100" s="997"/>
    </row>
    <row r="101" spans="2:16" s="949" customFormat="1" x14ac:dyDescent="0.25">
      <c r="B101" s="1000"/>
      <c r="C101" s="1000" t="s">
        <v>277</v>
      </c>
      <c r="D101" s="1010">
        <f>SUM('Financing and Budget'!Q23,'Financing and Budget'!C7)</f>
        <v>101377854.18956256</v>
      </c>
      <c r="E101" s="1011">
        <f t="shared" ref="E101:E103" si="1">D101/$D$103</f>
        <v>0.16442562943020131</v>
      </c>
      <c r="F101" s="1061" t="s">
        <v>77</v>
      </c>
      <c r="G101" s="1012" t="s">
        <v>124</v>
      </c>
      <c r="H101" s="1000"/>
      <c r="I101" s="997">
        <v>101377854.18956256</v>
      </c>
      <c r="J101" s="997"/>
      <c r="K101" s="1016">
        <v>0.15728656951518272</v>
      </c>
      <c r="L101" s="997"/>
      <c r="M101" s="997"/>
      <c r="N101" s="997"/>
      <c r="O101" s="997"/>
      <c r="P101" s="997"/>
    </row>
    <row r="102" spans="2:16" s="949" customFormat="1" x14ac:dyDescent="0.25">
      <c r="B102" s="1000"/>
      <c r="C102" s="1000" t="s">
        <v>278</v>
      </c>
      <c r="D102" s="1010">
        <f>SUM('Financing and Budget'!Q25:Q31)</f>
        <v>64000000</v>
      </c>
      <c r="E102" s="1011">
        <f t="shared" si="1"/>
        <v>0.1038021604191373</v>
      </c>
      <c r="F102" s="1061"/>
      <c r="G102" s="1012" t="s">
        <v>259</v>
      </c>
      <c r="H102" s="1000"/>
      <c r="I102" s="997">
        <v>27984849</v>
      </c>
      <c r="J102" s="997"/>
      <c r="K102" s="1016">
        <v>4.3418169903063165E-2</v>
      </c>
      <c r="L102" s="997"/>
      <c r="M102" s="997"/>
      <c r="N102" s="997"/>
      <c r="O102" s="997"/>
      <c r="P102" s="997"/>
    </row>
    <row r="103" spans="2:16" s="949" customFormat="1" x14ac:dyDescent="0.25">
      <c r="B103" s="1000"/>
      <c r="C103" s="1013" t="s">
        <v>279</v>
      </c>
      <c r="D103" s="1014">
        <f>SUM(D100:D102)</f>
        <v>616557494.96520841</v>
      </c>
      <c r="E103" s="1015">
        <f t="shared" si="1"/>
        <v>1</v>
      </c>
      <c r="F103" s="1061"/>
      <c r="G103" s="1012" t="s">
        <v>56</v>
      </c>
      <c r="H103" s="1000"/>
      <c r="I103" s="997">
        <v>129362703.18956256</v>
      </c>
      <c r="J103" s="997"/>
      <c r="K103" s="1016">
        <v>0.20070473941824588</v>
      </c>
      <c r="L103" s="997"/>
      <c r="M103" s="997"/>
      <c r="N103" s="997"/>
      <c r="O103" s="997"/>
      <c r="P103" s="997"/>
    </row>
    <row r="104" spans="2:16" s="949" customFormat="1" x14ac:dyDescent="0.25">
      <c r="B104" s="1000"/>
      <c r="C104" s="1000"/>
      <c r="D104" s="1000"/>
      <c r="E104" s="1000"/>
      <c r="F104" s="1000"/>
      <c r="G104" s="1000"/>
      <c r="H104" s="1000"/>
      <c r="I104" s="997"/>
      <c r="J104" s="997"/>
      <c r="K104" s="1016"/>
      <c r="L104" s="997"/>
      <c r="M104" s="997"/>
      <c r="N104" s="997"/>
      <c r="O104" s="997"/>
      <c r="P104" s="997"/>
    </row>
    <row r="105" spans="2:16" s="949" customFormat="1" x14ac:dyDescent="0.25">
      <c r="B105" s="1000"/>
      <c r="C105" s="1000"/>
      <c r="D105" s="1000"/>
      <c r="E105" s="1000"/>
      <c r="F105" s="1061" t="s">
        <v>107</v>
      </c>
      <c r="G105" s="1012" t="s">
        <v>260</v>
      </c>
      <c r="H105" s="1000"/>
      <c r="I105" s="997">
        <v>451179640.77564585</v>
      </c>
      <c r="J105" s="997"/>
      <c r="K105" s="1016">
        <v>0.7</v>
      </c>
      <c r="L105" s="997"/>
      <c r="M105" s="997"/>
      <c r="N105" s="997"/>
      <c r="O105" s="997"/>
      <c r="P105" s="997"/>
    </row>
    <row r="106" spans="2:16" s="949" customFormat="1" x14ac:dyDescent="0.25">
      <c r="B106" s="1000"/>
      <c r="C106" s="1000"/>
      <c r="D106" s="1000" t="s">
        <v>274</v>
      </c>
      <c r="E106" s="1000"/>
      <c r="F106" s="1061"/>
      <c r="G106" s="1012" t="s">
        <v>261</v>
      </c>
      <c r="H106" s="1000"/>
      <c r="I106" s="997"/>
      <c r="J106" s="997"/>
      <c r="K106" s="1016"/>
      <c r="L106" s="997"/>
      <c r="M106" s="997"/>
      <c r="N106" s="997"/>
      <c r="O106" s="997"/>
      <c r="P106" s="997"/>
    </row>
    <row r="107" spans="2:16" s="949" customFormat="1" x14ac:dyDescent="0.25">
      <c r="B107" s="1000"/>
      <c r="C107" s="1000" t="s">
        <v>331</v>
      </c>
      <c r="D107" s="1010">
        <f>SUM('Summary Board'!G102:H102,'Summary Board'!G101:H101,'Summary Board'!G100:H100)</f>
        <v>33033155.53386829</v>
      </c>
      <c r="E107" s="1011">
        <f>D107/$D$110</f>
        <v>5.1250559165204171E-2</v>
      </c>
      <c r="F107" s="1061"/>
      <c r="G107" s="1012" t="s">
        <v>56</v>
      </c>
      <c r="H107" s="1000"/>
      <c r="I107" s="997">
        <v>451179640.77564585</v>
      </c>
      <c r="J107" s="997"/>
      <c r="K107" s="1016">
        <v>0.7</v>
      </c>
      <c r="L107" s="997"/>
      <c r="M107" s="997"/>
      <c r="N107" s="997"/>
      <c r="O107" s="997"/>
      <c r="P107" s="997"/>
    </row>
    <row r="108" spans="2:16" s="949" customFormat="1" x14ac:dyDescent="0.25">
      <c r="B108" s="1000"/>
      <c r="C108" s="1000" t="s">
        <v>282</v>
      </c>
      <c r="D108" s="1010">
        <f>SUM('Summary Board'!G89:H99)</f>
        <v>580453327.83678305</v>
      </c>
      <c r="E108" s="1011">
        <f>D108/$D$110</f>
        <v>0.90056663192343367</v>
      </c>
      <c r="F108" s="1000"/>
      <c r="G108" s="1000"/>
      <c r="H108" s="1000"/>
      <c r="I108" s="997"/>
      <c r="J108" s="997"/>
      <c r="K108" s="1016"/>
      <c r="L108" s="997"/>
      <c r="M108" s="997"/>
      <c r="N108" s="997"/>
      <c r="O108" s="997"/>
      <c r="P108" s="997"/>
    </row>
    <row r="109" spans="2:16" s="949" customFormat="1" x14ac:dyDescent="0.25">
      <c r="B109" s="1000"/>
      <c r="C109" s="1000" t="s">
        <v>275</v>
      </c>
      <c r="D109" s="1010">
        <f>SUM('Summary Board'!G104:H109)</f>
        <v>31055860.594557028</v>
      </c>
      <c r="E109" s="1011">
        <f>D109/$D$110</f>
        <v>4.8182808911362049E-2</v>
      </c>
      <c r="F109" s="1061" t="s">
        <v>108</v>
      </c>
      <c r="G109" s="1012" t="s">
        <v>224</v>
      </c>
      <c r="H109" s="1000"/>
      <c r="I109" s="997">
        <v>40000000</v>
      </c>
      <c r="J109" s="997"/>
      <c r="K109" s="1016">
        <v>6.2059537863596359E-2</v>
      </c>
      <c r="L109" s="997"/>
      <c r="M109" s="997"/>
      <c r="N109" s="997"/>
      <c r="O109" s="997"/>
      <c r="P109" s="997"/>
    </row>
    <row r="110" spans="2:16" s="949" customFormat="1" x14ac:dyDescent="0.25">
      <c r="B110" s="1000"/>
      <c r="C110" s="1013" t="s">
        <v>279</v>
      </c>
      <c r="D110" s="1014">
        <f>SUM(D107:D109)</f>
        <v>644542343.96520841</v>
      </c>
      <c r="E110" s="1015">
        <f>D110/$D$110</f>
        <v>1</v>
      </c>
      <c r="F110" s="1061"/>
      <c r="G110" s="1012" t="s">
        <v>230</v>
      </c>
      <c r="H110" s="1000"/>
      <c r="I110" s="997">
        <v>8000000</v>
      </c>
      <c r="J110" s="997"/>
      <c r="K110" s="1016">
        <v>1.2411907572719271E-2</v>
      </c>
      <c r="L110" s="997"/>
      <c r="M110" s="997"/>
      <c r="N110" s="997"/>
      <c r="O110" s="997"/>
      <c r="P110" s="997"/>
    </row>
    <row r="111" spans="2:16" s="949" customFormat="1" x14ac:dyDescent="0.25">
      <c r="B111" s="1000"/>
      <c r="C111" s="1000"/>
      <c r="D111" s="1000"/>
      <c r="E111" s="1000"/>
      <c r="F111" s="1061"/>
      <c r="G111" s="1012" t="s">
        <v>231</v>
      </c>
      <c r="H111" s="1000"/>
      <c r="I111" s="997">
        <v>300000</v>
      </c>
      <c r="J111" s="997"/>
      <c r="K111" s="1016">
        <v>4.6544653397697272E-4</v>
      </c>
      <c r="L111" s="997"/>
      <c r="M111" s="997"/>
      <c r="N111" s="997"/>
      <c r="O111" s="997"/>
      <c r="P111" s="997"/>
    </row>
    <row r="112" spans="2:16" s="949" customFormat="1" x14ac:dyDescent="0.25">
      <c r="B112" s="1000"/>
      <c r="C112" s="1000"/>
      <c r="D112" s="1010"/>
      <c r="E112" s="1000"/>
      <c r="F112" s="1061"/>
      <c r="G112" s="1012" t="s">
        <v>281</v>
      </c>
      <c r="H112" s="1000"/>
      <c r="I112" s="997">
        <v>200000</v>
      </c>
      <c r="J112" s="997"/>
      <c r="K112" s="1016">
        <v>3.1029768931798178E-4</v>
      </c>
      <c r="L112" s="997"/>
      <c r="M112" s="997"/>
      <c r="N112" s="997"/>
      <c r="O112" s="997"/>
      <c r="P112" s="997"/>
    </row>
    <row r="113" spans="2:16" s="949" customFormat="1" x14ac:dyDescent="0.25">
      <c r="B113" s="1000"/>
      <c r="C113" s="1000"/>
      <c r="D113" s="1000"/>
      <c r="E113" s="1000"/>
      <c r="F113" s="1061"/>
      <c r="G113" s="1012" t="s">
        <v>225</v>
      </c>
      <c r="H113" s="1000"/>
      <c r="I113" s="997">
        <v>3500000</v>
      </c>
      <c r="J113" s="997"/>
      <c r="K113" s="1016">
        <v>5.4302095630646818E-3</v>
      </c>
      <c r="L113" s="997"/>
      <c r="M113" s="997"/>
      <c r="N113" s="997"/>
      <c r="O113" s="997"/>
      <c r="P113" s="997"/>
    </row>
    <row r="114" spans="2:16" s="949" customFormat="1" x14ac:dyDescent="0.25">
      <c r="B114" s="1000"/>
      <c r="C114" s="1000"/>
      <c r="D114" s="1000"/>
      <c r="E114" s="1000"/>
      <c r="F114" s="1061"/>
      <c r="G114" s="1012" t="s">
        <v>126</v>
      </c>
      <c r="H114" s="1000"/>
      <c r="I114" s="997">
        <v>8000000</v>
      </c>
      <c r="J114" s="997"/>
      <c r="K114" s="1016">
        <v>1.2411907572719271E-2</v>
      </c>
      <c r="L114" s="997"/>
      <c r="M114" s="997"/>
      <c r="N114" s="997"/>
      <c r="O114" s="997"/>
      <c r="P114" s="997"/>
    </row>
    <row r="115" spans="2:16" s="949" customFormat="1" x14ac:dyDescent="0.25">
      <c r="B115" s="1000"/>
      <c r="C115" s="1000"/>
      <c r="D115" s="1000"/>
      <c r="E115" s="1000"/>
      <c r="F115" s="1061"/>
      <c r="G115" s="1012" t="s">
        <v>127</v>
      </c>
      <c r="H115" s="1000"/>
      <c r="I115" s="997">
        <v>3500000</v>
      </c>
      <c r="J115" s="997"/>
      <c r="K115" s="1016">
        <v>5.4302095630646818E-3</v>
      </c>
      <c r="L115" s="997"/>
      <c r="M115" s="997"/>
      <c r="N115" s="997"/>
      <c r="O115" s="997"/>
      <c r="P115" s="997"/>
    </row>
    <row r="116" spans="2:16" s="949" customFormat="1" x14ac:dyDescent="0.25">
      <c r="B116" s="1000"/>
      <c r="C116" s="1000"/>
      <c r="D116" s="1000"/>
      <c r="E116" s="1000"/>
      <c r="F116" s="1061"/>
      <c r="G116" s="1012" t="s">
        <v>128</v>
      </c>
      <c r="H116" s="1000"/>
      <c r="I116" s="997">
        <v>500000</v>
      </c>
      <c r="J116" s="997"/>
      <c r="K116" s="1016">
        <v>7.7574422329495444E-4</v>
      </c>
      <c r="L116" s="997"/>
      <c r="M116" s="997"/>
      <c r="N116" s="997"/>
      <c r="O116" s="997"/>
      <c r="P116" s="997"/>
    </row>
    <row r="117" spans="2:16" s="949" customFormat="1" x14ac:dyDescent="0.25">
      <c r="B117" s="1000"/>
      <c r="C117" s="1000"/>
      <c r="D117" s="1000"/>
      <c r="E117" s="1000"/>
      <c r="F117" s="1061"/>
      <c r="G117" s="1012" t="s">
        <v>56</v>
      </c>
      <c r="H117" s="1000"/>
      <c r="I117" s="997">
        <v>64000000</v>
      </c>
      <c r="J117" s="997"/>
      <c r="K117" s="1016">
        <v>9.9295260581754183E-2</v>
      </c>
      <c r="L117" s="997"/>
      <c r="M117" s="997"/>
      <c r="N117" s="997"/>
      <c r="O117" s="997"/>
      <c r="P117" s="997"/>
    </row>
    <row r="118" spans="2:16" s="949" customFormat="1" x14ac:dyDescent="0.25">
      <c r="B118" s="1000"/>
      <c r="C118" s="1000"/>
      <c r="D118" s="1000"/>
      <c r="E118" s="1000"/>
      <c r="F118" s="1000"/>
      <c r="G118" s="1012"/>
      <c r="H118" s="1000"/>
      <c r="I118" s="997"/>
      <c r="J118" s="997"/>
      <c r="K118" s="997"/>
    </row>
    <row r="119" spans="2:16" s="949" customFormat="1" x14ac:dyDescent="0.25">
      <c r="B119" s="1000"/>
      <c r="C119" s="1000"/>
      <c r="D119" s="1000"/>
      <c r="E119" s="1000"/>
      <c r="F119" s="1000"/>
      <c r="G119" s="1012" t="s">
        <v>41</v>
      </c>
      <c r="H119" s="1000"/>
      <c r="I119" s="997">
        <v>644542343.96520841</v>
      </c>
      <c r="J119" s="997"/>
      <c r="K119" s="997">
        <v>1</v>
      </c>
    </row>
    <row r="120" spans="2:16" s="949" customFormat="1" x14ac:dyDescent="0.25">
      <c r="B120" s="1000"/>
      <c r="C120" s="1000"/>
      <c r="D120" s="1000"/>
      <c r="E120" s="1000"/>
      <c r="F120" s="1000"/>
      <c r="G120" s="1000"/>
      <c r="H120" s="1000"/>
      <c r="I120" s="997"/>
      <c r="J120" s="997"/>
      <c r="K120" s="997"/>
    </row>
    <row r="121" spans="2:16" s="949" customFormat="1" x14ac:dyDescent="0.25">
      <c r="B121" s="1000"/>
      <c r="C121" s="1000"/>
      <c r="D121" s="1000"/>
      <c r="E121" s="1000"/>
      <c r="F121" s="1000"/>
      <c r="G121" s="1000"/>
      <c r="H121" s="1000"/>
      <c r="I121" s="997"/>
      <c r="J121" s="997"/>
      <c r="K121" s="997"/>
    </row>
    <row r="122" spans="2:16" s="949" customFormat="1" x14ac:dyDescent="0.25">
      <c r="B122" s="1000"/>
      <c r="C122" s="1000"/>
      <c r="D122" s="1000"/>
      <c r="E122" s="1000"/>
      <c r="F122" s="1000"/>
      <c r="G122" s="1000"/>
      <c r="H122" s="1000"/>
      <c r="I122" s="997"/>
      <c r="J122" s="997"/>
      <c r="K122" s="997"/>
    </row>
    <row r="123" spans="2:16" x14ac:dyDescent="0.25">
      <c r="B123" s="1000"/>
      <c r="C123" s="1000"/>
      <c r="D123" s="1000"/>
      <c r="E123" s="1000"/>
      <c r="F123" s="1000"/>
      <c r="G123" s="1000"/>
      <c r="H123" s="1000"/>
      <c r="I123" s="997"/>
      <c r="J123" s="997"/>
      <c r="K123" s="997"/>
    </row>
    <row r="124" spans="2:16" x14ac:dyDescent="0.25">
      <c r="B124" s="1000"/>
      <c r="C124" s="1000"/>
      <c r="D124" s="1000"/>
      <c r="E124" s="1000"/>
      <c r="F124" s="1000"/>
      <c r="G124" s="1000"/>
      <c r="H124" s="1000"/>
      <c r="I124" s="997"/>
      <c r="J124" s="997"/>
      <c r="K124" s="997"/>
    </row>
  </sheetData>
  <mergeCells count="17">
    <mergeCell ref="B18:C18"/>
    <mergeCell ref="B19:C19"/>
    <mergeCell ref="B3:F3"/>
    <mergeCell ref="B2:F2"/>
    <mergeCell ref="B17:C17"/>
    <mergeCell ref="B16:E16"/>
    <mergeCell ref="B7:B9"/>
    <mergeCell ref="B10:B12"/>
    <mergeCell ref="B5:C5"/>
    <mergeCell ref="B4:C4"/>
    <mergeCell ref="F101:F103"/>
    <mergeCell ref="F105:F107"/>
    <mergeCell ref="F109:F117"/>
    <mergeCell ref="C71:C74"/>
    <mergeCell ref="I93:L93"/>
    <mergeCell ref="F93:H93"/>
    <mergeCell ref="C93:E93"/>
  </mergeCells>
  <conditionalFormatting sqref="G2:H2">
    <cfRule type="cellIs" dxfId="286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5E88-9854-4B5C-B3AA-F7DC21845AE9}">
  <dimension ref="B1:S65"/>
  <sheetViews>
    <sheetView topLeftCell="A6" zoomScale="70" zoomScaleNormal="70" workbookViewId="0">
      <selection activeCell="Q23" sqref="Q23"/>
    </sheetView>
  </sheetViews>
  <sheetFormatPr defaultRowHeight="15" x14ac:dyDescent="0.25"/>
  <cols>
    <col min="2" max="2" width="35.28515625" bestFit="1" customWidth="1"/>
    <col min="3" max="3" width="18.7109375" style="149" bestFit="1" customWidth="1"/>
    <col min="4" max="4" width="18.85546875" style="149" customWidth="1"/>
    <col min="5" max="5" width="16.42578125" style="149" bestFit="1" customWidth="1"/>
    <col min="6" max="6" width="19.140625" style="149" bestFit="1" customWidth="1"/>
    <col min="7" max="7" width="19.85546875" style="149" bestFit="1" customWidth="1"/>
    <col min="8" max="8" width="16.85546875" style="149" customWidth="1"/>
    <col min="9" max="9" width="17.7109375" style="149" bestFit="1" customWidth="1"/>
    <col min="10" max="10" width="18.85546875" style="149" bestFit="1" customWidth="1"/>
    <col min="11" max="12" width="16.85546875" style="149" bestFit="1" customWidth="1"/>
    <col min="13" max="13" width="18.140625" style="149" bestFit="1" customWidth="1"/>
    <col min="14" max="14" width="19.140625" bestFit="1" customWidth="1"/>
    <col min="15" max="15" width="5.7109375" customWidth="1"/>
    <col min="16" max="16" width="52.85546875" bestFit="1" customWidth="1"/>
    <col min="17" max="17" width="17.85546875" bestFit="1" customWidth="1"/>
    <col min="18" max="18" width="3.140625" customWidth="1"/>
    <col min="19" max="19" width="32" bestFit="1" customWidth="1"/>
    <col min="21" max="21" width="15.7109375" bestFit="1" customWidth="1"/>
  </cols>
  <sheetData>
    <row r="1" spans="2:18" ht="15.75" thickBot="1" x14ac:dyDescent="0.3"/>
    <row r="2" spans="2:18" x14ac:dyDescent="0.25">
      <c r="B2" s="1073" t="s">
        <v>118</v>
      </c>
      <c r="C2" s="1074"/>
      <c r="D2" s="1074"/>
      <c r="E2" s="1074"/>
      <c r="F2" s="1074"/>
      <c r="G2" s="1074"/>
      <c r="H2" s="1074"/>
      <c r="I2" s="1074"/>
      <c r="J2" s="1074"/>
      <c r="K2" s="1074"/>
      <c r="L2" s="1074"/>
      <c r="M2" s="620" t="s">
        <v>1</v>
      </c>
      <c r="N2" s="621" t="s">
        <v>105</v>
      </c>
    </row>
    <row r="3" spans="2:18" ht="15.75" thickBot="1" x14ac:dyDescent="0.3">
      <c r="B3" s="1086" t="s">
        <v>130</v>
      </c>
      <c r="C3" s="1087"/>
      <c r="D3" s="1087"/>
      <c r="E3" s="1087"/>
      <c r="F3" s="1087"/>
      <c r="G3" s="1087"/>
      <c r="H3" s="1087"/>
      <c r="I3" s="1087"/>
      <c r="J3" s="1087"/>
      <c r="K3" s="1087"/>
      <c r="L3" s="1087"/>
      <c r="M3" s="618"/>
      <c r="N3" s="619"/>
    </row>
    <row r="4" spans="2:18" x14ac:dyDescent="0.25">
      <c r="B4" s="113"/>
      <c r="C4" s="183" t="s">
        <v>131</v>
      </c>
      <c r="D4" s="1091" t="s">
        <v>2</v>
      </c>
      <c r="E4" s="1091"/>
      <c r="F4" s="1091"/>
      <c r="G4" s="1092" t="s">
        <v>132</v>
      </c>
      <c r="H4" s="1091"/>
      <c r="I4" s="1093"/>
      <c r="J4" s="1091" t="s">
        <v>133</v>
      </c>
      <c r="K4" s="1091"/>
      <c r="L4" s="1091"/>
      <c r="M4" s="1091"/>
      <c r="N4" s="1094" t="s">
        <v>41</v>
      </c>
    </row>
    <row r="5" spans="2:18" x14ac:dyDescent="0.25">
      <c r="B5" s="112"/>
      <c r="C5" s="345">
        <v>0</v>
      </c>
      <c r="D5" s="185">
        <f>C5+1</f>
        <v>1</v>
      </c>
      <c r="E5" s="185">
        <f t="shared" ref="E5:M6" si="0">D5+1</f>
        <v>2</v>
      </c>
      <c r="F5" s="185">
        <f t="shared" si="0"/>
        <v>3</v>
      </c>
      <c r="G5" s="184">
        <f t="shared" si="0"/>
        <v>4</v>
      </c>
      <c r="H5" s="187">
        <f t="shared" si="0"/>
        <v>5</v>
      </c>
      <c r="I5" s="186">
        <f t="shared" si="0"/>
        <v>6</v>
      </c>
      <c r="J5" s="185">
        <f t="shared" si="0"/>
        <v>7</v>
      </c>
      <c r="K5" s="185">
        <f t="shared" si="0"/>
        <v>8</v>
      </c>
      <c r="L5" s="185">
        <f t="shared" si="0"/>
        <v>9</v>
      </c>
      <c r="M5" s="185">
        <f t="shared" si="0"/>
        <v>10</v>
      </c>
      <c r="N5" s="1095"/>
    </row>
    <row r="6" spans="2:18" ht="15.75" thickBot="1" x14ac:dyDescent="0.3">
      <c r="B6" s="112"/>
      <c r="C6" s="346" t="s">
        <v>134</v>
      </c>
      <c r="D6" s="343">
        <v>2015</v>
      </c>
      <c r="E6" s="188">
        <f>D6+1</f>
        <v>2016</v>
      </c>
      <c r="F6" s="188">
        <f t="shared" si="0"/>
        <v>2017</v>
      </c>
      <c r="G6" s="190">
        <f t="shared" si="0"/>
        <v>2018</v>
      </c>
      <c r="H6" s="188">
        <f t="shared" si="0"/>
        <v>2019</v>
      </c>
      <c r="I6" s="189">
        <f t="shared" si="0"/>
        <v>2020</v>
      </c>
      <c r="J6" s="188">
        <f t="shared" si="0"/>
        <v>2021</v>
      </c>
      <c r="K6" s="188">
        <f t="shared" si="0"/>
        <v>2022</v>
      </c>
      <c r="L6" s="188">
        <f>K6+1</f>
        <v>2023</v>
      </c>
      <c r="M6" s="188">
        <f>L6+1</f>
        <v>2024</v>
      </c>
      <c r="N6" s="1096"/>
    </row>
    <row r="7" spans="2:18" x14ac:dyDescent="0.25">
      <c r="B7" s="342" t="s">
        <v>120</v>
      </c>
      <c r="C7" s="347">
        <f>Land!D22</f>
        <v>0</v>
      </c>
      <c r="D7" s="279">
        <f>Land!E22</f>
        <v>0</v>
      </c>
      <c r="E7" s="279">
        <f>Land!F22</f>
        <v>0</v>
      </c>
      <c r="F7" s="279">
        <f>Land!G22</f>
        <v>0</v>
      </c>
      <c r="G7" s="278">
        <f>Land!H22</f>
        <v>0</v>
      </c>
      <c r="H7" s="279">
        <f>Land!I22</f>
        <v>0</v>
      </c>
      <c r="I7" s="315">
        <f>Land!J22</f>
        <v>0</v>
      </c>
      <c r="J7" s="279">
        <f>Land!K22</f>
        <v>0</v>
      </c>
      <c r="K7" s="279">
        <f>Land!L22</f>
        <v>0</v>
      </c>
      <c r="L7" s="279">
        <f>Land!M22</f>
        <v>0</v>
      </c>
      <c r="M7" s="279">
        <f>Land!N22</f>
        <v>0</v>
      </c>
      <c r="N7" s="336">
        <f>SUM(C7:M7)</f>
        <v>0</v>
      </c>
    </row>
    <row r="8" spans="2:18" x14ac:dyDescent="0.25">
      <c r="B8" s="114" t="s">
        <v>121</v>
      </c>
      <c r="C8" s="888">
        <f>Land!D23</f>
        <v>0</v>
      </c>
      <c r="D8" s="192"/>
      <c r="E8" s="192"/>
      <c r="F8" s="192"/>
      <c r="G8" s="191"/>
      <c r="H8" s="192"/>
      <c r="I8" s="193"/>
      <c r="J8" s="192"/>
      <c r="K8" s="192"/>
      <c r="L8" s="192"/>
      <c r="M8" s="192"/>
      <c r="N8" s="336">
        <f>SUM(C8:M8)</f>
        <v>0</v>
      </c>
    </row>
    <row r="9" spans="2:18" x14ac:dyDescent="0.25">
      <c r="B9" s="114" t="s">
        <v>122</v>
      </c>
      <c r="C9" s="336">
        <f>SUM('Summary Board'!E26:E37,'Summary Board'!E40)</f>
        <v>0</v>
      </c>
      <c r="D9" s="279">
        <f>-SUM('Summary Board'!F26:F35,'Summary Board'!F40)</f>
        <v>89597784.038879991</v>
      </c>
      <c r="E9" s="279">
        <f>-SUM('Summary Board'!G26:G35,'Summary Board'!G40)</f>
        <v>81269756.63808237</v>
      </c>
      <c r="F9" s="279">
        <f>-SUM('Summary Board'!H26:H35,'Summary Board'!H40)</f>
        <v>29331521.798167437</v>
      </c>
      <c r="G9" s="278">
        <f>-SUM('Summary Board'!I26:I35,'Summary Board'!I40)</f>
        <v>75558967.286225736</v>
      </c>
      <c r="H9" s="279">
        <f>-SUM('Summary Board'!J26:J35,'Summary Board'!J40)</f>
        <v>172837291.63053444</v>
      </c>
      <c r="I9" s="315">
        <f>-SUM('Summary Board'!K26:K35,'Summary Board'!K40)</f>
        <v>10808148.977772208</v>
      </c>
      <c r="J9" s="279">
        <f>-SUM('Summary Board'!L26:L35,'Summary Board'!L40)</f>
        <v>100726340.21649757</v>
      </c>
      <c r="K9" s="279">
        <f>-SUM('Summary Board'!M26:M35,'Summary Board'!M40)</f>
        <v>42535479.198644072</v>
      </c>
      <c r="L9" s="279">
        <f>-SUM('Summary Board'!N26:N35,'Summary Board'!N40)</f>
        <v>8843898.6465363093</v>
      </c>
      <c r="M9" s="279">
        <f>-SUM('Summary Board'!O26:O35,'Summary Board'!O40)</f>
        <v>0</v>
      </c>
      <c r="N9" s="336">
        <f>SUM(C9:M9)</f>
        <v>611509188.4313401</v>
      </c>
    </row>
    <row r="10" spans="2:18" ht="15.75" thickBot="1" x14ac:dyDescent="0.3">
      <c r="B10" s="118" t="s">
        <v>123</v>
      </c>
      <c r="C10" s="347">
        <f>Q19</f>
        <v>3878480.5338682919</v>
      </c>
      <c r="D10" s="344">
        <v>0</v>
      </c>
      <c r="E10" s="194">
        <f>D10</f>
        <v>0</v>
      </c>
      <c r="F10" s="194">
        <f t="shared" ref="F10:M10" si="1">E10</f>
        <v>0</v>
      </c>
      <c r="G10" s="196">
        <f t="shared" si="1"/>
        <v>0</v>
      </c>
      <c r="H10" s="194">
        <f t="shared" si="1"/>
        <v>0</v>
      </c>
      <c r="I10" s="195">
        <f t="shared" si="1"/>
        <v>0</v>
      </c>
      <c r="J10" s="194">
        <f t="shared" si="1"/>
        <v>0</v>
      </c>
      <c r="K10" s="194">
        <f t="shared" si="1"/>
        <v>0</v>
      </c>
      <c r="L10" s="194">
        <f t="shared" si="1"/>
        <v>0</v>
      </c>
      <c r="M10" s="194">
        <f t="shared" si="1"/>
        <v>0</v>
      </c>
      <c r="N10" s="336">
        <f>SUM(C10:M10)</f>
        <v>3878480.5338682919</v>
      </c>
    </row>
    <row r="11" spans="2:18" ht="15.75" thickBot="1" x14ac:dyDescent="0.3">
      <c r="B11" s="329" t="s">
        <v>25</v>
      </c>
      <c r="C11" s="423">
        <f t="shared" ref="C11:L11" si="2">SUM(C7:C10)</f>
        <v>3878480.5338682919</v>
      </c>
      <c r="D11" s="889">
        <f t="shared" si="2"/>
        <v>89597784.038879991</v>
      </c>
      <c r="E11" s="889">
        <f t="shared" si="2"/>
        <v>81269756.63808237</v>
      </c>
      <c r="F11" s="889">
        <f t="shared" si="2"/>
        <v>29331521.798167437</v>
      </c>
      <c r="G11" s="890">
        <f t="shared" si="2"/>
        <v>75558967.286225736</v>
      </c>
      <c r="H11" s="889">
        <f t="shared" si="2"/>
        <v>172837291.63053444</v>
      </c>
      <c r="I11" s="330">
        <f t="shared" si="2"/>
        <v>10808148.977772208</v>
      </c>
      <c r="J11" s="889">
        <f t="shared" si="2"/>
        <v>100726340.21649757</v>
      </c>
      <c r="K11" s="889">
        <f t="shared" si="2"/>
        <v>42535479.198644072</v>
      </c>
      <c r="L11" s="889">
        <f t="shared" si="2"/>
        <v>8843898.6465363093</v>
      </c>
      <c r="M11" s="889">
        <f>SUM(M7:M10)</f>
        <v>0</v>
      </c>
      <c r="N11" s="891">
        <f>SUM(N7:N10)</f>
        <v>615387668.96520841</v>
      </c>
    </row>
    <row r="12" spans="2:18" ht="15.75" thickBot="1" x14ac:dyDescent="0.3">
      <c r="B12" s="318"/>
      <c r="C12" s="319"/>
      <c r="D12" s="892"/>
      <c r="E12" s="892"/>
      <c r="F12" s="892"/>
      <c r="G12" s="893"/>
      <c r="H12" s="892"/>
      <c r="I12" s="894"/>
      <c r="J12" s="892"/>
      <c r="K12" s="892"/>
      <c r="L12" s="892"/>
      <c r="M12" s="892"/>
      <c r="N12" s="319"/>
    </row>
    <row r="13" spans="2:18" ht="15.75" thickBot="1" x14ac:dyDescent="0.3">
      <c r="B13" s="116" t="s">
        <v>135</v>
      </c>
      <c r="C13" s="336"/>
      <c r="D13" s="690"/>
      <c r="E13" s="334"/>
      <c r="F13" s="334"/>
      <c r="G13" s="350"/>
      <c r="H13" s="334"/>
      <c r="I13" s="335"/>
      <c r="J13" s="334"/>
      <c r="K13" s="334"/>
      <c r="L13" s="334"/>
      <c r="M13" s="334"/>
      <c r="N13" s="900"/>
      <c r="P13" s="149"/>
      <c r="Q13" s="149"/>
      <c r="R13" s="149"/>
    </row>
    <row r="14" spans="2:18" x14ac:dyDescent="0.25">
      <c r="B14" s="114" t="s">
        <v>136</v>
      </c>
      <c r="C14" s="336">
        <f>C11</f>
        <v>3878480.5338682919</v>
      </c>
      <c r="D14" s="334">
        <f>IF(SUM($C$11:C11)&gt;$Q$23,MAX(0,$Q$23-SUM($C$14:C14)),D11)</f>
        <v>89597784.038879991</v>
      </c>
      <c r="E14" s="334">
        <f>IF(SUM($C$11:D11)&gt;$Q$23,MAX(0,$Q$23-SUM($C$14:D14)),E11)</f>
        <v>81269756.63808237</v>
      </c>
      <c r="F14" s="334">
        <f>IF(SUM($C$11:E11)&gt;$Q$23,MAX(0,$Q$23-SUM($C$14:E14)),F11)</f>
        <v>0</v>
      </c>
      <c r="G14" s="350">
        <f>IF(SUM($C$11:F11)&gt;$Q$23,MAX(0,$Q$23-SUM($C$14:F14)),G11)</f>
        <v>0</v>
      </c>
      <c r="H14" s="334">
        <f>IF(SUM($C$11:G11)&gt;$Q$23,MAX(0,$Q$23-SUM($C$14:G14)),H11)</f>
        <v>0</v>
      </c>
      <c r="I14" s="335">
        <f>IF(SUM($C$11:H11)&gt;$Q$23,MAX(0,$Q$23-SUM($C$14:H14)),I11)</f>
        <v>0</v>
      </c>
      <c r="J14" s="334">
        <f>IF(SUM($C$11:I11)&gt;$Q$23,MAX(0,$Q$23-SUM($C$14:I14)),J11)</f>
        <v>0</v>
      </c>
      <c r="K14" s="334">
        <f>IF(SUM($C$11:J11)&gt;$Q$23,MAX(0,$Q$23-SUM($C$14:J14)),K11)</f>
        <v>0</v>
      </c>
      <c r="L14" s="334">
        <f>IF(SUM($C$11:K11)&gt;$Q$23,MAX(0,$Q$23-SUM($C$14:K14)),L11)</f>
        <v>0</v>
      </c>
      <c r="M14" s="334">
        <f>IF(SUM($C$11:L11)&gt;$Q$23,MAX(0,$Q$23-SUM($C$14:L14)),M11)</f>
        <v>0</v>
      </c>
      <c r="N14" s="326">
        <f>SUM(C14:M14)</f>
        <v>174746021.21083066</v>
      </c>
      <c r="P14" s="1073" t="s">
        <v>118</v>
      </c>
      <c r="Q14" s="1077"/>
      <c r="R14" s="149"/>
    </row>
    <row r="15" spans="2:18" ht="15.75" thickBot="1" x14ac:dyDescent="0.3">
      <c r="B15" s="114" t="s">
        <v>137</v>
      </c>
      <c r="C15" s="336">
        <f t="shared" ref="C15:M15" si="3">C11-C14</f>
        <v>0</v>
      </c>
      <c r="D15" s="334">
        <f t="shared" si="3"/>
        <v>0</v>
      </c>
      <c r="E15" s="334">
        <f t="shared" si="3"/>
        <v>0</v>
      </c>
      <c r="F15" s="334">
        <f t="shared" si="3"/>
        <v>29331521.798167437</v>
      </c>
      <c r="G15" s="350">
        <f t="shared" si="3"/>
        <v>75558967.286225736</v>
      </c>
      <c r="H15" s="334">
        <f t="shared" si="3"/>
        <v>172837291.63053444</v>
      </c>
      <c r="I15" s="335">
        <f t="shared" si="3"/>
        <v>10808148.977772208</v>
      </c>
      <c r="J15" s="334">
        <f t="shared" si="3"/>
        <v>100726340.21649757</v>
      </c>
      <c r="K15" s="334">
        <f t="shared" si="3"/>
        <v>42535479.198644072</v>
      </c>
      <c r="L15" s="334">
        <f t="shared" si="3"/>
        <v>8843898.6465363093</v>
      </c>
      <c r="M15" s="334">
        <f t="shared" si="3"/>
        <v>0</v>
      </c>
      <c r="N15" s="326">
        <f>SUM(C15:M15)</f>
        <v>440641647.75437778</v>
      </c>
      <c r="P15" s="1086" t="s">
        <v>119</v>
      </c>
      <c r="Q15" s="1090"/>
      <c r="R15" s="149"/>
    </row>
    <row r="16" spans="2:18" ht="15.75" thickBot="1" x14ac:dyDescent="0.3">
      <c r="B16" s="114" t="s">
        <v>138</v>
      </c>
      <c r="C16" s="336">
        <f>SUM($C$15:C15)</f>
        <v>0</v>
      </c>
      <c r="D16" s="334">
        <f>SUM($C$15:D15)</f>
        <v>0</v>
      </c>
      <c r="E16" s="334">
        <f>SUM($C$15:E15)</f>
        <v>0</v>
      </c>
      <c r="F16" s="334">
        <f>SUM($C$15:F15)</f>
        <v>29331521.798167437</v>
      </c>
      <c r="G16" s="350">
        <f>SUM($C$15:G15)</f>
        <v>104890489.08439317</v>
      </c>
      <c r="H16" s="334">
        <f>SUM($C$15:H15)</f>
        <v>277727780.71492761</v>
      </c>
      <c r="I16" s="335">
        <f>SUM($C$15:I15)</f>
        <v>288535929.69269985</v>
      </c>
      <c r="J16" s="334">
        <f>SUM($C$15:J15)</f>
        <v>389262269.90919745</v>
      </c>
      <c r="K16" s="334">
        <f>SUM($C$15:K15)</f>
        <v>431797749.10784149</v>
      </c>
      <c r="L16" s="334">
        <f>SUM($C$15:L15)</f>
        <v>440641647.75437778</v>
      </c>
      <c r="M16" s="334">
        <f>SUM($C$15:M15)</f>
        <v>440641647.75437778</v>
      </c>
      <c r="N16" s="326"/>
      <c r="P16" s="908" t="s">
        <v>120</v>
      </c>
      <c r="Q16" s="909">
        <f>Land!E13</f>
        <v>27984849</v>
      </c>
      <c r="R16" s="149"/>
    </row>
    <row r="17" spans="2:19" ht="15.75" thickBot="1" x14ac:dyDescent="0.3">
      <c r="B17" s="331"/>
      <c r="C17" s="895"/>
      <c r="D17" s="332"/>
      <c r="E17" s="332"/>
      <c r="F17" s="332"/>
      <c r="G17" s="348"/>
      <c r="H17" s="332"/>
      <c r="I17" s="349"/>
      <c r="J17" s="332"/>
      <c r="K17" s="332"/>
      <c r="L17" s="332"/>
      <c r="M17" s="332"/>
      <c r="N17" s="337"/>
      <c r="P17" s="197" t="s">
        <v>121</v>
      </c>
      <c r="Q17" s="315">
        <f>Land!E19</f>
        <v>1169826</v>
      </c>
      <c r="R17" s="149"/>
    </row>
    <row r="18" spans="2:19" x14ac:dyDescent="0.25">
      <c r="B18" s="116" t="s">
        <v>139</v>
      </c>
      <c r="C18" s="336"/>
      <c r="D18" s="334"/>
      <c r="E18" s="334"/>
      <c r="F18" s="334"/>
      <c r="G18" s="350"/>
      <c r="H18" s="334"/>
      <c r="I18" s="335"/>
      <c r="J18" s="334"/>
      <c r="K18" s="334"/>
      <c r="L18" s="334"/>
      <c r="M18" s="334"/>
      <c r="N18" s="327"/>
      <c r="P18" s="197" t="s">
        <v>20</v>
      </c>
      <c r="Q18" s="315">
        <f>SUM('Summary Board'!G89:H99,'Summary Board'!G110:H110)</f>
        <v>611509188.4313401</v>
      </c>
      <c r="R18" s="149"/>
    </row>
    <row r="19" spans="2:19" x14ac:dyDescent="0.25">
      <c r="B19" s="117" t="s">
        <v>140</v>
      </c>
      <c r="C19" s="336">
        <f t="shared" ref="C19:M19" si="4">C16*$C$40</f>
        <v>0</v>
      </c>
      <c r="D19" s="334">
        <f t="shared" si="4"/>
        <v>0</v>
      </c>
      <c r="E19" s="334">
        <f t="shared" si="4"/>
        <v>0</v>
      </c>
      <c r="F19" s="334">
        <f t="shared" si="4"/>
        <v>1979877.7213763022</v>
      </c>
      <c r="G19" s="350">
        <f t="shared" si="4"/>
        <v>7080108.0131965401</v>
      </c>
      <c r="H19" s="334">
        <f t="shared" si="4"/>
        <v>18746625.198257614</v>
      </c>
      <c r="I19" s="335">
        <f t="shared" si="4"/>
        <v>19476175.254257239</v>
      </c>
      <c r="J19" s="334">
        <f t="shared" si="4"/>
        <v>26275203.21887083</v>
      </c>
      <c r="K19" s="334">
        <f t="shared" si="4"/>
        <v>29146348.064779304</v>
      </c>
      <c r="L19" s="334">
        <f t="shared" si="4"/>
        <v>29743311.223420501</v>
      </c>
      <c r="M19" s="334">
        <f t="shared" si="4"/>
        <v>29743311.223420501</v>
      </c>
      <c r="N19" s="326">
        <f>SUM(C19:M19)</f>
        <v>162190959.91757885</v>
      </c>
      <c r="P19" s="316">
        <v>0.01</v>
      </c>
      <c r="Q19" s="317">
        <v>3878480.5338682919</v>
      </c>
    </row>
    <row r="20" spans="2:19" ht="15.75" thickBot="1" x14ac:dyDescent="0.3">
      <c r="B20" s="115" t="s">
        <v>141</v>
      </c>
      <c r="C20" s="336">
        <v>0</v>
      </c>
      <c r="D20" s="334">
        <f>C20</f>
        <v>0</v>
      </c>
      <c r="E20" s="334">
        <v>0</v>
      </c>
      <c r="F20" s="334">
        <v>0</v>
      </c>
      <c r="G20" s="350">
        <f t="shared" ref="G20:I20" si="5">F20</f>
        <v>0</v>
      </c>
      <c r="H20" s="334">
        <f t="shared" si="5"/>
        <v>0</v>
      </c>
      <c r="I20" s="335">
        <f t="shared" si="5"/>
        <v>0</v>
      </c>
      <c r="J20" s="334">
        <f>I20</f>
        <v>0</v>
      </c>
      <c r="K20" s="334">
        <f>J20</f>
        <v>0</v>
      </c>
      <c r="L20" s="334">
        <f>K20</f>
        <v>0</v>
      </c>
      <c r="M20" s="334">
        <f>M16-SUM(D20:L20)</f>
        <v>440641647.75437778</v>
      </c>
      <c r="N20" s="328">
        <f>SUM(C20:M20)</f>
        <v>440641647.75437778</v>
      </c>
      <c r="P20" s="190" t="s">
        <v>25</v>
      </c>
      <c r="Q20" s="419">
        <f>SUM(Q16:Q19)</f>
        <v>644542343.96520841</v>
      </c>
    </row>
    <row r="21" spans="2:19" ht="15.75" thickBot="1" x14ac:dyDescent="0.3">
      <c r="B21" s="329" t="s">
        <v>142</v>
      </c>
      <c r="C21" s="896">
        <f>SUM(C19:C20)</f>
        <v>0</v>
      </c>
      <c r="D21" s="897">
        <f t="shared" ref="D21:N21" si="6">SUM(D19:D20)</f>
        <v>0</v>
      </c>
      <c r="E21" s="897">
        <f t="shared" si="6"/>
        <v>0</v>
      </c>
      <c r="F21" s="897">
        <f t="shared" si="6"/>
        <v>1979877.7213763022</v>
      </c>
      <c r="G21" s="898">
        <f t="shared" si="6"/>
        <v>7080108.0131965401</v>
      </c>
      <c r="H21" s="897">
        <f t="shared" si="6"/>
        <v>18746625.198257614</v>
      </c>
      <c r="I21" s="899">
        <f t="shared" si="6"/>
        <v>19476175.254257239</v>
      </c>
      <c r="J21" s="897">
        <f t="shared" si="6"/>
        <v>26275203.21887083</v>
      </c>
      <c r="K21" s="897">
        <f t="shared" si="6"/>
        <v>29146348.064779304</v>
      </c>
      <c r="L21" s="897">
        <f t="shared" si="6"/>
        <v>29743311.223420501</v>
      </c>
      <c r="M21" s="897">
        <f t="shared" si="6"/>
        <v>470384958.97779828</v>
      </c>
      <c r="N21" s="340">
        <f t="shared" si="6"/>
        <v>602832607.67195666</v>
      </c>
      <c r="P21" s="366" t="s">
        <v>107</v>
      </c>
      <c r="Q21" s="367"/>
      <c r="R21" s="149"/>
    </row>
    <row r="22" spans="2:19" ht="15.75" thickBot="1" x14ac:dyDescent="0.3">
      <c r="B22" s="318"/>
      <c r="C22" s="319"/>
      <c r="D22" s="332"/>
      <c r="E22" s="332"/>
      <c r="F22" s="332"/>
      <c r="G22" s="348"/>
      <c r="H22" s="332"/>
      <c r="I22" s="349"/>
      <c r="J22" s="332"/>
      <c r="K22" s="332"/>
      <c r="L22" s="332"/>
      <c r="M22" s="332"/>
      <c r="N22" s="333"/>
      <c r="P22" s="209">
        <v>0.7</v>
      </c>
      <c r="Q22" s="335">
        <f>Q20*P22</f>
        <v>451179640.77564585</v>
      </c>
      <c r="R22" s="368"/>
    </row>
    <row r="23" spans="2:19" x14ac:dyDescent="0.25">
      <c r="B23" s="116" t="s">
        <v>143</v>
      </c>
      <c r="C23" s="336"/>
      <c r="D23" s="334"/>
      <c r="E23" s="334"/>
      <c r="F23" s="334"/>
      <c r="G23" s="350"/>
      <c r="H23" s="334"/>
      <c r="I23" s="335"/>
      <c r="J23" s="334"/>
      <c r="K23" s="334"/>
      <c r="L23" s="334"/>
      <c r="M23" s="334"/>
      <c r="N23" s="327"/>
      <c r="P23" s="341" t="s">
        <v>124</v>
      </c>
      <c r="Q23" s="335">
        <f>Q20-Q22-Q25-Q26-Q27-Q28-Q29-Q30-Q31-Q24</f>
        <v>101377854.18956256</v>
      </c>
      <c r="R23" s="368"/>
    </row>
    <row r="24" spans="2:19" x14ac:dyDescent="0.25">
      <c r="B24" s="114" t="s">
        <v>27</v>
      </c>
      <c r="C24" s="336">
        <f>'Summary Board'!E23</f>
        <v>0</v>
      </c>
      <c r="D24" s="334">
        <f>'Summary Board'!F23</f>
        <v>3147494.5464092866</v>
      </c>
      <c r="E24" s="334">
        <f>'Summary Board'!G23</f>
        <v>45480479.464521512</v>
      </c>
      <c r="F24" s="334">
        <f>'Summary Board'!H23</f>
        <v>40907543.037720159</v>
      </c>
      <c r="G24" s="350">
        <f>'Summary Board'!I23</f>
        <v>19127498.926985756</v>
      </c>
      <c r="H24" s="334">
        <f>'Summary Board'!J23</f>
        <v>68750826.02144438</v>
      </c>
      <c r="I24" s="335">
        <f>'Summary Board'!K23</f>
        <v>89196729.892803311</v>
      </c>
      <c r="J24" s="334">
        <f>'Summary Board'!L23</f>
        <v>31748224.626969181</v>
      </c>
      <c r="K24" s="334">
        <f>'Summary Board'!M23</f>
        <v>66178610.946525231</v>
      </c>
      <c r="L24" s="334">
        <f>'Summary Board'!N23</f>
        <v>80600036.859491706</v>
      </c>
      <c r="M24" s="334">
        <f>'Summary Board'!O23</f>
        <v>39019720.607251704</v>
      </c>
      <c r="N24" s="326">
        <f>SUM(C24:M24)</f>
        <v>484157164.9301222</v>
      </c>
      <c r="P24" s="686" t="s">
        <v>125</v>
      </c>
      <c r="Q24" s="911">
        <f>Land!E13</f>
        <v>27984849</v>
      </c>
      <c r="R24" s="368"/>
    </row>
    <row r="25" spans="2:19" x14ac:dyDescent="0.25">
      <c r="B25" s="115" t="s">
        <v>144</v>
      </c>
      <c r="C25" s="336">
        <f t="shared" ref="C25:M25" si="7">-C19</f>
        <v>0</v>
      </c>
      <c r="D25" s="334">
        <f t="shared" si="7"/>
        <v>0</v>
      </c>
      <c r="E25" s="334">
        <f t="shared" si="7"/>
        <v>0</v>
      </c>
      <c r="F25" s="334">
        <f t="shared" si="7"/>
        <v>-1979877.7213763022</v>
      </c>
      <c r="G25" s="350">
        <f t="shared" si="7"/>
        <v>-7080108.0131965401</v>
      </c>
      <c r="H25" s="334">
        <f t="shared" si="7"/>
        <v>-18746625.198257614</v>
      </c>
      <c r="I25" s="335">
        <f t="shared" si="7"/>
        <v>-19476175.254257239</v>
      </c>
      <c r="J25" s="334">
        <f t="shared" si="7"/>
        <v>-26275203.21887083</v>
      </c>
      <c r="K25" s="334">
        <f t="shared" si="7"/>
        <v>-29146348.064779304</v>
      </c>
      <c r="L25" s="334">
        <f t="shared" si="7"/>
        <v>-29743311.223420501</v>
      </c>
      <c r="M25" s="334">
        <f t="shared" si="7"/>
        <v>-29743311.223420501</v>
      </c>
      <c r="N25" s="328">
        <f>SUM(C25:M25)</f>
        <v>-162190959.91757885</v>
      </c>
      <c r="P25" s="197" t="s">
        <v>224</v>
      </c>
      <c r="Q25" s="335">
        <v>40000000</v>
      </c>
      <c r="R25" s="368"/>
    </row>
    <row r="26" spans="2:19" ht="15.75" thickBot="1" x14ac:dyDescent="0.3">
      <c r="B26" s="329" t="s">
        <v>157</v>
      </c>
      <c r="C26" s="896">
        <f>SUM(C24:C25)</f>
        <v>0</v>
      </c>
      <c r="D26" s="897">
        <f t="shared" ref="D26:M26" si="8">SUM(D24:D25)</f>
        <v>3147494.5464092866</v>
      </c>
      <c r="E26" s="897">
        <f t="shared" si="8"/>
        <v>45480479.464521512</v>
      </c>
      <c r="F26" s="897">
        <f t="shared" si="8"/>
        <v>38927665.316343859</v>
      </c>
      <c r="G26" s="898">
        <f t="shared" si="8"/>
        <v>12047390.913789216</v>
      </c>
      <c r="H26" s="897">
        <f>SUM(H24:H25)</f>
        <v>50004200.82318677</v>
      </c>
      <c r="I26" s="899">
        <f t="shared" si="8"/>
        <v>69720554.638546079</v>
      </c>
      <c r="J26" s="897">
        <f t="shared" si="8"/>
        <v>5473021.4080983512</v>
      </c>
      <c r="K26" s="897">
        <f t="shared" si="8"/>
        <v>37032262.881745927</v>
      </c>
      <c r="L26" s="897">
        <f t="shared" si="8"/>
        <v>50856725.636071205</v>
      </c>
      <c r="M26" s="897">
        <f t="shared" si="8"/>
        <v>9276409.383831203</v>
      </c>
      <c r="N26" s="340">
        <f>SUM(N24:N25)</f>
        <v>321966205.01254332</v>
      </c>
      <c r="P26" s="197" t="s">
        <v>230</v>
      </c>
      <c r="Q26" s="335">
        <v>8000000</v>
      </c>
      <c r="R26" s="368"/>
      <c r="S26" s="202" t="s">
        <v>229</v>
      </c>
    </row>
    <row r="27" spans="2:19" ht="15.75" thickBot="1" x14ac:dyDescent="0.3">
      <c r="B27" s="318"/>
      <c r="C27" s="319"/>
      <c r="D27" s="332"/>
      <c r="E27" s="332"/>
      <c r="F27" s="332"/>
      <c r="G27" s="348"/>
      <c r="H27" s="332"/>
      <c r="I27" s="349"/>
      <c r="J27" s="332"/>
      <c r="K27" s="332"/>
      <c r="L27" s="332"/>
      <c r="M27" s="332"/>
      <c r="N27" s="333"/>
      <c r="P27" s="686" t="s">
        <v>231</v>
      </c>
      <c r="Q27" s="335">
        <v>300000</v>
      </c>
      <c r="R27" s="368"/>
      <c r="S27" s="202" t="s">
        <v>226</v>
      </c>
    </row>
    <row r="28" spans="2:19" x14ac:dyDescent="0.25">
      <c r="B28" s="116" t="s">
        <v>145</v>
      </c>
      <c r="C28" s="336"/>
      <c r="D28" s="334"/>
      <c r="E28" s="334"/>
      <c r="F28" s="334"/>
      <c r="G28" s="350"/>
      <c r="H28" s="334"/>
      <c r="I28" s="335"/>
      <c r="J28" s="334"/>
      <c r="K28" s="334"/>
      <c r="L28" s="334"/>
      <c r="M28" s="334"/>
      <c r="N28" s="327"/>
      <c r="P28" s="687" t="s">
        <v>223</v>
      </c>
      <c r="Q28" s="335">
        <v>3700000</v>
      </c>
      <c r="R28" s="368"/>
      <c r="S28" s="912"/>
    </row>
    <row r="29" spans="2:19" x14ac:dyDescent="0.25">
      <c r="B29" s="114" t="s">
        <v>146</v>
      </c>
      <c r="C29" s="336">
        <f t="shared" ref="C29:M29" si="9">-C14</f>
        <v>-3878480.5338682919</v>
      </c>
      <c r="D29" s="334">
        <f t="shared" si="9"/>
        <v>-89597784.038879991</v>
      </c>
      <c r="E29" s="334">
        <f t="shared" si="9"/>
        <v>-81269756.63808237</v>
      </c>
      <c r="F29" s="334">
        <f t="shared" si="9"/>
        <v>0</v>
      </c>
      <c r="G29" s="350">
        <f t="shared" si="9"/>
        <v>0</v>
      </c>
      <c r="H29" s="334">
        <f t="shared" si="9"/>
        <v>0</v>
      </c>
      <c r="I29" s="335">
        <f t="shared" si="9"/>
        <v>0</v>
      </c>
      <c r="J29" s="334">
        <f t="shared" si="9"/>
        <v>0</v>
      </c>
      <c r="K29" s="334">
        <f t="shared" si="9"/>
        <v>0</v>
      </c>
      <c r="L29" s="334">
        <f t="shared" si="9"/>
        <v>0</v>
      </c>
      <c r="M29" s="334">
        <f t="shared" si="9"/>
        <v>0</v>
      </c>
      <c r="N29" s="326">
        <f>SUM(C29:M29)</f>
        <v>-174746021.21083066</v>
      </c>
      <c r="P29" s="197" t="s">
        <v>126</v>
      </c>
      <c r="Q29" s="335">
        <v>8000000</v>
      </c>
      <c r="R29" s="368"/>
      <c r="S29" s="912"/>
    </row>
    <row r="30" spans="2:19" x14ac:dyDescent="0.25">
      <c r="B30" s="114" t="s">
        <v>143</v>
      </c>
      <c r="C30" s="336">
        <f t="shared" ref="C30:M30" si="10">C26</f>
        <v>0</v>
      </c>
      <c r="D30" s="334">
        <f t="shared" si="10"/>
        <v>3147494.5464092866</v>
      </c>
      <c r="E30" s="334">
        <f t="shared" si="10"/>
        <v>45480479.464521512</v>
      </c>
      <c r="F30" s="334">
        <f t="shared" si="10"/>
        <v>38927665.316343859</v>
      </c>
      <c r="G30" s="350">
        <f t="shared" si="10"/>
        <v>12047390.913789216</v>
      </c>
      <c r="H30" s="334">
        <f t="shared" si="10"/>
        <v>50004200.82318677</v>
      </c>
      <c r="I30" s="335">
        <f t="shared" si="10"/>
        <v>69720554.638546079</v>
      </c>
      <c r="J30" s="334">
        <f t="shared" si="10"/>
        <v>5473021.4080983512</v>
      </c>
      <c r="K30" s="334">
        <f t="shared" si="10"/>
        <v>37032262.881745927</v>
      </c>
      <c r="L30" s="334">
        <f t="shared" si="10"/>
        <v>50856725.636071205</v>
      </c>
      <c r="M30" s="334">
        <f t="shared" si="10"/>
        <v>9276409.383831203</v>
      </c>
      <c r="N30" s="328">
        <f>SUM(C30:M30)</f>
        <v>321966205.01254338</v>
      </c>
      <c r="P30" s="197" t="s">
        <v>127</v>
      </c>
      <c r="Q30" s="335">
        <v>3500000</v>
      </c>
      <c r="R30" s="368"/>
      <c r="S30" s="912"/>
    </row>
    <row r="31" spans="2:19" x14ac:dyDescent="0.25">
      <c r="B31" s="114" t="s">
        <v>147</v>
      </c>
      <c r="C31" s="336">
        <f>'Summary Board'!E45</f>
        <v>0</v>
      </c>
      <c r="D31" s="334">
        <f>'Summary Board'!F45</f>
        <v>0</v>
      </c>
      <c r="E31" s="334">
        <f>'Summary Board'!G45</f>
        <v>0</v>
      </c>
      <c r="F31" s="334">
        <f>'Summary Board'!H45</f>
        <v>0</v>
      </c>
      <c r="G31" s="350">
        <f>'Summary Board'!I45</f>
        <v>0</v>
      </c>
      <c r="H31" s="334">
        <f>'Summary Board'!J45</f>
        <v>0</v>
      </c>
      <c r="I31" s="335">
        <f>'Summary Board'!K45</f>
        <v>0</v>
      </c>
      <c r="J31" s="334">
        <f>'Summary Board'!L45</f>
        <v>0</v>
      </c>
      <c r="K31" s="334">
        <f>'Summary Board'!M45</f>
        <v>0</v>
      </c>
      <c r="L31" s="334">
        <f>'Summary Board'!N45</f>
        <v>0</v>
      </c>
      <c r="M31" s="334">
        <f>'Summary Board'!O45</f>
        <v>692885431.98743188</v>
      </c>
      <c r="N31" s="328">
        <f>SUM(C31:M31)</f>
        <v>692885431.98743188</v>
      </c>
      <c r="P31" s="197" t="s">
        <v>128</v>
      </c>
      <c r="Q31" s="335">
        <v>500000</v>
      </c>
      <c r="R31" s="368"/>
      <c r="S31" s="912"/>
    </row>
    <row r="32" spans="2:19" ht="15.75" thickBot="1" x14ac:dyDescent="0.3">
      <c r="B32" s="114" t="s">
        <v>148</v>
      </c>
      <c r="C32" s="336">
        <f>'Summary Board'!E46</f>
        <v>0</v>
      </c>
      <c r="D32" s="334">
        <f>'Summary Board'!F46</f>
        <v>0</v>
      </c>
      <c r="E32" s="334">
        <f>'Summary Board'!G46</f>
        <v>0</v>
      </c>
      <c r="F32" s="334">
        <f>'Summary Board'!H46</f>
        <v>0</v>
      </c>
      <c r="G32" s="350">
        <f>'Summary Board'!I46</f>
        <v>0</v>
      </c>
      <c r="H32" s="334">
        <f>'Summary Board'!J46</f>
        <v>0</v>
      </c>
      <c r="I32" s="335">
        <f>'Summary Board'!K46</f>
        <v>0</v>
      </c>
      <c r="J32" s="334">
        <f>'Summary Board'!L46</f>
        <v>0</v>
      </c>
      <c r="K32" s="334">
        <f>'Summary Board'!M46</f>
        <v>0</v>
      </c>
      <c r="L32" s="334">
        <f>'Summary Board'!N46</f>
        <v>0</v>
      </c>
      <c r="M32" s="334">
        <f>'Summary Board'!O46</f>
        <v>-20786562.959622957</v>
      </c>
      <c r="N32" s="328">
        <f>SUM(C32:M32)</f>
        <v>-20786562.959622957</v>
      </c>
      <c r="P32" s="190" t="s">
        <v>129</v>
      </c>
      <c r="Q32" s="419">
        <f>SUM(Q22:Q31)</f>
        <v>644542343.96520841</v>
      </c>
      <c r="R32" s="418"/>
      <c r="S32" s="202" t="s">
        <v>227</v>
      </c>
    </row>
    <row r="33" spans="2:19" ht="15.75" thickBot="1" x14ac:dyDescent="0.3">
      <c r="B33" s="118" t="s">
        <v>149</v>
      </c>
      <c r="C33" s="336">
        <f t="shared" ref="C33:M33" si="11">-C20</f>
        <v>0</v>
      </c>
      <c r="D33" s="334">
        <f t="shared" si="11"/>
        <v>0</v>
      </c>
      <c r="E33" s="334">
        <f t="shared" si="11"/>
        <v>0</v>
      </c>
      <c r="F33" s="334">
        <f t="shared" si="11"/>
        <v>0</v>
      </c>
      <c r="G33" s="350">
        <f t="shared" si="11"/>
        <v>0</v>
      </c>
      <c r="H33" s="334">
        <f t="shared" si="11"/>
        <v>0</v>
      </c>
      <c r="I33" s="335">
        <f t="shared" si="11"/>
        <v>0</v>
      </c>
      <c r="J33" s="334">
        <f t="shared" si="11"/>
        <v>0</v>
      </c>
      <c r="K33" s="334">
        <f t="shared" si="11"/>
        <v>0</v>
      </c>
      <c r="L33" s="334">
        <f t="shared" si="11"/>
        <v>0</v>
      </c>
      <c r="M33" s="334">
        <f t="shared" si="11"/>
        <v>-440641647.75437778</v>
      </c>
      <c r="N33" s="901">
        <f>SUM(C33:M33)</f>
        <v>-440641647.75437778</v>
      </c>
      <c r="R33" s="420"/>
    </row>
    <row r="34" spans="2:19" ht="15.75" thickBot="1" x14ac:dyDescent="0.3">
      <c r="B34" s="351"/>
      <c r="C34" s="422"/>
      <c r="D34" s="352"/>
      <c r="E34" s="352"/>
      <c r="F34" s="352"/>
      <c r="G34" s="421"/>
      <c r="H34" s="352"/>
      <c r="I34" s="353"/>
      <c r="J34" s="352"/>
      <c r="K34" s="352"/>
      <c r="L34" s="352"/>
      <c r="M34" s="352"/>
      <c r="N34" s="422"/>
      <c r="P34" s="418"/>
    </row>
    <row r="35" spans="2:19" ht="15.75" thickBot="1" x14ac:dyDescent="0.3">
      <c r="B35" s="354" t="s">
        <v>150</v>
      </c>
      <c r="C35" s="423">
        <f t="shared" ref="C35:N35" si="12">SUM(C29:C33)</f>
        <v>-3878480.5338682919</v>
      </c>
      <c r="D35" s="355">
        <f>SUM(D29:D33)</f>
        <v>-86450289.492470711</v>
      </c>
      <c r="E35" s="355">
        <f t="shared" si="12"/>
        <v>-35789277.173560858</v>
      </c>
      <c r="F35" s="355">
        <f t="shared" si="12"/>
        <v>38927665.316343859</v>
      </c>
      <c r="G35" s="359">
        <f t="shared" si="12"/>
        <v>12047390.913789216</v>
      </c>
      <c r="H35" s="355">
        <f t="shared" si="12"/>
        <v>50004200.82318677</v>
      </c>
      <c r="I35" s="356">
        <f t="shared" si="12"/>
        <v>69720554.638546079</v>
      </c>
      <c r="J35" s="355">
        <f t="shared" si="12"/>
        <v>5473021.4080983512</v>
      </c>
      <c r="K35" s="355">
        <f t="shared" si="12"/>
        <v>37032262.881745927</v>
      </c>
      <c r="L35" s="355">
        <f t="shared" si="12"/>
        <v>50856725.636071205</v>
      </c>
      <c r="M35" s="355">
        <f t="shared" si="12"/>
        <v>240733630.65726227</v>
      </c>
      <c r="N35" s="423">
        <f t="shared" si="12"/>
        <v>378677405.07514387</v>
      </c>
      <c r="P35" s="418"/>
    </row>
    <row r="36" spans="2:19" x14ac:dyDescent="0.25">
      <c r="B36" s="357" t="s">
        <v>32</v>
      </c>
      <c r="C36" s="424">
        <f>C35+NPV(C41,D35:M35)</f>
        <v>202856472.81842962</v>
      </c>
      <c r="D36" s="364"/>
      <c r="E36" s="364"/>
      <c r="F36" s="364"/>
      <c r="G36" s="363"/>
      <c r="H36" s="364"/>
      <c r="I36" s="365"/>
      <c r="J36" s="364"/>
      <c r="K36" s="364"/>
      <c r="L36" s="364"/>
      <c r="M36" s="364"/>
      <c r="N36" s="902"/>
      <c r="S36" s="338"/>
    </row>
    <row r="37" spans="2:19" ht="15.75" thickBot="1" x14ac:dyDescent="0.3">
      <c r="B37" s="358" t="s">
        <v>36</v>
      </c>
      <c r="C37" s="425">
        <f>IRR(C35:M35,0)</f>
        <v>0.2587724940590681</v>
      </c>
      <c r="D37" s="361"/>
      <c r="E37" s="361"/>
      <c r="F37" s="361"/>
      <c r="G37" s="360"/>
      <c r="H37" s="361"/>
      <c r="I37" s="362"/>
      <c r="J37" s="361"/>
      <c r="K37" s="361"/>
      <c r="L37" s="361"/>
      <c r="M37" s="361"/>
      <c r="N37" s="903"/>
      <c r="Q37" s="274"/>
      <c r="S37" s="338"/>
    </row>
    <row r="38" spans="2:19" ht="15.75" thickBot="1" x14ac:dyDescent="0.3">
      <c r="Q38" s="274"/>
      <c r="S38" s="338"/>
    </row>
    <row r="39" spans="2:19" ht="15.75" thickBot="1" x14ac:dyDescent="0.3">
      <c r="B39" s="1088" t="s">
        <v>151</v>
      </c>
      <c r="C39" s="1089"/>
      <c r="Q39" s="274"/>
      <c r="S39" s="339"/>
    </row>
    <row r="40" spans="2:19" x14ac:dyDescent="0.25">
      <c r="B40" s="622" t="s">
        <v>152</v>
      </c>
      <c r="C40" s="623">
        <v>6.7500000000000004E-2</v>
      </c>
      <c r="Q40" s="274"/>
      <c r="S40" s="338"/>
    </row>
    <row r="41" spans="2:19" ht="15.75" thickBot="1" x14ac:dyDescent="0.3">
      <c r="B41" s="624" t="s">
        <v>153</v>
      </c>
      <c r="C41" s="625">
        <v>0.06</v>
      </c>
      <c r="S41" s="338"/>
    </row>
    <row r="57" spans="3:3" x14ac:dyDescent="0.25">
      <c r="C57" s="235"/>
    </row>
    <row r="58" spans="3:3" x14ac:dyDescent="0.25">
      <c r="C58" s="236"/>
    </row>
    <row r="59" spans="3:3" x14ac:dyDescent="0.25">
      <c r="C59" s="237"/>
    </row>
    <row r="60" spans="3:3" x14ac:dyDescent="0.25">
      <c r="C60" s="237"/>
    </row>
    <row r="61" spans="3:3" x14ac:dyDescent="0.25">
      <c r="C61" s="237"/>
    </row>
    <row r="62" spans="3:3" x14ac:dyDescent="0.25">
      <c r="C62" s="237"/>
    </row>
    <row r="63" spans="3:3" x14ac:dyDescent="0.25">
      <c r="C63" s="237"/>
    </row>
    <row r="64" spans="3:3" x14ac:dyDescent="0.25">
      <c r="C64" s="237"/>
    </row>
    <row r="65" spans="3:3" x14ac:dyDescent="0.25">
      <c r="C65" s="237"/>
    </row>
  </sheetData>
  <mergeCells count="9">
    <mergeCell ref="B3:L3"/>
    <mergeCell ref="B2:L2"/>
    <mergeCell ref="B39:C39"/>
    <mergeCell ref="P15:Q15"/>
    <mergeCell ref="P14:Q14"/>
    <mergeCell ref="J4:M4"/>
    <mergeCell ref="G4:I4"/>
    <mergeCell ref="D4:F4"/>
    <mergeCell ref="N4:N6"/>
  </mergeCells>
  <conditionalFormatting sqref="A4:D4 J4 G4 N4:O4 A56:A58 A8:B9 D8:M9 A10:M10 O5:O10 A17:C17 A38:E55 D56:P58 A5:M7 A36:P37 A11:O12 P29:Q32 P17:Q21 A34:O35 N13:O33 A13:B16 A22:C22 A18:B21 A27:C27 A23:B26 A28:B33 A2:B3 O2 M3:O3 P22:P23 P25:P26 R13:R18 R21:R34 P13:R16 AA13:XFD34 S22:S23 Q48:Q58 T48:XFD58 Q37:R45 U37:XFD45 A1:XFD1 A59:XFD1048576 R2:XFD12 S36:S45 T38 T40:T45 Q46:XFD47 Q35:XFD36 Q25:Q28">
    <cfRule type="cellIs" dxfId="285" priority="20" operator="lessThan">
      <formula>0</formula>
    </cfRule>
  </conditionalFormatting>
  <conditionalFormatting sqref="C8:C9">
    <cfRule type="cellIs" dxfId="284" priority="18" operator="lessThan">
      <formula>0</formula>
    </cfRule>
  </conditionalFormatting>
  <conditionalFormatting sqref="N7:N10">
    <cfRule type="cellIs" dxfId="283" priority="14" operator="lessThan">
      <formula>0</formula>
    </cfRule>
  </conditionalFormatting>
  <conditionalFormatting sqref="D17:M17 D27:M27 D22:M22">
    <cfRule type="cellIs" dxfId="282" priority="13" operator="lessThan">
      <formula>0</formula>
    </cfRule>
  </conditionalFormatting>
  <conditionalFormatting sqref="Q22:Q23">
    <cfRule type="cellIs" dxfId="281" priority="7" operator="lessThan">
      <formula>0</formula>
    </cfRule>
  </conditionalFormatting>
  <conditionalFormatting sqref="C13:M16">
    <cfRule type="cellIs" dxfId="280" priority="6" operator="lessThan">
      <formula>0</formula>
    </cfRule>
  </conditionalFormatting>
  <conditionalFormatting sqref="C18:M21">
    <cfRule type="cellIs" dxfId="279" priority="5" operator="lessThan">
      <formula>0</formula>
    </cfRule>
  </conditionalFormatting>
  <conditionalFormatting sqref="C23:M26">
    <cfRule type="cellIs" dxfId="278" priority="4" operator="lessThan">
      <formula>0</formula>
    </cfRule>
  </conditionalFormatting>
  <conditionalFormatting sqref="C28:M33">
    <cfRule type="cellIs" dxfId="277" priority="3" operator="lessThan">
      <formula>0</formula>
    </cfRule>
  </conditionalFormatting>
  <conditionalFormatting sqref="M2:N2">
    <cfRule type="cellIs" dxfId="276" priority="2" operator="lessThan">
      <formula>0</formula>
    </cfRule>
  </conditionalFormatting>
  <conditionalFormatting sqref="Q24">
    <cfRule type="cellIs" dxfId="275" priority="1" operator="lessThan">
      <formula>0</formula>
    </cfRule>
  </conditionalFormatting>
  <hyperlinks>
    <hyperlink ref="S27" r:id="rId1" xr:uid="{A8500F45-69DE-4BC8-A338-0C837AA8BD0A}"/>
    <hyperlink ref="S32" r:id="rId2" xr:uid="{4B5C18A0-43E5-4EBA-BBB8-1CC153E0A204}"/>
    <hyperlink ref="S26" r:id="rId3" xr:uid="{441D9802-C08C-4611-A620-6ED58685A650}"/>
  </hyperlinks>
  <pageMargins left="0.7" right="0.7" top="0.75" bottom="0.75" header="0.3" footer="0.3"/>
  <pageSetup paperSize="9" orientation="portrait" horizontalDpi="1200" verticalDpi="1200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FE373-6691-483A-B593-EF90BC442B1B}">
  <sheetPr>
    <pageSetUpPr fitToPage="1"/>
  </sheetPr>
  <dimension ref="B1:AC146"/>
  <sheetViews>
    <sheetView tabSelected="1" topLeftCell="A32" zoomScale="70" zoomScaleNormal="70" workbookViewId="0">
      <selection activeCell="G66" sqref="G66"/>
    </sheetView>
  </sheetViews>
  <sheetFormatPr defaultColWidth="9.140625" defaultRowHeight="12.75" x14ac:dyDescent="0.2"/>
  <cols>
    <col min="1" max="1" width="4.42578125" style="2" customWidth="1"/>
    <col min="2" max="2" width="13" style="2" customWidth="1"/>
    <col min="3" max="3" width="17.7109375" style="2" customWidth="1"/>
    <col min="4" max="4" width="18.42578125" style="145" bestFit="1" customWidth="1"/>
    <col min="5" max="5" width="22.7109375" style="3" bestFit="1" customWidth="1"/>
    <col min="6" max="6" width="21.5703125" style="2" bestFit="1" customWidth="1"/>
    <col min="7" max="7" width="22.7109375" style="2" bestFit="1" customWidth="1"/>
    <col min="8" max="8" width="29.5703125" style="2" bestFit="1" customWidth="1"/>
    <col min="9" max="9" width="15.140625" style="2" bestFit="1" customWidth="1"/>
    <col min="10" max="10" width="15.85546875" style="2" bestFit="1" customWidth="1"/>
    <col min="11" max="11" width="14.85546875" style="2" bestFit="1" customWidth="1"/>
    <col min="12" max="12" width="17" style="2" bestFit="1" customWidth="1"/>
    <col min="13" max="14" width="14.85546875" style="2" bestFit="1" customWidth="1"/>
    <col min="15" max="15" width="15.140625" style="2" bestFit="1" customWidth="1"/>
    <col min="16" max="16" width="12.85546875" style="2" hidden="1" customWidth="1"/>
    <col min="17" max="17" width="11.5703125" style="2" bestFit="1" customWidth="1"/>
    <col min="18" max="16384" width="9.140625" style="2"/>
  </cols>
  <sheetData>
    <row r="1" spans="2:16" s="4" customFormat="1" ht="17.25" thickBot="1" x14ac:dyDescent="0.3">
      <c r="B1" s="1179" t="s">
        <v>0</v>
      </c>
      <c r="C1" s="1180"/>
      <c r="D1" s="1180"/>
      <c r="E1" s="1180"/>
      <c r="F1" s="1180"/>
      <c r="G1" s="1180"/>
      <c r="H1" s="1180"/>
      <c r="I1" s="1180"/>
      <c r="J1" s="1180"/>
      <c r="K1" s="1180"/>
      <c r="L1" s="1180"/>
      <c r="M1" s="1180"/>
      <c r="N1" s="667" t="s">
        <v>1</v>
      </c>
      <c r="O1" s="668" t="s">
        <v>105</v>
      </c>
      <c r="P1" s="668" t="s">
        <v>105</v>
      </c>
    </row>
    <row r="2" spans="2:16" s="4" customFormat="1" ht="13.5" customHeight="1" x14ac:dyDescent="0.3">
      <c r="B2" s="705"/>
      <c r="C2" s="416"/>
      <c r="D2" s="416"/>
      <c r="E2" s="907"/>
      <c r="F2" s="1201" t="s">
        <v>206</v>
      </c>
      <c r="G2" s="1201"/>
      <c r="H2" s="1201"/>
      <c r="I2" s="1201" t="s">
        <v>207</v>
      </c>
      <c r="J2" s="1201"/>
      <c r="K2" s="1201"/>
      <c r="L2" s="1201" t="s">
        <v>208</v>
      </c>
      <c r="M2" s="1201"/>
      <c r="N2" s="1201"/>
      <c r="O2" s="1207"/>
      <c r="P2" s="594"/>
    </row>
    <row r="3" spans="2:16" ht="11.25" customHeight="1" x14ac:dyDescent="0.2">
      <c r="B3" s="697"/>
      <c r="C3" s="8"/>
      <c r="D3" s="405"/>
      <c r="E3" s="729">
        <v>0</v>
      </c>
      <c r="F3" s="304">
        <f>E3+1</f>
        <v>1</v>
      </c>
      <c r="G3" s="304">
        <f t="shared" ref="G3:O3" si="0">F3+1</f>
        <v>2</v>
      </c>
      <c r="H3" s="304">
        <f t="shared" si="0"/>
        <v>3</v>
      </c>
      <c r="I3" s="304">
        <f t="shared" si="0"/>
        <v>4</v>
      </c>
      <c r="J3" s="304">
        <f t="shared" si="0"/>
        <v>5</v>
      </c>
      <c r="K3" s="304">
        <f t="shared" si="0"/>
        <v>6</v>
      </c>
      <c r="L3" s="304">
        <f t="shared" si="0"/>
        <v>7</v>
      </c>
      <c r="M3" s="304">
        <f t="shared" si="0"/>
        <v>8</v>
      </c>
      <c r="N3" s="304">
        <f>M3+1</f>
        <v>9</v>
      </c>
      <c r="O3" s="706">
        <f t="shared" si="0"/>
        <v>10</v>
      </c>
      <c r="P3" s="1211" t="s">
        <v>156</v>
      </c>
    </row>
    <row r="4" spans="2:16" ht="11.25" customHeight="1" thickBot="1" x14ac:dyDescent="0.25">
      <c r="B4" s="699"/>
      <c r="C4" s="401"/>
      <c r="D4" s="405"/>
      <c r="E4" s="730" t="s">
        <v>154</v>
      </c>
      <c r="F4" s="305">
        <v>2022</v>
      </c>
      <c r="G4" s="305">
        <f>F4+1</f>
        <v>2023</v>
      </c>
      <c r="H4" s="305">
        <f t="shared" ref="H4:M4" si="1">G4+1</f>
        <v>2024</v>
      </c>
      <c r="I4" s="305">
        <f t="shared" si="1"/>
        <v>2025</v>
      </c>
      <c r="J4" s="305">
        <f t="shared" si="1"/>
        <v>2026</v>
      </c>
      <c r="K4" s="305">
        <f t="shared" si="1"/>
        <v>2027</v>
      </c>
      <c r="L4" s="305">
        <f t="shared" si="1"/>
        <v>2028</v>
      </c>
      <c r="M4" s="305">
        <f t="shared" si="1"/>
        <v>2029</v>
      </c>
      <c r="N4" s="417">
        <f>M4+1</f>
        <v>2030</v>
      </c>
      <c r="O4" s="700">
        <f>N4+1</f>
        <v>2031</v>
      </c>
      <c r="P4" s="1211"/>
    </row>
    <row r="5" spans="2:16" ht="11.25" customHeight="1" thickBot="1" x14ac:dyDescent="0.25">
      <c r="B5" s="660" t="s">
        <v>3</v>
      </c>
      <c r="C5" s="661"/>
      <c r="D5" s="662"/>
      <c r="E5" s="731"/>
      <c r="F5" s="663"/>
      <c r="G5" s="663"/>
      <c r="H5" s="663"/>
      <c r="I5" s="663"/>
      <c r="J5" s="663"/>
      <c r="K5" s="663"/>
      <c r="L5" s="663"/>
      <c r="M5" s="663"/>
      <c r="N5" s="664"/>
      <c r="O5" s="665"/>
      <c r="P5" s="665"/>
    </row>
    <row r="6" spans="2:16" ht="11.25" customHeight="1" x14ac:dyDescent="0.2">
      <c r="B6" s="1177" t="s">
        <v>4</v>
      </c>
      <c r="C6" s="402" t="s">
        <v>5</v>
      </c>
      <c r="D6" s="405"/>
      <c r="E6" s="743">
        <f>'2. Market-Rate Rental'!D37</f>
        <v>0</v>
      </c>
      <c r="F6" s="744">
        <f>'2. Market-Rate Rental'!E37</f>
        <v>1998453.7992302866</v>
      </c>
      <c r="G6" s="744">
        <f>'2. Market-Rate Rental'!F37</f>
        <v>4076845.7504297839</v>
      </c>
      <c r="H6" s="744">
        <f>'2. Market-Rate Rental'!G37</f>
        <v>4932983.3580200393</v>
      </c>
      <c r="I6" s="744">
        <f>'2. Market-Rate Rental'!H37</f>
        <v>8192013.8509136084</v>
      </c>
      <c r="J6" s="744">
        <f>'2. Market-Rate Rental'!I37</f>
        <v>11643055.624960922</v>
      </c>
      <c r="K6" s="744">
        <f>'2. Market-Rate Rental'!J37</f>
        <v>13108935.415119937</v>
      </c>
      <c r="L6" s="744">
        <f>'2. Market-Rate Rental'!K37</f>
        <v>15555504.054476475</v>
      </c>
      <c r="M6" s="744">
        <f>'2. Market-Rate Rental'!L37</f>
        <v>18117197.70089452</v>
      </c>
      <c r="N6" s="744">
        <f>'2. Market-Rate Rental'!M37</f>
        <v>19420735.701932795</v>
      </c>
      <c r="O6" s="745">
        <f>'2. Market-Rate Rental'!N37</f>
        <v>19879395.630212478</v>
      </c>
      <c r="P6" s="321">
        <f>'2. Market-Rate Rental'!N46</f>
        <v>397587912.60424954</v>
      </c>
    </row>
    <row r="7" spans="2:16" ht="11.25" customHeight="1" x14ac:dyDescent="0.2">
      <c r="B7" s="1177"/>
      <c r="C7" s="402" t="s">
        <v>6</v>
      </c>
      <c r="D7" s="405"/>
      <c r="E7" s="743">
        <f>'3. Market-Rate For-Sale'!D35</f>
        <v>0</v>
      </c>
      <c r="F7" s="744">
        <f>'3. Market-Rate For-Sale'!E35</f>
        <v>0</v>
      </c>
      <c r="G7" s="744">
        <f>'3. Market-Rate For-Sale'!F35</f>
        <v>27144301.843007997</v>
      </c>
      <c r="H7" s="744">
        <f>'3. Market-Rate For-Sale'!G35</f>
        <v>27687187.879868153</v>
      </c>
      <c r="I7" s="744">
        <f>'3. Market-Rate For-Sale'!H35</f>
        <v>0</v>
      </c>
      <c r="J7" s="744">
        <f>'3. Market-Rate For-Sale'!I35</f>
        <v>42943724.082107849</v>
      </c>
      <c r="K7" s="744">
        <f>'3. Market-Rate For-Sale'!J35</f>
        <v>43802598.563750006</v>
      </c>
      <c r="L7" s="744">
        <f>'3. Market-Rate For-Sale'!K35</f>
        <v>0</v>
      </c>
      <c r="M7" s="744">
        <f>'3. Market-Rate For-Sale'!L35</f>
        <v>29779434.570022333</v>
      </c>
      <c r="N7" s="744">
        <f>'3. Market-Rate For-Sale'!M35</f>
        <v>30375023.261422776</v>
      </c>
      <c r="O7" s="745">
        <f>'3. Market-Rate For-Sale'!N35</f>
        <v>0</v>
      </c>
      <c r="P7" s="321">
        <v>0</v>
      </c>
    </row>
    <row r="8" spans="2:16" ht="11.25" customHeight="1" x14ac:dyDescent="0.2">
      <c r="B8" s="1177" t="s">
        <v>7</v>
      </c>
      <c r="C8" s="402" t="s">
        <v>5</v>
      </c>
      <c r="D8" s="405"/>
      <c r="E8" s="743">
        <f>'4. Affordable Rental'!D37</f>
        <v>0</v>
      </c>
      <c r="F8" s="744">
        <f>'4. Affordable Rental'!E37</f>
        <v>291455.88731999998</v>
      </c>
      <c r="G8" s="744">
        <f>'4. Affordable Rental'!F37</f>
        <v>708237.80618760001</v>
      </c>
      <c r="H8" s="744">
        <f>'4. Affordable Rental'!G37</f>
        <v>749158.2127673279</v>
      </c>
      <c r="I8" s="744">
        <f>'4. Affordable Rental'!H37</f>
        <v>1237181.2770843301</v>
      </c>
      <c r="J8" s="744">
        <f>'4. Affordable Rental'!I37</f>
        <v>1902166.2135171574</v>
      </c>
      <c r="K8" s="744">
        <f>'4. Affordable Rental'!J37</f>
        <v>1996996.1584056714</v>
      </c>
      <c r="L8" s="744">
        <f>'4. Affordable Rental'!K37</f>
        <v>2365162.7487468114</v>
      </c>
      <c r="M8" s="744">
        <f>'4. Affordable Rental'!L37</f>
        <v>2865418.8044205257</v>
      </c>
      <c r="N8" s="744">
        <f>'4. Affordable Rental'!M37</f>
        <v>2952858.3885554196</v>
      </c>
      <c r="O8" s="745">
        <f>'4. Affordable Rental'!N37</f>
        <v>3011915.5563265281</v>
      </c>
      <c r="P8" s="321">
        <f>'4. Affordable Rental'!N46</f>
        <v>60238311.126530558</v>
      </c>
    </row>
    <row r="9" spans="2:16" ht="11.25" customHeight="1" x14ac:dyDescent="0.2">
      <c r="B9" s="1177"/>
      <c r="C9" s="402" t="s">
        <v>6</v>
      </c>
      <c r="D9" s="405"/>
      <c r="E9" s="743">
        <f>'5. Affordable For-Sale'!D35</f>
        <v>0</v>
      </c>
      <c r="F9" s="744">
        <f>'5. Affordable For-Sale'!E35</f>
        <v>0</v>
      </c>
      <c r="G9" s="744">
        <f>'5. Affordable For-Sale'!F35</f>
        <v>10857720.737203199</v>
      </c>
      <c r="H9" s="744">
        <f>'5. Affordable For-Sale'!G35</f>
        <v>0</v>
      </c>
      <c r="I9" s="744">
        <f>'5. Affordable For-Sale'!H35</f>
        <v>0</v>
      </c>
      <c r="J9" s="744">
        <f>'5. Affordable For-Sale'!I35</f>
        <v>0</v>
      </c>
      <c r="K9" s="744">
        <f>'5. Affordable For-Sale'!J35</f>
        <v>17521039.425499998</v>
      </c>
      <c r="L9" s="744">
        <f>'5. Affordable For-Sale'!K35</f>
        <v>0</v>
      </c>
      <c r="M9" s="744">
        <f>'5. Affordable For-Sale'!L35</f>
        <v>0</v>
      </c>
      <c r="N9" s="744">
        <f>'5. Affordable For-Sale'!M35</f>
        <v>12150009.304569108</v>
      </c>
      <c r="O9" s="745">
        <f>'5. Affordable For-Sale'!N35</f>
        <v>0</v>
      </c>
      <c r="P9" s="321">
        <v>0</v>
      </c>
    </row>
    <row r="10" spans="2:16" ht="11.25" customHeight="1" x14ac:dyDescent="0.2">
      <c r="B10" s="1186" t="s">
        <v>8</v>
      </c>
      <c r="C10" s="1187"/>
      <c r="D10" s="405"/>
      <c r="E10" s="743">
        <f>'6. Office_Commercial'!D34</f>
        <v>0</v>
      </c>
      <c r="F10" s="744">
        <f>'6. Office_Commercial'!E34</f>
        <v>857584.85985900019</v>
      </c>
      <c r="G10" s="744">
        <f>'6. Office_Commercial'!F34</f>
        <v>1124661.2876436601</v>
      </c>
      <c r="H10" s="744">
        <f>'6. Office_Commercial'!G34</f>
        <v>1210885.3196963407</v>
      </c>
      <c r="I10" s="744">
        <f>'6. Office_Commercial'!H34</f>
        <v>1927412.9994684807</v>
      </c>
      <c r="J10" s="744">
        <f>'6. Office_Commercial'!I34</f>
        <v>2164689.0560023896</v>
      </c>
      <c r="K10" s="744">
        <f>'6. Office_Commercial'!J34</f>
        <v>2258658.4252412943</v>
      </c>
      <c r="L10" s="744">
        <f>'6. Office_Commercial'!K34</f>
        <v>2314169.413722367</v>
      </c>
      <c r="M10" s="744">
        <f>'6. Office_Commercial'!L34</f>
        <v>2360452.8019968141</v>
      </c>
      <c r="N10" s="744">
        <f>'6. Office_Commercial'!M34</f>
        <v>2407661.8580367505</v>
      </c>
      <c r="O10" s="745">
        <f>'6. Office_Commercial'!N34</f>
        <v>2455815.0951974858</v>
      </c>
      <c r="P10" s="321">
        <f>'6. Office_Commercial'!N43</f>
        <v>49116301.903949715</v>
      </c>
    </row>
    <row r="11" spans="2:16" ht="11.25" customHeight="1" x14ac:dyDescent="0.2">
      <c r="B11" s="1186" t="s">
        <v>21</v>
      </c>
      <c r="C11" s="1187"/>
      <c r="D11" s="405"/>
      <c r="E11" s="743">
        <f>'7. Retail'!D34</f>
        <v>0</v>
      </c>
      <c r="F11" s="744">
        <f>'7. Retail'!E34</f>
        <v>0</v>
      </c>
      <c r="G11" s="744">
        <f>'7. Retail'!F34</f>
        <v>1602904.5400492796</v>
      </c>
      <c r="H11" s="744">
        <f>'7. Retail'!G34</f>
        <v>3678665.9194130972</v>
      </c>
      <c r="I11" s="744">
        <f>'7. Retail'!H34</f>
        <v>5084110.0046050325</v>
      </c>
      <c r="J11" s="744">
        <f>'7. Retail'!I34</f>
        <v>5546489.9463488162</v>
      </c>
      <c r="K11" s="744">
        <f>'7. Retail'!J34</f>
        <v>5960946.8948756829</v>
      </c>
      <c r="L11" s="744">
        <f>'7. Retail'!K34</f>
        <v>6080165.8327731956</v>
      </c>
      <c r="M11" s="744">
        <f>'7. Retail'!L34</f>
        <v>6201769.1494286601</v>
      </c>
      <c r="N11" s="744">
        <f>'7. Retail'!M34</f>
        <v>6325804.5324172322</v>
      </c>
      <c r="O11" s="745">
        <f>'7. Retail'!N34</f>
        <v>6452320.6230655778</v>
      </c>
      <c r="P11" s="321">
        <f>'7. Retail'!N43</f>
        <v>109361366.49263692</v>
      </c>
    </row>
    <row r="12" spans="2:16" ht="11.25" customHeight="1" x14ac:dyDescent="0.2">
      <c r="B12" s="1186" t="s">
        <v>216</v>
      </c>
      <c r="C12" s="1187"/>
      <c r="D12" s="405"/>
      <c r="E12" s="743">
        <f>'8. Industrial_Gallery n School'!D31</f>
        <v>0</v>
      </c>
      <c r="F12" s="744">
        <f>'8. Industrial_Gallery n School'!E31</f>
        <v>0</v>
      </c>
      <c r="G12" s="744">
        <f>'8. Industrial_Gallery n School'!F31</f>
        <v>0</v>
      </c>
      <c r="H12" s="744">
        <f>'8. Industrial_Gallery n School'!G31</f>
        <v>0</v>
      </c>
      <c r="I12" s="744">
        <f>'8. Industrial_Gallery n School'!H31</f>
        <v>0</v>
      </c>
      <c r="J12" s="744">
        <f>'8. Industrial_Gallery n School'!I31</f>
        <v>483543.03955083841</v>
      </c>
      <c r="K12" s="744">
        <f>'8. Industrial_Gallery n School'!J31</f>
        <v>397037.18977519346</v>
      </c>
      <c r="L12" s="744">
        <f>'8. Industrial_Gallery n School'!K31</f>
        <v>1214933.8007120918</v>
      </c>
      <c r="M12" s="744">
        <f>'8. Industrial_Gallery n School'!L31</f>
        <v>1257192.3676933821</v>
      </c>
      <c r="N12" s="744">
        <f>'8. Industrial_Gallery n School'!M31</f>
        <v>1282336.2150472496</v>
      </c>
      <c r="O12" s="745">
        <f>'8. Industrial_Gallery n School'!N31</f>
        <v>1444434.8185890431</v>
      </c>
      <c r="P12" s="321">
        <f>'8. Industrial_Gallery n School'!N40</f>
        <v>24073913.643150721</v>
      </c>
    </row>
    <row r="13" spans="2:16" ht="11.25" customHeight="1" x14ac:dyDescent="0.2">
      <c r="B13" s="1186" t="s">
        <v>9</v>
      </c>
      <c r="C13" s="1187"/>
      <c r="D13" s="405"/>
      <c r="E13" s="743">
        <f>'9. Hotel'!C15</f>
        <v>0</v>
      </c>
      <c r="F13" s="744">
        <f>'9. Hotel'!D15</f>
        <v>0</v>
      </c>
      <c r="G13" s="744">
        <f>'9. Hotel'!E15</f>
        <v>0</v>
      </c>
      <c r="H13" s="744">
        <f>'9. Hotel'!F15</f>
        <v>0</v>
      </c>
      <c r="I13" s="744">
        <f>'9. Hotel'!G15</f>
        <v>0</v>
      </c>
      <c r="J13" s="744">
        <f>'9. Hotel'!H15</f>
        <v>0</v>
      </c>
      <c r="K13" s="744">
        <f>'9. Hotel'!I15</f>
        <v>0</v>
      </c>
      <c r="L13" s="744">
        <f>'9. Hotel'!J15</f>
        <v>0</v>
      </c>
      <c r="M13" s="744">
        <f>'9. Hotel'!K15</f>
        <v>0</v>
      </c>
      <c r="N13" s="744">
        <f>'9. Hotel'!L15</f>
        <v>0</v>
      </c>
      <c r="O13" s="745">
        <f>'9. Hotel'!M15</f>
        <v>0</v>
      </c>
      <c r="P13" s="321">
        <v>0</v>
      </c>
    </row>
    <row r="14" spans="2:16" ht="11.25" customHeight="1" x14ac:dyDescent="0.2">
      <c r="B14" s="1186" t="s">
        <v>10</v>
      </c>
      <c r="C14" s="1187"/>
      <c r="D14" s="405"/>
      <c r="E14" s="743">
        <f>'10. Structured Parking'!D79</f>
        <v>0</v>
      </c>
      <c r="F14" s="744">
        <f>'10. Structured Parking'!E79</f>
        <v>0</v>
      </c>
      <c r="G14" s="744">
        <f>'10. Structured Parking'!F79</f>
        <v>-34192.5</v>
      </c>
      <c r="H14" s="744">
        <f>'10. Structured Parking'!G79</f>
        <v>2648662.347955199</v>
      </c>
      <c r="I14" s="744">
        <f>'10. Structured Parking'!H79</f>
        <v>2686780.7949143033</v>
      </c>
      <c r="J14" s="744">
        <f>'10. Structured Parking'!I79</f>
        <v>4067158.0589564</v>
      </c>
      <c r="K14" s="744">
        <f>'10. Structured Parking'!J79</f>
        <v>4150517.8201355282</v>
      </c>
      <c r="L14" s="744">
        <f>'10. Structured Parking'!K79</f>
        <v>4218288.7765382379</v>
      </c>
      <c r="M14" s="744">
        <f>'10. Structured Parking'!L79</f>
        <v>5597145.5520690028</v>
      </c>
      <c r="N14" s="744">
        <f>'10. Structured Parking'!M79</f>
        <v>5685607.5975103844</v>
      </c>
      <c r="O14" s="745">
        <f>'10. Structured Parking'!N79</f>
        <v>5775838.8838605918</v>
      </c>
      <c r="P14" s="321">
        <f>'10. Structured Parking'!N88</f>
        <v>52507626.216914468</v>
      </c>
    </row>
    <row r="15" spans="2:16" ht="11.25" customHeight="1" x14ac:dyDescent="0.2">
      <c r="B15" s="1186" t="s">
        <v>11</v>
      </c>
      <c r="C15" s="1187"/>
      <c r="D15" s="405"/>
      <c r="E15" s="743">
        <f>'11. Surface Parking'!C30</f>
        <v>0</v>
      </c>
      <c r="F15" s="744">
        <f>'11. Surface Parking'!D30</f>
        <v>0</v>
      </c>
      <c r="G15" s="744">
        <f>'11. Surface Parking'!E30</f>
        <v>0</v>
      </c>
      <c r="H15" s="744">
        <f>'11. Surface Parking'!F30</f>
        <v>0</v>
      </c>
      <c r="I15" s="744">
        <f>'11. Surface Parking'!G30</f>
        <v>0</v>
      </c>
      <c r="J15" s="744">
        <f>'11. Surface Parking'!H30</f>
        <v>0</v>
      </c>
      <c r="K15" s="744">
        <f>'11. Surface Parking'!I30</f>
        <v>0</v>
      </c>
      <c r="L15" s="744">
        <f>'11. Surface Parking'!J30</f>
        <v>0</v>
      </c>
      <c r="M15" s="744">
        <f>'11. Surface Parking'!K30</f>
        <v>0</v>
      </c>
      <c r="N15" s="744">
        <f>'11. Surface Parking'!L30</f>
        <v>0</v>
      </c>
      <c r="O15" s="745">
        <f>'11. Surface Parking'!M30</f>
        <v>0</v>
      </c>
      <c r="P15" s="321">
        <f>'11. Surface Parking'!M39</f>
        <v>0</v>
      </c>
    </row>
    <row r="16" spans="2:16" ht="11.25" customHeight="1" x14ac:dyDescent="0.2">
      <c r="B16" s="1186" t="s">
        <v>12</v>
      </c>
      <c r="C16" s="1187"/>
      <c r="D16" s="405"/>
      <c r="E16" s="732"/>
      <c r="F16" s="406"/>
      <c r="G16" s="406"/>
      <c r="H16" s="406"/>
      <c r="I16" s="406"/>
      <c r="J16" s="406"/>
      <c r="K16" s="406"/>
      <c r="L16" s="406"/>
      <c r="M16" s="406"/>
      <c r="N16" s="406"/>
      <c r="O16" s="707"/>
      <c r="P16" s="321"/>
    </row>
    <row r="17" spans="2:16" ht="11.25" customHeight="1" x14ac:dyDescent="0.2">
      <c r="B17" s="1186" t="s">
        <v>13</v>
      </c>
      <c r="C17" s="1187"/>
      <c r="D17" s="405"/>
      <c r="E17" s="732"/>
      <c r="F17" s="406"/>
      <c r="G17" s="406"/>
      <c r="H17" s="406"/>
      <c r="I17" s="406"/>
      <c r="J17" s="406"/>
      <c r="K17" s="406"/>
      <c r="L17" s="406"/>
      <c r="M17" s="406"/>
      <c r="N17" s="406"/>
      <c r="O17" s="707"/>
      <c r="P17" s="321"/>
    </row>
    <row r="18" spans="2:16" ht="11.25" customHeight="1" x14ac:dyDescent="0.2">
      <c r="B18" s="1186" t="s">
        <v>14</v>
      </c>
      <c r="C18" s="1187"/>
      <c r="D18" s="405"/>
      <c r="E18" s="732"/>
      <c r="F18" s="406"/>
      <c r="G18" s="406"/>
      <c r="H18" s="406"/>
      <c r="I18" s="406"/>
      <c r="J18" s="406"/>
      <c r="K18" s="406"/>
      <c r="L18" s="406"/>
      <c r="M18" s="406"/>
      <c r="N18" s="406"/>
      <c r="O18" s="707"/>
      <c r="P18" s="321"/>
    </row>
    <row r="19" spans="2:16" ht="11.25" customHeight="1" x14ac:dyDescent="0.2">
      <c r="B19" s="1186" t="s">
        <v>15</v>
      </c>
      <c r="C19" s="1187"/>
      <c r="D19" s="405"/>
      <c r="E19" s="732"/>
      <c r="F19" s="406"/>
      <c r="G19" s="406"/>
      <c r="H19" s="406"/>
      <c r="I19" s="406"/>
      <c r="J19" s="406"/>
      <c r="K19" s="406"/>
      <c r="L19" s="406"/>
      <c r="M19" s="406"/>
      <c r="N19" s="406"/>
      <c r="O19" s="707"/>
      <c r="P19" s="321"/>
    </row>
    <row r="20" spans="2:16" ht="11.25" customHeight="1" x14ac:dyDescent="0.2">
      <c r="B20" s="1186" t="s">
        <v>16</v>
      </c>
      <c r="C20" s="1187"/>
      <c r="D20" s="405"/>
      <c r="E20" s="732"/>
      <c r="F20" s="406"/>
      <c r="G20" s="406"/>
      <c r="H20" s="406"/>
      <c r="I20" s="406"/>
      <c r="J20" s="406"/>
      <c r="K20" s="406"/>
      <c r="L20" s="406"/>
      <c r="M20" s="406"/>
      <c r="N20" s="406"/>
      <c r="O20" s="707"/>
      <c r="P20" s="321"/>
    </row>
    <row r="21" spans="2:16" ht="11.25" customHeight="1" x14ac:dyDescent="0.2">
      <c r="B21" s="1208" t="s">
        <v>17</v>
      </c>
      <c r="C21" s="1209"/>
      <c r="D21" s="417"/>
      <c r="E21" s="732">
        <f t="shared" ref="E21:O21" si="2">SUM(E10:E15)+E8+E6</f>
        <v>0</v>
      </c>
      <c r="F21" s="406">
        <f t="shared" si="2"/>
        <v>3147494.5464092866</v>
      </c>
      <c r="G21" s="406">
        <f t="shared" si="2"/>
        <v>7478456.8843103237</v>
      </c>
      <c r="H21" s="406">
        <f t="shared" si="2"/>
        <v>13220355.157852005</v>
      </c>
      <c r="I21" s="406">
        <f t="shared" si="2"/>
        <v>19127498.926985756</v>
      </c>
      <c r="J21" s="406">
        <f t="shared" si="2"/>
        <v>25807101.939336523</v>
      </c>
      <c r="K21" s="406">
        <f t="shared" si="2"/>
        <v>27873091.903553307</v>
      </c>
      <c r="L21" s="406">
        <f t="shared" si="2"/>
        <v>31748224.626969181</v>
      </c>
      <c r="M21" s="406">
        <f t="shared" si="2"/>
        <v>36399176.376502901</v>
      </c>
      <c r="N21" s="406">
        <f t="shared" si="2"/>
        <v>38075004.293499827</v>
      </c>
      <c r="O21" s="707">
        <f t="shared" si="2"/>
        <v>39019720.607251704</v>
      </c>
      <c r="P21" s="321"/>
    </row>
    <row r="22" spans="2:16" ht="11.25" customHeight="1" x14ac:dyDescent="0.2">
      <c r="B22" s="1208" t="s">
        <v>18</v>
      </c>
      <c r="C22" s="1209"/>
      <c r="D22" s="417"/>
      <c r="E22" s="732">
        <f>E7+E9</f>
        <v>0</v>
      </c>
      <c r="F22" s="406">
        <f>F7+F9</f>
        <v>0</v>
      </c>
      <c r="G22" s="406">
        <f t="shared" ref="G22:O22" si="3">G7+G9</f>
        <v>38002022.580211192</v>
      </c>
      <c r="H22" s="406">
        <f t="shared" si="3"/>
        <v>27687187.879868153</v>
      </c>
      <c r="I22" s="406">
        <f t="shared" si="3"/>
        <v>0</v>
      </c>
      <c r="J22" s="406">
        <f t="shared" si="3"/>
        <v>42943724.082107849</v>
      </c>
      <c r="K22" s="406">
        <f t="shared" si="3"/>
        <v>61323637.989250004</v>
      </c>
      <c r="L22" s="406">
        <f t="shared" si="3"/>
        <v>0</v>
      </c>
      <c r="M22" s="406">
        <f t="shared" si="3"/>
        <v>29779434.570022333</v>
      </c>
      <c r="N22" s="406">
        <f t="shared" si="3"/>
        <v>42525032.565991886</v>
      </c>
      <c r="O22" s="707">
        <f t="shared" si="3"/>
        <v>0</v>
      </c>
      <c r="P22" s="321"/>
    </row>
    <row r="23" spans="2:16" x14ac:dyDescent="0.2">
      <c r="B23" s="1208" t="s">
        <v>19</v>
      </c>
      <c r="C23" s="1209"/>
      <c r="D23" s="417"/>
      <c r="E23" s="732">
        <f>SUM(E21:E22)</f>
        <v>0</v>
      </c>
      <c r="F23" s="406">
        <f t="shared" ref="F23:O23" si="4">SUM(F21:F22)</f>
        <v>3147494.5464092866</v>
      </c>
      <c r="G23" s="406">
        <f t="shared" si="4"/>
        <v>45480479.464521512</v>
      </c>
      <c r="H23" s="406">
        <f t="shared" si="4"/>
        <v>40907543.037720159</v>
      </c>
      <c r="I23" s="406">
        <f t="shared" si="4"/>
        <v>19127498.926985756</v>
      </c>
      <c r="J23" s="406">
        <f t="shared" si="4"/>
        <v>68750826.02144438</v>
      </c>
      <c r="K23" s="406">
        <f t="shared" si="4"/>
        <v>89196729.892803311</v>
      </c>
      <c r="L23" s="406">
        <f t="shared" si="4"/>
        <v>31748224.626969181</v>
      </c>
      <c r="M23" s="406">
        <f t="shared" si="4"/>
        <v>66178610.946525231</v>
      </c>
      <c r="N23" s="406">
        <f t="shared" si="4"/>
        <v>80600036.859491706</v>
      </c>
      <c r="O23" s="707">
        <f t="shared" si="4"/>
        <v>39019720.607251704</v>
      </c>
      <c r="P23" s="321"/>
    </row>
    <row r="24" spans="2:16" ht="7.5" customHeight="1" thickBot="1" x14ac:dyDescent="0.25">
      <c r="B24" s="708"/>
      <c r="C24" s="404"/>
      <c r="D24" s="417"/>
      <c r="E24" s="733"/>
      <c r="F24" s="8"/>
      <c r="G24" s="8"/>
      <c r="H24" s="8"/>
      <c r="I24" s="8"/>
      <c r="J24" s="8"/>
      <c r="K24" s="8"/>
      <c r="L24" s="8"/>
      <c r="M24" s="8"/>
      <c r="N24" s="403"/>
      <c r="O24" s="698"/>
      <c r="P24" s="8"/>
    </row>
    <row r="25" spans="2:16" ht="13.5" thickBot="1" x14ac:dyDescent="0.25">
      <c r="B25" s="660" t="s">
        <v>20</v>
      </c>
      <c r="C25" s="661"/>
      <c r="D25" s="662"/>
      <c r="E25" s="731"/>
      <c r="F25" s="663"/>
      <c r="G25" s="663"/>
      <c r="H25" s="663"/>
      <c r="I25" s="663"/>
      <c r="J25" s="663"/>
      <c r="K25" s="663"/>
      <c r="L25" s="663"/>
      <c r="M25" s="663"/>
      <c r="N25" s="664"/>
      <c r="O25" s="665"/>
      <c r="P25" s="665"/>
    </row>
    <row r="26" spans="2:16" ht="11.25" customHeight="1" x14ac:dyDescent="0.2">
      <c r="B26" s="1177" t="s">
        <v>4</v>
      </c>
      <c r="C26" s="402" t="s">
        <v>5</v>
      </c>
      <c r="D26" s="405"/>
      <c r="E26" s="743">
        <f>'2. Market-Rate Rental'!D48</f>
        <v>0</v>
      </c>
      <c r="F26" s="865">
        <f>'2. Market-Rate Rental'!E48</f>
        <v>-41489192.881919995</v>
      </c>
      <c r="G26" s="866">
        <f>'2. Market-Rate Rental'!F48</f>
        <v>-21159488.369779196</v>
      </c>
      <c r="H26" s="866">
        <f>'2. Market-Rate Rental'!G48</f>
        <v>0</v>
      </c>
      <c r="I26" s="866">
        <f>'2. Market-Rate Rental'!H48</f>
        <v>-32819050.970903251</v>
      </c>
      <c r="J26" s="866">
        <f>'2. Market-Rate Rental'!I48</f>
        <v>-66950863.980642632</v>
      </c>
      <c r="K26" s="866">
        <f>'2. Market-Rate Rental'!J48</f>
        <v>0</v>
      </c>
      <c r="L26" s="866">
        <f>'2. Market-Rate Rental'!K48</f>
        <v>-68275362.833199561</v>
      </c>
      <c r="M26" s="866">
        <f>'2. Market-Rate Rental'!L48</f>
        <v>0</v>
      </c>
      <c r="N26" s="866">
        <f>'2. Market-Rate Rental'!M48</f>
        <v>0</v>
      </c>
      <c r="O26" s="867">
        <f>'2. Market-Rate Rental'!N48</f>
        <v>0</v>
      </c>
      <c r="P26" s="298"/>
    </row>
    <row r="27" spans="2:16" ht="11.25" customHeight="1" x14ac:dyDescent="0.2">
      <c r="B27" s="1177"/>
      <c r="C27" s="402" t="s">
        <v>6</v>
      </c>
      <c r="D27" s="405"/>
      <c r="E27" s="743">
        <f>'3. Market-Rate For-Sale'!D44</f>
        <v>0</v>
      </c>
      <c r="F27" s="868">
        <f>'3. Market-Rate For-Sale'!E44</f>
        <v>-26671623.995519996</v>
      </c>
      <c r="G27" s="744">
        <f>'3. Market-Rate For-Sale'!F44</f>
        <v>0</v>
      </c>
      <c r="H27" s="744">
        <f>'3. Market-Rate For-Sale'!G44</f>
        <v>0</v>
      </c>
      <c r="I27" s="744">
        <f>'3. Market-Rate For-Sale'!H44</f>
        <v>0</v>
      </c>
      <c r="J27" s="744">
        <f>'3. Market-Rate For-Sale'!I44</f>
        <v>-43039841.13041313</v>
      </c>
      <c r="K27" s="744">
        <f>'3. Market-Rate For-Sale'!J44</f>
        <v>0</v>
      </c>
      <c r="L27" s="744">
        <f>'3. Market-Rate For-Sale'!K44</f>
        <v>-29260869.785656959</v>
      </c>
      <c r="M27" s="744">
        <f>'3. Market-Rate For-Sale'!L44</f>
        <v>0</v>
      </c>
      <c r="N27" s="744">
        <f>'3. Market-Rate For-Sale'!M44</f>
        <v>0</v>
      </c>
      <c r="O27" s="745">
        <f>'3. Market-Rate For-Sale'!N44</f>
        <v>0</v>
      </c>
      <c r="P27" s="298"/>
    </row>
    <row r="28" spans="2:16" ht="11.25" customHeight="1" x14ac:dyDescent="0.2">
      <c r="B28" s="1177" t="s">
        <v>7</v>
      </c>
      <c r="C28" s="402" t="s">
        <v>5</v>
      </c>
      <c r="D28" s="405"/>
      <c r="E28" s="743">
        <f>'4. Affordable Rental'!D48</f>
        <v>0</v>
      </c>
      <c r="F28" s="868">
        <f>'4. Affordable Rental'!E48</f>
        <v>0</v>
      </c>
      <c r="G28" s="744">
        <f>'4. Affordable Rental'!F48</f>
        <v>-21159488.369779196</v>
      </c>
      <c r="H28" s="744">
        <f>'4. Affordable Rental'!G48</f>
        <v>0</v>
      </c>
      <c r="I28" s="744">
        <f>'4. Affordable Rental'!H48</f>
        <v>0</v>
      </c>
      <c r="J28" s="744">
        <f>'4. Affordable Rental'!I48</f>
        <v>-33475431.990321316</v>
      </c>
      <c r="K28" s="744">
        <f>'4. Affordable Rental'!J48</f>
        <v>0</v>
      </c>
      <c r="L28" s="744">
        <f>'4. Affordable Rental'!K48</f>
        <v>0</v>
      </c>
      <c r="M28" s="744">
        <f>'4. Affordable Rental'!L48</f>
        <v>-23213623.363287855</v>
      </c>
      <c r="N28" s="744">
        <f>'4. Affordable Rental'!M48</f>
        <v>0</v>
      </c>
      <c r="O28" s="745">
        <f>'4. Affordable Rental'!N48</f>
        <v>0</v>
      </c>
      <c r="P28" s="298"/>
    </row>
    <row r="29" spans="2:16" ht="11.25" customHeight="1" x14ac:dyDescent="0.2">
      <c r="B29" s="1177"/>
      <c r="C29" s="402" t="s">
        <v>6</v>
      </c>
      <c r="D29" s="405"/>
      <c r="E29" s="743">
        <f>'5. Affordable For-Sale'!D44</f>
        <v>0</v>
      </c>
      <c r="F29" s="868">
        <f>'5. Affordable For-Sale'!E44</f>
        <v>-8890541.3318399992</v>
      </c>
      <c r="G29" s="744">
        <f>'5. Affordable For-Sale'!F44</f>
        <v>0</v>
      </c>
      <c r="H29" s="744">
        <f>'5. Affordable For-Sale'!G44</f>
        <v>0</v>
      </c>
      <c r="I29" s="744">
        <f>'5. Affordable For-Sale'!H44</f>
        <v>0</v>
      </c>
      <c r="J29" s="744">
        <f>'5. Affordable For-Sale'!I44</f>
        <v>-14346613.710137708</v>
      </c>
      <c r="K29" s="744">
        <f>'5. Affordable For-Sale'!J44</f>
        <v>0</v>
      </c>
      <c r="L29" s="744">
        <f>'5. Affordable For-Sale'!K44</f>
        <v>0</v>
      </c>
      <c r="M29" s="744">
        <f>'5. Affordable For-Sale'!L44</f>
        <v>-9948695.7271233685</v>
      </c>
      <c r="N29" s="744">
        <f>'5. Affordable For-Sale'!M44</f>
        <v>0</v>
      </c>
      <c r="O29" s="745">
        <f>'5. Affordable For-Sale'!N44</f>
        <v>0</v>
      </c>
      <c r="P29" s="298"/>
    </row>
    <row r="30" spans="2:16" ht="11.25" customHeight="1" x14ac:dyDescent="0.2">
      <c r="B30" s="1186" t="s">
        <v>8</v>
      </c>
      <c r="C30" s="1187"/>
      <c r="D30" s="405"/>
      <c r="E30" s="743">
        <f>'6. Office_Commercial'!D45</f>
        <v>0</v>
      </c>
      <c r="F30" s="868">
        <f>'6. Office_Commercial'!E45</f>
        <v>-12118025.829600001</v>
      </c>
      <c r="G30" s="744">
        <f>'6. Office_Commercial'!F45</f>
        <v>0</v>
      </c>
      <c r="H30" s="744">
        <f>'6. Office_Commercial'!G45</f>
        <v>0</v>
      </c>
      <c r="I30" s="744">
        <f>'6. Office_Commercial'!H45</f>
        <v>-17797363.451500293</v>
      </c>
      <c r="J30" s="744">
        <f>'6. Office_Commercial'!I45</f>
        <v>0</v>
      </c>
      <c r="K30" s="744">
        <f>'6. Office_Commercial'!J45</f>
        <v>0</v>
      </c>
      <c r="L30" s="744">
        <f>'6. Office_Commercial'!K45</f>
        <v>0</v>
      </c>
      <c r="M30" s="744">
        <f>'6. Office_Commercial'!L45</f>
        <v>0</v>
      </c>
      <c r="N30" s="744">
        <f>'6. Office_Commercial'!M45</f>
        <v>0</v>
      </c>
      <c r="O30" s="745">
        <f>'6. Office_Commercial'!N45</f>
        <v>0</v>
      </c>
      <c r="P30" s="298"/>
    </row>
    <row r="31" spans="2:16" ht="11.25" customHeight="1" x14ac:dyDescent="0.2">
      <c r="B31" s="1186" t="s">
        <v>21</v>
      </c>
      <c r="C31" s="1187"/>
      <c r="D31" s="405"/>
      <c r="E31" s="743">
        <f>'7. Retail'!D45</f>
        <v>0</v>
      </c>
      <c r="F31" s="868">
        <f>'7. Retail'!E45</f>
        <v>0</v>
      </c>
      <c r="G31" s="744">
        <f>'7. Retail'!F45</f>
        <v>-31158887.330303993</v>
      </c>
      <c r="H31" s="744">
        <f>'7. Retail'!G45</f>
        <v>-15891032.538455037</v>
      </c>
      <c r="I31" s="744">
        <f>'7. Retail'!H45</f>
        <v>-20622380.133376569</v>
      </c>
      <c r="J31" s="744">
        <f>'7. Retail'!I45</f>
        <v>0</v>
      </c>
      <c r="K31" s="744">
        <f>'7. Retail'!J45</f>
        <v>0</v>
      </c>
      <c r="L31" s="744">
        <f>'7. Retail'!K45</f>
        <v>0</v>
      </c>
      <c r="M31" s="744">
        <f>'7. Retail'!L45</f>
        <v>0</v>
      </c>
      <c r="N31" s="744">
        <f>'7. Retail'!M45</f>
        <v>0</v>
      </c>
      <c r="O31" s="745">
        <f>'7. Retail'!N45</f>
        <v>0</v>
      </c>
      <c r="P31" s="298"/>
    </row>
    <row r="32" spans="2:16" ht="11.25" customHeight="1" x14ac:dyDescent="0.2">
      <c r="B32" s="1186" t="s">
        <v>216</v>
      </c>
      <c r="C32" s="1187"/>
      <c r="D32" s="405"/>
      <c r="E32" s="743">
        <f>'8. Industrial_Gallery n School'!D42</f>
        <v>0</v>
      </c>
      <c r="F32" s="868">
        <f>'8. Industrial_Gallery n School'!E42</f>
        <v>0</v>
      </c>
      <c r="G32" s="744">
        <f>'8. Industrial_Gallery n School'!F42</f>
        <v>0</v>
      </c>
      <c r="H32" s="744">
        <f>'8. Industrial_Gallery n School'!G42</f>
        <v>0</v>
      </c>
      <c r="I32" s="744">
        <f>'8. Industrial_Gallery n School'!H42</f>
        <v>0</v>
      </c>
      <c r="J32" s="744">
        <f>'8. Industrial_Gallery n School'!I42</f>
        <v>-8424837.3694677167</v>
      </c>
      <c r="K32" s="744">
        <f>'8. Industrial_Gallery n School'!J42</f>
        <v>-4296667.0584285352</v>
      </c>
      <c r="L32" s="744">
        <f>'8. Industrial_Gallery n School'!K42</f>
        <v>0</v>
      </c>
      <c r="M32" s="744">
        <f>'8. Industrial_Gallery n School'!L42</f>
        <v>-3791886.1605361742</v>
      </c>
      <c r="N32" s="744">
        <f>'8. Industrial_Gallery n School'!M42</f>
        <v>-1933861.9418734489</v>
      </c>
      <c r="O32" s="745">
        <f>'8. Industrial_Gallery n School'!N42</f>
        <v>0</v>
      </c>
      <c r="P32" s="298"/>
    </row>
    <row r="33" spans="2:17" ht="11.25" customHeight="1" x14ac:dyDescent="0.2">
      <c r="B33" s="1186" t="s">
        <v>9</v>
      </c>
      <c r="C33" s="1187"/>
      <c r="D33" s="405"/>
      <c r="E33" s="743">
        <f>'9. Hotel'!C26</f>
        <v>0</v>
      </c>
      <c r="F33" s="868">
        <f>'9. Hotel'!D26</f>
        <v>0</v>
      </c>
      <c r="G33" s="744">
        <f>'9. Hotel'!E26</f>
        <v>0</v>
      </c>
      <c r="H33" s="744">
        <f>'9. Hotel'!F26</f>
        <v>0</v>
      </c>
      <c r="I33" s="744">
        <f>'9. Hotel'!G26</f>
        <v>0</v>
      </c>
      <c r="J33" s="744">
        <f>'9. Hotel'!H26</f>
        <v>0</v>
      </c>
      <c r="K33" s="744">
        <f>'9. Hotel'!I26</f>
        <v>0</v>
      </c>
      <c r="L33" s="744">
        <f>'9. Hotel'!J26</f>
        <v>0</v>
      </c>
      <c r="M33" s="744">
        <f>'9. Hotel'!K26</f>
        <v>0</v>
      </c>
      <c r="N33" s="744">
        <f>'9. Hotel'!L26</f>
        <v>0</v>
      </c>
      <c r="O33" s="745">
        <f>'9. Hotel'!M26</f>
        <v>0</v>
      </c>
      <c r="P33" s="298"/>
    </row>
    <row r="34" spans="2:17" ht="11.25" customHeight="1" x14ac:dyDescent="0.2">
      <c r="B34" s="1186" t="s">
        <v>10</v>
      </c>
      <c r="C34" s="1187"/>
      <c r="D34" s="405"/>
      <c r="E34" s="743">
        <f>'10. Structured Parking'!D90</f>
        <v>0</v>
      </c>
      <c r="F34" s="868">
        <f>'10. Structured Parking'!E90</f>
        <v>0</v>
      </c>
      <c r="G34" s="744">
        <f>'10. Structured Parking'!F90</f>
        <v>-5725259.7643799996</v>
      </c>
      <c r="H34" s="744">
        <f>'10. Structured Parking'!G90</f>
        <v>-5839764.9596675998</v>
      </c>
      <c r="I34" s="744">
        <f>'10. Structured Parking'!H90</f>
        <v>-2826067.0848686639</v>
      </c>
      <c r="J34" s="744">
        <f>'10. Structured Parking'!I90</f>
        <v>-2882588.4265660373</v>
      </c>
      <c r="K34" s="744">
        <f>'10. Structured Parking'!J90</f>
        <v>0</v>
      </c>
      <c r="L34" s="744">
        <f>'10. Structured Parking'!K90</f>
        <v>-3190107.5976410541</v>
      </c>
      <c r="M34" s="744">
        <f>'10. Structured Parking'!L90</f>
        <v>-3253909.7495938754</v>
      </c>
      <c r="N34" s="744">
        <f>'10. Structured Parking'!M90</f>
        <v>0</v>
      </c>
      <c r="O34" s="745">
        <f>'10. Structured Parking'!N90</f>
        <v>0</v>
      </c>
      <c r="P34" s="298"/>
    </row>
    <row r="35" spans="2:17" ht="11.25" customHeight="1" x14ac:dyDescent="0.2">
      <c r="B35" s="1186" t="s">
        <v>11</v>
      </c>
      <c r="C35" s="1187"/>
      <c r="D35" s="405"/>
      <c r="E35" s="743">
        <f>'11. Surface Parking'!C41</f>
        <v>0</v>
      </c>
      <c r="F35" s="868">
        <f>'11. Surface Parking'!D41</f>
        <v>0</v>
      </c>
      <c r="G35" s="744">
        <f>'11. Surface Parking'!E41</f>
        <v>0</v>
      </c>
      <c r="H35" s="744">
        <f>'11. Surface Parking'!F41</f>
        <v>0</v>
      </c>
      <c r="I35" s="744">
        <f>'11. Surface Parking'!G41</f>
        <v>0</v>
      </c>
      <c r="J35" s="744">
        <f>'11. Surface Parking'!H41</f>
        <v>0</v>
      </c>
      <c r="K35" s="744">
        <f>'11. Surface Parking'!I41</f>
        <v>0</v>
      </c>
      <c r="L35" s="744">
        <f>'11. Surface Parking'!J41</f>
        <v>0</v>
      </c>
      <c r="M35" s="744">
        <f>'11. Surface Parking'!K41</f>
        <v>0</v>
      </c>
      <c r="N35" s="744">
        <f>'11. Surface Parking'!L41</f>
        <v>0</v>
      </c>
      <c r="O35" s="745">
        <f>'11. Surface Parking'!M41</f>
        <v>0</v>
      </c>
      <c r="P35" s="298"/>
    </row>
    <row r="36" spans="2:17" ht="11.25" customHeight="1" x14ac:dyDescent="0.2">
      <c r="B36" s="1186" t="s">
        <v>12</v>
      </c>
      <c r="C36" s="1187"/>
      <c r="D36" s="405"/>
      <c r="E36" s="733"/>
      <c r="F36" s="697"/>
      <c r="G36" s="8"/>
      <c r="H36" s="8"/>
      <c r="I36" s="8"/>
      <c r="J36" s="8"/>
      <c r="K36" s="8"/>
      <c r="L36" s="8"/>
      <c r="M36" s="8"/>
      <c r="N36" s="718"/>
      <c r="O36" s="698"/>
      <c r="P36" s="8"/>
    </row>
    <row r="37" spans="2:17" ht="11.25" customHeight="1" x14ac:dyDescent="0.2">
      <c r="B37" s="1186" t="s">
        <v>16</v>
      </c>
      <c r="C37" s="1187"/>
      <c r="D37" s="405"/>
      <c r="E37" s="733"/>
      <c r="F37" s="697"/>
      <c r="G37" s="8"/>
      <c r="H37" s="8"/>
      <c r="I37" s="8"/>
      <c r="J37" s="8"/>
      <c r="K37" s="8"/>
      <c r="L37" s="8"/>
      <c r="M37" s="8"/>
      <c r="N37" s="718"/>
      <c r="O37" s="698"/>
      <c r="P37" s="8"/>
    </row>
    <row r="38" spans="2:17" ht="11.25" customHeight="1" x14ac:dyDescent="0.2">
      <c r="B38" s="1186" t="s">
        <v>22</v>
      </c>
      <c r="C38" s="1187"/>
      <c r="D38" s="405"/>
      <c r="E38" s="869">
        <f>-Land!E13</f>
        <v>-27984849</v>
      </c>
      <c r="F38" s="697"/>
      <c r="G38" s="8"/>
      <c r="H38" s="8"/>
      <c r="I38" s="8"/>
      <c r="J38" s="8"/>
      <c r="K38" s="8"/>
      <c r="L38" s="8"/>
      <c r="M38" s="8"/>
      <c r="N38" s="718"/>
      <c r="O38" s="698"/>
      <c r="P38" s="8"/>
    </row>
    <row r="39" spans="2:17" ht="11.25" customHeight="1" x14ac:dyDescent="0.2">
      <c r="B39" s="816"/>
      <c r="C39" s="817" t="s">
        <v>13</v>
      </c>
      <c r="D39" s="815"/>
      <c r="E39" s="869">
        <f>-Land!E19</f>
        <v>-1169826</v>
      </c>
      <c r="F39" s="697"/>
      <c r="G39" s="8"/>
      <c r="H39" s="8"/>
      <c r="I39" s="8"/>
      <c r="J39" s="8"/>
      <c r="K39" s="8"/>
      <c r="L39" s="8"/>
      <c r="M39" s="8"/>
      <c r="N39" s="718"/>
      <c r="O39" s="698"/>
      <c r="P39" s="8"/>
    </row>
    <row r="40" spans="2:17" ht="11.25" customHeight="1" x14ac:dyDescent="0.2">
      <c r="B40" s="1186" t="s">
        <v>23</v>
      </c>
      <c r="C40" s="1187"/>
      <c r="D40" s="405"/>
      <c r="E40" s="733"/>
      <c r="F40" s="869">
        <f>-'1. Infrastructure Costs'!E29</f>
        <v>-428400</v>
      </c>
      <c r="G40" s="819">
        <f>-'1. Infrastructure Costs'!F29</f>
        <v>-2066632.8038399997</v>
      </c>
      <c r="H40" s="819">
        <f>-'1. Infrastructure Costs'!G29</f>
        <v>-7600724.3000447992</v>
      </c>
      <c r="I40" s="819">
        <f>-'1. Infrastructure Costs'!H29</f>
        <v>-1494105.6455769599</v>
      </c>
      <c r="J40" s="819">
        <f>-'1. Infrastructure Costs'!I29</f>
        <v>-3717115.022985938</v>
      </c>
      <c r="K40" s="819">
        <f>-'1. Infrastructure Costs'!J29</f>
        <v>-6511481.9193436727</v>
      </c>
      <c r="L40" s="819">
        <f>-'1. Infrastructure Costs'!K29</f>
        <v>0</v>
      </c>
      <c r="M40" s="819">
        <f>-'1. Infrastructure Costs'!L29</f>
        <v>-2327364.1981027974</v>
      </c>
      <c r="N40" s="819">
        <f>-'1. Infrastructure Costs'!M29</f>
        <v>-6910036.7046628604</v>
      </c>
      <c r="O40" s="709">
        <f>-'1. Infrastructure Costs'!N29</f>
        <v>0</v>
      </c>
      <c r="P40" s="819"/>
    </row>
    <row r="41" spans="2:17" ht="11.25" customHeight="1" x14ac:dyDescent="0.2">
      <c r="B41" s="1186" t="s">
        <v>24</v>
      </c>
      <c r="C41" s="1187"/>
      <c r="D41" s="405"/>
      <c r="E41" s="733"/>
      <c r="F41" s="697"/>
      <c r="G41" s="8"/>
      <c r="H41" s="8"/>
      <c r="I41" s="8"/>
      <c r="J41" s="8"/>
      <c r="K41" s="8"/>
      <c r="L41" s="8"/>
      <c r="M41" s="8"/>
      <c r="N41" s="718"/>
      <c r="O41" s="698"/>
      <c r="P41" s="8"/>
    </row>
    <row r="42" spans="2:17" ht="11.25" customHeight="1" thickBot="1" x14ac:dyDescent="0.25">
      <c r="B42" s="1208" t="s">
        <v>25</v>
      </c>
      <c r="C42" s="1209"/>
      <c r="D42" s="417"/>
      <c r="E42" s="734">
        <f>SUM(E26:E41)</f>
        <v>-29154675</v>
      </c>
      <c r="F42" s="870">
        <f t="shared" ref="F42:O42" si="5">SUM(F26:F41)</f>
        <v>-89597784.038879991</v>
      </c>
      <c r="G42" s="871">
        <f t="shared" si="5"/>
        <v>-81269756.63808237</v>
      </c>
      <c r="H42" s="871">
        <f t="shared" si="5"/>
        <v>-29331521.798167437</v>
      </c>
      <c r="I42" s="871">
        <f t="shared" si="5"/>
        <v>-75558967.286225736</v>
      </c>
      <c r="J42" s="871">
        <f t="shared" si="5"/>
        <v>-172837291.63053444</v>
      </c>
      <c r="K42" s="871">
        <f t="shared" si="5"/>
        <v>-10808148.977772208</v>
      </c>
      <c r="L42" s="871">
        <f t="shared" si="5"/>
        <v>-100726340.21649757</v>
      </c>
      <c r="M42" s="871">
        <f t="shared" si="5"/>
        <v>-42535479.198644072</v>
      </c>
      <c r="N42" s="871">
        <f t="shared" si="5"/>
        <v>-8843898.6465363093</v>
      </c>
      <c r="O42" s="872">
        <f t="shared" si="5"/>
        <v>0</v>
      </c>
      <c r="P42" s="300"/>
    </row>
    <row r="43" spans="2:17" ht="11.25" customHeight="1" thickBot="1" x14ac:dyDescent="0.25">
      <c r="B43" s="660" t="s">
        <v>26</v>
      </c>
      <c r="C43" s="661"/>
      <c r="D43" s="662"/>
      <c r="E43" s="731"/>
      <c r="F43" s="663"/>
      <c r="G43" s="663"/>
      <c r="H43" s="663"/>
      <c r="I43" s="663"/>
      <c r="J43" s="663"/>
      <c r="K43" s="663"/>
      <c r="L43" s="663"/>
      <c r="M43" s="663"/>
      <c r="N43" s="664"/>
      <c r="O43" s="665"/>
      <c r="P43" s="665"/>
    </row>
    <row r="44" spans="2:17" ht="11.25" customHeight="1" x14ac:dyDescent="0.2">
      <c r="B44" s="1186" t="s">
        <v>27</v>
      </c>
      <c r="C44" s="1187"/>
      <c r="D44" s="314"/>
      <c r="E44" s="734">
        <f t="shared" ref="E44:O44" si="6">E23</f>
        <v>0</v>
      </c>
      <c r="F44" s="300">
        <f t="shared" si="6"/>
        <v>3147494.5464092866</v>
      </c>
      <c r="G44" s="300">
        <f t="shared" si="6"/>
        <v>45480479.464521512</v>
      </c>
      <c r="H44" s="300">
        <f t="shared" si="6"/>
        <v>40907543.037720159</v>
      </c>
      <c r="I44" s="300">
        <f t="shared" si="6"/>
        <v>19127498.926985756</v>
      </c>
      <c r="J44" s="300">
        <f t="shared" si="6"/>
        <v>68750826.02144438</v>
      </c>
      <c r="K44" s="300">
        <f t="shared" si="6"/>
        <v>89196729.892803311</v>
      </c>
      <c r="L44" s="300">
        <f t="shared" si="6"/>
        <v>31748224.626969181</v>
      </c>
      <c r="M44" s="300">
        <f t="shared" si="6"/>
        <v>66178610.946525231</v>
      </c>
      <c r="N44" s="300">
        <f t="shared" si="6"/>
        <v>80600036.859491706</v>
      </c>
      <c r="O44" s="710">
        <f t="shared" si="6"/>
        <v>39019720.607251704</v>
      </c>
      <c r="P44" s="300"/>
    </row>
    <row r="45" spans="2:17" ht="11.25" customHeight="1" x14ac:dyDescent="0.2">
      <c r="B45" s="1186" t="s">
        <v>283</v>
      </c>
      <c r="C45" s="1187"/>
      <c r="D45" s="910">
        <f>O44/O45</f>
        <v>5.6314823210137102E-2</v>
      </c>
      <c r="E45" s="734">
        <f>E22</f>
        <v>0</v>
      </c>
      <c r="F45" s="8"/>
      <c r="G45" s="8"/>
      <c r="H45" s="8"/>
      <c r="I45" s="8"/>
      <c r="J45" s="8"/>
      <c r="K45" s="8"/>
      <c r="L45" s="8"/>
      <c r="M45" s="8"/>
      <c r="N45" s="403"/>
      <c r="O45" s="711">
        <f>SUM(P6:P15)</f>
        <v>692885431.98743188</v>
      </c>
      <c r="P45" s="595"/>
    </row>
    <row r="46" spans="2:17" ht="11.25" customHeight="1" x14ac:dyDescent="0.2">
      <c r="B46" s="1186" t="s">
        <v>28</v>
      </c>
      <c r="C46" s="1187"/>
      <c r="D46" s="306">
        <v>0.03</v>
      </c>
      <c r="E46" s="735"/>
      <c r="F46" s="8"/>
      <c r="G46" s="8"/>
      <c r="H46" s="8"/>
      <c r="I46" s="8"/>
      <c r="J46" s="8"/>
      <c r="K46" s="8"/>
      <c r="L46" s="8"/>
      <c r="M46" s="8"/>
      <c r="N46" s="403"/>
      <c r="O46" s="711">
        <f>-(O45*D46)</f>
        <v>-20786562.959622957</v>
      </c>
      <c r="P46" s="8"/>
    </row>
    <row r="47" spans="2:17" ht="11.25" customHeight="1" thickBot="1" x14ac:dyDescent="0.25">
      <c r="B47" s="1186" t="s">
        <v>25</v>
      </c>
      <c r="C47" s="1187"/>
      <c r="D47" s="314"/>
      <c r="E47" s="734">
        <f t="shared" ref="E47:O47" si="7">E42</f>
        <v>-29154675</v>
      </c>
      <c r="F47" s="300">
        <f t="shared" si="7"/>
        <v>-89597784.038879991</v>
      </c>
      <c r="G47" s="300">
        <f t="shared" si="7"/>
        <v>-81269756.63808237</v>
      </c>
      <c r="H47" s="300">
        <f t="shared" si="7"/>
        <v>-29331521.798167437</v>
      </c>
      <c r="I47" s="300">
        <f t="shared" si="7"/>
        <v>-75558967.286225736</v>
      </c>
      <c r="J47" s="300">
        <f t="shared" si="7"/>
        <v>-172837291.63053444</v>
      </c>
      <c r="K47" s="300">
        <f t="shared" si="7"/>
        <v>-10808148.977772208</v>
      </c>
      <c r="L47" s="300">
        <f t="shared" si="7"/>
        <v>-100726340.21649757</v>
      </c>
      <c r="M47" s="300">
        <f t="shared" si="7"/>
        <v>-42535479.198644072</v>
      </c>
      <c r="N47" s="300">
        <f t="shared" si="7"/>
        <v>-8843898.6465363093</v>
      </c>
      <c r="O47" s="710">
        <f t="shared" si="7"/>
        <v>0</v>
      </c>
      <c r="P47" s="300"/>
      <c r="Q47" s="262"/>
    </row>
    <row r="48" spans="2:17" ht="5.25" customHeight="1" thickBot="1" x14ac:dyDescent="0.25">
      <c r="B48" s="670"/>
      <c r="C48" s="671"/>
      <c r="D48" s="672"/>
      <c r="E48" s="736"/>
      <c r="F48" s="673"/>
      <c r="G48" s="673"/>
      <c r="H48" s="673"/>
      <c r="I48" s="673"/>
      <c r="J48" s="673"/>
      <c r="K48" s="673"/>
      <c r="L48" s="673"/>
      <c r="M48" s="673"/>
      <c r="N48" s="673"/>
      <c r="O48" s="674"/>
      <c r="P48" s="669"/>
    </row>
    <row r="49" spans="2:29" ht="11.25" customHeight="1" x14ac:dyDescent="0.2">
      <c r="B49" s="1208" t="s">
        <v>29</v>
      </c>
      <c r="C49" s="1209"/>
      <c r="D49" s="417"/>
      <c r="E49" s="734">
        <f>SUM(E44:E47)</f>
        <v>-29154675</v>
      </c>
      <c r="F49" s="300">
        <f t="shared" ref="F49:O49" si="8">SUM(F44:F47)</f>
        <v>-86450289.492470711</v>
      </c>
      <c r="G49" s="300">
        <f t="shared" si="8"/>
        <v>-35789277.173560858</v>
      </c>
      <c r="H49" s="300">
        <f t="shared" si="8"/>
        <v>11576021.239552721</v>
      </c>
      <c r="I49" s="300">
        <f t="shared" si="8"/>
        <v>-56431468.359239981</v>
      </c>
      <c r="J49" s="300">
        <f t="shared" si="8"/>
        <v>-104086465.60909006</v>
      </c>
      <c r="K49" s="300">
        <f t="shared" si="8"/>
        <v>78388580.915031105</v>
      </c>
      <c r="L49" s="300">
        <f t="shared" si="8"/>
        <v>-68978115.589528382</v>
      </c>
      <c r="M49" s="300">
        <f t="shared" si="8"/>
        <v>23643131.747881159</v>
      </c>
      <c r="N49" s="300">
        <f t="shared" si="8"/>
        <v>71756138.2129554</v>
      </c>
      <c r="O49" s="710">
        <f t="shared" si="8"/>
        <v>711118589.63506067</v>
      </c>
      <c r="P49" s="300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</row>
    <row r="50" spans="2:29" ht="11.25" customHeight="1" x14ac:dyDescent="0.2">
      <c r="B50" s="1208" t="s">
        <v>30</v>
      </c>
      <c r="C50" s="1209"/>
      <c r="D50" s="417"/>
      <c r="E50" s="734">
        <f>'Financing and Budget'!C35</f>
        <v>-3878480.5338682919</v>
      </c>
      <c r="F50" s="300">
        <f>'Financing and Budget'!D35</f>
        <v>-86450289.492470711</v>
      </c>
      <c r="G50" s="300">
        <f>'Financing and Budget'!E35</f>
        <v>-35789277.173560858</v>
      </c>
      <c r="H50" s="300">
        <f>'Financing and Budget'!F35</f>
        <v>38927665.316343859</v>
      </c>
      <c r="I50" s="300">
        <f>'Financing and Budget'!G35</f>
        <v>12047390.913789216</v>
      </c>
      <c r="J50" s="300">
        <f>'Financing and Budget'!H35</f>
        <v>50004200.82318677</v>
      </c>
      <c r="K50" s="300">
        <f>'Financing and Budget'!I35</f>
        <v>69720554.638546079</v>
      </c>
      <c r="L50" s="300">
        <f>'Financing and Budget'!J35</f>
        <v>5473021.4080983512</v>
      </c>
      <c r="M50" s="300">
        <f>'Financing and Budget'!K35</f>
        <v>37032262.881745927</v>
      </c>
      <c r="N50" s="300">
        <f>'Financing and Budget'!L35</f>
        <v>50856725.636071205</v>
      </c>
      <c r="O50" s="709">
        <f>'Financing and Budget'!M35</f>
        <v>240733630.65726227</v>
      </c>
      <c r="P50" s="8"/>
    </row>
    <row r="51" spans="2:29" ht="11.25" customHeight="1" x14ac:dyDescent="0.2">
      <c r="B51" s="1208" t="s">
        <v>31</v>
      </c>
      <c r="C51" s="1209"/>
      <c r="D51" s="417"/>
      <c r="E51" s="734">
        <f>'Financing and Budget'!C25</f>
        <v>0</v>
      </c>
      <c r="F51" s="300">
        <f>'Financing and Budget'!D25</f>
        <v>0</v>
      </c>
      <c r="G51" s="300">
        <f>'Financing and Budget'!E25</f>
        <v>0</v>
      </c>
      <c r="H51" s="300">
        <f>'Financing and Budget'!F25</f>
        <v>-1979877.7213763022</v>
      </c>
      <c r="I51" s="300">
        <f>'Financing and Budget'!G25</f>
        <v>-7080108.0131965401</v>
      </c>
      <c r="J51" s="300">
        <f>'Financing and Budget'!H25</f>
        <v>-18746625.198257614</v>
      </c>
      <c r="K51" s="300">
        <f>'Financing and Budget'!I25</f>
        <v>-19476175.254257239</v>
      </c>
      <c r="L51" s="300">
        <f>'Financing and Budget'!J25</f>
        <v>-26275203.21887083</v>
      </c>
      <c r="M51" s="300">
        <f>'Financing and Budget'!K25</f>
        <v>-29146348.064779304</v>
      </c>
      <c r="N51" s="300">
        <f>'Financing and Budget'!L25</f>
        <v>-29743311.223420501</v>
      </c>
      <c r="O51" s="709">
        <f>'Financing and Budget'!M25</f>
        <v>-29743311.223420501</v>
      </c>
      <c r="P51" s="8"/>
    </row>
    <row r="52" spans="2:29" ht="11.25" customHeight="1" x14ac:dyDescent="0.2">
      <c r="B52" s="1208" t="s">
        <v>32</v>
      </c>
      <c r="C52" s="1209"/>
      <c r="D52" s="306">
        <v>0.06</v>
      </c>
      <c r="E52" s="734">
        <f>NPV(D52,F49:O49)</f>
        <v>237609491.33449808</v>
      </c>
      <c r="F52" s="8"/>
      <c r="G52" s="8"/>
      <c r="H52" s="8"/>
      <c r="I52" s="8"/>
      <c r="J52" s="8"/>
      <c r="K52" s="8"/>
      <c r="L52" s="8"/>
      <c r="M52" s="8"/>
      <c r="N52" s="403"/>
      <c r="O52" s="698"/>
      <c r="P52" s="8"/>
    </row>
    <row r="53" spans="2:29" ht="11.25" customHeight="1" x14ac:dyDescent="0.2">
      <c r="B53" s="1208" t="s">
        <v>33</v>
      </c>
      <c r="C53" s="1209"/>
      <c r="D53" s="417"/>
      <c r="E53" s="913">
        <f>L94/O45</f>
        <v>0.65116052372685718</v>
      </c>
      <c r="F53" s="8"/>
      <c r="G53" s="8"/>
      <c r="H53" s="8"/>
      <c r="I53" s="307"/>
      <c r="J53" s="8"/>
      <c r="K53" s="8"/>
      <c r="L53" s="8"/>
      <c r="M53" s="8"/>
      <c r="N53" s="403"/>
      <c r="O53" s="698"/>
      <c r="P53" s="8"/>
    </row>
    <row r="54" spans="2:29" ht="11.25" customHeight="1" x14ac:dyDescent="0.2">
      <c r="B54" s="1208" t="s">
        <v>34</v>
      </c>
      <c r="C54" s="1209"/>
      <c r="D54" s="417"/>
      <c r="E54" s="914">
        <f>IRR(E49:O49,0)</f>
        <v>0.15310913980773844</v>
      </c>
      <c r="F54" s="8"/>
      <c r="G54" s="8"/>
      <c r="H54" s="738" t="s">
        <v>35</v>
      </c>
      <c r="I54" s="1268">
        <f>Land!D13</f>
        <v>74124650</v>
      </c>
      <c r="J54" s="8"/>
      <c r="K54" s="8"/>
      <c r="L54" s="8"/>
      <c r="M54" s="8"/>
      <c r="N54" s="403"/>
      <c r="O54" s="698"/>
      <c r="P54" s="8"/>
    </row>
    <row r="55" spans="2:29" ht="11.25" customHeight="1" thickBot="1" x14ac:dyDescent="0.25">
      <c r="B55" s="1217" t="s">
        <v>36</v>
      </c>
      <c r="C55" s="1218"/>
      <c r="D55" s="696"/>
      <c r="E55" s="746">
        <f>'Financing and Budget'!C37</f>
        <v>0.2587724940590681</v>
      </c>
      <c r="F55" s="702"/>
      <c r="G55" s="702"/>
      <c r="H55" s="739" t="s">
        <v>37</v>
      </c>
      <c r="I55" s="737">
        <f>O45</f>
        <v>692885431.98743188</v>
      </c>
      <c r="J55" s="702"/>
      <c r="K55" s="702"/>
      <c r="L55" s="702"/>
      <c r="M55" s="702"/>
      <c r="N55" s="703"/>
      <c r="O55" s="704"/>
      <c r="P55" s="8"/>
    </row>
    <row r="56" spans="2:29" ht="11.25" customHeight="1" thickBot="1" x14ac:dyDescent="0.25">
      <c r="B56" s="8"/>
      <c r="C56" s="8"/>
      <c r="D56" s="299"/>
      <c r="E56" s="720"/>
      <c r="F56" s="8"/>
      <c r="G56" s="8"/>
      <c r="H56" s="8"/>
      <c r="I56" s="8"/>
      <c r="J56" s="8"/>
      <c r="K56" s="8"/>
      <c r="L56" s="8"/>
      <c r="M56" s="8"/>
      <c r="N56" s="8"/>
      <c r="O56" s="308"/>
      <c r="P56" s="308"/>
    </row>
    <row r="57" spans="2:29" s="4" customFormat="1" ht="17.25" thickBot="1" x14ac:dyDescent="0.3">
      <c r="B57" s="1195" t="s">
        <v>38</v>
      </c>
      <c r="C57" s="1210"/>
      <c r="D57" s="1210"/>
      <c r="E57" s="1193"/>
      <c r="F57" s="1193"/>
      <c r="G57" s="1193"/>
      <c r="H57" s="1193"/>
      <c r="I57" s="1193"/>
      <c r="J57" s="1193"/>
      <c r="K57" s="1193"/>
      <c r="L57" s="1193"/>
      <c r="M57" s="1193"/>
      <c r="N57" s="1193"/>
      <c r="O57" s="1194"/>
      <c r="P57" s="666"/>
    </row>
    <row r="58" spans="2:29" s="3" customFormat="1" ht="11.25" customHeight="1" thickBot="1" x14ac:dyDescent="0.25">
      <c r="B58" s="699"/>
      <c r="C58" s="401"/>
      <c r="D58" s="712" t="s">
        <v>39</v>
      </c>
      <c r="E58" s="742" t="s">
        <v>154</v>
      </c>
      <c r="F58" s="712">
        <v>2022</v>
      </c>
      <c r="G58" s="712">
        <f>F58+1</f>
        <v>2023</v>
      </c>
      <c r="H58" s="712">
        <f t="shared" ref="H58" si="9">G58+1</f>
        <v>2024</v>
      </c>
      <c r="I58" s="712">
        <f t="shared" ref="I58" si="10">H58+1</f>
        <v>2025</v>
      </c>
      <c r="J58" s="712">
        <f t="shared" ref="J58" si="11">I58+1</f>
        <v>2026</v>
      </c>
      <c r="K58" s="712">
        <f t="shared" ref="K58" si="12">J58+1</f>
        <v>2027</v>
      </c>
      <c r="L58" s="712">
        <f t="shared" ref="L58" si="13">K58+1</f>
        <v>2028</v>
      </c>
      <c r="M58" s="712">
        <f t="shared" ref="M58" si="14">L58+1</f>
        <v>2029</v>
      </c>
      <c r="N58" s="712">
        <f>M58+1</f>
        <v>2030</v>
      </c>
      <c r="O58" s="719">
        <f>N58+1</f>
        <v>2031</v>
      </c>
      <c r="P58" s="305"/>
    </row>
    <row r="59" spans="2:29" ht="11.25" customHeight="1" thickBot="1" x14ac:dyDescent="0.25">
      <c r="B59" s="660" t="s">
        <v>245</v>
      </c>
      <c r="C59" s="661"/>
      <c r="D59" s="662"/>
      <c r="E59" s="740"/>
      <c r="F59" s="663"/>
      <c r="G59" s="663"/>
      <c r="H59" s="663"/>
      <c r="I59" s="663"/>
      <c r="J59" s="663"/>
      <c r="K59" s="663"/>
      <c r="L59" s="663"/>
      <c r="M59" s="663"/>
      <c r="N59" s="664"/>
      <c r="O59" s="665"/>
      <c r="P59" s="141"/>
    </row>
    <row r="60" spans="2:29" ht="11.25" customHeight="1" x14ac:dyDescent="0.2">
      <c r="B60" s="1177" t="s">
        <v>4</v>
      </c>
      <c r="C60" s="402" t="s">
        <v>5</v>
      </c>
      <c r="D60" s="301">
        <f>SUM(E60:O60)</f>
        <v>884.19415312008391</v>
      </c>
      <c r="E60" s="747">
        <v>0</v>
      </c>
      <c r="F60" s="748">
        <f>'2. Market-Rate Rental'!E68</f>
        <v>170.12018877818562</v>
      </c>
      <c r="G60" s="748">
        <f>'2. Market-Rate Rental'!F68</f>
        <v>85.060094389092811</v>
      </c>
      <c r="H60" s="748">
        <f>'2. Market-Rate Rental'!G68</f>
        <v>0</v>
      </c>
      <c r="I60" s="748">
        <f>'2. Market-Rate Rental'!H68</f>
        <v>126.80791819611954</v>
      </c>
      <c r="J60" s="748">
        <f>'2. Market-Rate Rental'!I68</f>
        <v>253.61583639223909</v>
      </c>
      <c r="K60" s="748">
        <f>'2. Market-Rate Rental'!J68</f>
        <v>0</v>
      </c>
      <c r="L60" s="748">
        <f>'2. Market-Rate Rental'!K68</f>
        <v>248.59011536444677</v>
      </c>
      <c r="M60" s="748">
        <f>'2. Market-Rate Rental'!L68</f>
        <v>0</v>
      </c>
      <c r="N60" s="748">
        <f>'2. Market-Rate Rental'!M68</f>
        <v>0</v>
      </c>
      <c r="O60" s="749">
        <f>'2. Market-Rate Rental'!N68</f>
        <v>0</v>
      </c>
      <c r="P60" s="8"/>
    </row>
    <row r="61" spans="2:29" ht="11.25" customHeight="1" x14ac:dyDescent="0.2">
      <c r="B61" s="1177"/>
      <c r="C61" s="402" t="s">
        <v>6</v>
      </c>
      <c r="D61" s="301">
        <f t="shared" ref="D61:D64" si="15">SUM(E61:O61)</f>
        <v>378.74174528301893</v>
      </c>
      <c r="E61" s="747">
        <v>0</v>
      </c>
      <c r="F61" s="750">
        <f>'3. Market-Rate For-Sale'!E66</f>
        <v>0</v>
      </c>
      <c r="G61" s="750">
        <f>'3. Market-Rate For-Sale'!F66</f>
        <v>54.652830188679239</v>
      </c>
      <c r="H61" s="750">
        <f>'3. Market-Rate For-Sale'!G66</f>
        <v>54.652830188679239</v>
      </c>
      <c r="I61" s="750">
        <f>'3. Market-Rate For-Sale'!H66</f>
        <v>0</v>
      </c>
      <c r="J61" s="750">
        <f>'3. Market-Rate For-Sale'!I66</f>
        <v>81.476650943396237</v>
      </c>
      <c r="K61" s="750">
        <f>'3. Market-Rate For-Sale'!J66</f>
        <v>81.476650943396237</v>
      </c>
      <c r="L61" s="750">
        <f>'3. Market-Rate For-Sale'!K66</f>
        <v>0</v>
      </c>
      <c r="M61" s="750">
        <f>'3. Market-Rate For-Sale'!L66</f>
        <v>53.241391509433967</v>
      </c>
      <c r="N61" s="750">
        <f>'3. Market-Rate For-Sale'!M66</f>
        <v>53.241391509433967</v>
      </c>
      <c r="O61" s="751">
        <f>'3. Market-Rate For-Sale'!N66</f>
        <v>0</v>
      </c>
      <c r="P61" s="8"/>
    </row>
    <row r="62" spans="2:29" ht="11.25" customHeight="1" x14ac:dyDescent="0.2">
      <c r="B62" s="1177" t="s">
        <v>7</v>
      </c>
      <c r="C62" s="402" t="s">
        <v>5</v>
      </c>
      <c r="D62" s="301">
        <f t="shared" si="15"/>
        <v>294.73138437336127</v>
      </c>
      <c r="E62" s="747">
        <v>0</v>
      </c>
      <c r="F62" s="748">
        <f>'4. Affordable Rental'!E68</f>
        <v>0</v>
      </c>
      <c r="G62" s="748">
        <f>'4. Affordable Rental'!F68</f>
        <v>85.060094389092811</v>
      </c>
      <c r="H62" s="748">
        <f>'4. Affordable Rental'!G68</f>
        <v>0</v>
      </c>
      <c r="I62" s="748">
        <f>'4. Affordable Rental'!H68</f>
        <v>0</v>
      </c>
      <c r="J62" s="748">
        <f>'4. Affordable Rental'!I68</f>
        <v>126.80791819611954</v>
      </c>
      <c r="K62" s="748">
        <f>'4. Affordable Rental'!J68</f>
        <v>0</v>
      </c>
      <c r="L62" s="748">
        <f>'4. Affordable Rental'!K68</f>
        <v>0</v>
      </c>
      <c r="M62" s="748">
        <f>'4. Affordable Rental'!L68</f>
        <v>82.86337178814891</v>
      </c>
      <c r="N62" s="748">
        <f>'4. Affordable Rental'!M68</f>
        <v>0</v>
      </c>
      <c r="O62" s="749">
        <f>'4. Affordable Rental'!N68</f>
        <v>0</v>
      </c>
      <c r="P62" s="8"/>
    </row>
    <row r="63" spans="2:29" ht="11.25" customHeight="1" x14ac:dyDescent="0.2">
      <c r="B63" s="1177"/>
      <c r="C63" s="402" t="s">
        <v>6</v>
      </c>
      <c r="D63" s="301">
        <f t="shared" si="15"/>
        <v>126.24724842767294</v>
      </c>
      <c r="E63" s="747">
        <v>0</v>
      </c>
      <c r="F63" s="752">
        <f>'5. Affordable For-Sale'!E67</f>
        <v>0</v>
      </c>
      <c r="G63" s="752">
        <f>'5. Affordable For-Sale'!F67</f>
        <v>36.435220125786159</v>
      </c>
      <c r="H63" s="752">
        <f>'5. Affordable For-Sale'!G67</f>
        <v>0</v>
      </c>
      <c r="I63" s="752">
        <f>'5. Affordable For-Sale'!H67</f>
        <v>0</v>
      </c>
      <c r="J63" s="752">
        <f>'5. Affordable For-Sale'!I67</f>
        <v>0</v>
      </c>
      <c r="K63" s="752">
        <f>'5. Affordable For-Sale'!J67</f>
        <v>54.317767295597484</v>
      </c>
      <c r="L63" s="752">
        <f>'5. Affordable For-Sale'!K67</f>
        <v>0</v>
      </c>
      <c r="M63" s="752">
        <f>'5. Affordable For-Sale'!L67</f>
        <v>0</v>
      </c>
      <c r="N63" s="752">
        <f>'5. Affordable For-Sale'!M67</f>
        <v>35.494261006289307</v>
      </c>
      <c r="O63" s="753">
        <f>'5. Affordable For-Sale'!N67</f>
        <v>0</v>
      </c>
      <c r="P63" s="8"/>
    </row>
    <row r="64" spans="2:29" ht="11.25" customHeight="1" thickBot="1" x14ac:dyDescent="0.25">
      <c r="B64" s="701"/>
      <c r="C64" s="403" t="s">
        <v>10</v>
      </c>
      <c r="D64" s="677">
        <f t="shared" si="15"/>
        <v>902.28000000000009</v>
      </c>
      <c r="E64" s="747">
        <v>0</v>
      </c>
      <c r="F64" s="752">
        <f>'10. Structured Parking'!E114</f>
        <v>0</v>
      </c>
      <c r="G64" s="752">
        <f>'10. Structured Parking'!F114</f>
        <v>0</v>
      </c>
      <c r="H64" s="752">
        <f>'10. Structured Parking'!G114</f>
        <v>455.9</v>
      </c>
      <c r="I64" s="752">
        <f>'10. Structured Parking'!H114</f>
        <v>0</v>
      </c>
      <c r="J64" s="752">
        <f>'10. Structured Parking'!I114</f>
        <v>216.3</v>
      </c>
      <c r="K64" s="752">
        <f>'10. Structured Parking'!J114</f>
        <v>0</v>
      </c>
      <c r="L64" s="752">
        <f>'10. Structured Parking'!K114</f>
        <v>0</v>
      </c>
      <c r="M64" s="752">
        <f>'10. Structured Parking'!L114</f>
        <v>230.08</v>
      </c>
      <c r="N64" s="752">
        <f>'10. Structured Parking'!M114</f>
        <v>0</v>
      </c>
      <c r="O64" s="753">
        <f>'10. Structured Parking'!N114</f>
        <v>0</v>
      </c>
      <c r="P64" s="8"/>
    </row>
    <row r="65" spans="2:16" ht="5.25" customHeight="1" thickBot="1" x14ac:dyDescent="0.25">
      <c r="B65" s="675"/>
      <c r="C65" s="676"/>
      <c r="D65" s="1024"/>
      <c r="E65" s="754"/>
      <c r="F65" s="755"/>
      <c r="G65" s="755"/>
      <c r="H65" s="755"/>
      <c r="I65" s="755"/>
      <c r="J65" s="755"/>
      <c r="K65" s="755"/>
      <c r="L65" s="755"/>
      <c r="M65" s="755"/>
      <c r="N65" s="755"/>
      <c r="O65" s="756"/>
      <c r="P65" s="593"/>
    </row>
    <row r="66" spans="2:16" x14ac:dyDescent="0.2">
      <c r="B66" s="701"/>
      <c r="C66" s="402" t="s">
        <v>8</v>
      </c>
      <c r="D66" s="309">
        <f>SUM(E66:O66)</f>
        <v>121005</v>
      </c>
      <c r="E66" s="1017">
        <v>0</v>
      </c>
      <c r="F66" s="1018">
        <f>'6. Office_Commercial'!E65</f>
        <v>50758</v>
      </c>
      <c r="G66" s="1018">
        <f>'6. Office_Commercial'!F65</f>
        <v>0</v>
      </c>
      <c r="H66" s="1018">
        <f>'6. Office_Commercial'!G65</f>
        <v>0</v>
      </c>
      <c r="I66" s="1018">
        <f>'6. Office_Commercial'!H65</f>
        <v>70247</v>
      </c>
      <c r="J66" s="1018">
        <f>'6. Office_Commercial'!I65</f>
        <v>0</v>
      </c>
      <c r="K66" s="1018">
        <f>'6. Office_Commercial'!J65</f>
        <v>0</v>
      </c>
      <c r="L66" s="1018">
        <f>'6. Office_Commercial'!K65</f>
        <v>0</v>
      </c>
      <c r="M66" s="1018">
        <f>'6. Office_Commercial'!L65</f>
        <v>0</v>
      </c>
      <c r="N66" s="1018">
        <f>'6. Office_Commercial'!M65</f>
        <v>0</v>
      </c>
      <c r="O66" s="1019">
        <f>'6. Office_Commercial'!N65</f>
        <v>0</v>
      </c>
      <c r="P66" s="8"/>
    </row>
    <row r="67" spans="2:16" ht="11.25" customHeight="1" x14ac:dyDescent="0.2">
      <c r="B67" s="1186" t="s">
        <v>21</v>
      </c>
      <c r="C67" s="1187"/>
      <c r="D67" s="309">
        <f t="shared" ref="D67:D72" si="16">SUM(E67:O67)</f>
        <v>433085</v>
      </c>
      <c r="E67" s="747">
        <v>0</v>
      </c>
      <c r="F67" s="752">
        <f>'7. Retail'!E64</f>
        <v>0</v>
      </c>
      <c r="G67" s="752">
        <f>'7. Retail'!F64</f>
        <v>202741.33333333331</v>
      </c>
      <c r="H67" s="752">
        <f>'7. Retail'!G64</f>
        <v>101370.66666666666</v>
      </c>
      <c r="I67" s="752">
        <f>'7. Retail'!H64</f>
        <v>128973</v>
      </c>
      <c r="J67" s="752">
        <f>'7. Retail'!I64</f>
        <v>0</v>
      </c>
      <c r="K67" s="752">
        <f>'7. Retail'!J64</f>
        <v>0</v>
      </c>
      <c r="L67" s="752">
        <f>'7. Retail'!K64</f>
        <v>0</v>
      </c>
      <c r="M67" s="752">
        <f>'7. Retail'!L64</f>
        <v>0</v>
      </c>
      <c r="N67" s="752">
        <f>'7. Retail'!M64</f>
        <v>0</v>
      </c>
      <c r="O67" s="753">
        <f>'7. Retail'!N64</f>
        <v>0</v>
      </c>
      <c r="P67" s="8"/>
    </row>
    <row r="68" spans="2:16" ht="11.25" customHeight="1" x14ac:dyDescent="0.2">
      <c r="B68" s="691"/>
      <c r="C68" s="402" t="s">
        <v>216</v>
      </c>
      <c r="D68" s="309">
        <f t="shared" si="16"/>
        <v>135645</v>
      </c>
      <c r="E68" s="757">
        <v>0</v>
      </c>
      <c r="F68" s="752">
        <f>'8. Industrial_Gallery n School'!E61</f>
        <v>0</v>
      </c>
      <c r="G68" s="752">
        <f>'8. Industrial_Gallery n School'!F61</f>
        <v>0</v>
      </c>
      <c r="H68" s="752">
        <f>'8. Industrial_Gallery n School'!G61</f>
        <v>0</v>
      </c>
      <c r="I68" s="752">
        <f>'8. Industrial_Gallery n School'!H61</f>
        <v>0</v>
      </c>
      <c r="J68" s="752">
        <f>'8. Industrial_Gallery n School'!I61</f>
        <v>63498.666666666664</v>
      </c>
      <c r="K68" s="752">
        <f>'8. Industrial_Gallery n School'!J61</f>
        <v>31749.333333333332</v>
      </c>
      <c r="L68" s="752">
        <f>'8. Industrial_Gallery n School'!K61</f>
        <v>0</v>
      </c>
      <c r="M68" s="752">
        <f>'8. Industrial_Gallery n School'!L61</f>
        <v>26931.333333333332</v>
      </c>
      <c r="N68" s="752">
        <f>'8. Industrial_Gallery n School'!M61</f>
        <v>13465.666666666666</v>
      </c>
      <c r="O68" s="753">
        <f>'8. Industrial_Gallery n School'!N61</f>
        <v>0</v>
      </c>
      <c r="P68" s="8"/>
    </row>
    <row r="69" spans="2:16" ht="11.25" customHeight="1" x14ac:dyDescent="0.2">
      <c r="B69" s="1186" t="s">
        <v>9</v>
      </c>
      <c r="C69" s="1187"/>
      <c r="D69" s="309">
        <f t="shared" si="16"/>
        <v>0</v>
      </c>
      <c r="E69" s="757">
        <v>0</v>
      </c>
      <c r="F69" s="992">
        <f>'9. Hotel'!C38</f>
        <v>0</v>
      </c>
      <c r="G69" s="992">
        <f>'9. Hotel'!D38</f>
        <v>0</v>
      </c>
      <c r="H69" s="992">
        <f>'9. Hotel'!E38</f>
        <v>0</v>
      </c>
      <c r="I69" s="992">
        <f>'9. Hotel'!F38</f>
        <v>0</v>
      </c>
      <c r="J69" s="992">
        <f>'9. Hotel'!G38</f>
        <v>0</v>
      </c>
      <c r="K69" s="992">
        <f>'9. Hotel'!H38</f>
        <v>0</v>
      </c>
      <c r="L69" s="992">
        <f>'9. Hotel'!I38</f>
        <v>0</v>
      </c>
      <c r="M69" s="992">
        <f>'9. Hotel'!J38</f>
        <v>0</v>
      </c>
      <c r="N69" s="992">
        <f>'9. Hotel'!K38</f>
        <v>0</v>
      </c>
      <c r="O69" s="758">
        <f>'9. Hotel'!L38</f>
        <v>0</v>
      </c>
      <c r="P69" s="8"/>
    </row>
    <row r="70" spans="2:16" ht="11.25" customHeight="1" x14ac:dyDescent="0.2">
      <c r="B70" s="1186" t="s">
        <v>10</v>
      </c>
      <c r="C70" s="1187"/>
      <c r="D70" s="309">
        <f t="shared" si="16"/>
        <v>270684</v>
      </c>
      <c r="E70" s="757">
        <v>0</v>
      </c>
      <c r="F70" s="752">
        <f>'10. Structured Parking'!E113</f>
        <v>0</v>
      </c>
      <c r="G70" s="752">
        <f>'10. Structured Parking'!F113</f>
        <v>68385</v>
      </c>
      <c r="H70" s="752">
        <f>'10. Structured Parking'!G113</f>
        <v>68385</v>
      </c>
      <c r="I70" s="752">
        <f>'10. Structured Parking'!H113</f>
        <v>32445</v>
      </c>
      <c r="J70" s="752">
        <f>'10. Structured Parking'!I113</f>
        <v>32445</v>
      </c>
      <c r="K70" s="752">
        <f>'10. Structured Parking'!J113</f>
        <v>0</v>
      </c>
      <c r="L70" s="752">
        <f>'10. Structured Parking'!K113</f>
        <v>34512</v>
      </c>
      <c r="M70" s="752">
        <f>'10. Structured Parking'!L113</f>
        <v>34512</v>
      </c>
      <c r="N70" s="752">
        <f>'10. Structured Parking'!M113</f>
        <v>0</v>
      </c>
      <c r="O70" s="753">
        <f>'10. Structured Parking'!N113</f>
        <v>0</v>
      </c>
      <c r="P70" s="8"/>
    </row>
    <row r="71" spans="2:16" ht="11.25" customHeight="1" x14ac:dyDescent="0.2">
      <c r="B71" s="1186" t="s">
        <v>11</v>
      </c>
      <c r="C71" s="1187"/>
      <c r="D71" s="309">
        <f t="shared" si="16"/>
        <v>0</v>
      </c>
      <c r="E71" s="757">
        <v>0</v>
      </c>
      <c r="F71" s="992">
        <f>'11. Surface Parking'!C52</f>
        <v>0</v>
      </c>
      <c r="G71" s="992">
        <f>'11. Surface Parking'!D52</f>
        <v>0</v>
      </c>
      <c r="H71" s="992">
        <f>'11. Surface Parking'!E52</f>
        <v>0</v>
      </c>
      <c r="I71" s="992">
        <f>'11. Surface Parking'!F52</f>
        <v>0</v>
      </c>
      <c r="J71" s="992">
        <f>'11. Surface Parking'!G52</f>
        <v>0</v>
      </c>
      <c r="K71" s="992">
        <f>'11. Surface Parking'!H52</f>
        <v>0</v>
      </c>
      <c r="L71" s="992">
        <f>'11. Surface Parking'!I52</f>
        <v>0</v>
      </c>
      <c r="M71" s="992">
        <f>'11. Surface Parking'!J52</f>
        <v>0</v>
      </c>
      <c r="N71" s="992">
        <f>'11. Surface Parking'!K52</f>
        <v>0</v>
      </c>
      <c r="O71" s="758">
        <f>'11. Surface Parking'!L52</f>
        <v>0</v>
      </c>
      <c r="P71" s="8"/>
    </row>
    <row r="72" spans="2:16" ht="11.25" customHeight="1" thickBot="1" x14ac:dyDescent="0.25">
      <c r="B72" s="1186" t="s">
        <v>16</v>
      </c>
      <c r="C72" s="1187"/>
      <c r="D72" s="309">
        <f t="shared" si="16"/>
        <v>0</v>
      </c>
      <c r="E72" s="757">
        <v>0</v>
      </c>
      <c r="F72" s="992">
        <v>0</v>
      </c>
      <c r="G72" s="992">
        <v>0</v>
      </c>
      <c r="H72" s="992">
        <v>0</v>
      </c>
      <c r="I72" s="992">
        <v>0</v>
      </c>
      <c r="J72" s="992">
        <v>0</v>
      </c>
      <c r="K72" s="992">
        <v>0</v>
      </c>
      <c r="L72" s="992">
        <v>0</v>
      </c>
      <c r="M72" s="992">
        <v>0</v>
      </c>
      <c r="N72" s="992">
        <v>0</v>
      </c>
      <c r="O72" s="758">
        <v>0</v>
      </c>
      <c r="P72" s="8"/>
    </row>
    <row r="73" spans="2:16" ht="11.25" customHeight="1" thickBot="1" x14ac:dyDescent="0.25">
      <c r="B73" s="660" t="s">
        <v>40</v>
      </c>
      <c r="C73" s="661"/>
      <c r="D73" s="662"/>
      <c r="E73" s="759"/>
      <c r="F73" s="760"/>
      <c r="G73" s="760"/>
      <c r="H73" s="760"/>
      <c r="I73" s="760"/>
      <c r="J73" s="760"/>
      <c r="K73" s="760"/>
      <c r="L73" s="760"/>
      <c r="M73" s="760"/>
      <c r="N73" s="761"/>
      <c r="O73" s="762"/>
      <c r="P73" s="141"/>
    </row>
    <row r="74" spans="2:16" ht="11.25" customHeight="1" x14ac:dyDescent="0.2">
      <c r="B74" s="1219" t="s">
        <v>4</v>
      </c>
      <c r="C74" s="1025" t="s">
        <v>5</v>
      </c>
      <c r="D74" s="1026">
        <f>SUM(E74:O74)</f>
        <v>843079.125</v>
      </c>
      <c r="E74" s="1027">
        <v>0</v>
      </c>
      <c r="F74" s="750">
        <f>'2. Market-Rate Rental'!E67</f>
        <v>162209.59999999998</v>
      </c>
      <c r="G74" s="750">
        <f>'2. Market-Rate Rental'!F67</f>
        <v>81104.799999999988</v>
      </c>
      <c r="H74" s="750">
        <f>'2. Market-Rate Rental'!G67</f>
        <v>0</v>
      </c>
      <c r="I74" s="750">
        <f>'2. Market-Rate Rental'!H67</f>
        <v>120911.34999999999</v>
      </c>
      <c r="J74" s="750">
        <f>'2. Market-Rate Rental'!I67</f>
        <v>241822.69999999998</v>
      </c>
      <c r="K74" s="750">
        <f>'2. Market-Rate Rental'!J67</f>
        <v>0</v>
      </c>
      <c r="L74" s="750">
        <f>'2. Market-Rate Rental'!K67</f>
        <v>237030.67499999999</v>
      </c>
      <c r="M74" s="750">
        <f>'2. Market-Rate Rental'!L67</f>
        <v>0</v>
      </c>
      <c r="N74" s="750">
        <f>'2. Market-Rate Rental'!M67</f>
        <v>0</v>
      </c>
      <c r="O74" s="751">
        <f>'2. Market-Rate Rental'!N67</f>
        <v>0</v>
      </c>
      <c r="P74" s="8"/>
    </row>
    <row r="75" spans="2:16" ht="11.25" customHeight="1" x14ac:dyDescent="0.2">
      <c r="B75" s="1177"/>
      <c r="C75" s="987" t="s">
        <v>6</v>
      </c>
      <c r="D75" s="309">
        <f t="shared" ref="D75:D84" si="17">SUM(E75:O75)</f>
        <v>361319.625</v>
      </c>
      <c r="E75" s="763">
        <v>0</v>
      </c>
      <c r="F75" s="750">
        <f>'3. Market-Rate For-Sale'!E65</f>
        <v>104277.59999999999</v>
      </c>
      <c r="G75" s="750">
        <f>'3. Market-Rate For-Sale'!F65</f>
        <v>0</v>
      </c>
      <c r="H75" s="750">
        <f>'3. Market-Rate For-Sale'!G65</f>
        <v>0</v>
      </c>
      <c r="I75" s="750">
        <f>'3. Market-Rate For-Sale'!H65</f>
        <v>0</v>
      </c>
      <c r="J75" s="750">
        <f>'3. Market-Rate For-Sale'!I65</f>
        <v>155457.45000000001</v>
      </c>
      <c r="K75" s="750">
        <f>'3. Market-Rate For-Sale'!J65</f>
        <v>0</v>
      </c>
      <c r="L75" s="750">
        <f>'3. Market-Rate For-Sale'!K65</f>
        <v>101584.57500000001</v>
      </c>
      <c r="M75" s="750">
        <f>'3. Market-Rate For-Sale'!L65</f>
        <v>0</v>
      </c>
      <c r="N75" s="750">
        <f>'3. Market-Rate For-Sale'!M65</f>
        <v>0</v>
      </c>
      <c r="O75" s="751">
        <f>'3. Market-Rate For-Sale'!N65</f>
        <v>0</v>
      </c>
      <c r="P75" s="8"/>
    </row>
    <row r="76" spans="2:16" ht="11.25" customHeight="1" x14ac:dyDescent="0.2">
      <c r="B76" s="1177" t="s">
        <v>7</v>
      </c>
      <c r="C76" s="987" t="s">
        <v>5</v>
      </c>
      <c r="D76" s="309">
        <f t="shared" si="17"/>
        <v>281026.37499999994</v>
      </c>
      <c r="E76" s="763">
        <v>0</v>
      </c>
      <c r="F76" s="750">
        <f>'4. Affordable Rental'!E67</f>
        <v>0</v>
      </c>
      <c r="G76" s="750">
        <f>'4. Affordable Rental'!F67</f>
        <v>81104.799999999988</v>
      </c>
      <c r="H76" s="750">
        <f>'4. Affordable Rental'!G67</f>
        <v>0</v>
      </c>
      <c r="I76" s="750">
        <f>'4. Affordable Rental'!H67</f>
        <v>0</v>
      </c>
      <c r="J76" s="750">
        <f>'4. Affordable Rental'!I67</f>
        <v>120911.34999999999</v>
      </c>
      <c r="K76" s="750">
        <f>'4. Affordable Rental'!J67</f>
        <v>0</v>
      </c>
      <c r="L76" s="750">
        <f>'4. Affordable Rental'!K67</f>
        <v>0</v>
      </c>
      <c r="M76" s="750">
        <f>'4. Affordable Rental'!L67</f>
        <v>79010.224999999991</v>
      </c>
      <c r="N76" s="750">
        <f>'4. Affordable Rental'!M67</f>
        <v>0</v>
      </c>
      <c r="O76" s="751">
        <f>'4. Affordable Rental'!N67</f>
        <v>0</v>
      </c>
      <c r="P76" s="8"/>
    </row>
    <row r="77" spans="2:16" ht="11.25" customHeight="1" x14ac:dyDescent="0.2">
      <c r="B77" s="1177"/>
      <c r="C77" s="987" t="s">
        <v>6</v>
      </c>
      <c r="D77" s="309">
        <f t="shared" si="17"/>
        <v>120439.875</v>
      </c>
      <c r="E77" s="763">
        <v>0</v>
      </c>
      <c r="F77" s="750">
        <f>'5. Affordable For-Sale'!E66</f>
        <v>34759.199999999997</v>
      </c>
      <c r="G77" s="750">
        <f>'5. Affordable For-Sale'!F66</f>
        <v>0</v>
      </c>
      <c r="H77" s="750">
        <f>'5. Affordable For-Sale'!G66</f>
        <v>0</v>
      </c>
      <c r="I77" s="750">
        <f>'5. Affordable For-Sale'!H66</f>
        <v>0</v>
      </c>
      <c r="J77" s="750">
        <f>'5. Affordable For-Sale'!I66</f>
        <v>51819.15</v>
      </c>
      <c r="K77" s="750">
        <f>'5. Affordable For-Sale'!J66</f>
        <v>0</v>
      </c>
      <c r="L77" s="750">
        <f>'5. Affordable For-Sale'!K66</f>
        <v>0</v>
      </c>
      <c r="M77" s="750">
        <f>'5. Affordable For-Sale'!L66</f>
        <v>33861.525000000001</v>
      </c>
      <c r="N77" s="750">
        <f>'5. Affordable For-Sale'!M66</f>
        <v>0</v>
      </c>
      <c r="O77" s="751">
        <f>'5. Affordable For-Sale'!N66</f>
        <v>0</v>
      </c>
      <c r="P77" s="8"/>
    </row>
    <row r="78" spans="2:16" ht="11.25" customHeight="1" x14ac:dyDescent="0.2">
      <c r="B78" s="1186" t="s">
        <v>8</v>
      </c>
      <c r="C78" s="1187"/>
      <c r="D78" s="309">
        <f t="shared" si="17"/>
        <v>121005</v>
      </c>
      <c r="E78" s="763">
        <v>0</v>
      </c>
      <c r="F78" s="750">
        <f>'6. Office_Commercial'!E65</f>
        <v>50758</v>
      </c>
      <c r="G78" s="750">
        <f>'6. Office_Commercial'!F65</f>
        <v>0</v>
      </c>
      <c r="H78" s="750">
        <f>'6. Office_Commercial'!G65</f>
        <v>0</v>
      </c>
      <c r="I78" s="750">
        <f>'6. Office_Commercial'!H65</f>
        <v>70247</v>
      </c>
      <c r="J78" s="750">
        <f>'6. Office_Commercial'!I65</f>
        <v>0</v>
      </c>
      <c r="K78" s="750">
        <f>'6. Office_Commercial'!J65</f>
        <v>0</v>
      </c>
      <c r="L78" s="750">
        <f>'6. Office_Commercial'!K65</f>
        <v>0</v>
      </c>
      <c r="M78" s="750">
        <f>'6. Office_Commercial'!L65</f>
        <v>0</v>
      </c>
      <c r="N78" s="750">
        <f>'6. Office_Commercial'!M65</f>
        <v>0</v>
      </c>
      <c r="O78" s="751">
        <f>'6. Office_Commercial'!N65</f>
        <v>0</v>
      </c>
      <c r="P78" s="310"/>
    </row>
    <row r="79" spans="2:16" ht="11.25" customHeight="1" x14ac:dyDescent="0.2">
      <c r="B79" s="1186" t="s">
        <v>21</v>
      </c>
      <c r="C79" s="1187"/>
      <c r="D79" s="309">
        <f t="shared" si="17"/>
        <v>433085</v>
      </c>
      <c r="E79" s="763">
        <v>0</v>
      </c>
      <c r="F79" s="750">
        <f>'7. Retail'!E64</f>
        <v>0</v>
      </c>
      <c r="G79" s="750">
        <f>'7. Retail'!F64</f>
        <v>202741.33333333331</v>
      </c>
      <c r="H79" s="750">
        <f>'7. Retail'!G64</f>
        <v>101370.66666666666</v>
      </c>
      <c r="I79" s="750">
        <f>'7. Retail'!H64</f>
        <v>128973</v>
      </c>
      <c r="J79" s="750">
        <f>'7. Retail'!I64</f>
        <v>0</v>
      </c>
      <c r="K79" s="750">
        <f>'7. Retail'!J64</f>
        <v>0</v>
      </c>
      <c r="L79" s="750">
        <f>'7. Retail'!K64</f>
        <v>0</v>
      </c>
      <c r="M79" s="750">
        <f>'7. Retail'!L64</f>
        <v>0</v>
      </c>
      <c r="N79" s="750">
        <f>'7. Retail'!M64</f>
        <v>0</v>
      </c>
      <c r="O79" s="751">
        <f>'7. Retail'!N64</f>
        <v>0</v>
      </c>
      <c r="P79" s="310"/>
    </row>
    <row r="80" spans="2:16" ht="11.25" customHeight="1" x14ac:dyDescent="0.2">
      <c r="B80" s="1186" t="s">
        <v>216</v>
      </c>
      <c r="C80" s="1187"/>
      <c r="D80" s="309">
        <f t="shared" si="17"/>
        <v>135645</v>
      </c>
      <c r="E80" s="763">
        <v>0</v>
      </c>
      <c r="F80" s="748">
        <f>'8. Industrial_Gallery n School'!E61</f>
        <v>0</v>
      </c>
      <c r="G80" s="748">
        <f>'8. Industrial_Gallery n School'!F61</f>
        <v>0</v>
      </c>
      <c r="H80" s="748">
        <f>'8. Industrial_Gallery n School'!G61</f>
        <v>0</v>
      </c>
      <c r="I80" s="748">
        <f>'8. Industrial_Gallery n School'!H61</f>
        <v>0</v>
      </c>
      <c r="J80" s="748">
        <f>'8. Industrial_Gallery n School'!I61</f>
        <v>63498.666666666664</v>
      </c>
      <c r="K80" s="748">
        <f>'8. Industrial_Gallery n School'!J61</f>
        <v>31749.333333333332</v>
      </c>
      <c r="L80" s="748">
        <f>'8. Industrial_Gallery n School'!K61</f>
        <v>0</v>
      </c>
      <c r="M80" s="748">
        <f>'8. Industrial_Gallery n School'!L61</f>
        <v>26931.333333333332</v>
      </c>
      <c r="N80" s="748">
        <f>'8. Industrial_Gallery n School'!M61</f>
        <v>13465.666666666666</v>
      </c>
      <c r="O80" s="749">
        <f>'8. Industrial_Gallery n School'!N61</f>
        <v>0</v>
      </c>
      <c r="P80" s="310"/>
    </row>
    <row r="81" spans="2:18" ht="11.25" customHeight="1" x14ac:dyDescent="0.2">
      <c r="B81" s="1186" t="s">
        <v>9</v>
      </c>
      <c r="C81" s="1187"/>
      <c r="D81" s="309">
        <f t="shared" si="17"/>
        <v>0</v>
      </c>
      <c r="E81" s="763">
        <v>0</v>
      </c>
      <c r="F81" s="764">
        <f>'9. Hotel'!D40</f>
        <v>0</v>
      </c>
      <c r="G81" s="764">
        <f>'9. Hotel'!E40</f>
        <v>0</v>
      </c>
      <c r="H81" s="764">
        <f>'9. Hotel'!F40</f>
        <v>0</v>
      </c>
      <c r="I81" s="764">
        <f>'9. Hotel'!G40</f>
        <v>0</v>
      </c>
      <c r="J81" s="764">
        <f>'9. Hotel'!H40</f>
        <v>0</v>
      </c>
      <c r="K81" s="764">
        <f>'9. Hotel'!I40</f>
        <v>0</v>
      </c>
      <c r="L81" s="764">
        <f>'9. Hotel'!J40</f>
        <v>0</v>
      </c>
      <c r="M81" s="764">
        <f>'9. Hotel'!K40</f>
        <v>0</v>
      </c>
      <c r="N81" s="764">
        <f>'9. Hotel'!L40</f>
        <v>0</v>
      </c>
      <c r="O81" s="765">
        <f>'9. Hotel'!M40</f>
        <v>0</v>
      </c>
      <c r="P81" s="8"/>
    </row>
    <row r="82" spans="2:18" ht="11.25" customHeight="1" x14ac:dyDescent="0.2">
      <c r="B82" s="1186" t="s">
        <v>10</v>
      </c>
      <c r="C82" s="1187"/>
      <c r="D82" s="309">
        <f t="shared" si="17"/>
        <v>270684</v>
      </c>
      <c r="E82" s="763">
        <v>0</v>
      </c>
      <c r="F82" s="750">
        <f>'10. Structured Parking'!E113</f>
        <v>0</v>
      </c>
      <c r="G82" s="750">
        <f>'10. Structured Parking'!F113</f>
        <v>68385</v>
      </c>
      <c r="H82" s="750">
        <f>'10. Structured Parking'!G113</f>
        <v>68385</v>
      </c>
      <c r="I82" s="750">
        <f>'10. Structured Parking'!H113</f>
        <v>32445</v>
      </c>
      <c r="J82" s="750">
        <f>'10. Structured Parking'!I113</f>
        <v>32445</v>
      </c>
      <c r="K82" s="750">
        <f>'10. Structured Parking'!J113</f>
        <v>0</v>
      </c>
      <c r="L82" s="750">
        <f>'10. Structured Parking'!K113</f>
        <v>34512</v>
      </c>
      <c r="M82" s="750">
        <f>'10. Structured Parking'!L113</f>
        <v>34512</v>
      </c>
      <c r="N82" s="750">
        <f>'10. Structured Parking'!M113</f>
        <v>0</v>
      </c>
      <c r="O82" s="751">
        <f>'10. Structured Parking'!N113</f>
        <v>0</v>
      </c>
      <c r="P82" s="8"/>
    </row>
    <row r="83" spans="2:18" ht="11.25" customHeight="1" x14ac:dyDescent="0.2">
      <c r="B83" s="1186" t="s">
        <v>11</v>
      </c>
      <c r="C83" s="1187"/>
      <c r="D83" s="309">
        <f t="shared" si="17"/>
        <v>0</v>
      </c>
      <c r="E83" s="763">
        <v>0</v>
      </c>
      <c r="F83" s="764"/>
      <c r="G83" s="764"/>
      <c r="H83" s="764"/>
      <c r="I83" s="764"/>
      <c r="J83" s="764"/>
      <c r="K83" s="764"/>
      <c r="L83" s="764"/>
      <c r="M83" s="764"/>
      <c r="N83" s="764"/>
      <c r="O83" s="765"/>
      <c r="P83" s="8"/>
    </row>
    <row r="84" spans="2:18" ht="11.25" customHeight="1" x14ac:dyDescent="0.2">
      <c r="B84" s="1186" t="s">
        <v>16</v>
      </c>
      <c r="C84" s="1187"/>
      <c r="D84" s="309">
        <f t="shared" si="17"/>
        <v>0</v>
      </c>
      <c r="E84" s="763">
        <v>0</v>
      </c>
      <c r="F84" s="764">
        <f>E84</f>
        <v>0</v>
      </c>
      <c r="G84" s="764">
        <f t="shared" ref="G84:O84" si="18">F84</f>
        <v>0</v>
      </c>
      <c r="H84" s="764">
        <f t="shared" si="18"/>
        <v>0</v>
      </c>
      <c r="I84" s="764">
        <f t="shared" si="18"/>
        <v>0</v>
      </c>
      <c r="J84" s="764">
        <f t="shared" si="18"/>
        <v>0</v>
      </c>
      <c r="K84" s="764">
        <f t="shared" si="18"/>
        <v>0</v>
      </c>
      <c r="L84" s="764">
        <f t="shared" si="18"/>
        <v>0</v>
      </c>
      <c r="M84" s="764">
        <f t="shared" si="18"/>
        <v>0</v>
      </c>
      <c r="N84" s="764">
        <f t="shared" si="18"/>
        <v>0</v>
      </c>
      <c r="O84" s="765">
        <f t="shared" si="18"/>
        <v>0</v>
      </c>
      <c r="P84" s="8"/>
    </row>
    <row r="85" spans="2:18" ht="11.25" customHeight="1" thickBot="1" x14ac:dyDescent="0.25">
      <c r="B85" s="1189" t="s">
        <v>41</v>
      </c>
      <c r="C85" s="1190"/>
      <c r="D85" s="1020">
        <f>SUM(D74:D84)</f>
        <v>2566284</v>
      </c>
      <c r="E85" s="741">
        <f t="shared" ref="E85:O85" si="19">SUM(E74:E84)</f>
        <v>0</v>
      </c>
      <c r="F85" s="721">
        <f t="shared" si="19"/>
        <v>352004.39999999997</v>
      </c>
      <c r="G85" s="721">
        <f t="shared" si="19"/>
        <v>433335.93333333329</v>
      </c>
      <c r="H85" s="721">
        <f t="shared" si="19"/>
        <v>169755.66666666666</v>
      </c>
      <c r="I85" s="721">
        <f t="shared" si="19"/>
        <v>352576.35</v>
      </c>
      <c r="J85" s="721">
        <f t="shared" si="19"/>
        <v>665954.31666666665</v>
      </c>
      <c r="K85" s="721">
        <f t="shared" si="19"/>
        <v>31749.333333333332</v>
      </c>
      <c r="L85" s="721">
        <f t="shared" si="19"/>
        <v>373127.25</v>
      </c>
      <c r="M85" s="721">
        <f t="shared" si="19"/>
        <v>174315.08333333334</v>
      </c>
      <c r="N85" s="721">
        <f t="shared" si="19"/>
        <v>13465.666666666666</v>
      </c>
      <c r="O85" s="1020">
        <f t="shared" si="19"/>
        <v>0</v>
      </c>
      <c r="P85" s="8"/>
    </row>
    <row r="86" spans="2:18" ht="11.25" customHeight="1" thickBot="1" x14ac:dyDescent="0.25">
      <c r="B86" s="8"/>
      <c r="C86" s="8"/>
      <c r="D86" s="299"/>
      <c r="E86" s="7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2:18" s="4" customFormat="1" ht="17.25" thickBot="1" x14ac:dyDescent="0.3">
      <c r="B87" s="1191" t="s">
        <v>42</v>
      </c>
      <c r="C87" s="1192"/>
      <c r="D87" s="1192"/>
      <c r="E87" s="1193"/>
      <c r="F87" s="1193"/>
      <c r="G87" s="1193"/>
      <c r="H87" s="1194"/>
      <c r="I87" s="1"/>
      <c r="J87" s="1195" t="s">
        <v>43</v>
      </c>
      <c r="K87" s="1193"/>
      <c r="L87" s="1193"/>
      <c r="M87" s="1193"/>
      <c r="N87" s="1193"/>
      <c r="O87" s="1194"/>
      <c r="P87" s="666"/>
    </row>
    <row r="88" spans="2:18" s="5" customFormat="1" ht="11.25" customHeight="1" x14ac:dyDescent="0.2">
      <c r="B88" s="1212" t="s">
        <v>20</v>
      </c>
      <c r="C88" s="1213"/>
      <c r="D88" s="144"/>
      <c r="E88" s="1214" t="s">
        <v>44</v>
      </c>
      <c r="F88" s="1215"/>
      <c r="G88" s="1214" t="s">
        <v>45</v>
      </c>
      <c r="H88" s="1216"/>
      <c r="I88" s="312"/>
      <c r="J88" s="1199" t="s">
        <v>106</v>
      </c>
      <c r="K88" s="1197"/>
      <c r="L88" s="1197" t="s">
        <v>46</v>
      </c>
      <c r="M88" s="1197"/>
      <c r="N88" s="1197" t="s">
        <v>228</v>
      </c>
      <c r="O88" s="1198"/>
      <c r="P88" s="144"/>
      <c r="Q88" s="596"/>
      <c r="R88" s="596"/>
    </row>
    <row r="89" spans="2:18" ht="11.25" customHeight="1" x14ac:dyDescent="0.2">
      <c r="B89" s="1177" t="s">
        <v>4</v>
      </c>
      <c r="C89" s="817" t="s">
        <v>5</v>
      </c>
      <c r="D89" s="815"/>
      <c r="E89" s="1188">
        <f>G89/D60</f>
        <v>260908.71356973753</v>
      </c>
      <c r="F89" s="1188"/>
      <c r="G89" s="1113">
        <f t="shared" ref="G89:G99" si="20">-SUM(E26:O26)</f>
        <v>230693959.03644463</v>
      </c>
      <c r="H89" s="1121"/>
      <c r="I89" s="8"/>
      <c r="J89" s="1204" t="s">
        <v>77</v>
      </c>
      <c r="K89" s="1205"/>
      <c r="L89" s="1205"/>
      <c r="M89" s="1205"/>
      <c r="N89" s="1205"/>
      <c r="O89" s="1206"/>
      <c r="P89" s="320"/>
    </row>
    <row r="90" spans="2:18" x14ac:dyDescent="0.2">
      <c r="B90" s="1177"/>
      <c r="C90" s="817" t="s">
        <v>6</v>
      </c>
      <c r="D90" s="815"/>
      <c r="E90" s="1188">
        <f>G90/D61</f>
        <v>261318.79082310275</v>
      </c>
      <c r="F90" s="1188"/>
      <c r="G90" s="1113">
        <f t="shared" si="20"/>
        <v>98972334.911590084</v>
      </c>
      <c r="H90" s="1121"/>
      <c r="I90" s="8"/>
      <c r="J90" s="1119" t="s">
        <v>124</v>
      </c>
      <c r="K90" s="1120"/>
      <c r="L90" s="1114">
        <f>'Financing and Budget'!Q23</f>
        <v>101377854.18956256</v>
      </c>
      <c r="M90" s="1175"/>
      <c r="N90" s="1155">
        <f>L90/$L$107</f>
        <v>0.15728656951518272</v>
      </c>
      <c r="O90" s="1156"/>
      <c r="P90" s="320"/>
    </row>
    <row r="91" spans="2:18" ht="11.25" customHeight="1" x14ac:dyDescent="0.2">
      <c r="B91" s="1177" t="s">
        <v>7</v>
      </c>
      <c r="C91" s="817" t="s">
        <v>5</v>
      </c>
      <c r="D91" s="815"/>
      <c r="E91" s="1188">
        <f>G91/D62</f>
        <v>264133.87868042925</v>
      </c>
      <c r="F91" s="1188"/>
      <c r="G91" s="1113">
        <f t="shared" si="20"/>
        <v>77848543.723388359</v>
      </c>
      <c r="H91" s="1121"/>
      <c r="I91" s="8"/>
      <c r="J91" s="1119" t="s">
        <v>259</v>
      </c>
      <c r="K91" s="1120"/>
      <c r="L91" s="1114">
        <f>'Financing and Budget'!Q24</f>
        <v>27984849</v>
      </c>
      <c r="M91" s="1175"/>
      <c r="N91" s="1155">
        <f>L91/$L$107</f>
        <v>4.3418169903063165E-2</v>
      </c>
      <c r="O91" s="1156"/>
      <c r="P91" s="320"/>
    </row>
    <row r="92" spans="2:18" ht="11.25" customHeight="1" x14ac:dyDescent="0.2">
      <c r="B92" s="1177"/>
      <c r="C92" s="817" t="s">
        <v>6</v>
      </c>
      <c r="D92" s="815"/>
      <c r="E92" s="1188">
        <f>G92/D63</f>
        <v>262863.95293686935</v>
      </c>
      <c r="F92" s="1188"/>
      <c r="G92" s="1113">
        <f t="shared" si="20"/>
        <v>33185850.769101076</v>
      </c>
      <c r="H92" s="1121"/>
      <c r="I92" s="8"/>
      <c r="J92" s="1177" t="s">
        <v>56</v>
      </c>
      <c r="K92" s="1178"/>
      <c r="L92" s="1176">
        <f>SUM(L90:M91)</f>
        <v>129362703.18956256</v>
      </c>
      <c r="M92" s="1109"/>
      <c r="N92" s="1202">
        <f>SUM(N90:O91)</f>
        <v>0.20070473941824588</v>
      </c>
      <c r="O92" s="1203"/>
      <c r="P92" s="320"/>
    </row>
    <row r="93" spans="2:18" ht="11.25" customHeight="1" x14ac:dyDescent="0.2">
      <c r="B93" s="1186" t="s">
        <v>8</v>
      </c>
      <c r="C93" s="1187"/>
      <c r="D93" s="815"/>
      <c r="E93" s="1159">
        <f>G93/D66</f>
        <v>247.22440627329692</v>
      </c>
      <c r="F93" s="1159"/>
      <c r="G93" s="1113">
        <f t="shared" si="20"/>
        <v>29915389.281100295</v>
      </c>
      <c r="H93" s="1121"/>
      <c r="I93" s="8"/>
      <c r="J93" s="1162" t="s">
        <v>107</v>
      </c>
      <c r="K93" s="1163"/>
      <c r="L93" s="1163"/>
      <c r="M93" s="1163"/>
      <c r="N93" s="1163"/>
      <c r="O93" s="1164"/>
      <c r="P93" s="320"/>
    </row>
    <row r="94" spans="2:18" ht="11.25" customHeight="1" x14ac:dyDescent="0.2">
      <c r="B94" s="1186" t="s">
        <v>21</v>
      </c>
      <c r="C94" s="1187"/>
      <c r="D94" s="815"/>
      <c r="E94" s="1159">
        <f t="shared" ref="E94:E95" si="21">G94/D67</f>
        <v>156.25639309173857</v>
      </c>
      <c r="F94" s="1159"/>
      <c r="G94" s="1113">
        <f t="shared" si="20"/>
        <v>67672300.002135605</v>
      </c>
      <c r="H94" s="1121"/>
      <c r="I94" s="8"/>
      <c r="J94" s="1200" t="s">
        <v>260</v>
      </c>
      <c r="K94" s="1201"/>
      <c r="L94" s="1114">
        <f>'Financing and Budget'!Q22</f>
        <v>451179640.77564585</v>
      </c>
      <c r="M94" s="1175"/>
      <c r="N94" s="1155">
        <f>L94/$L$107</f>
        <v>0.7</v>
      </c>
      <c r="O94" s="1156"/>
      <c r="P94" s="320"/>
    </row>
    <row r="95" spans="2:18" ht="11.25" customHeight="1" x14ac:dyDescent="0.2">
      <c r="B95" s="816"/>
      <c r="C95" s="817" t="s">
        <v>216</v>
      </c>
      <c r="D95" s="718"/>
      <c r="E95" s="1159">
        <f t="shared" si="21"/>
        <v>135.99655372705129</v>
      </c>
      <c r="F95" s="1159"/>
      <c r="G95" s="1113">
        <f t="shared" si="20"/>
        <v>18447252.530305874</v>
      </c>
      <c r="H95" s="1121"/>
      <c r="I95" s="8"/>
      <c r="J95" s="1108" t="s">
        <v>261</v>
      </c>
      <c r="K95" s="1109"/>
      <c r="L95" s="8"/>
      <c r="M95" s="8"/>
      <c r="N95" s="8"/>
      <c r="O95" s="698"/>
      <c r="P95" s="320"/>
    </row>
    <row r="96" spans="2:18" ht="11.25" customHeight="1" x14ac:dyDescent="0.2">
      <c r="B96" s="1186" t="s">
        <v>9</v>
      </c>
      <c r="C96" s="1187"/>
      <c r="D96" s="815"/>
      <c r="E96" s="1159">
        <v>0</v>
      </c>
      <c r="F96" s="1159"/>
      <c r="G96" s="1113">
        <f t="shared" si="20"/>
        <v>0</v>
      </c>
      <c r="H96" s="1121"/>
      <c r="I96" s="8"/>
      <c r="J96" s="1177" t="s">
        <v>56</v>
      </c>
      <c r="K96" s="1178"/>
      <c r="L96" s="1113">
        <f>SUM(L94)</f>
        <v>451179640.77564585</v>
      </c>
      <c r="M96" s="1120"/>
      <c r="N96" s="1111">
        <f>SUM(N94)</f>
        <v>0.7</v>
      </c>
      <c r="O96" s="1112"/>
      <c r="P96" s="715"/>
    </row>
    <row r="97" spans="2:16" ht="11.25" customHeight="1" x14ac:dyDescent="0.2">
      <c r="B97" s="1186" t="s">
        <v>10</v>
      </c>
      <c r="C97" s="1187"/>
      <c r="D97" s="815"/>
      <c r="E97" s="1159">
        <f>G97/D70</f>
        <v>87.621350293025202</v>
      </c>
      <c r="F97" s="1159"/>
      <c r="G97" s="1113">
        <f t="shared" si="20"/>
        <v>23717697.582717232</v>
      </c>
      <c r="H97" s="1121"/>
      <c r="I97" s="8"/>
      <c r="J97" s="1162" t="s">
        <v>108</v>
      </c>
      <c r="K97" s="1163"/>
      <c r="L97" s="1163"/>
      <c r="M97" s="1163"/>
      <c r="N97" s="1163"/>
      <c r="O97" s="1164"/>
      <c r="P97" s="320"/>
    </row>
    <row r="98" spans="2:16" x14ac:dyDescent="0.2">
      <c r="B98" s="1186" t="s">
        <v>11</v>
      </c>
      <c r="C98" s="1187"/>
      <c r="D98" s="815"/>
      <c r="E98" s="1159">
        <v>0</v>
      </c>
      <c r="F98" s="1159"/>
      <c r="G98" s="1113">
        <f t="shared" si="20"/>
        <v>0</v>
      </c>
      <c r="H98" s="1121"/>
      <c r="I98" s="8"/>
      <c r="J98" s="1165" t="s">
        <v>224</v>
      </c>
      <c r="K98" s="1166"/>
      <c r="L98" s="1174">
        <f>'Financing and Budget'!Q25</f>
        <v>40000000</v>
      </c>
      <c r="M98" s="1174"/>
      <c r="N98" s="1157">
        <f t="shared" ref="N98:N104" si="22">L98/$L$107</f>
        <v>6.2059537863596359E-2</v>
      </c>
      <c r="O98" s="1158"/>
      <c r="P98" s="320"/>
    </row>
    <row r="99" spans="2:16" x14ac:dyDescent="0.2">
      <c r="B99" s="1186" t="s">
        <v>16</v>
      </c>
      <c r="C99" s="1187"/>
      <c r="D99" s="815"/>
      <c r="E99" s="1159">
        <v>0</v>
      </c>
      <c r="F99" s="1159"/>
      <c r="G99" s="1113">
        <f t="shared" si="20"/>
        <v>0</v>
      </c>
      <c r="H99" s="1121"/>
      <c r="I99" s="863"/>
      <c r="J99" s="1160" t="s">
        <v>230</v>
      </c>
      <c r="K99" s="1161"/>
      <c r="L99" s="1114">
        <f>'Financing and Budget'!Q26</f>
        <v>8000000</v>
      </c>
      <c r="M99" s="1114"/>
      <c r="N99" s="1111">
        <f t="shared" si="22"/>
        <v>1.2411907572719271E-2</v>
      </c>
      <c r="O99" s="1112"/>
      <c r="P99" s="320"/>
    </row>
    <row r="100" spans="2:16" ht="15" x14ac:dyDescent="0.25">
      <c r="B100" s="816"/>
      <c r="C100" s="817" t="s">
        <v>280</v>
      </c>
      <c r="D100" s="815"/>
      <c r="E100" s="1159">
        <f>G100/Land!F13</f>
        <v>118.01609177176489</v>
      </c>
      <c r="F100" s="1159"/>
      <c r="G100" s="1113">
        <f>-E38</f>
        <v>27984849</v>
      </c>
      <c r="H100" s="1121"/>
      <c r="I100" s="863"/>
      <c r="J100" s="1170" t="s">
        <v>231</v>
      </c>
      <c r="K100" s="1171"/>
      <c r="L100" s="1114">
        <f>'Financing and Budget'!Q27</f>
        <v>300000</v>
      </c>
      <c r="M100" s="1114"/>
      <c r="N100" s="1111">
        <f t="shared" si="22"/>
        <v>4.6544653397697272E-4</v>
      </c>
      <c r="O100" s="1112"/>
      <c r="P100" s="817"/>
    </row>
    <row r="101" spans="2:16" x14ac:dyDescent="0.2">
      <c r="B101" s="816"/>
      <c r="C101" s="817" t="s">
        <v>13</v>
      </c>
      <c r="D101" s="815"/>
      <c r="E101" s="1169">
        <v>3.5</v>
      </c>
      <c r="F101" s="1169"/>
      <c r="G101" s="1113">
        <f>-E39</f>
        <v>1169826</v>
      </c>
      <c r="H101" s="1121"/>
      <c r="I101" s="863"/>
      <c r="J101" s="1172" t="s">
        <v>223</v>
      </c>
      <c r="K101" s="1173"/>
      <c r="L101" s="1114">
        <f>'Financing and Budget'!Q28</f>
        <v>3700000</v>
      </c>
      <c r="M101" s="1114"/>
      <c r="N101" s="1111">
        <f t="shared" si="22"/>
        <v>5.7405072523826631E-3</v>
      </c>
      <c r="O101" s="1112"/>
      <c r="P101" s="817"/>
    </row>
    <row r="102" spans="2:16" ht="13.5" customHeight="1" x14ac:dyDescent="0.2">
      <c r="B102" s="692"/>
      <c r="C102" s="313" t="s">
        <v>222</v>
      </c>
      <c r="D102" s="313"/>
      <c r="E102" s="724"/>
      <c r="F102" s="724"/>
      <c r="G102" s="1184">
        <f>'Financing and Budget'!Q19</f>
        <v>3878480.5338682919</v>
      </c>
      <c r="H102" s="1185"/>
      <c r="I102" s="863"/>
      <c r="J102" s="1160" t="s">
        <v>126</v>
      </c>
      <c r="K102" s="1161"/>
      <c r="L102" s="1114">
        <f>'Financing and Budget'!Q29</f>
        <v>8000000</v>
      </c>
      <c r="M102" s="1114"/>
      <c r="N102" s="1111">
        <f t="shared" si="22"/>
        <v>1.2411907572719271E-2</v>
      </c>
      <c r="O102" s="1112"/>
      <c r="P102" s="320"/>
    </row>
    <row r="103" spans="2:16" ht="12.75" customHeight="1" x14ac:dyDescent="0.2">
      <c r="B103" s="693" t="s">
        <v>47</v>
      </c>
      <c r="C103" s="302"/>
      <c r="D103" s="303"/>
      <c r="E103" s="716" t="s">
        <v>48</v>
      </c>
      <c r="F103" s="716"/>
      <c r="G103" s="716" t="s">
        <v>49</v>
      </c>
      <c r="H103" s="717"/>
      <c r="I103" s="8"/>
      <c r="J103" s="1160" t="s">
        <v>127</v>
      </c>
      <c r="K103" s="1161"/>
      <c r="L103" s="1114">
        <f>'Financing and Budget'!Q30</f>
        <v>3500000</v>
      </c>
      <c r="M103" s="1114"/>
      <c r="N103" s="1111">
        <f t="shared" si="22"/>
        <v>5.4302095630646818E-3</v>
      </c>
      <c r="O103" s="1112"/>
      <c r="P103" s="320"/>
    </row>
    <row r="104" spans="2:16" x14ac:dyDescent="0.2">
      <c r="B104" s="197"/>
      <c r="C104" s="725" t="s">
        <v>50</v>
      </c>
      <c r="D104" s="815"/>
      <c r="E104" s="718"/>
      <c r="F104" s="718"/>
      <c r="G104" s="1167">
        <f>'1. Infrastructure Costs'!F33</f>
        <v>9690645.9222881403</v>
      </c>
      <c r="H104" s="1168"/>
      <c r="I104" s="8"/>
      <c r="J104" s="1160" t="s">
        <v>128</v>
      </c>
      <c r="K104" s="1161"/>
      <c r="L104" s="1114">
        <f>'Financing and Budget'!Q31</f>
        <v>500000</v>
      </c>
      <c r="M104" s="1114"/>
      <c r="N104" s="1111">
        <f t="shared" si="22"/>
        <v>7.7574422329495444E-4</v>
      </c>
      <c r="O104" s="1112"/>
      <c r="P104" s="320"/>
    </row>
    <row r="105" spans="2:16" ht="11.25" customHeight="1" x14ac:dyDescent="0.2">
      <c r="B105" s="197"/>
      <c r="C105" s="725" t="s">
        <v>232</v>
      </c>
      <c r="D105" s="815"/>
      <c r="E105" s="718"/>
      <c r="F105" s="718"/>
      <c r="G105" s="1167">
        <f>'1. Infrastructure Costs'!F34</f>
        <v>5855043.432031204</v>
      </c>
      <c r="H105" s="1168"/>
      <c r="I105" s="8"/>
      <c r="J105" s="1119" t="s">
        <v>56</v>
      </c>
      <c r="K105" s="1120"/>
      <c r="L105" s="1113">
        <f>SUM(L98:M104)</f>
        <v>64000000</v>
      </c>
      <c r="M105" s="1113"/>
      <c r="N105" s="1111">
        <f>SUM(N98:O104)</f>
        <v>9.9295260581754183E-2</v>
      </c>
      <c r="O105" s="1112"/>
      <c r="P105" s="320"/>
    </row>
    <row r="106" spans="2:16" ht="11.25" customHeight="1" x14ac:dyDescent="0.2">
      <c r="B106" s="382"/>
      <c r="C106" s="726" t="s">
        <v>236</v>
      </c>
      <c r="D106" s="311"/>
      <c r="E106" s="718"/>
      <c r="F106" s="718"/>
      <c r="G106" s="1167">
        <f>'1. Infrastructure Costs'!F35</f>
        <v>6983523.2838030877</v>
      </c>
      <c r="H106" s="1168"/>
      <c r="I106" s="8"/>
      <c r="J106" s="988"/>
      <c r="K106" s="990"/>
      <c r="L106" s="989"/>
      <c r="M106" s="991"/>
      <c r="N106" s="986"/>
      <c r="O106" s="993"/>
      <c r="P106" s="320"/>
    </row>
    <row r="107" spans="2:16" ht="11.25" customHeight="1" thickBot="1" x14ac:dyDescent="0.25">
      <c r="B107" s="382"/>
      <c r="C107" s="726" t="s">
        <v>256</v>
      </c>
      <c r="D107" s="815"/>
      <c r="E107" s="718"/>
      <c r="F107" s="718"/>
      <c r="G107" s="1167">
        <f>'1. Infrastructure Costs'!F36</f>
        <v>4482902.860513459</v>
      </c>
      <c r="H107" s="1168"/>
      <c r="I107" s="8"/>
      <c r="J107" s="1222" t="s">
        <v>41</v>
      </c>
      <c r="K107" s="1223"/>
      <c r="L107" s="1145">
        <f>SUM(L98:M104,L94,L90:M91)</f>
        <v>644542343.96520841</v>
      </c>
      <c r="M107" s="1146"/>
      <c r="N107" s="1143">
        <f>L107/$L$107</f>
        <v>1</v>
      </c>
      <c r="O107" s="1144"/>
      <c r="P107" s="320"/>
    </row>
    <row r="108" spans="2:16" ht="11.25" customHeight="1" x14ac:dyDescent="0.2">
      <c r="B108" s="382"/>
      <c r="C108" s="726" t="s">
        <v>258</v>
      </c>
      <c r="D108" s="815"/>
      <c r="E108" s="718"/>
      <c r="F108" s="718"/>
      <c r="G108" s="1167">
        <f>'1. Infrastructure Costs'!F37</f>
        <v>3615345.0959211369</v>
      </c>
      <c r="H108" s="1168"/>
      <c r="I108" s="8"/>
      <c r="J108" s="8"/>
      <c r="K108" s="8"/>
      <c r="L108" s="8"/>
      <c r="M108" s="8"/>
      <c r="N108" s="8"/>
      <c r="O108" s="8"/>
      <c r="P108" s="320"/>
    </row>
    <row r="109" spans="2:16" ht="11.25" customHeight="1" x14ac:dyDescent="0.2">
      <c r="B109" s="904"/>
      <c r="C109" s="905" t="s">
        <v>255</v>
      </c>
      <c r="D109" s="864"/>
      <c r="E109" s="906"/>
      <c r="F109" s="906"/>
      <c r="G109" s="1220">
        <f>'1. Infrastructure Costs'!F38</f>
        <v>428400</v>
      </c>
      <c r="H109" s="1221"/>
      <c r="I109" s="8"/>
      <c r="J109" s="8"/>
      <c r="K109" s="8"/>
      <c r="L109" s="8"/>
      <c r="M109" s="8"/>
      <c r="N109" s="8"/>
      <c r="O109" s="8"/>
      <c r="P109" s="715"/>
    </row>
    <row r="110" spans="2:16" ht="11.25" customHeight="1" x14ac:dyDescent="0.2">
      <c r="B110" s="694"/>
      <c r="C110" s="727" t="s">
        <v>51</v>
      </c>
      <c r="D110" s="818"/>
      <c r="E110" s="718"/>
      <c r="F110" s="718"/>
      <c r="G110" s="1113">
        <f>SUM(G104:H109)</f>
        <v>31055860.594557028</v>
      </c>
      <c r="H110" s="1196"/>
      <c r="I110" s="863"/>
      <c r="J110" s="8"/>
      <c r="K110" s="8"/>
      <c r="L110" s="8"/>
      <c r="M110" s="8"/>
      <c r="N110" s="8"/>
      <c r="O110" s="8"/>
      <c r="P110" s="320"/>
    </row>
    <row r="111" spans="2:16" ht="11.25" customHeight="1" thickBot="1" x14ac:dyDescent="0.25">
      <c r="B111" s="695"/>
      <c r="C111" s="728" t="s">
        <v>25</v>
      </c>
      <c r="D111" s="696"/>
      <c r="E111" s="1181"/>
      <c r="F111" s="1182"/>
      <c r="G111" s="1183">
        <f>SUM(G89:H102,G110)</f>
        <v>644542343.96520841</v>
      </c>
      <c r="H111" s="1124"/>
      <c r="I111" s="863"/>
      <c r="J111" s="8"/>
      <c r="K111" s="8"/>
      <c r="L111" s="863"/>
      <c r="M111" s="8"/>
      <c r="N111" s="8"/>
      <c r="O111" s="8"/>
      <c r="P111" s="402"/>
    </row>
    <row r="112" spans="2:16" ht="11.25" customHeight="1" x14ac:dyDescent="0.2">
      <c r="B112" s="8"/>
      <c r="C112" s="8"/>
      <c r="D112" s="713"/>
      <c r="E112" s="714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320"/>
    </row>
    <row r="113" spans="2:16" ht="11.25" customHeight="1" thickBot="1" x14ac:dyDescent="0.25">
      <c r="B113" s="8"/>
      <c r="C113" s="8"/>
      <c r="D113" s="713"/>
      <c r="E113" s="714"/>
      <c r="F113" s="919">
        <v>0.17</v>
      </c>
      <c r="G113" s="919">
        <v>0.04</v>
      </c>
      <c r="H113" s="8"/>
      <c r="I113" s="8"/>
      <c r="J113" s="8"/>
      <c r="K113" s="8"/>
      <c r="L113" s="8"/>
      <c r="M113" s="8"/>
      <c r="N113" s="8"/>
      <c r="O113" s="8"/>
      <c r="P113" s="320"/>
    </row>
    <row r="114" spans="2:16" ht="16.5" thickBot="1" x14ac:dyDescent="0.25">
      <c r="B114" s="8"/>
      <c r="C114" s="1147" t="s">
        <v>284</v>
      </c>
      <c r="D114" s="1148"/>
      <c r="E114" s="1148"/>
      <c r="F114" s="1148"/>
      <c r="G114" s="1148"/>
      <c r="H114" s="1149"/>
      <c r="I114" s="8"/>
      <c r="J114" s="1147" t="s">
        <v>295</v>
      </c>
      <c r="K114" s="1148"/>
      <c r="L114" s="1148"/>
      <c r="M114" s="1148"/>
      <c r="N114" s="1148"/>
      <c r="O114" s="1149"/>
      <c r="P114" s="320"/>
    </row>
    <row r="115" spans="2:16" ht="16.5" thickBot="1" x14ac:dyDescent="0.3">
      <c r="B115" s="8"/>
      <c r="C115" s="1150" t="s">
        <v>285</v>
      </c>
      <c r="D115" s="1151"/>
      <c r="E115" s="921" t="s">
        <v>286</v>
      </c>
      <c r="F115" s="921" t="s">
        <v>287</v>
      </c>
      <c r="G115" s="921" t="s">
        <v>288</v>
      </c>
      <c r="H115" s="923" t="s">
        <v>289</v>
      </c>
      <c r="I115" s="8"/>
      <c r="J115" s="1092" t="s">
        <v>296</v>
      </c>
      <c r="K115" s="1091"/>
      <c r="L115" s="926" t="s">
        <v>297</v>
      </c>
      <c r="M115" s="1152" t="s">
        <v>298</v>
      </c>
      <c r="N115" s="1153"/>
      <c r="O115" s="1154"/>
      <c r="P115" s="8"/>
    </row>
    <row r="116" spans="2:16" ht="15" x14ac:dyDescent="0.2">
      <c r="B116" s="8"/>
      <c r="C116" s="916" t="s">
        <v>262</v>
      </c>
      <c r="D116" s="920"/>
      <c r="E116" s="1028">
        <v>207.24</v>
      </c>
      <c r="F116" s="1028">
        <f>E116*$F$113</f>
        <v>35.230800000000002</v>
      </c>
      <c r="G116" s="1028">
        <f>E116*$G$113</f>
        <v>8.2896000000000001</v>
      </c>
      <c r="H116" s="924">
        <f t="shared" ref="H116:H119" si="23">SUM(E116:G116)</f>
        <v>250.7604</v>
      </c>
      <c r="I116" s="8"/>
      <c r="J116" s="1098" t="s">
        <v>299</v>
      </c>
      <c r="K116" s="1099"/>
      <c r="L116" s="935">
        <v>2.58</v>
      </c>
      <c r="M116" s="1108" t="s">
        <v>321</v>
      </c>
      <c r="N116" s="1109"/>
      <c r="O116" s="1110"/>
      <c r="P116" s="8"/>
    </row>
    <row r="117" spans="2:16" ht="15" x14ac:dyDescent="0.2">
      <c r="B117" s="8"/>
      <c r="C117" s="917" t="s">
        <v>264</v>
      </c>
      <c r="D117" s="920"/>
      <c r="E117" s="1028">
        <v>193.44</v>
      </c>
      <c r="F117" s="1028">
        <f>E117*$F$113</f>
        <v>32.884799999999998</v>
      </c>
      <c r="G117" s="1028">
        <f>E117*$G$113</f>
        <v>7.7376000000000005</v>
      </c>
      <c r="H117" s="924">
        <f t="shared" si="23"/>
        <v>234.06239999999997</v>
      </c>
      <c r="I117" s="8"/>
      <c r="J117" s="1098" t="s">
        <v>300</v>
      </c>
      <c r="K117" s="1099"/>
      <c r="L117" s="935">
        <v>1.1299999999999999</v>
      </c>
      <c r="M117" s="1108" t="s">
        <v>322</v>
      </c>
      <c r="N117" s="1109"/>
      <c r="O117" s="1110"/>
      <c r="P117" s="8"/>
    </row>
    <row r="118" spans="2:16" ht="15" x14ac:dyDescent="0.2">
      <c r="B118" s="8"/>
      <c r="C118" s="917" t="s">
        <v>55</v>
      </c>
      <c r="D118" s="920"/>
      <c r="E118" s="1028">
        <v>122.08</v>
      </c>
      <c r="F118" s="1028">
        <f>E118*$F$113</f>
        <v>20.753600000000002</v>
      </c>
      <c r="G118" s="1028">
        <f>E118*$G$113</f>
        <v>4.8832000000000004</v>
      </c>
      <c r="H118" s="924">
        <f>SUM(E118:G118)</f>
        <v>147.71679999999998</v>
      </c>
      <c r="I118" s="8"/>
      <c r="J118" s="1098" t="s">
        <v>301</v>
      </c>
      <c r="K118" s="1099"/>
      <c r="L118" s="935">
        <v>556</v>
      </c>
      <c r="M118" s="1108" t="s">
        <v>321</v>
      </c>
      <c r="N118" s="1109"/>
      <c r="O118" s="1110"/>
      <c r="P118" s="8"/>
    </row>
    <row r="119" spans="2:16" ht="15" x14ac:dyDescent="0.2">
      <c r="B119" s="8"/>
      <c r="C119" s="917" t="s">
        <v>290</v>
      </c>
      <c r="D119" s="920"/>
      <c r="E119" s="1028">
        <v>99.31</v>
      </c>
      <c r="F119" s="1028">
        <f>E119*$F$113</f>
        <v>16.882700000000003</v>
      </c>
      <c r="G119" s="1028">
        <f>E119*$G$113</f>
        <v>3.9724000000000004</v>
      </c>
      <c r="H119" s="924">
        <f t="shared" si="23"/>
        <v>120.1651</v>
      </c>
      <c r="I119" s="8"/>
      <c r="J119" s="1141" t="s">
        <v>302</v>
      </c>
      <c r="K119" s="1142"/>
      <c r="L119" s="941">
        <v>333.6</v>
      </c>
      <c r="M119" s="1102" t="s">
        <v>323</v>
      </c>
      <c r="N119" s="1103"/>
      <c r="O119" s="1104"/>
      <c r="P119" s="8"/>
    </row>
    <row r="120" spans="2:16" ht="15.75" thickBot="1" x14ac:dyDescent="0.25">
      <c r="B120" s="8"/>
      <c r="C120" s="918" t="s">
        <v>10</v>
      </c>
      <c r="D120" s="915"/>
      <c r="E120" s="1029">
        <v>66.5</v>
      </c>
      <c r="F120" s="1029">
        <f>E120*$F$113</f>
        <v>11.305000000000001</v>
      </c>
      <c r="G120" s="1029">
        <f>E120*$G$113</f>
        <v>2.66</v>
      </c>
      <c r="H120" s="925">
        <f>SUM(E120:G120)</f>
        <v>80.465000000000003</v>
      </c>
      <c r="I120" s="8"/>
      <c r="J120" s="1098" t="s">
        <v>303</v>
      </c>
      <c r="K120" s="1099"/>
      <c r="L120" s="935">
        <v>40.450000000000003</v>
      </c>
      <c r="M120" s="1125" t="s">
        <v>325</v>
      </c>
      <c r="N120" s="1126"/>
      <c r="O120" s="1127"/>
      <c r="P120" s="8"/>
    </row>
    <row r="121" spans="2:16" ht="14.25" x14ac:dyDescent="0.2">
      <c r="B121" s="8"/>
      <c r="C121" s="922" t="s">
        <v>291</v>
      </c>
      <c r="D121" s="815"/>
      <c r="E121" s="820"/>
      <c r="F121" s="8"/>
      <c r="G121" s="8"/>
      <c r="H121" s="8"/>
      <c r="I121" s="8"/>
      <c r="J121" s="1141" t="s">
        <v>304</v>
      </c>
      <c r="K121" s="1142"/>
      <c r="L121" s="941">
        <v>21.9</v>
      </c>
      <c r="M121" s="1128"/>
      <c r="N121" s="1129"/>
      <c r="O121" s="1130"/>
      <c r="P121" s="8"/>
    </row>
    <row r="122" spans="2:16" ht="14.25" customHeight="1" x14ac:dyDescent="0.2">
      <c r="B122" s="8"/>
      <c r="C122" s="922" t="s">
        <v>292</v>
      </c>
      <c r="D122" s="815"/>
      <c r="E122" s="820"/>
      <c r="F122" s="8"/>
      <c r="G122" s="8"/>
      <c r="H122" s="8"/>
      <c r="I122" s="8"/>
      <c r="J122" s="1141" t="s">
        <v>313</v>
      </c>
      <c r="K122" s="1142"/>
      <c r="L122" s="941">
        <v>21.65</v>
      </c>
      <c r="M122" s="1105" t="s">
        <v>326</v>
      </c>
      <c r="N122" s="1106"/>
      <c r="O122" s="1107"/>
      <c r="P122" s="8"/>
    </row>
    <row r="123" spans="2:16" ht="14.25" x14ac:dyDescent="0.2">
      <c r="B123" s="8"/>
      <c r="C123" s="922" t="s">
        <v>293</v>
      </c>
      <c r="D123" s="815"/>
      <c r="E123" s="820"/>
      <c r="F123" s="8"/>
      <c r="G123" s="8"/>
      <c r="H123" s="8"/>
      <c r="I123" s="8"/>
      <c r="J123" s="1098" t="s">
        <v>305</v>
      </c>
      <c r="K123" s="1099"/>
      <c r="L123" s="935">
        <v>19.649999999999999</v>
      </c>
      <c r="M123" s="1108" t="s">
        <v>327</v>
      </c>
      <c r="N123" s="1109"/>
      <c r="O123" s="1110"/>
      <c r="P123" s="8"/>
    </row>
    <row r="124" spans="2:16" ht="14.25" x14ac:dyDescent="0.2">
      <c r="B124" s="8"/>
      <c r="C124" s="922" t="s">
        <v>294</v>
      </c>
      <c r="D124" s="815"/>
      <c r="E124" s="820"/>
      <c r="F124" s="8"/>
      <c r="G124" s="8"/>
      <c r="H124" s="8"/>
      <c r="I124" s="8"/>
      <c r="J124" s="1141" t="s">
        <v>306</v>
      </c>
      <c r="K124" s="1142"/>
      <c r="L124" s="941">
        <v>2.58</v>
      </c>
      <c r="M124" s="1102" t="s">
        <v>333</v>
      </c>
      <c r="N124" s="1103"/>
      <c r="O124" s="1104"/>
      <c r="P124" s="8"/>
    </row>
    <row r="125" spans="2:16" ht="12.75" customHeight="1" thickBot="1" x14ac:dyDescent="0.25">
      <c r="B125" s="8"/>
      <c r="C125" s="8"/>
      <c r="D125" s="815"/>
      <c r="E125" s="820"/>
      <c r="F125" s="8"/>
      <c r="G125" s="8"/>
      <c r="H125" s="8"/>
      <c r="I125" s="8"/>
      <c r="J125" s="1098" t="s">
        <v>307</v>
      </c>
      <c r="K125" s="1099"/>
      <c r="L125" s="935">
        <v>2.58</v>
      </c>
      <c r="M125" s="1125" t="s">
        <v>221</v>
      </c>
      <c r="N125" s="1126"/>
      <c r="O125" s="1127"/>
      <c r="P125" s="8"/>
    </row>
    <row r="126" spans="2:16" ht="15.75" customHeight="1" thickBot="1" x14ac:dyDescent="0.25">
      <c r="B126" s="1073" t="s">
        <v>118</v>
      </c>
      <c r="C126" s="1074"/>
      <c r="D126" s="1074"/>
      <c r="E126" s="1074"/>
      <c r="F126" s="1074"/>
      <c r="G126" s="1074"/>
      <c r="H126" s="1077"/>
      <c r="I126" s="8"/>
      <c r="J126" s="1098" t="s">
        <v>308</v>
      </c>
      <c r="K126" s="1099"/>
      <c r="L126" s="935">
        <v>2.58</v>
      </c>
      <c r="M126" s="1122"/>
      <c r="N126" s="1123"/>
      <c r="O126" s="1124"/>
      <c r="P126" s="8"/>
    </row>
    <row r="127" spans="2:16" ht="12.75" customHeight="1" x14ac:dyDescent="0.2">
      <c r="B127" s="1071" t="s">
        <v>158</v>
      </c>
      <c r="C127" s="1072"/>
      <c r="D127" s="1072"/>
      <c r="E127" s="1072"/>
      <c r="F127" s="1072"/>
      <c r="G127" s="1072"/>
      <c r="H127" s="1097"/>
      <c r="I127" s="8"/>
      <c r="J127" s="1100" t="s">
        <v>309</v>
      </c>
      <c r="K127" s="1101"/>
      <c r="L127" s="942">
        <v>3.3000000000000002E-2</v>
      </c>
      <c r="M127" s="1137" t="s">
        <v>320</v>
      </c>
      <c r="N127" s="1137"/>
      <c r="O127" s="1138"/>
      <c r="P127" s="8"/>
    </row>
    <row r="128" spans="2:16" ht="13.5" thickBot="1" x14ac:dyDescent="0.25">
      <c r="B128" s="1084" t="s">
        <v>166</v>
      </c>
      <c r="C128" s="1085"/>
      <c r="D128" s="165" t="s">
        <v>167</v>
      </c>
      <c r="E128" s="165" t="s">
        <v>163</v>
      </c>
      <c r="F128" s="165" t="s">
        <v>116</v>
      </c>
      <c r="G128" s="165" t="s">
        <v>164</v>
      </c>
      <c r="H128" s="166" t="s">
        <v>165</v>
      </c>
      <c r="I128" s="8"/>
      <c r="J128" s="1098" t="s">
        <v>310</v>
      </c>
      <c r="K128" s="1099"/>
      <c r="L128" s="943">
        <v>4.2000000000000003E-2</v>
      </c>
      <c r="M128" s="1109" t="s">
        <v>324</v>
      </c>
      <c r="N128" s="1109"/>
      <c r="O128" s="1110"/>
      <c r="P128" s="8"/>
    </row>
    <row r="129" spans="2:16" ht="15.75" thickBot="1" x14ac:dyDescent="0.3">
      <c r="B129" s="1131" t="s">
        <v>176</v>
      </c>
      <c r="C129" s="1132"/>
      <c r="D129" s="962" t="s">
        <v>168</v>
      </c>
      <c r="E129" s="971">
        <v>46139801</v>
      </c>
      <c r="F129" s="972">
        <v>490400</v>
      </c>
      <c r="G129" s="971">
        <v>46139801</v>
      </c>
      <c r="H129" s="973">
        <f>G129/F129</f>
        <v>94.086054241435562</v>
      </c>
      <c r="I129" s="8"/>
      <c r="J129" s="1098" t="s">
        <v>311</v>
      </c>
      <c r="K129" s="1099"/>
      <c r="L129" s="943">
        <v>3.4000000000000002E-2</v>
      </c>
      <c r="M129" s="1109" t="s">
        <v>324</v>
      </c>
      <c r="N129" s="1109"/>
      <c r="O129" s="1110"/>
      <c r="P129" s="8"/>
    </row>
    <row r="130" spans="2:16" ht="15.75" thickBot="1" x14ac:dyDescent="0.3">
      <c r="B130" s="963"/>
      <c r="C130" s="964"/>
      <c r="D130" s="964"/>
      <c r="E130" s="970"/>
      <c r="F130" s="965"/>
      <c r="G130" s="960"/>
      <c r="H130" s="961"/>
      <c r="I130" s="8"/>
      <c r="J130" s="1139" t="s">
        <v>312</v>
      </c>
      <c r="K130" s="1140"/>
      <c r="L130" s="944">
        <v>1.4999999999999999E-2</v>
      </c>
      <c r="M130" s="1109" t="s">
        <v>324</v>
      </c>
      <c r="N130" s="1109"/>
      <c r="O130" s="1110"/>
      <c r="P130" s="8"/>
    </row>
    <row r="131" spans="2:16" ht="15" x14ac:dyDescent="0.25">
      <c r="B131" s="1133" t="s">
        <v>174</v>
      </c>
      <c r="C131" s="966" t="s">
        <v>159</v>
      </c>
      <c r="D131" s="962" t="s">
        <v>170</v>
      </c>
      <c r="E131" s="975">
        <v>9445744</v>
      </c>
      <c r="F131" s="977">
        <v>46031</v>
      </c>
      <c r="G131" s="975">
        <v>9445744</v>
      </c>
      <c r="H131" s="980">
        <f>G131/F131</f>
        <v>205.2039712367752</v>
      </c>
      <c r="I131" s="8"/>
      <c r="J131" s="1098" t="s">
        <v>314</v>
      </c>
      <c r="K131" s="1099"/>
      <c r="L131" s="919">
        <v>0.05</v>
      </c>
      <c r="M131" s="1116" t="s">
        <v>319</v>
      </c>
      <c r="N131" s="1117"/>
      <c r="O131" s="1118"/>
      <c r="P131" s="8"/>
    </row>
    <row r="132" spans="2:16" ht="15" x14ac:dyDescent="0.25">
      <c r="B132" s="1133"/>
      <c r="C132" s="966" t="s">
        <v>160</v>
      </c>
      <c r="D132" s="962" t="s">
        <v>170</v>
      </c>
      <c r="E132" s="976">
        <v>4498896</v>
      </c>
      <c r="F132" s="978">
        <v>51058</v>
      </c>
      <c r="G132" s="976">
        <v>4498896</v>
      </c>
      <c r="H132" s="981">
        <f>G132/F132</f>
        <v>88.113439617689693</v>
      </c>
      <c r="I132" s="8"/>
      <c r="J132" s="1098" t="s">
        <v>315</v>
      </c>
      <c r="K132" s="1099"/>
      <c r="L132" s="919">
        <v>0.05</v>
      </c>
      <c r="M132" s="1119"/>
      <c r="N132" s="1120"/>
      <c r="O132" s="1121"/>
      <c r="P132" s="8"/>
    </row>
    <row r="133" spans="2:16" ht="15" x14ac:dyDescent="0.25">
      <c r="B133" s="1133"/>
      <c r="C133" s="966" t="s">
        <v>161</v>
      </c>
      <c r="D133" s="962" t="s">
        <v>170</v>
      </c>
      <c r="E133" s="976">
        <v>4956889</v>
      </c>
      <c r="F133" s="978">
        <v>70660</v>
      </c>
      <c r="G133" s="976">
        <v>4956889</v>
      </c>
      <c r="H133" s="981">
        <f>G133/F133</f>
        <v>70.151273705066515</v>
      </c>
      <c r="I133" s="8"/>
      <c r="J133" s="1098" t="s">
        <v>316</v>
      </c>
      <c r="K133" s="1099"/>
      <c r="L133" s="928">
        <v>5.8999999999999997E-2</v>
      </c>
      <c r="M133" s="1119"/>
      <c r="N133" s="1120"/>
      <c r="O133" s="1121"/>
      <c r="P133" s="8"/>
    </row>
    <row r="134" spans="2:16" ht="15" x14ac:dyDescent="0.25">
      <c r="B134" s="1134" t="s">
        <v>175</v>
      </c>
      <c r="C134" s="967" t="s">
        <v>169</v>
      </c>
      <c r="D134" s="968" t="s">
        <v>173</v>
      </c>
      <c r="E134" s="998" t="s">
        <v>177</v>
      </c>
      <c r="F134" s="983" t="s">
        <v>177</v>
      </c>
      <c r="G134" s="984" t="s">
        <v>177</v>
      </c>
      <c r="H134" s="985" t="s">
        <v>177</v>
      </c>
      <c r="I134" s="8"/>
      <c r="J134" s="1098" t="s">
        <v>317</v>
      </c>
      <c r="K134" s="1099"/>
      <c r="L134" s="919">
        <v>0.06</v>
      </c>
      <c r="M134" s="1119"/>
      <c r="N134" s="1120"/>
      <c r="O134" s="1121"/>
      <c r="P134" s="8"/>
    </row>
    <row r="135" spans="2:16" ht="15.75" thickBot="1" x14ac:dyDescent="0.3">
      <c r="B135" s="1135"/>
      <c r="C135" s="966" t="s">
        <v>171</v>
      </c>
      <c r="D135" s="962" t="s">
        <v>170</v>
      </c>
      <c r="E135" s="999">
        <v>3305047</v>
      </c>
      <c r="F135" s="978">
        <v>17625</v>
      </c>
      <c r="G135" s="976">
        <v>3305047</v>
      </c>
      <c r="H135" s="981">
        <f>G135/F135</f>
        <v>187.52039716312058</v>
      </c>
      <c r="I135" s="8"/>
      <c r="J135" s="1139" t="s">
        <v>318</v>
      </c>
      <c r="K135" s="1140"/>
      <c r="L135" s="927">
        <v>0.11</v>
      </c>
      <c r="M135" s="1122"/>
      <c r="N135" s="1123"/>
      <c r="O135" s="1124"/>
      <c r="P135" s="8"/>
    </row>
    <row r="136" spans="2:16" ht="15" x14ac:dyDescent="0.25">
      <c r="B136" s="1136"/>
      <c r="C136" s="966" t="s">
        <v>172</v>
      </c>
      <c r="D136" s="962" t="s">
        <v>170</v>
      </c>
      <c r="E136" s="976">
        <v>5778273</v>
      </c>
      <c r="F136" s="978">
        <v>51753.4</v>
      </c>
      <c r="G136" s="976">
        <v>5778273</v>
      </c>
      <c r="H136" s="981">
        <f>G136/F136</f>
        <v>111.65011380894782</v>
      </c>
      <c r="I136" s="8"/>
      <c r="J136" s="1115" t="s">
        <v>328</v>
      </c>
      <c r="K136" s="1115"/>
      <c r="L136" s="1115"/>
      <c r="M136" s="1115"/>
      <c r="N136" s="1115"/>
      <c r="O136" s="1115"/>
      <c r="P136" s="8"/>
    </row>
    <row r="137" spans="2:16" ht="15.75" thickBot="1" x14ac:dyDescent="0.3">
      <c r="B137" s="659" t="s">
        <v>162</v>
      </c>
      <c r="C137" s="688"/>
      <c r="D137" s="969"/>
      <c r="E137" s="974">
        <f>SUM(E131:E136)</f>
        <v>27984849</v>
      </c>
      <c r="F137" s="996">
        <f t="shared" ref="F137:G137" si="24">SUM(F131:F136)</f>
        <v>237127.4</v>
      </c>
      <c r="G137" s="979">
        <f t="shared" si="24"/>
        <v>27984849</v>
      </c>
      <c r="H137" s="982">
        <f>G137/F137</f>
        <v>118.01609177176489</v>
      </c>
      <c r="I137" s="8"/>
      <c r="J137" s="8"/>
      <c r="K137" s="8"/>
      <c r="L137" s="8"/>
      <c r="M137" s="8"/>
      <c r="N137" s="8"/>
      <c r="O137" s="8"/>
      <c r="P137" s="8"/>
    </row>
    <row r="138" spans="2:16" ht="15" x14ac:dyDescent="0.2">
      <c r="B138" s="1021" t="s">
        <v>332</v>
      </c>
      <c r="C138" s="945"/>
      <c r="D138" s="945"/>
      <c r="E138" s="994">
        <f>E129+E137</f>
        <v>74124650</v>
      </c>
      <c r="F138" s="995">
        <f>F129+F137</f>
        <v>727527.4</v>
      </c>
      <c r="G138" s="945"/>
      <c r="H138" s="945"/>
      <c r="I138" s="8"/>
      <c r="J138" s="8"/>
      <c r="K138" s="8"/>
      <c r="L138" s="8"/>
      <c r="M138" s="8"/>
      <c r="N138" s="8"/>
      <c r="O138" s="8"/>
      <c r="P138" s="8"/>
    </row>
    <row r="139" spans="2:16" ht="15.75" thickBot="1" x14ac:dyDescent="0.25">
      <c r="B139" s="945"/>
      <c r="C139" s="945"/>
      <c r="D139" s="945"/>
      <c r="E139" s="945"/>
      <c r="F139" s="945"/>
      <c r="G139" s="945"/>
      <c r="H139" s="945"/>
      <c r="I139" s="8"/>
      <c r="J139" s="8"/>
      <c r="K139" s="8"/>
      <c r="L139" s="8"/>
      <c r="M139" s="8"/>
      <c r="N139" s="8"/>
      <c r="O139" s="8"/>
      <c r="P139" s="8"/>
    </row>
    <row r="140" spans="2:16" ht="15" x14ac:dyDescent="0.2">
      <c r="B140" s="1073" t="s">
        <v>121</v>
      </c>
      <c r="C140" s="1074"/>
      <c r="D140" s="1074"/>
      <c r="E140" s="1077"/>
      <c r="F140" s="946"/>
      <c r="G140" s="946"/>
      <c r="H140" s="946"/>
      <c r="I140" s="8"/>
      <c r="J140" s="8"/>
      <c r="K140" s="8"/>
      <c r="L140" s="8"/>
      <c r="M140" s="8"/>
      <c r="N140" s="8"/>
      <c r="O140" s="8"/>
      <c r="P140" s="8"/>
    </row>
    <row r="141" spans="2:16" ht="15" x14ac:dyDescent="0.2">
      <c r="B141" s="1075" t="s">
        <v>178</v>
      </c>
      <c r="C141" s="1076"/>
      <c r="D141" s="176"/>
      <c r="E141" s="959">
        <v>334236</v>
      </c>
      <c r="F141" s="945"/>
      <c r="G141" s="945"/>
      <c r="H141" s="945"/>
      <c r="I141" s="8"/>
      <c r="J141" s="8"/>
      <c r="K141" s="8"/>
      <c r="L141" s="8"/>
      <c r="M141" s="8"/>
      <c r="N141" s="8"/>
      <c r="O141" s="8"/>
      <c r="P141" s="8"/>
    </row>
    <row r="142" spans="2:16" ht="15" x14ac:dyDescent="0.2">
      <c r="B142" s="1067" t="s">
        <v>329</v>
      </c>
      <c r="C142" s="1068"/>
      <c r="D142" s="862"/>
      <c r="E142" s="178">
        <v>3.5</v>
      </c>
      <c r="F142" s="946"/>
      <c r="G142" s="946"/>
      <c r="H142" s="946"/>
      <c r="I142" s="8"/>
      <c r="J142" s="8"/>
      <c r="K142" s="8"/>
      <c r="L142" s="8"/>
      <c r="M142" s="8"/>
      <c r="N142" s="8"/>
      <c r="O142" s="8"/>
      <c r="P142" s="8"/>
    </row>
    <row r="143" spans="2:16" ht="15.75" thickBot="1" x14ac:dyDescent="0.25">
      <c r="B143" s="1069" t="s">
        <v>179</v>
      </c>
      <c r="C143" s="1070"/>
      <c r="D143" s="179"/>
      <c r="E143" s="180">
        <f>E141*E142</f>
        <v>1169826</v>
      </c>
      <c r="F143" s="946"/>
      <c r="G143" s="946"/>
      <c r="H143" s="946"/>
      <c r="I143" s="8"/>
      <c r="J143" s="8"/>
      <c r="K143" s="8"/>
      <c r="L143" s="8"/>
      <c r="M143" s="8"/>
      <c r="N143" s="8"/>
      <c r="O143" s="8"/>
      <c r="P143" s="8"/>
    </row>
    <row r="144" spans="2:16" x14ac:dyDescent="0.2">
      <c r="B144" s="8" t="s">
        <v>330</v>
      </c>
      <c r="C144" s="8"/>
      <c r="D144" s="815"/>
      <c r="E144" s="820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2:16" x14ac:dyDescent="0.2">
      <c r="B145" s="8"/>
      <c r="C145" s="8"/>
      <c r="D145" s="815"/>
      <c r="E145" s="820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2:16" x14ac:dyDescent="0.2">
      <c r="B146" s="8"/>
      <c r="C146" s="8"/>
      <c r="D146" s="815"/>
      <c r="E146" s="820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</sheetData>
  <mergeCells count="212">
    <mergeCell ref="B94:C94"/>
    <mergeCell ref="E94:F94"/>
    <mergeCell ref="G94:H94"/>
    <mergeCell ref="E95:F95"/>
    <mergeCell ref="G95:H95"/>
    <mergeCell ref="B96:C96"/>
    <mergeCell ref="G109:H109"/>
    <mergeCell ref="B99:C99"/>
    <mergeCell ref="J105:K105"/>
    <mergeCell ref="J107:K107"/>
    <mergeCell ref="B38:C38"/>
    <mergeCell ref="B45:C45"/>
    <mergeCell ref="B88:C88"/>
    <mergeCell ref="E88:F88"/>
    <mergeCell ref="G88:H88"/>
    <mergeCell ref="B82:C82"/>
    <mergeCell ref="B83:C83"/>
    <mergeCell ref="B84:C84"/>
    <mergeCell ref="B54:C54"/>
    <mergeCell ref="B55:C55"/>
    <mergeCell ref="B79:C79"/>
    <mergeCell ref="B81:C81"/>
    <mergeCell ref="B74:B75"/>
    <mergeCell ref="B76:B77"/>
    <mergeCell ref="B70:C70"/>
    <mergeCell ref="B71:C71"/>
    <mergeCell ref="B49:C49"/>
    <mergeCell ref="B50:C50"/>
    <mergeCell ref="B51:C51"/>
    <mergeCell ref="B52:C52"/>
    <mergeCell ref="B53:C53"/>
    <mergeCell ref="B41:C41"/>
    <mergeCell ref="P3:P4"/>
    <mergeCell ref="B32:C32"/>
    <mergeCell ref="B12:C12"/>
    <mergeCell ref="B14:C14"/>
    <mergeCell ref="B15:C15"/>
    <mergeCell ref="B16:C16"/>
    <mergeCell ref="B10:C10"/>
    <mergeCell ref="B11:C11"/>
    <mergeCell ref="B13:C13"/>
    <mergeCell ref="B6:B7"/>
    <mergeCell ref="B8:B9"/>
    <mergeCell ref="B17:C17"/>
    <mergeCell ref="B22:C22"/>
    <mergeCell ref="B26:B27"/>
    <mergeCell ref="B18:C18"/>
    <mergeCell ref="B20:C20"/>
    <mergeCell ref="B21:C21"/>
    <mergeCell ref="B23:C23"/>
    <mergeCell ref="B19:C19"/>
    <mergeCell ref="L2:O2"/>
    <mergeCell ref="I2:K2"/>
    <mergeCell ref="F2:H2"/>
    <mergeCell ref="B72:C72"/>
    <mergeCell ref="B62:B63"/>
    <mergeCell ref="B67:C67"/>
    <mergeCell ref="B69:C69"/>
    <mergeCell ref="B80:C80"/>
    <mergeCell ref="B33:C33"/>
    <mergeCell ref="B34:C34"/>
    <mergeCell ref="B35:C35"/>
    <mergeCell ref="B28:B29"/>
    <mergeCell ref="B30:C30"/>
    <mergeCell ref="B31:C31"/>
    <mergeCell ref="B47:C47"/>
    <mergeCell ref="B42:C42"/>
    <mergeCell ref="B44:C44"/>
    <mergeCell ref="B46:C46"/>
    <mergeCell ref="B36:C36"/>
    <mergeCell ref="B37:C37"/>
    <mergeCell ref="B40:C40"/>
    <mergeCell ref="B57:O57"/>
    <mergeCell ref="B60:B61"/>
    <mergeCell ref="B78:C78"/>
    <mergeCell ref="N91:O91"/>
    <mergeCell ref="N92:O92"/>
    <mergeCell ref="J93:O93"/>
    <mergeCell ref="B89:B90"/>
    <mergeCell ref="E89:F89"/>
    <mergeCell ref="G89:H89"/>
    <mergeCell ref="E90:F90"/>
    <mergeCell ref="G90:H90"/>
    <mergeCell ref="N90:O90"/>
    <mergeCell ref="B93:C93"/>
    <mergeCell ref="E93:F93"/>
    <mergeCell ref="G93:H93"/>
    <mergeCell ref="B91:B92"/>
    <mergeCell ref="E91:F91"/>
    <mergeCell ref="G91:H91"/>
    <mergeCell ref="J92:K92"/>
    <mergeCell ref="J91:K91"/>
    <mergeCell ref="J90:K90"/>
    <mergeCell ref="J89:O89"/>
    <mergeCell ref="B1:M1"/>
    <mergeCell ref="E111:F111"/>
    <mergeCell ref="G111:H111"/>
    <mergeCell ref="G107:H107"/>
    <mergeCell ref="G108:H108"/>
    <mergeCell ref="G105:H105"/>
    <mergeCell ref="G106:H106"/>
    <mergeCell ref="G102:H102"/>
    <mergeCell ref="B98:C98"/>
    <mergeCell ref="E98:F98"/>
    <mergeCell ref="G98:H98"/>
    <mergeCell ref="B97:C97"/>
    <mergeCell ref="E97:F97"/>
    <mergeCell ref="G97:H97"/>
    <mergeCell ref="E92:F92"/>
    <mergeCell ref="G92:H92"/>
    <mergeCell ref="B85:C85"/>
    <mergeCell ref="B87:H87"/>
    <mergeCell ref="J87:O87"/>
    <mergeCell ref="G110:H110"/>
    <mergeCell ref="N88:O88"/>
    <mergeCell ref="L88:M88"/>
    <mergeCell ref="J88:K88"/>
    <mergeCell ref="J94:K94"/>
    <mergeCell ref="L99:M99"/>
    <mergeCell ref="L98:M98"/>
    <mergeCell ref="L94:M94"/>
    <mergeCell ref="L92:M92"/>
    <mergeCell ref="L91:M91"/>
    <mergeCell ref="L90:M90"/>
    <mergeCell ref="J104:K104"/>
    <mergeCell ref="J103:K103"/>
    <mergeCell ref="J96:K96"/>
    <mergeCell ref="L96:M96"/>
    <mergeCell ref="J95:K95"/>
    <mergeCell ref="N94:O94"/>
    <mergeCell ref="N98:O98"/>
    <mergeCell ref="N99:O99"/>
    <mergeCell ref="N102:O102"/>
    <mergeCell ref="N103:O103"/>
    <mergeCell ref="N104:O104"/>
    <mergeCell ref="G96:H96"/>
    <mergeCell ref="E99:F99"/>
    <mergeCell ref="E96:F96"/>
    <mergeCell ref="J99:K99"/>
    <mergeCell ref="J102:K102"/>
    <mergeCell ref="L104:M104"/>
    <mergeCell ref="L103:M103"/>
    <mergeCell ref="J97:O97"/>
    <mergeCell ref="J98:K98"/>
    <mergeCell ref="G104:H104"/>
    <mergeCell ref="G99:H99"/>
    <mergeCell ref="G100:H100"/>
    <mergeCell ref="G101:H101"/>
    <mergeCell ref="E101:F101"/>
    <mergeCell ref="E100:F100"/>
    <mergeCell ref="N96:O96"/>
    <mergeCell ref="J100:K100"/>
    <mergeCell ref="J101:K101"/>
    <mergeCell ref="N107:O107"/>
    <mergeCell ref="L107:M107"/>
    <mergeCell ref="J129:K129"/>
    <mergeCell ref="J130:K130"/>
    <mergeCell ref="J131:K131"/>
    <mergeCell ref="J132:K132"/>
    <mergeCell ref="J133:K133"/>
    <mergeCell ref="J117:K117"/>
    <mergeCell ref="C114:H114"/>
    <mergeCell ref="C115:D115"/>
    <mergeCell ref="J114:O114"/>
    <mergeCell ref="J116:K116"/>
    <mergeCell ref="J115:K115"/>
    <mergeCell ref="J126:K126"/>
    <mergeCell ref="M115:O115"/>
    <mergeCell ref="J125:K125"/>
    <mergeCell ref="J124:K124"/>
    <mergeCell ref="J121:K121"/>
    <mergeCell ref="J120:K120"/>
    <mergeCell ref="J119:K119"/>
    <mergeCell ref="J118:K118"/>
    <mergeCell ref="M116:O116"/>
    <mergeCell ref="M117:O117"/>
    <mergeCell ref="M118:O118"/>
    <mergeCell ref="N105:O105"/>
    <mergeCell ref="N101:O101"/>
    <mergeCell ref="N100:O100"/>
    <mergeCell ref="L105:M105"/>
    <mergeCell ref="L101:M101"/>
    <mergeCell ref="L100:M100"/>
    <mergeCell ref="L102:M102"/>
    <mergeCell ref="B143:C143"/>
    <mergeCell ref="J136:O136"/>
    <mergeCell ref="M131:O135"/>
    <mergeCell ref="M120:O121"/>
    <mergeCell ref="M125:O126"/>
    <mergeCell ref="B128:C128"/>
    <mergeCell ref="B129:C129"/>
    <mergeCell ref="B131:B133"/>
    <mergeCell ref="B134:B136"/>
    <mergeCell ref="M127:O127"/>
    <mergeCell ref="M128:O128"/>
    <mergeCell ref="M129:O129"/>
    <mergeCell ref="M130:O130"/>
    <mergeCell ref="J134:K134"/>
    <mergeCell ref="J135:K135"/>
    <mergeCell ref="J122:K122"/>
    <mergeCell ref="J123:K123"/>
    <mergeCell ref="B141:C141"/>
    <mergeCell ref="B142:C142"/>
    <mergeCell ref="B127:H127"/>
    <mergeCell ref="B126:H126"/>
    <mergeCell ref="J128:K128"/>
    <mergeCell ref="J127:K127"/>
    <mergeCell ref="M119:O119"/>
    <mergeCell ref="M122:O122"/>
    <mergeCell ref="M123:O123"/>
    <mergeCell ref="M124:O124"/>
    <mergeCell ref="B140:E140"/>
  </mergeCells>
  <conditionalFormatting sqref="D23:XFD23 B23 A20:XFD22 D19:XFD19 B19 A18:XFD18 D17:XFD17 B17 D41:XFD41 B41 B38:B39 D45:XFD45 B45 A86:XFD87 B80 B89:E89 B90:D94 A42:XFD44 A33:XFD37 B32 A16:XFD16 B12 D12:P12 D32:XFD32 A24:XFD31 A59:XFD59 B58:D58 B4:O4 Q4:XFD4 B68 A5:XFD6 B60:C63 B67:C67 B66 B69:C72 P67:XFD68 E68:O68 F67:O67 E69:XFD72 B88:J88 P58:XFD58 A3:XFD3 B2:F2 P2:XFD2 L2 I2 B65:C65 B64 F60:XFD66 A73:XFD73 S88:XFD88 B74:C79 B81:C85 L90:L92 G89:J89 J93:J94 L94 J107:M107 J97 P85:XFD85 B111:H111 B110:G110 B103:H103 B95:B101 D96:D101 D104:G109 E74:XFD84 I90:J92 G90:H99 A40:XFD40 G102 B102:E102 E90:E101 N92 I93:I114 A1:XFD1 B116:D116 B115:C115 F113:G113 A117:D119 E115:I119 I120:I122 C120:H120 A120:B125 D123:I125 C121:C124 P89:XFD136 L127:L135 I137:XFD143 I136:J136 I126:I135 A126:A143 A144:XFD1048576 L98:L104 D38:XFD39 A7:P11 A13:P15 Q7:XFD15 A46:XFD57">
    <cfRule type="cellIs" dxfId="274" priority="40" operator="lessThan">
      <formula>0</formula>
    </cfRule>
  </conditionalFormatting>
  <conditionalFormatting sqref="C95">
    <cfRule type="cellIs" dxfId="273" priority="36" operator="lessThan">
      <formula>0</formula>
    </cfRule>
  </conditionalFormatting>
  <conditionalFormatting sqref="E58:O58">
    <cfRule type="cellIs" dxfId="272" priority="34" operator="lessThan">
      <formula>0</formula>
    </cfRule>
  </conditionalFormatting>
  <conditionalFormatting sqref="D60:D65">
    <cfRule type="cellIs" dxfId="271" priority="33" operator="lessThan">
      <formula>0</formula>
    </cfRule>
  </conditionalFormatting>
  <conditionalFormatting sqref="C68">
    <cfRule type="cellIs" dxfId="270" priority="32" operator="lessThan">
      <formula>0</formula>
    </cfRule>
  </conditionalFormatting>
  <conditionalFormatting sqref="E60:E67">
    <cfRule type="cellIs" dxfId="269" priority="31" operator="lessThan">
      <formula>0</formula>
    </cfRule>
  </conditionalFormatting>
  <conditionalFormatting sqref="C66:D66 D67:D72">
    <cfRule type="cellIs" dxfId="268" priority="30" operator="lessThan">
      <formula>0</formula>
    </cfRule>
  </conditionalFormatting>
  <conditionalFormatting sqref="L88 P88">
    <cfRule type="cellIs" dxfId="267" priority="29" operator="lessThan">
      <formula>0</formula>
    </cfRule>
  </conditionalFormatting>
  <conditionalFormatting sqref="C64">
    <cfRule type="cellIs" dxfId="266" priority="28" operator="lessThan">
      <formula>0</formula>
    </cfRule>
  </conditionalFormatting>
  <conditionalFormatting sqref="D74:D85 E85:O85">
    <cfRule type="cellIs" dxfId="265" priority="27" operator="lessThan">
      <formula>0</formula>
    </cfRule>
  </conditionalFormatting>
  <conditionalFormatting sqref="B104:C105">
    <cfRule type="cellIs" dxfId="264" priority="26" operator="lessThan">
      <formula>0</formula>
    </cfRule>
  </conditionalFormatting>
  <conditionalFormatting sqref="J105:J107 J96">
    <cfRule type="cellIs" dxfId="263" priority="24" operator="lessThan">
      <formula>0</formula>
    </cfRule>
  </conditionalFormatting>
  <conditionalFormatting sqref="G100:H101">
    <cfRule type="cellIs" dxfId="262" priority="22" operator="lessThan">
      <formula>0</formula>
    </cfRule>
  </conditionalFormatting>
  <conditionalFormatting sqref="L116:L126">
    <cfRule type="cellIs" dxfId="261" priority="13" operator="lessThan">
      <formula>0</formula>
    </cfRule>
  </conditionalFormatting>
  <conditionalFormatting sqref="F129">
    <cfRule type="cellIs" dxfId="260" priority="11" operator="lessThan">
      <formula>0</formula>
    </cfRule>
  </conditionalFormatting>
  <conditionalFormatting sqref="E141">
    <cfRule type="cellIs" dxfId="259" priority="10" operator="lessThan">
      <formula>0</formula>
    </cfRule>
  </conditionalFormatting>
  <conditionalFormatting sqref="G131:H136">
    <cfRule type="cellIs" dxfId="258" priority="9" operator="lessThan">
      <formula>0</formula>
    </cfRule>
  </conditionalFormatting>
  <conditionalFormatting sqref="G129:H129">
    <cfRule type="cellIs" dxfId="257" priority="8" operator="lessThan">
      <formula>0</formula>
    </cfRule>
  </conditionalFormatting>
  <conditionalFormatting sqref="G137:H137">
    <cfRule type="cellIs" dxfId="256" priority="7" operator="lessThan">
      <formula>0</formula>
    </cfRule>
  </conditionalFormatting>
  <conditionalFormatting sqref="F131:F136">
    <cfRule type="cellIs" dxfId="255" priority="6" operator="lessThan">
      <formula>0</formula>
    </cfRule>
  </conditionalFormatting>
  <conditionalFormatting sqref="E129:E136">
    <cfRule type="cellIs" dxfId="254" priority="5" operator="lessThan">
      <formula>0</formula>
    </cfRule>
  </conditionalFormatting>
  <conditionalFormatting sqref="E137">
    <cfRule type="cellIs" dxfId="253" priority="4" operator="lessThan">
      <formula>0</formula>
    </cfRule>
  </conditionalFormatting>
  <conditionalFormatting sqref="F137">
    <cfRule type="cellIs" dxfId="252" priority="3" operator="lessThan">
      <formula>0</formula>
    </cfRule>
  </conditionalFormatting>
  <conditionalFormatting sqref="F138">
    <cfRule type="cellIs" dxfId="251" priority="2" operator="lessThan">
      <formula>0</formula>
    </cfRule>
  </conditionalFormatting>
  <conditionalFormatting sqref="J102:J104 J98:J99">
    <cfRule type="cellIs" dxfId="250" priority="1" operator="lessThan">
      <formula>0</formula>
    </cfRule>
  </conditionalFormatting>
  <pageMargins left="0.7" right="0.7" top="0.75" bottom="0.75" header="0.3" footer="0.3"/>
  <pageSetup paperSize="3" scale="32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194CE-E429-4F49-85B8-F762BDC41BFC}">
  <dimension ref="B1:O50"/>
  <sheetViews>
    <sheetView zoomScale="85" zoomScaleNormal="85" workbookViewId="0">
      <selection activeCell="F33" sqref="F33"/>
    </sheetView>
  </sheetViews>
  <sheetFormatPr defaultColWidth="9.42578125" defaultRowHeight="12.75" x14ac:dyDescent="0.2"/>
  <cols>
    <col min="1" max="1" width="9.42578125" style="6"/>
    <col min="2" max="2" width="27" style="6" bestFit="1" customWidth="1"/>
    <col min="3" max="3" width="24.42578125" style="9" bestFit="1" customWidth="1"/>
    <col min="4" max="4" width="11.5703125" style="282" bestFit="1" customWidth="1"/>
    <col min="5" max="6" width="11.85546875" style="6" bestFit="1" customWidth="1"/>
    <col min="7" max="10" width="10.85546875" style="6" bestFit="1" customWidth="1"/>
    <col min="11" max="11" width="6.7109375" style="6" bestFit="1" customWidth="1"/>
    <col min="12" max="13" width="10.85546875" style="6" bestFit="1" customWidth="1"/>
    <col min="14" max="14" width="10" style="6" bestFit="1" customWidth="1"/>
    <col min="15" max="16384" width="9.42578125" style="6"/>
  </cols>
  <sheetData>
    <row r="1" spans="2:15" ht="13.5" thickBot="1" x14ac:dyDescent="0.25">
      <c r="D1" s="414"/>
    </row>
    <row r="2" spans="2:15" ht="15.75" thickBot="1" x14ac:dyDescent="0.25">
      <c r="B2" s="113"/>
      <c r="C2" s="518"/>
      <c r="D2" s="519"/>
      <c r="E2" s="576"/>
      <c r="F2" s="576"/>
      <c r="G2" s="576"/>
      <c r="H2" s="576"/>
      <c r="I2" s="576"/>
      <c r="J2" s="576"/>
      <c r="K2" s="576"/>
      <c r="L2" s="576"/>
      <c r="M2" s="952" t="s">
        <v>1</v>
      </c>
      <c r="N2" s="953" t="s">
        <v>105</v>
      </c>
    </row>
    <row r="3" spans="2:15" x14ac:dyDescent="0.2">
      <c r="B3" s="112"/>
      <c r="C3" s="441"/>
      <c r="D3" s="455"/>
      <c r="E3" s="1235" t="s">
        <v>2</v>
      </c>
      <c r="F3" s="1235"/>
      <c r="G3" s="1235"/>
      <c r="H3" s="1234" t="s">
        <v>207</v>
      </c>
      <c r="I3" s="1234"/>
      <c r="J3" s="1234"/>
      <c r="K3" s="1232" t="s">
        <v>208</v>
      </c>
      <c r="L3" s="1232"/>
      <c r="M3" s="1232"/>
      <c r="N3" s="1233"/>
      <c r="O3" s="286"/>
    </row>
    <row r="4" spans="2:15" x14ac:dyDescent="0.2">
      <c r="B4" s="775"/>
      <c r="C4" s="441"/>
      <c r="D4" s="777">
        <v>0</v>
      </c>
      <c r="E4" s="552">
        <v>1</v>
      </c>
      <c r="F4" s="552">
        <f t="shared" ref="F4:N4" si="0">E4+1</f>
        <v>2</v>
      </c>
      <c r="G4" s="552">
        <f t="shared" si="0"/>
        <v>3</v>
      </c>
      <c r="H4" s="553">
        <f t="shared" si="0"/>
        <v>4</v>
      </c>
      <c r="I4" s="553">
        <f t="shared" si="0"/>
        <v>5</v>
      </c>
      <c r="J4" s="553">
        <f t="shared" si="0"/>
        <v>6</v>
      </c>
      <c r="K4" s="830">
        <f t="shared" si="0"/>
        <v>7</v>
      </c>
      <c r="L4" s="830">
        <f t="shared" si="0"/>
        <v>8</v>
      </c>
      <c r="M4" s="830">
        <f t="shared" si="0"/>
        <v>9</v>
      </c>
      <c r="N4" s="831">
        <f t="shared" si="0"/>
        <v>10</v>
      </c>
    </row>
    <row r="5" spans="2:15" x14ac:dyDescent="0.2">
      <c r="B5" s="776"/>
      <c r="C5" s="441" t="s">
        <v>52</v>
      </c>
      <c r="D5" s="778" t="str">
        <f>'Summary Board'!E4</f>
        <v>2020-2021</v>
      </c>
      <c r="E5" s="779">
        <f>'Summary Board'!F4</f>
        <v>2022</v>
      </c>
      <c r="F5" s="779">
        <f>E5+1</f>
        <v>2023</v>
      </c>
      <c r="G5" s="410">
        <f t="shared" ref="G5:N5" si="1">F5+1</f>
        <v>2024</v>
      </c>
      <c r="H5" s="411">
        <f t="shared" si="1"/>
        <v>2025</v>
      </c>
      <c r="I5" s="411">
        <f t="shared" si="1"/>
        <v>2026</v>
      </c>
      <c r="J5" s="411">
        <f t="shared" si="1"/>
        <v>2027</v>
      </c>
      <c r="K5" s="832">
        <f t="shared" si="1"/>
        <v>2028</v>
      </c>
      <c r="L5" s="832">
        <f t="shared" si="1"/>
        <v>2029</v>
      </c>
      <c r="M5" s="832">
        <f t="shared" si="1"/>
        <v>2030</v>
      </c>
      <c r="N5" s="833">
        <f t="shared" si="1"/>
        <v>2031</v>
      </c>
    </row>
    <row r="6" spans="2:15" ht="13.5" thickBot="1" x14ac:dyDescent="0.25">
      <c r="B6" s="473" t="s">
        <v>53</v>
      </c>
      <c r="C6" s="443">
        <v>0.02</v>
      </c>
      <c r="D6" s="445"/>
      <c r="E6" s="780"/>
      <c r="F6" s="780"/>
      <c r="G6" s="780"/>
      <c r="H6" s="782"/>
      <c r="I6" s="782"/>
      <c r="J6" s="782"/>
      <c r="K6" s="834"/>
      <c r="L6" s="834"/>
      <c r="M6" s="834"/>
      <c r="N6" s="835"/>
    </row>
    <row r="7" spans="2:15" ht="13.5" thickBot="1" x14ac:dyDescent="0.25">
      <c r="B7" s="784" t="s">
        <v>54</v>
      </c>
      <c r="C7" s="785"/>
      <c r="D7" s="486"/>
      <c r="E7" s="787"/>
      <c r="F7" s="787"/>
      <c r="G7" s="787"/>
      <c r="H7" s="787"/>
      <c r="I7" s="787"/>
      <c r="J7" s="787"/>
      <c r="K7" s="787"/>
      <c r="L7" s="787"/>
      <c r="M7" s="787"/>
      <c r="N7" s="788"/>
    </row>
    <row r="8" spans="2:15" x14ac:dyDescent="0.2">
      <c r="B8" s="1236" t="s">
        <v>4</v>
      </c>
      <c r="C8" s="773" t="s">
        <v>5</v>
      </c>
      <c r="D8" s="531"/>
      <c r="E8" s="289"/>
      <c r="F8" s="289"/>
      <c r="G8" s="289"/>
      <c r="H8" s="288"/>
      <c r="I8" s="288"/>
      <c r="J8" s="288"/>
      <c r="K8" s="827"/>
      <c r="L8" s="827"/>
      <c r="M8" s="827"/>
      <c r="N8" s="828"/>
    </row>
    <row r="9" spans="2:15" x14ac:dyDescent="0.2">
      <c r="B9" s="1236"/>
      <c r="C9" s="773" t="s">
        <v>6</v>
      </c>
      <c r="D9" s="531"/>
      <c r="E9" s="289"/>
      <c r="F9" s="289"/>
      <c r="G9" s="289"/>
      <c r="H9" s="288"/>
      <c r="I9" s="288"/>
      <c r="J9" s="288"/>
      <c r="K9" s="827"/>
      <c r="L9" s="827"/>
      <c r="M9" s="827"/>
      <c r="N9" s="828"/>
    </row>
    <row r="10" spans="2:15" x14ac:dyDescent="0.2">
      <c r="B10" s="1237" t="s">
        <v>7</v>
      </c>
      <c r="C10" s="773" t="s">
        <v>5</v>
      </c>
      <c r="D10" s="531"/>
      <c r="E10" s="289"/>
      <c r="F10" s="289"/>
      <c r="G10" s="289"/>
      <c r="H10" s="288"/>
      <c r="I10" s="288"/>
      <c r="J10" s="288"/>
      <c r="K10" s="827"/>
      <c r="L10" s="827"/>
      <c r="M10" s="827"/>
      <c r="N10" s="828"/>
    </row>
    <row r="11" spans="2:15" x14ac:dyDescent="0.2">
      <c r="B11" s="1237"/>
      <c r="C11" s="773" t="s">
        <v>6</v>
      </c>
      <c r="D11" s="531"/>
      <c r="E11" s="289"/>
      <c r="F11" s="289"/>
      <c r="G11" s="289"/>
      <c r="H11" s="288"/>
      <c r="I11" s="288"/>
      <c r="J11" s="288"/>
      <c r="K11" s="827"/>
      <c r="L11" s="827"/>
      <c r="M11" s="827"/>
      <c r="N11" s="828"/>
    </row>
    <row r="12" spans="2:15" x14ac:dyDescent="0.2">
      <c r="B12" s="1229"/>
      <c r="C12" s="771" t="s">
        <v>8</v>
      </c>
      <c r="D12" s="531"/>
      <c r="E12" s="289"/>
      <c r="F12" s="289"/>
      <c r="G12" s="289"/>
      <c r="H12" s="288"/>
      <c r="I12" s="288"/>
      <c r="J12" s="288"/>
      <c r="K12" s="827"/>
      <c r="L12" s="829"/>
      <c r="M12" s="827"/>
      <c r="N12" s="828"/>
    </row>
    <row r="13" spans="2:15" x14ac:dyDescent="0.2">
      <c r="B13" s="1229"/>
      <c r="C13" s="771" t="s">
        <v>55</v>
      </c>
      <c r="D13" s="531"/>
      <c r="E13" s="289"/>
      <c r="F13" s="289"/>
      <c r="G13" s="289"/>
      <c r="H13" s="288"/>
      <c r="I13" s="288"/>
      <c r="J13" s="288"/>
      <c r="K13" s="827"/>
      <c r="L13" s="827"/>
      <c r="M13" s="827"/>
      <c r="N13" s="828"/>
    </row>
    <row r="14" spans="2:15" x14ac:dyDescent="0.2">
      <c r="B14" s="1229"/>
      <c r="C14" s="771" t="s">
        <v>9</v>
      </c>
      <c r="D14" s="531"/>
      <c r="E14" s="289"/>
      <c r="F14" s="289"/>
      <c r="G14" s="289"/>
      <c r="H14" s="288"/>
      <c r="I14" s="288"/>
      <c r="J14" s="288"/>
      <c r="K14" s="827"/>
      <c r="L14" s="827"/>
      <c r="M14" s="827"/>
      <c r="N14" s="828"/>
    </row>
    <row r="15" spans="2:15" x14ac:dyDescent="0.2">
      <c r="B15" s="1229"/>
      <c r="C15" s="773" t="s">
        <v>10</v>
      </c>
      <c r="D15" s="531"/>
      <c r="E15" s="289"/>
      <c r="F15" s="289"/>
      <c r="G15" s="289"/>
      <c r="H15" s="288"/>
      <c r="I15" s="288"/>
      <c r="J15" s="288"/>
      <c r="K15" s="827"/>
      <c r="L15" s="827"/>
      <c r="M15" s="827"/>
      <c r="N15" s="828"/>
    </row>
    <row r="16" spans="2:15" x14ac:dyDescent="0.2">
      <c r="B16" s="1229"/>
      <c r="C16" s="771" t="s">
        <v>11</v>
      </c>
      <c r="D16" s="531"/>
      <c r="E16" s="289"/>
      <c r="F16" s="289"/>
      <c r="G16" s="289"/>
      <c r="H16" s="288"/>
      <c r="I16" s="288"/>
      <c r="J16" s="288"/>
      <c r="K16" s="827"/>
      <c r="L16" s="827"/>
      <c r="M16" s="827"/>
      <c r="N16" s="828"/>
    </row>
    <row r="17" spans="2:14" x14ac:dyDescent="0.2">
      <c r="B17" s="1229"/>
      <c r="C17" s="771" t="s">
        <v>16</v>
      </c>
      <c r="D17" s="531"/>
      <c r="E17" s="289"/>
      <c r="F17" s="289"/>
      <c r="G17" s="289"/>
      <c r="H17" s="288"/>
      <c r="I17" s="288"/>
      <c r="J17" s="288"/>
      <c r="K17" s="827"/>
      <c r="L17" s="827"/>
      <c r="M17" s="827"/>
      <c r="N17" s="828"/>
    </row>
    <row r="18" spans="2:14" ht="13.5" thickBot="1" x14ac:dyDescent="0.25">
      <c r="B18" s="1230" t="s">
        <v>56</v>
      </c>
      <c r="C18" s="1231"/>
      <c r="D18" s="774"/>
      <c r="E18" s="289"/>
      <c r="F18" s="289"/>
      <c r="G18" s="289"/>
      <c r="H18" s="288"/>
      <c r="I18" s="288"/>
      <c r="J18" s="288"/>
      <c r="K18" s="827"/>
      <c r="L18" s="827"/>
      <c r="M18" s="827"/>
      <c r="N18" s="828"/>
    </row>
    <row r="19" spans="2:14" ht="13.5" thickBot="1" x14ac:dyDescent="0.25">
      <c r="B19" s="784" t="s">
        <v>57</v>
      </c>
      <c r="C19" s="785"/>
      <c r="D19" s="786"/>
      <c r="E19" s="787"/>
      <c r="F19" s="787"/>
      <c r="G19" s="787"/>
      <c r="H19" s="787"/>
      <c r="I19" s="787"/>
      <c r="J19" s="787"/>
      <c r="K19" s="787"/>
      <c r="L19" s="787"/>
      <c r="M19" s="787"/>
      <c r="N19" s="788"/>
    </row>
    <row r="20" spans="2:14" x14ac:dyDescent="0.2">
      <c r="B20" s="1229"/>
      <c r="C20" s="771" t="str">
        <f>B33</f>
        <v>Landscaping PSF</v>
      </c>
      <c r="D20" s="772"/>
      <c r="E20" s="270">
        <f t="shared" ref="E20:N20" si="2">E44*$C$33*((1+$C$6)^E$4)</f>
        <v>0</v>
      </c>
      <c r="F20" s="270">
        <f t="shared" si="2"/>
        <v>1505111.9999999998</v>
      </c>
      <c r="G20" s="270">
        <f t="shared" si="2"/>
        <v>1535214.2399999998</v>
      </c>
      <c r="H20" s="290">
        <f t="shared" si="2"/>
        <v>0</v>
      </c>
      <c r="I20" s="290">
        <f t="shared" si="2"/>
        <v>1597236.8952959999</v>
      </c>
      <c r="J20" s="290">
        <f t="shared" si="2"/>
        <v>1629181.63320192</v>
      </c>
      <c r="K20" s="823">
        <f t="shared" si="2"/>
        <v>0</v>
      </c>
      <c r="L20" s="823">
        <f t="shared" si="2"/>
        <v>1695000.5711832773</v>
      </c>
      <c r="M20" s="823">
        <f t="shared" si="2"/>
        <v>1728900.5826069429</v>
      </c>
      <c r="N20" s="824">
        <f t="shared" si="2"/>
        <v>0</v>
      </c>
    </row>
    <row r="21" spans="2:14" x14ac:dyDescent="0.2">
      <c r="B21" s="1229"/>
      <c r="C21" s="771" t="str">
        <f>B34</f>
        <v>Sidewalks PSF</v>
      </c>
      <c r="D21" s="772"/>
      <c r="E21" s="270">
        <f t="shared" ref="E21:N21" si="3">E45*$C$34*((1+$C$6)^E$4)</f>
        <v>0</v>
      </c>
      <c r="F21" s="270">
        <f t="shared" si="3"/>
        <v>0</v>
      </c>
      <c r="G21" s="270">
        <f t="shared" si="3"/>
        <v>1836951.048</v>
      </c>
      <c r="H21" s="290">
        <f t="shared" si="3"/>
        <v>0</v>
      </c>
      <c r="I21" s="290">
        <f t="shared" si="3"/>
        <v>0</v>
      </c>
      <c r="J21" s="290">
        <f t="shared" si="3"/>
        <v>1949387.1477459841</v>
      </c>
      <c r="K21" s="823">
        <f t="shared" si="3"/>
        <v>0</v>
      </c>
      <c r="L21" s="823">
        <f t="shared" si="3"/>
        <v>0</v>
      </c>
      <c r="M21" s="823">
        <f t="shared" si="3"/>
        <v>2068705.2362852201</v>
      </c>
      <c r="N21" s="824">
        <f t="shared" si="3"/>
        <v>0</v>
      </c>
    </row>
    <row r="22" spans="2:14" ht="15" customHeight="1" x14ac:dyDescent="0.2">
      <c r="B22" s="1229"/>
      <c r="C22" s="771" t="str">
        <f>B35</f>
        <v>Green Roofs PSF</v>
      </c>
      <c r="D22" s="772"/>
      <c r="E22" s="270">
        <f t="shared" ref="E22:N22" si="4">E46*$C$35*((1+$C$6)^E$4)</f>
        <v>0</v>
      </c>
      <c r="F22" s="270">
        <f t="shared" si="4"/>
        <v>0</v>
      </c>
      <c r="G22" s="270">
        <f t="shared" si="4"/>
        <v>2190998.33568</v>
      </c>
      <c r="H22" s="290">
        <f t="shared" si="4"/>
        <v>0</v>
      </c>
      <c r="I22" s="290">
        <f t="shared" si="4"/>
        <v>0</v>
      </c>
      <c r="J22" s="290">
        <f t="shared" si="4"/>
        <v>2325104.9618103015</v>
      </c>
      <c r="K22" s="823">
        <f t="shared" si="4"/>
        <v>0</v>
      </c>
      <c r="L22" s="823">
        <f t="shared" si="4"/>
        <v>0</v>
      </c>
      <c r="M22" s="823">
        <f t="shared" si="4"/>
        <v>2467419.9863127861</v>
      </c>
      <c r="N22" s="824">
        <f t="shared" si="4"/>
        <v>0</v>
      </c>
    </row>
    <row r="23" spans="2:14" ht="15" customHeight="1" x14ac:dyDescent="0.2">
      <c r="B23" s="1229"/>
      <c r="C23" s="771" t="str">
        <f>B36</f>
        <v>Bridge and Platform PSF</v>
      </c>
      <c r="D23" s="772"/>
      <c r="E23" s="270">
        <f t="shared" ref="E23:N23" si="5">E47*$C$36*((1+$C$6)^E$4)</f>
        <v>0</v>
      </c>
      <c r="F23" s="270">
        <f t="shared" si="5"/>
        <v>0</v>
      </c>
      <c r="G23" s="270">
        <f t="shared" si="5"/>
        <v>1464809.4564479999</v>
      </c>
      <c r="H23" s="290">
        <f t="shared" si="5"/>
        <v>1494105.6455769599</v>
      </c>
      <c r="I23" s="290">
        <f t="shared" si="5"/>
        <v>1523987.7584884993</v>
      </c>
      <c r="J23" s="290">
        <f t="shared" si="5"/>
        <v>0</v>
      </c>
      <c r="K23" s="823">
        <f t="shared" si="5"/>
        <v>0</v>
      </c>
      <c r="L23" s="823">
        <f t="shared" si="5"/>
        <v>0</v>
      </c>
      <c r="M23" s="823">
        <f t="shared" si="5"/>
        <v>0</v>
      </c>
      <c r="N23" s="824">
        <f t="shared" si="5"/>
        <v>0</v>
      </c>
    </row>
    <row r="24" spans="2:14" ht="15" customHeight="1" x14ac:dyDescent="0.2">
      <c r="B24" s="1229"/>
      <c r="C24" s="771" t="s">
        <v>257</v>
      </c>
      <c r="D24" s="772"/>
      <c r="E24" s="270">
        <f>E48*$C$37*((1+$C$6)^E$4)</f>
        <v>0</v>
      </c>
      <c r="F24" s="270">
        <f t="shared" ref="F24:N24" si="6">F48*$C$37*((1+$C$6)^F$4)</f>
        <v>561520.80383999995</v>
      </c>
      <c r="G24" s="270">
        <f t="shared" si="6"/>
        <v>572751.21991679992</v>
      </c>
      <c r="H24" s="290">
        <f t="shared" si="6"/>
        <v>0</v>
      </c>
      <c r="I24" s="290">
        <f t="shared" si="6"/>
        <v>595890.36920143862</v>
      </c>
      <c r="J24" s="290">
        <f t="shared" si="6"/>
        <v>607808.17658546742</v>
      </c>
      <c r="K24" s="823">
        <f t="shared" si="6"/>
        <v>0</v>
      </c>
      <c r="L24" s="823">
        <f t="shared" si="6"/>
        <v>632363.62691952032</v>
      </c>
      <c r="M24" s="823">
        <f t="shared" si="6"/>
        <v>645010.89945791068</v>
      </c>
      <c r="N24" s="824">
        <f t="shared" si="6"/>
        <v>0</v>
      </c>
    </row>
    <row r="25" spans="2:14" ht="15" customHeight="1" x14ac:dyDescent="0.2">
      <c r="B25" s="1229"/>
      <c r="C25" s="771" t="str">
        <f>B38</f>
        <v>Demolition Remediation</v>
      </c>
      <c r="D25" s="772"/>
      <c r="E25" s="270">
        <f t="shared" ref="E25:N25" si="7">E49*$C$38*((1+$C$6)^E$4)</f>
        <v>428400</v>
      </c>
      <c r="F25" s="270">
        <f t="shared" si="7"/>
        <v>0</v>
      </c>
      <c r="G25" s="270">
        <f t="shared" si="7"/>
        <v>0</v>
      </c>
      <c r="H25" s="290">
        <f t="shared" si="7"/>
        <v>0</v>
      </c>
      <c r="I25" s="290">
        <f t="shared" si="7"/>
        <v>0</v>
      </c>
      <c r="J25" s="290">
        <f t="shared" si="7"/>
        <v>0</v>
      </c>
      <c r="K25" s="823">
        <f t="shared" si="7"/>
        <v>0</v>
      </c>
      <c r="L25" s="823">
        <f t="shared" si="7"/>
        <v>0</v>
      </c>
      <c r="M25" s="823">
        <f t="shared" si="7"/>
        <v>0</v>
      </c>
      <c r="N25" s="824">
        <f t="shared" si="7"/>
        <v>0</v>
      </c>
    </row>
    <row r="26" spans="2:14" ht="15" customHeight="1" x14ac:dyDescent="0.2">
      <c r="B26" s="1229"/>
      <c r="C26" s="771"/>
      <c r="D26" s="772"/>
      <c r="E26" s="289"/>
      <c r="F26" s="289"/>
      <c r="G26" s="289"/>
      <c r="H26" s="288"/>
      <c r="I26" s="288"/>
      <c r="J26" s="288"/>
      <c r="K26" s="827"/>
      <c r="L26" s="827"/>
      <c r="M26" s="827"/>
      <c r="N26" s="828"/>
    </row>
    <row r="27" spans="2:14" ht="13.5" thickBot="1" x14ac:dyDescent="0.25">
      <c r="B27" s="1224" t="s">
        <v>56</v>
      </c>
      <c r="C27" s="1225"/>
      <c r="D27" s="772"/>
      <c r="E27" s="781">
        <f>SUM(E20:E25)</f>
        <v>428400</v>
      </c>
      <c r="F27" s="781">
        <f t="shared" ref="F27:N27" si="8">SUM(F20:F25)</f>
        <v>2066632.8038399997</v>
      </c>
      <c r="G27" s="781">
        <f t="shared" si="8"/>
        <v>7600724.3000447992</v>
      </c>
      <c r="H27" s="783">
        <f t="shared" si="8"/>
        <v>1494105.6455769599</v>
      </c>
      <c r="I27" s="783">
        <f t="shared" si="8"/>
        <v>3717115.022985938</v>
      </c>
      <c r="J27" s="783">
        <f t="shared" si="8"/>
        <v>6511481.9193436727</v>
      </c>
      <c r="K27" s="825">
        <f t="shared" si="8"/>
        <v>0</v>
      </c>
      <c r="L27" s="825">
        <f t="shared" si="8"/>
        <v>2327364.1981027974</v>
      </c>
      <c r="M27" s="825">
        <f t="shared" si="8"/>
        <v>6910036.7046628604</v>
      </c>
      <c r="N27" s="826">
        <f t="shared" si="8"/>
        <v>0</v>
      </c>
    </row>
    <row r="28" spans="2:14" ht="13.5" thickBot="1" x14ac:dyDescent="0.25">
      <c r="B28" s="789"/>
      <c r="C28" s="790"/>
      <c r="D28" s="791"/>
      <c r="E28" s="562"/>
      <c r="F28" s="562"/>
      <c r="G28" s="562"/>
      <c r="H28" s="562"/>
      <c r="I28" s="562"/>
      <c r="J28" s="562"/>
      <c r="K28" s="562"/>
      <c r="L28" s="562"/>
      <c r="M28" s="562"/>
      <c r="N28" s="563"/>
    </row>
    <row r="29" spans="2:14" ht="15" customHeight="1" x14ac:dyDescent="0.2">
      <c r="B29" s="766" t="s">
        <v>58</v>
      </c>
      <c r="C29" s="767"/>
      <c r="D29" s="336">
        <f>SUM(E29:N29)</f>
        <v>31055860.594557028</v>
      </c>
      <c r="E29" s="781">
        <f>E27</f>
        <v>428400</v>
      </c>
      <c r="F29" s="781">
        <f t="shared" ref="F29:N29" si="9">F27</f>
        <v>2066632.8038399997</v>
      </c>
      <c r="G29" s="781">
        <f t="shared" si="9"/>
        <v>7600724.3000447992</v>
      </c>
      <c r="H29" s="783">
        <f t="shared" si="9"/>
        <v>1494105.6455769599</v>
      </c>
      <c r="I29" s="783">
        <f t="shared" si="9"/>
        <v>3717115.022985938</v>
      </c>
      <c r="J29" s="783">
        <f t="shared" si="9"/>
        <v>6511481.9193436727</v>
      </c>
      <c r="K29" s="825">
        <f t="shared" si="9"/>
        <v>0</v>
      </c>
      <c r="L29" s="825">
        <f t="shared" si="9"/>
        <v>2327364.1981027974</v>
      </c>
      <c r="M29" s="825">
        <f t="shared" si="9"/>
        <v>6910036.7046628604</v>
      </c>
      <c r="N29" s="826">
        <f t="shared" si="9"/>
        <v>0</v>
      </c>
    </row>
    <row r="30" spans="2:14" ht="15.75" customHeight="1" thickBot="1" x14ac:dyDescent="0.25">
      <c r="B30" s="768" t="s">
        <v>59</v>
      </c>
      <c r="C30" s="958">
        <v>0.06</v>
      </c>
      <c r="D30" s="792">
        <f>NPV(C30,E29:N29)</f>
        <v>22726872.675296851</v>
      </c>
      <c r="E30" s="769"/>
      <c r="F30" s="769"/>
      <c r="G30" s="769"/>
      <c r="H30" s="769"/>
      <c r="I30" s="769"/>
      <c r="J30" s="769"/>
      <c r="K30" s="769"/>
      <c r="L30" s="769"/>
      <c r="M30" s="769"/>
      <c r="N30" s="770"/>
    </row>
    <row r="31" spans="2:14" ht="15.75" customHeight="1" x14ac:dyDescent="0.2">
      <c r="B31" s="369"/>
      <c r="C31" s="369"/>
      <c r="D31" s="617"/>
      <c r="E31" s="370"/>
      <c r="F31" s="370"/>
      <c r="G31" s="370"/>
      <c r="H31" s="370"/>
      <c r="I31" s="370"/>
      <c r="J31" s="370"/>
      <c r="K31" s="370"/>
      <c r="L31" s="370"/>
      <c r="M31" s="370"/>
      <c r="N31" s="370"/>
    </row>
    <row r="32" spans="2:14" x14ac:dyDescent="0.2">
      <c r="C32" s="414" t="s">
        <v>46</v>
      </c>
      <c r="D32" s="413" t="s">
        <v>41</v>
      </c>
      <c r="E32" s="683" t="s">
        <v>252</v>
      </c>
      <c r="F32" s="803" t="s">
        <v>253</v>
      </c>
    </row>
    <row r="33" spans="2:14" ht="15" x14ac:dyDescent="0.25">
      <c r="B33" s="371" t="s">
        <v>233</v>
      </c>
      <c r="C33" s="957">
        <v>28</v>
      </c>
      <c r="D33" s="678">
        <v>310000</v>
      </c>
      <c r="E33" s="684">
        <f>C33*D33</f>
        <v>8680000</v>
      </c>
      <c r="F33" s="804">
        <f t="shared" ref="F33:F38" si="10">SUM(E20:N20)</f>
        <v>9690645.9222881403</v>
      </c>
    </row>
    <row r="34" spans="2:14" ht="15" x14ac:dyDescent="0.25">
      <c r="B34" s="371" t="s">
        <v>234</v>
      </c>
      <c r="C34" s="957">
        <v>30</v>
      </c>
      <c r="D34" s="678">
        <v>173100</v>
      </c>
      <c r="E34" s="684">
        <f t="shared" ref="E34:E38" si="11">C34*D34</f>
        <v>5193000</v>
      </c>
      <c r="F34" s="804">
        <f t="shared" si="10"/>
        <v>5855043.432031204</v>
      </c>
    </row>
    <row r="35" spans="2:14" ht="15" x14ac:dyDescent="0.25">
      <c r="B35" s="371" t="s">
        <v>235</v>
      </c>
      <c r="C35" s="957">
        <v>35</v>
      </c>
      <c r="D35" s="678">
        <v>176968</v>
      </c>
      <c r="E35" s="684">
        <f t="shared" si="11"/>
        <v>6193880</v>
      </c>
      <c r="F35" s="804">
        <f t="shared" si="10"/>
        <v>6983523.2838030877</v>
      </c>
    </row>
    <row r="36" spans="2:14" ht="15" x14ac:dyDescent="0.25">
      <c r="B36" s="371" t="s">
        <v>254</v>
      </c>
      <c r="C36" s="957">
        <v>26</v>
      </c>
      <c r="D36" s="678">
        <v>159268</v>
      </c>
      <c r="E36" s="684">
        <f t="shared" si="11"/>
        <v>4140968</v>
      </c>
      <c r="F36" s="804">
        <f t="shared" si="10"/>
        <v>4482902.860513459</v>
      </c>
    </row>
    <row r="37" spans="2:14" ht="15" x14ac:dyDescent="0.25">
      <c r="B37" s="371" t="s">
        <v>257</v>
      </c>
      <c r="C37" s="957">
        <v>32</v>
      </c>
      <c r="D37" s="678">
        <v>101196.8</v>
      </c>
      <c r="E37" s="684">
        <f t="shared" si="11"/>
        <v>3238297.6000000001</v>
      </c>
      <c r="F37" s="804">
        <f t="shared" si="10"/>
        <v>3615345.0959211369</v>
      </c>
    </row>
    <row r="38" spans="2:14" ht="15" x14ac:dyDescent="0.25">
      <c r="B38" s="371" t="s">
        <v>255</v>
      </c>
      <c r="C38" s="957">
        <v>10000</v>
      </c>
      <c r="D38" s="9">
        <v>42</v>
      </c>
      <c r="E38" s="684">
        <f t="shared" si="11"/>
        <v>420000</v>
      </c>
      <c r="F38" s="804">
        <f t="shared" si="10"/>
        <v>428400</v>
      </c>
    </row>
    <row r="39" spans="2:14" ht="14.25" x14ac:dyDescent="0.2">
      <c r="B39" s="371"/>
      <c r="C39" s="371"/>
      <c r="D39" s="6"/>
      <c r="E39" s="282"/>
      <c r="F39" s="805">
        <f>SUM(F33:F38)</f>
        <v>31055860.594557028</v>
      </c>
    </row>
    <row r="40" spans="2:14" ht="15" thickBot="1" x14ac:dyDescent="0.25">
      <c r="B40" s="371"/>
      <c r="C40" s="6"/>
      <c r="D40" s="414"/>
    </row>
    <row r="41" spans="2:14" ht="15" customHeight="1" x14ac:dyDescent="0.2">
      <c r="B41" s="1226" t="s">
        <v>237</v>
      </c>
      <c r="C41" s="1227"/>
      <c r="D41" s="1227"/>
      <c r="E41" s="1227"/>
      <c r="F41" s="1227"/>
      <c r="G41" s="1227"/>
      <c r="H41" s="1227"/>
      <c r="I41" s="1227"/>
      <c r="J41" s="1227"/>
      <c r="K41" s="1227"/>
      <c r="L41" s="1227"/>
      <c r="M41" s="1227"/>
      <c r="N41" s="1228"/>
    </row>
    <row r="42" spans="2:14" x14ac:dyDescent="0.2">
      <c r="B42" s="112"/>
      <c r="C42" s="441"/>
      <c r="D42" s="152">
        <v>0</v>
      </c>
      <c r="E42" s="244">
        <v>1</v>
      </c>
      <c r="F42" s="244">
        <v>2</v>
      </c>
      <c r="G42" s="244">
        <v>3</v>
      </c>
      <c r="H42" s="509">
        <v>4</v>
      </c>
      <c r="I42" s="509">
        <v>5</v>
      </c>
      <c r="J42" s="509">
        <v>6</v>
      </c>
      <c r="K42" s="426">
        <v>7</v>
      </c>
      <c r="L42" s="426">
        <v>8</v>
      </c>
      <c r="M42" s="426">
        <v>9</v>
      </c>
      <c r="N42" s="514">
        <v>10</v>
      </c>
    </row>
    <row r="43" spans="2:14" x14ac:dyDescent="0.2">
      <c r="B43" s="529"/>
      <c r="C43" s="799"/>
      <c r="D43" s="170" t="s">
        <v>154</v>
      </c>
      <c r="E43" s="680">
        <v>2022</v>
      </c>
      <c r="F43" s="680">
        <v>2023</v>
      </c>
      <c r="G43" s="680">
        <v>2024</v>
      </c>
      <c r="H43" s="681">
        <v>2025</v>
      </c>
      <c r="I43" s="681">
        <v>2026</v>
      </c>
      <c r="J43" s="681">
        <v>2027</v>
      </c>
      <c r="K43" s="682">
        <v>2028</v>
      </c>
      <c r="L43" s="682">
        <v>2029</v>
      </c>
      <c r="M43" s="682">
        <v>2030</v>
      </c>
      <c r="N43" s="793">
        <v>2031</v>
      </c>
    </row>
    <row r="44" spans="2:14" ht="15" customHeight="1" x14ac:dyDescent="0.2">
      <c r="B44" s="112"/>
      <c r="C44" s="773" t="s">
        <v>233</v>
      </c>
      <c r="D44" s="800">
        <f t="shared" ref="D44:D49" si="12">D33</f>
        <v>310000</v>
      </c>
      <c r="E44" s="244"/>
      <c r="F44" s="431">
        <f>$D$44*(1/6)</f>
        <v>51666.666666666664</v>
      </c>
      <c r="G44" s="431">
        <f>$D$44*(1/6)</f>
        <v>51666.666666666664</v>
      </c>
      <c r="H44" s="555"/>
      <c r="I44" s="555">
        <f>$D$44*(1/6)</f>
        <v>51666.666666666664</v>
      </c>
      <c r="J44" s="555">
        <f>$D$44*(1/6)</f>
        <v>51666.666666666664</v>
      </c>
      <c r="K44" s="276"/>
      <c r="L44" s="276">
        <f>$D$44*(1/6)</f>
        <v>51666.666666666664</v>
      </c>
      <c r="M44" s="276">
        <f>$D$44*(1/6)</f>
        <v>51666.666666666664</v>
      </c>
      <c r="N44" s="514"/>
    </row>
    <row r="45" spans="2:14" ht="15" customHeight="1" x14ac:dyDescent="0.2">
      <c r="B45" s="112"/>
      <c r="C45" s="773" t="s">
        <v>234</v>
      </c>
      <c r="D45" s="800">
        <f t="shared" si="12"/>
        <v>173100</v>
      </c>
      <c r="E45" s="244"/>
      <c r="F45" s="244"/>
      <c r="G45" s="431">
        <f>$D$45/3</f>
        <v>57700</v>
      </c>
      <c r="H45" s="509"/>
      <c r="I45" s="509"/>
      <c r="J45" s="555">
        <f>$D$45/3</f>
        <v>57700</v>
      </c>
      <c r="K45" s="426"/>
      <c r="L45" s="426"/>
      <c r="M45" s="276">
        <f>$D$45/3</f>
        <v>57700</v>
      </c>
      <c r="N45" s="514"/>
    </row>
    <row r="46" spans="2:14" ht="15" customHeight="1" x14ac:dyDescent="0.2">
      <c r="B46" s="112"/>
      <c r="C46" s="773" t="s">
        <v>235</v>
      </c>
      <c r="D46" s="800">
        <f t="shared" si="12"/>
        <v>176968</v>
      </c>
      <c r="E46" s="244"/>
      <c r="F46" s="244"/>
      <c r="G46" s="431">
        <f>$D$46/3</f>
        <v>58989.333333333336</v>
      </c>
      <c r="H46" s="509"/>
      <c r="I46" s="509"/>
      <c r="J46" s="555">
        <f>$D$46/3</f>
        <v>58989.333333333336</v>
      </c>
      <c r="K46" s="426"/>
      <c r="L46" s="426"/>
      <c r="M46" s="276">
        <f>$D$46/3</f>
        <v>58989.333333333336</v>
      </c>
      <c r="N46" s="514"/>
    </row>
    <row r="47" spans="2:14" x14ac:dyDescent="0.2">
      <c r="B47" s="112"/>
      <c r="C47" s="773" t="s">
        <v>254</v>
      </c>
      <c r="D47" s="800">
        <f t="shared" si="12"/>
        <v>159268</v>
      </c>
      <c r="E47" s="244"/>
      <c r="F47" s="244"/>
      <c r="G47" s="431">
        <f>$D$47/3</f>
        <v>53089.333333333336</v>
      </c>
      <c r="H47" s="555">
        <f t="shared" ref="H47:I47" si="13">$D$47/3</f>
        <v>53089.333333333336</v>
      </c>
      <c r="I47" s="555">
        <f t="shared" si="13"/>
        <v>53089.333333333336</v>
      </c>
      <c r="J47" s="509"/>
      <c r="K47" s="426"/>
      <c r="L47" s="426"/>
      <c r="M47" s="426"/>
      <c r="N47" s="514"/>
    </row>
    <row r="48" spans="2:14" x14ac:dyDescent="0.2">
      <c r="B48" s="112"/>
      <c r="C48" s="773" t="s">
        <v>257</v>
      </c>
      <c r="D48" s="800">
        <f t="shared" si="12"/>
        <v>101196.8</v>
      </c>
      <c r="E48" s="244"/>
      <c r="F48" s="431">
        <f>$D$48*(1/6)</f>
        <v>16866.133333333331</v>
      </c>
      <c r="G48" s="431">
        <f>$D$48*(1/6)</f>
        <v>16866.133333333331</v>
      </c>
      <c r="H48" s="555"/>
      <c r="I48" s="555">
        <f t="shared" ref="I48:M48" si="14">$D$48*(1/6)</f>
        <v>16866.133333333331</v>
      </c>
      <c r="J48" s="555">
        <f t="shared" si="14"/>
        <v>16866.133333333331</v>
      </c>
      <c r="K48" s="426"/>
      <c r="L48" s="276">
        <f t="shared" si="14"/>
        <v>16866.133333333331</v>
      </c>
      <c r="M48" s="276">
        <f t="shared" si="14"/>
        <v>16866.133333333331</v>
      </c>
      <c r="N48" s="514"/>
    </row>
    <row r="49" spans="2:14" ht="13.5" thickBot="1" x14ac:dyDescent="0.25">
      <c r="B49" s="479"/>
      <c r="C49" s="801" t="s">
        <v>251</v>
      </c>
      <c r="D49" s="802">
        <f t="shared" si="12"/>
        <v>42</v>
      </c>
      <c r="E49" s="794">
        <f>D49</f>
        <v>42</v>
      </c>
      <c r="F49" s="795"/>
      <c r="G49" s="795"/>
      <c r="H49" s="796"/>
      <c r="I49" s="796"/>
      <c r="J49" s="796"/>
      <c r="K49" s="797"/>
      <c r="L49" s="797"/>
      <c r="M49" s="797"/>
      <c r="N49" s="798"/>
    </row>
    <row r="50" spans="2:14" x14ac:dyDescent="0.2">
      <c r="C50" s="679"/>
    </row>
  </sheetData>
  <mergeCells count="10">
    <mergeCell ref="K3:N3"/>
    <mergeCell ref="H3:J3"/>
    <mergeCell ref="E3:G3"/>
    <mergeCell ref="B8:B9"/>
    <mergeCell ref="B10:B11"/>
    <mergeCell ref="B27:C27"/>
    <mergeCell ref="B41:N41"/>
    <mergeCell ref="B12:B17"/>
    <mergeCell ref="B18:C18"/>
    <mergeCell ref="B20:B26"/>
  </mergeCells>
  <conditionalFormatting sqref="E3 K3 H3">
    <cfRule type="cellIs" dxfId="249" priority="11" operator="lessThan">
      <formula>0</formula>
    </cfRule>
  </conditionalFormatting>
  <conditionalFormatting sqref="D33:D34">
    <cfRule type="cellIs" dxfId="248" priority="9" operator="lessThan">
      <formula>0</formula>
    </cfRule>
  </conditionalFormatting>
  <conditionalFormatting sqref="B41">
    <cfRule type="cellIs" dxfId="247" priority="8" operator="lessThan">
      <formula>0</formula>
    </cfRule>
  </conditionalFormatting>
  <conditionalFormatting sqref="E20:N25">
    <cfRule type="cellIs" dxfId="246" priority="6" operator="lessThan">
      <formula>0</formula>
    </cfRule>
  </conditionalFormatting>
  <conditionalFormatting sqref="D35">
    <cfRule type="cellIs" dxfId="245" priority="5" operator="lessThan">
      <formula>0</formula>
    </cfRule>
  </conditionalFormatting>
  <conditionalFormatting sqref="D36:D37">
    <cfRule type="cellIs" dxfId="244" priority="4" operator="lessThan">
      <formula>0</formula>
    </cfRule>
  </conditionalFormatting>
  <conditionalFormatting sqref="D30">
    <cfRule type="cellIs" dxfId="243" priority="3" operator="lessThan">
      <formula>0</formula>
    </cfRule>
  </conditionalFormatting>
  <conditionalFormatting sqref="L12">
    <cfRule type="cellIs" dxfId="242" priority="2" operator="lessThan">
      <formula>0</formula>
    </cfRule>
  </conditionalFormatting>
  <conditionalFormatting sqref="M2:N2">
    <cfRule type="cellIs" dxfId="241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60B13-C88D-46BC-B80C-917E5FB53746}">
  <dimension ref="B1:O110"/>
  <sheetViews>
    <sheetView zoomScale="85" zoomScaleNormal="85" workbookViewId="0">
      <selection activeCell="J100" sqref="J100"/>
    </sheetView>
  </sheetViews>
  <sheetFormatPr defaultColWidth="9.140625" defaultRowHeight="12.75" x14ac:dyDescent="0.2"/>
  <cols>
    <col min="1" max="1" width="9.140625" style="6"/>
    <col min="2" max="2" width="31.140625" style="6" bestFit="1" customWidth="1"/>
    <col min="3" max="3" width="13.85546875" style="9" bestFit="1" customWidth="1"/>
    <col min="4" max="4" width="14.5703125" style="10" bestFit="1" customWidth="1"/>
    <col min="5" max="5" width="19.28515625" style="6" bestFit="1" customWidth="1"/>
    <col min="6" max="6" width="16.28515625" style="6" bestFit="1" customWidth="1"/>
    <col min="7" max="7" width="12.85546875" style="6" bestFit="1" customWidth="1"/>
    <col min="8" max="8" width="20.7109375" style="6" bestFit="1" customWidth="1"/>
    <col min="9" max="9" width="12.85546875" style="6" bestFit="1" customWidth="1"/>
    <col min="10" max="10" width="12.140625" style="6" bestFit="1" customWidth="1"/>
    <col min="11" max="11" width="14.42578125" style="6" bestFit="1" customWidth="1"/>
    <col min="12" max="12" width="12.140625" style="6" bestFit="1" customWidth="1"/>
    <col min="13" max="13" width="12.42578125" style="6" bestFit="1" customWidth="1"/>
    <col min="14" max="14" width="13.140625" style="6" bestFit="1" customWidth="1"/>
    <col min="15" max="15" width="15.42578125" style="6" bestFit="1" customWidth="1"/>
    <col min="16" max="16" width="12.42578125" style="6" bestFit="1" customWidth="1"/>
    <col min="17" max="17" width="8.85546875" style="6" bestFit="1" customWidth="1"/>
    <col min="18" max="18" width="14" style="6" bestFit="1" customWidth="1"/>
    <col min="19" max="20" width="14" style="6" customWidth="1"/>
    <col min="21" max="21" width="14" style="6" bestFit="1" customWidth="1"/>
    <col min="22" max="22" width="11.5703125" style="6" bestFit="1" customWidth="1"/>
    <col min="23" max="16384" width="9.140625" style="6"/>
  </cols>
  <sheetData>
    <row r="1" spans="2:14" ht="13.5" thickBot="1" x14ac:dyDescent="0.25">
      <c r="D1" s="323"/>
    </row>
    <row r="2" spans="2:14" ht="15.75" thickBot="1" x14ac:dyDescent="0.25">
      <c r="B2" s="113"/>
      <c r="C2" s="518"/>
      <c r="D2" s="519"/>
      <c r="E2" s="576"/>
      <c r="F2" s="576"/>
      <c r="G2" s="576"/>
      <c r="H2" s="576"/>
      <c r="I2" s="576"/>
      <c r="J2" s="576"/>
      <c r="K2" s="576"/>
      <c r="L2" s="576"/>
      <c r="M2" s="952" t="s">
        <v>1</v>
      </c>
      <c r="N2" s="953" t="s">
        <v>105</v>
      </c>
    </row>
    <row r="3" spans="2:14" x14ac:dyDescent="0.2">
      <c r="B3" s="112"/>
      <c r="C3" s="441"/>
      <c r="D3" s="455"/>
      <c r="E3" s="1235" t="s">
        <v>2</v>
      </c>
      <c r="F3" s="1235"/>
      <c r="G3" s="1235"/>
      <c r="H3" s="1234" t="s">
        <v>207</v>
      </c>
      <c r="I3" s="1234"/>
      <c r="J3" s="1234"/>
      <c r="K3" s="1247" t="s">
        <v>208</v>
      </c>
      <c r="L3" s="1247"/>
      <c r="M3" s="1247"/>
      <c r="N3" s="1248"/>
    </row>
    <row r="4" spans="2:14" x14ac:dyDescent="0.2">
      <c r="B4" s="112"/>
      <c r="C4" s="441"/>
      <c r="D4" s="456">
        <v>0</v>
      </c>
      <c r="E4" s="552">
        <f>D4+1</f>
        <v>1</v>
      </c>
      <c r="F4" s="552">
        <f t="shared" ref="F4:N4" si="0">E4+1</f>
        <v>2</v>
      </c>
      <c r="G4" s="552">
        <f t="shared" si="0"/>
        <v>3</v>
      </c>
      <c r="H4" s="553">
        <f t="shared" si="0"/>
        <v>4</v>
      </c>
      <c r="I4" s="553">
        <f t="shared" si="0"/>
        <v>5</v>
      </c>
      <c r="J4" s="553">
        <f t="shared" si="0"/>
        <v>6</v>
      </c>
      <c r="K4" s="554">
        <f t="shared" si="0"/>
        <v>7</v>
      </c>
      <c r="L4" s="554">
        <f t="shared" si="0"/>
        <v>8</v>
      </c>
      <c r="M4" s="554">
        <f t="shared" si="0"/>
        <v>9</v>
      </c>
      <c r="N4" s="564">
        <f t="shared" si="0"/>
        <v>10</v>
      </c>
    </row>
    <row r="5" spans="2:14" ht="13.5" thickBot="1" x14ac:dyDescent="0.25">
      <c r="B5" s="112"/>
      <c r="C5" s="441" t="s">
        <v>52</v>
      </c>
      <c r="D5" s="457" t="str">
        <f>'Summary Board'!E4</f>
        <v>2020-2021</v>
      </c>
      <c r="E5" s="410">
        <f>'Summary Board'!F4</f>
        <v>2022</v>
      </c>
      <c r="F5" s="410">
        <f>E5+1</f>
        <v>2023</v>
      </c>
      <c r="G5" s="410">
        <f t="shared" ref="G5:N5" si="1">F5+1</f>
        <v>2024</v>
      </c>
      <c r="H5" s="411">
        <f t="shared" si="1"/>
        <v>2025</v>
      </c>
      <c r="I5" s="411">
        <f t="shared" si="1"/>
        <v>2026</v>
      </c>
      <c r="J5" s="411">
        <f t="shared" si="1"/>
        <v>2027</v>
      </c>
      <c r="K5" s="412">
        <f t="shared" si="1"/>
        <v>2028</v>
      </c>
      <c r="L5" s="412">
        <f t="shared" si="1"/>
        <v>2029</v>
      </c>
      <c r="M5" s="412">
        <f t="shared" si="1"/>
        <v>2030</v>
      </c>
      <c r="N5" s="565">
        <f t="shared" si="1"/>
        <v>2031</v>
      </c>
    </row>
    <row r="6" spans="2:14" ht="15.75" thickBot="1" x14ac:dyDescent="0.25">
      <c r="B6" s="561" t="s">
        <v>60</v>
      </c>
      <c r="C6" s="482"/>
      <c r="D6" s="483"/>
      <c r="E6" s="562"/>
      <c r="F6" s="562"/>
      <c r="G6" s="562"/>
      <c r="H6" s="562"/>
      <c r="I6" s="562"/>
      <c r="J6" s="562"/>
      <c r="K6" s="562"/>
      <c r="L6" s="562"/>
      <c r="M6" s="562"/>
      <c r="N6" s="563"/>
    </row>
    <row r="7" spans="2:14" s="12" customFormat="1" ht="15" x14ac:dyDescent="0.2">
      <c r="B7" s="572" t="s">
        <v>206</v>
      </c>
      <c r="C7" s="441"/>
      <c r="D7" s="451"/>
      <c r="E7" s="289"/>
      <c r="F7" s="289"/>
      <c r="G7" s="289"/>
      <c r="H7" s="288"/>
      <c r="I7" s="288"/>
      <c r="J7" s="288"/>
      <c r="K7" s="287"/>
      <c r="L7" s="287"/>
      <c r="M7" s="287"/>
      <c r="N7" s="566"/>
    </row>
    <row r="8" spans="2:14" x14ac:dyDescent="0.2">
      <c r="B8" s="526" t="s">
        <v>53</v>
      </c>
      <c r="C8" s="443">
        <v>0.02</v>
      </c>
      <c r="D8" s="445"/>
      <c r="E8" s="510"/>
      <c r="F8" s="510"/>
      <c r="G8" s="510"/>
      <c r="H8" s="511"/>
      <c r="I8" s="511"/>
      <c r="J8" s="511"/>
      <c r="K8" s="512"/>
      <c r="L8" s="512"/>
      <c r="M8" s="512"/>
      <c r="N8" s="515"/>
    </row>
    <row r="9" spans="2:14" x14ac:dyDescent="0.2">
      <c r="B9" s="526" t="s">
        <v>109</v>
      </c>
      <c r="C9" s="573">
        <f>N10</f>
        <v>0</v>
      </c>
      <c r="D9" s="445"/>
      <c r="E9" s="431">
        <f t="shared" ref="E9:N9" si="2">ROUND(E62/$C$12,0)</f>
        <v>170</v>
      </c>
      <c r="F9" s="431">
        <f t="shared" si="2"/>
        <v>85</v>
      </c>
      <c r="G9" s="431">
        <f t="shared" si="2"/>
        <v>0</v>
      </c>
      <c r="H9" s="555">
        <f t="shared" si="2"/>
        <v>0</v>
      </c>
      <c r="I9" s="555">
        <f t="shared" si="2"/>
        <v>0</v>
      </c>
      <c r="J9" s="555">
        <f t="shared" si="2"/>
        <v>0</v>
      </c>
      <c r="K9" s="276">
        <f t="shared" si="2"/>
        <v>0</v>
      </c>
      <c r="L9" s="276">
        <f t="shared" si="2"/>
        <v>0</v>
      </c>
      <c r="M9" s="276">
        <f t="shared" si="2"/>
        <v>0</v>
      </c>
      <c r="N9" s="467">
        <f t="shared" si="2"/>
        <v>0</v>
      </c>
    </row>
    <row r="10" spans="2:14" x14ac:dyDescent="0.2">
      <c r="B10" s="526" t="s">
        <v>61</v>
      </c>
      <c r="C10" s="441"/>
      <c r="D10" s="451"/>
      <c r="E10" s="244">
        <f>E11-SUM($D$10:D10)</f>
        <v>102</v>
      </c>
      <c r="F10" s="244">
        <f>F11-SUM($D$10:E10)</f>
        <v>102</v>
      </c>
      <c r="G10" s="244">
        <f>G11-SUM($D$10:F10)</f>
        <v>38</v>
      </c>
      <c r="H10" s="509">
        <f>H11-SUM($D$10:G10)</f>
        <v>0</v>
      </c>
      <c r="I10" s="509">
        <f>I11-SUM($D$10:H10)</f>
        <v>3</v>
      </c>
      <c r="J10" s="509">
        <f>J11-SUM($D$10:I10)</f>
        <v>0</v>
      </c>
      <c r="K10" s="426">
        <f>K11-SUM($D$10:J10)</f>
        <v>0</v>
      </c>
      <c r="L10" s="426">
        <f>L11-SUM($D$10:K10)</f>
        <v>0</v>
      </c>
      <c r="M10" s="426">
        <f>M11-SUM($D$10:L10)</f>
        <v>0</v>
      </c>
      <c r="N10" s="514">
        <f>N11-SUM($D$10:M10)</f>
        <v>0</v>
      </c>
    </row>
    <row r="11" spans="2:14" x14ac:dyDescent="0.2">
      <c r="B11" s="526" t="s">
        <v>110</v>
      </c>
      <c r="C11" s="441">
        <f>N11</f>
        <v>245</v>
      </c>
      <c r="D11" s="451"/>
      <c r="E11" s="244">
        <f t="shared" ref="E11:N11" si="3">ROUND($D$62*E15,0)</f>
        <v>102</v>
      </c>
      <c r="F11" s="244">
        <f t="shared" si="3"/>
        <v>204</v>
      </c>
      <c r="G11" s="244">
        <f t="shared" si="3"/>
        <v>242</v>
      </c>
      <c r="H11" s="509">
        <f t="shared" si="3"/>
        <v>242</v>
      </c>
      <c r="I11" s="509">
        <f t="shared" si="3"/>
        <v>245</v>
      </c>
      <c r="J11" s="509">
        <f t="shared" si="3"/>
        <v>245</v>
      </c>
      <c r="K11" s="426">
        <f t="shared" si="3"/>
        <v>245</v>
      </c>
      <c r="L11" s="426">
        <f t="shared" si="3"/>
        <v>245</v>
      </c>
      <c r="M11" s="426">
        <f t="shared" si="3"/>
        <v>245</v>
      </c>
      <c r="N11" s="514">
        <f t="shared" si="3"/>
        <v>245</v>
      </c>
    </row>
    <row r="12" spans="2:14" x14ac:dyDescent="0.2">
      <c r="B12" s="526" t="s">
        <v>62</v>
      </c>
      <c r="C12" s="574">
        <f>D78</f>
        <v>953.5</v>
      </c>
      <c r="D12" s="451"/>
      <c r="E12" s="244"/>
      <c r="F12" s="244"/>
      <c r="G12" s="244"/>
      <c r="H12" s="509"/>
      <c r="I12" s="509"/>
      <c r="J12" s="509"/>
      <c r="K12" s="426"/>
      <c r="L12" s="426"/>
      <c r="M12" s="426"/>
      <c r="N12" s="514"/>
    </row>
    <row r="13" spans="2:14" x14ac:dyDescent="0.2">
      <c r="B13" s="526" t="s">
        <v>63</v>
      </c>
      <c r="C13" s="441"/>
      <c r="D13" s="451"/>
      <c r="E13" s="556">
        <f>SUM($E$9:E9)*$C$12</f>
        <v>162095</v>
      </c>
      <c r="F13" s="556">
        <f>SUM($E$9:F9)*$C$12</f>
        <v>243142.5</v>
      </c>
      <c r="G13" s="556">
        <f>SUM($E$9:G9)*$C$12</f>
        <v>243142.5</v>
      </c>
      <c r="H13" s="557">
        <f>SUM($E$9:H9)*$C$12</f>
        <v>243142.5</v>
      </c>
      <c r="I13" s="557">
        <f>SUM($E$9:I9)*$C$12</f>
        <v>243142.5</v>
      </c>
      <c r="J13" s="557">
        <f>SUM($E$9:J9)*$C$12</f>
        <v>243142.5</v>
      </c>
      <c r="K13" s="558">
        <f>SUM($E$9:K9)*$C$12</f>
        <v>243142.5</v>
      </c>
      <c r="L13" s="558">
        <f>SUM($E$9:L9)*$C$12</f>
        <v>243142.5</v>
      </c>
      <c r="M13" s="558">
        <f>SUM($E$9:M9)*$C$12</f>
        <v>243142.5</v>
      </c>
      <c r="N13" s="567">
        <f>SUM($E$9:N9)*$C$12</f>
        <v>243142.5</v>
      </c>
    </row>
    <row r="14" spans="2:14" x14ac:dyDescent="0.2">
      <c r="B14" s="526" t="s">
        <v>64</v>
      </c>
      <c r="C14" s="449">
        <f>E78</f>
        <v>2.5827267994656609</v>
      </c>
      <c r="D14" s="450">
        <f>C14</f>
        <v>2.5827267994656609</v>
      </c>
      <c r="E14" s="210">
        <f>$D$14*(1+$C$8)^E4</f>
        <v>2.6343813354549743</v>
      </c>
      <c r="F14" s="210">
        <f t="shared" ref="F14:N14" si="4">$D$14*(1+$C$8)^F4</f>
        <v>2.6870689621640733</v>
      </c>
      <c r="G14" s="210">
        <f t="shared" si="4"/>
        <v>2.740810341407355</v>
      </c>
      <c r="H14" s="213">
        <f t="shared" si="4"/>
        <v>2.7956265482355023</v>
      </c>
      <c r="I14" s="213">
        <f t="shared" si="4"/>
        <v>2.8515390792002124</v>
      </c>
      <c r="J14" s="213">
        <f t="shared" si="4"/>
        <v>2.9085698607842168</v>
      </c>
      <c r="K14" s="216">
        <f t="shared" si="4"/>
        <v>2.9667412579999004</v>
      </c>
      <c r="L14" s="216">
        <f t="shared" si="4"/>
        <v>3.0260760831598987</v>
      </c>
      <c r="M14" s="216">
        <f t="shared" si="4"/>
        <v>3.0865976048230968</v>
      </c>
      <c r="N14" s="462">
        <f t="shared" si="4"/>
        <v>3.1483295569195584</v>
      </c>
    </row>
    <row r="15" spans="2:14" x14ac:dyDescent="0.2">
      <c r="B15" s="578" t="s">
        <v>65</v>
      </c>
      <c r="C15" s="597"/>
      <c r="D15" s="598">
        <v>0</v>
      </c>
      <c r="E15" s="211">
        <v>0.4</v>
      </c>
      <c r="F15" s="211">
        <v>0.8</v>
      </c>
      <c r="G15" s="211">
        <v>0.95</v>
      </c>
      <c r="H15" s="214">
        <v>0.95</v>
      </c>
      <c r="I15" s="214">
        <v>0.96</v>
      </c>
      <c r="J15" s="214">
        <v>0.96</v>
      </c>
      <c r="K15" s="217">
        <v>0.96</v>
      </c>
      <c r="L15" s="217">
        <v>0.96</v>
      </c>
      <c r="M15" s="217">
        <v>0.96</v>
      </c>
      <c r="N15" s="599">
        <v>0.96</v>
      </c>
    </row>
    <row r="16" spans="2:14" ht="15" x14ac:dyDescent="0.2">
      <c r="B16" s="572" t="s">
        <v>207</v>
      </c>
      <c r="C16" s="575"/>
      <c r="D16" s="531"/>
      <c r="E16" s="245"/>
      <c r="F16" s="245"/>
      <c r="G16" s="245"/>
      <c r="H16" s="265"/>
      <c r="I16" s="265"/>
      <c r="J16" s="265"/>
      <c r="K16" s="266"/>
      <c r="L16" s="266"/>
      <c r="M16" s="266"/>
      <c r="N16" s="568"/>
    </row>
    <row r="17" spans="2:14" x14ac:dyDescent="0.2">
      <c r="B17" s="526" t="s">
        <v>53</v>
      </c>
      <c r="C17" s="443">
        <v>0.02</v>
      </c>
      <c r="D17" s="445"/>
      <c r="E17" s="510"/>
      <c r="F17" s="510"/>
      <c r="G17" s="510"/>
      <c r="H17" s="511"/>
      <c r="I17" s="511"/>
      <c r="J17" s="511"/>
      <c r="K17" s="512"/>
      <c r="L17" s="512"/>
      <c r="M17" s="512"/>
      <c r="N17" s="515"/>
    </row>
    <row r="18" spans="2:14" x14ac:dyDescent="0.2">
      <c r="B18" s="526" t="s">
        <v>109</v>
      </c>
      <c r="C18" s="573">
        <f>N18</f>
        <v>0</v>
      </c>
      <c r="D18" s="445"/>
      <c r="E18" s="431">
        <f>ROUND(E63/$C$21,0)</f>
        <v>0</v>
      </c>
      <c r="F18" s="431">
        <f t="shared" ref="F18:N18" si="5">ROUND(F63/$C$21,0)</f>
        <v>0</v>
      </c>
      <c r="G18" s="431">
        <f t="shared" si="5"/>
        <v>0</v>
      </c>
      <c r="H18" s="555">
        <f t="shared" si="5"/>
        <v>127</v>
      </c>
      <c r="I18" s="555">
        <f t="shared" si="5"/>
        <v>254</v>
      </c>
      <c r="J18" s="555">
        <f t="shared" si="5"/>
        <v>0</v>
      </c>
      <c r="K18" s="276">
        <f t="shared" si="5"/>
        <v>0</v>
      </c>
      <c r="L18" s="276">
        <f t="shared" si="5"/>
        <v>0</v>
      </c>
      <c r="M18" s="276">
        <f t="shared" si="5"/>
        <v>0</v>
      </c>
      <c r="N18" s="467">
        <f t="shared" si="5"/>
        <v>0</v>
      </c>
    </row>
    <row r="19" spans="2:14" x14ac:dyDescent="0.2">
      <c r="B19" s="526" t="s">
        <v>61</v>
      </c>
      <c r="C19" s="441"/>
      <c r="D19" s="451"/>
      <c r="E19" s="244">
        <f>E20-SUM($D$19:D19)</f>
        <v>0</v>
      </c>
      <c r="F19" s="244">
        <f>F20-SUM($D$19:E19)</f>
        <v>0</v>
      </c>
      <c r="G19" s="244">
        <f>G20-SUM($D$19:F19)</f>
        <v>0</v>
      </c>
      <c r="H19" s="509">
        <f>H20-SUM($D$19:G19)</f>
        <v>152</v>
      </c>
      <c r="I19" s="509">
        <f>I20-SUM($D$19:H19)</f>
        <v>152</v>
      </c>
      <c r="J19" s="509">
        <f>J20-SUM($D$19:I19)</f>
        <v>57</v>
      </c>
      <c r="K19" s="426">
        <f>K20-SUM($D$19:J19)</f>
        <v>0</v>
      </c>
      <c r="L19" s="426">
        <f>L20-SUM($D$19:K19)</f>
        <v>0</v>
      </c>
      <c r="M19" s="426">
        <f>M20-SUM($D$19:L19)</f>
        <v>4</v>
      </c>
      <c r="N19" s="514">
        <f>N20-SUM($D$19:M19)</f>
        <v>0</v>
      </c>
    </row>
    <row r="20" spans="2:14" x14ac:dyDescent="0.2">
      <c r="B20" s="526" t="s">
        <v>110</v>
      </c>
      <c r="C20" s="441">
        <f>N20</f>
        <v>365</v>
      </c>
      <c r="D20" s="451"/>
      <c r="E20" s="244">
        <f t="shared" ref="E20:N20" si="6">ROUND($D$63*E24,0)</f>
        <v>0</v>
      </c>
      <c r="F20" s="244">
        <f t="shared" si="6"/>
        <v>0</v>
      </c>
      <c r="G20" s="244">
        <f t="shared" si="6"/>
        <v>0</v>
      </c>
      <c r="H20" s="509">
        <f t="shared" si="6"/>
        <v>152</v>
      </c>
      <c r="I20" s="509">
        <f t="shared" si="6"/>
        <v>304</v>
      </c>
      <c r="J20" s="509">
        <f t="shared" si="6"/>
        <v>361</v>
      </c>
      <c r="K20" s="426">
        <f t="shared" si="6"/>
        <v>361</v>
      </c>
      <c r="L20" s="426">
        <f t="shared" si="6"/>
        <v>361</v>
      </c>
      <c r="M20" s="426">
        <f t="shared" si="6"/>
        <v>365</v>
      </c>
      <c r="N20" s="514">
        <f t="shared" si="6"/>
        <v>365</v>
      </c>
    </row>
    <row r="21" spans="2:14" x14ac:dyDescent="0.2">
      <c r="B21" s="526" t="s">
        <v>62</v>
      </c>
      <c r="C21" s="574">
        <f>C12</f>
        <v>953.5</v>
      </c>
      <c r="D21" s="451"/>
      <c r="E21" s="244"/>
      <c r="F21" s="244"/>
      <c r="G21" s="244"/>
      <c r="H21" s="509"/>
      <c r="I21" s="509"/>
      <c r="J21" s="509"/>
      <c r="K21" s="426"/>
      <c r="L21" s="426"/>
      <c r="M21" s="426"/>
      <c r="N21" s="514"/>
    </row>
    <row r="22" spans="2:14" x14ac:dyDescent="0.2">
      <c r="B22" s="526" t="s">
        <v>63</v>
      </c>
      <c r="C22" s="441"/>
      <c r="D22" s="451"/>
      <c r="E22" s="556">
        <f>SUM($E$18:E18)*$C$21</f>
        <v>0</v>
      </c>
      <c r="F22" s="556">
        <f>SUM($E$18:F18)*$C$21</f>
        <v>0</v>
      </c>
      <c r="G22" s="556">
        <f>SUM($E$18:G18)*$C$21</f>
        <v>0</v>
      </c>
      <c r="H22" s="557">
        <f>SUM($E$18:H18)*$C$21</f>
        <v>121094.5</v>
      </c>
      <c r="I22" s="557">
        <f>SUM($E$18:I18)*$C$21</f>
        <v>363283.5</v>
      </c>
      <c r="J22" s="557">
        <f>SUM($E$18:J18)*$C$21</f>
        <v>363283.5</v>
      </c>
      <c r="K22" s="558">
        <f>SUM($E$18:K18)*$C$21</f>
        <v>363283.5</v>
      </c>
      <c r="L22" s="558">
        <f>SUM($E$18:L18)*$C$21</f>
        <v>363283.5</v>
      </c>
      <c r="M22" s="558">
        <f>SUM($E$18:M18)*$C$21</f>
        <v>363283.5</v>
      </c>
      <c r="N22" s="567">
        <f>SUM($E$18:N18)*$C$21</f>
        <v>363283.5</v>
      </c>
    </row>
    <row r="23" spans="2:14" x14ac:dyDescent="0.2">
      <c r="B23" s="526" t="s">
        <v>64</v>
      </c>
      <c r="C23" s="449">
        <f>C14</f>
        <v>2.5827267994656609</v>
      </c>
      <c r="D23" s="450">
        <f>C23</f>
        <v>2.5827267994656609</v>
      </c>
      <c r="E23" s="210">
        <f>$D$23*(1+$C$17)^E22</f>
        <v>2.5827267994656609</v>
      </c>
      <c r="F23" s="210">
        <f t="shared" ref="F23:G23" si="7">$D$23*(1+$C$17)^F22</f>
        <v>2.5827267994656609</v>
      </c>
      <c r="G23" s="210">
        <f t="shared" si="7"/>
        <v>2.5827267994656609</v>
      </c>
      <c r="H23" s="213">
        <f>$D$23*(1+$C$17)^H4</f>
        <v>2.7956265482355023</v>
      </c>
      <c r="I23" s="213">
        <f t="shared" ref="I23:N23" si="8">$D$23*(1+$C$17)^I4</f>
        <v>2.8515390792002124</v>
      </c>
      <c r="J23" s="213">
        <f t="shared" si="8"/>
        <v>2.9085698607842168</v>
      </c>
      <c r="K23" s="216">
        <f t="shared" si="8"/>
        <v>2.9667412579999004</v>
      </c>
      <c r="L23" s="216">
        <f t="shared" si="8"/>
        <v>3.0260760831598987</v>
      </c>
      <c r="M23" s="216">
        <f t="shared" si="8"/>
        <v>3.0865976048230968</v>
      </c>
      <c r="N23" s="462">
        <f t="shared" si="8"/>
        <v>3.1483295569195584</v>
      </c>
    </row>
    <row r="24" spans="2:14" x14ac:dyDescent="0.2">
      <c r="B24" s="578" t="s">
        <v>65</v>
      </c>
      <c r="C24" s="597"/>
      <c r="D24" s="598">
        <v>0</v>
      </c>
      <c r="E24" s="211">
        <v>0</v>
      </c>
      <c r="F24" s="211">
        <v>0</v>
      </c>
      <c r="G24" s="211">
        <v>0</v>
      </c>
      <c r="H24" s="214">
        <v>0.4</v>
      </c>
      <c r="I24" s="214">
        <v>0.8</v>
      </c>
      <c r="J24" s="214">
        <v>0.95</v>
      </c>
      <c r="K24" s="217">
        <v>0.95</v>
      </c>
      <c r="L24" s="217">
        <v>0.95</v>
      </c>
      <c r="M24" s="217">
        <v>0.96</v>
      </c>
      <c r="N24" s="599">
        <v>0.96</v>
      </c>
    </row>
    <row r="25" spans="2:14" ht="15" x14ac:dyDescent="0.2">
      <c r="B25" s="572" t="s">
        <v>208</v>
      </c>
      <c r="C25" s="575"/>
      <c r="D25" s="531"/>
      <c r="E25" s="245"/>
      <c r="F25" s="245"/>
      <c r="G25" s="245"/>
      <c r="H25" s="265"/>
      <c r="I25" s="265"/>
      <c r="J25" s="265"/>
      <c r="K25" s="266"/>
      <c r="L25" s="266"/>
      <c r="M25" s="266"/>
      <c r="N25" s="568"/>
    </row>
    <row r="26" spans="2:14" x14ac:dyDescent="0.2">
      <c r="B26" s="526" t="s">
        <v>53</v>
      </c>
      <c r="C26" s="443">
        <v>0.02</v>
      </c>
      <c r="D26" s="445"/>
      <c r="E26" s="510"/>
      <c r="F26" s="510"/>
      <c r="G26" s="510"/>
      <c r="H26" s="511"/>
      <c r="I26" s="511"/>
      <c r="J26" s="511"/>
      <c r="K26" s="512"/>
      <c r="L26" s="512"/>
      <c r="M26" s="512"/>
      <c r="N26" s="515"/>
    </row>
    <row r="27" spans="2:14" x14ac:dyDescent="0.2">
      <c r="B27" s="526" t="s">
        <v>109</v>
      </c>
      <c r="C27" s="573">
        <f>N27</f>
        <v>0</v>
      </c>
      <c r="D27" s="445"/>
      <c r="E27" s="431">
        <f>ROUND(E64/$C$30,0)</f>
        <v>0</v>
      </c>
      <c r="F27" s="431">
        <f t="shared" ref="F27:N27" si="9">ROUND(F64/$C$30,0)</f>
        <v>0</v>
      </c>
      <c r="G27" s="431">
        <f t="shared" si="9"/>
        <v>0</v>
      </c>
      <c r="H27" s="555">
        <f t="shared" si="9"/>
        <v>0</v>
      </c>
      <c r="I27" s="555">
        <f t="shared" si="9"/>
        <v>0</v>
      </c>
      <c r="J27" s="555">
        <f t="shared" si="9"/>
        <v>0</v>
      </c>
      <c r="K27" s="276">
        <f t="shared" si="9"/>
        <v>249</v>
      </c>
      <c r="L27" s="276">
        <f t="shared" si="9"/>
        <v>0</v>
      </c>
      <c r="M27" s="276">
        <f t="shared" si="9"/>
        <v>0</v>
      </c>
      <c r="N27" s="467">
        <f t="shared" si="9"/>
        <v>0</v>
      </c>
    </row>
    <row r="28" spans="2:14" x14ac:dyDescent="0.2">
      <c r="B28" s="526" t="s">
        <v>61</v>
      </c>
      <c r="C28" s="441"/>
      <c r="D28" s="451"/>
      <c r="E28" s="244">
        <f>E29-SUM($D$28:D28)</f>
        <v>0</v>
      </c>
      <c r="F28" s="244">
        <f>F29-SUM($D$28:E28)</f>
        <v>0</v>
      </c>
      <c r="G28" s="244">
        <f>G29-SUM($D$28:F28)</f>
        <v>0</v>
      </c>
      <c r="H28" s="509">
        <f>H29-SUM($D$28:G28)</f>
        <v>0</v>
      </c>
      <c r="I28" s="509">
        <f>I29-SUM($D$28:H28)</f>
        <v>0</v>
      </c>
      <c r="J28" s="509">
        <f>J29-SUM($D$28:I28)</f>
        <v>0</v>
      </c>
      <c r="K28" s="426">
        <f>K29-SUM($D$28:J28)</f>
        <v>99</v>
      </c>
      <c r="L28" s="426">
        <f>L29-SUM($D$28:K28)</f>
        <v>100</v>
      </c>
      <c r="M28" s="426">
        <f>M29-SUM($D$28:L28)</f>
        <v>37</v>
      </c>
      <c r="N28" s="514">
        <f>N29-SUM($D$28:M28)</f>
        <v>3</v>
      </c>
    </row>
    <row r="29" spans="2:14" x14ac:dyDescent="0.2">
      <c r="B29" s="526" t="s">
        <v>110</v>
      </c>
      <c r="C29" s="441">
        <f>N29</f>
        <v>239</v>
      </c>
      <c r="D29" s="451"/>
      <c r="E29" s="244">
        <f t="shared" ref="E29:N29" si="10">ROUND($D$64*E33,0)</f>
        <v>0</v>
      </c>
      <c r="F29" s="244">
        <f t="shared" si="10"/>
        <v>0</v>
      </c>
      <c r="G29" s="244">
        <f t="shared" si="10"/>
        <v>0</v>
      </c>
      <c r="H29" s="509">
        <f t="shared" si="10"/>
        <v>0</v>
      </c>
      <c r="I29" s="509">
        <f t="shared" si="10"/>
        <v>0</v>
      </c>
      <c r="J29" s="509">
        <f t="shared" si="10"/>
        <v>0</v>
      </c>
      <c r="K29" s="426">
        <f t="shared" si="10"/>
        <v>99</v>
      </c>
      <c r="L29" s="426">
        <f t="shared" si="10"/>
        <v>199</v>
      </c>
      <c r="M29" s="426">
        <f t="shared" si="10"/>
        <v>236</v>
      </c>
      <c r="N29" s="514">
        <f t="shared" si="10"/>
        <v>239</v>
      </c>
    </row>
    <row r="30" spans="2:14" x14ac:dyDescent="0.2">
      <c r="B30" s="526" t="s">
        <v>62</v>
      </c>
      <c r="C30" s="574">
        <f>C21</f>
        <v>953.5</v>
      </c>
      <c r="D30" s="451"/>
      <c r="E30" s="244"/>
      <c r="F30" s="244"/>
      <c r="G30" s="244"/>
      <c r="H30" s="509"/>
      <c r="I30" s="509"/>
      <c r="J30" s="509"/>
      <c r="K30" s="426"/>
      <c r="L30" s="426"/>
      <c r="M30" s="426"/>
      <c r="N30" s="514"/>
    </row>
    <row r="31" spans="2:14" x14ac:dyDescent="0.2">
      <c r="B31" s="526" t="s">
        <v>63</v>
      </c>
      <c r="C31" s="441"/>
      <c r="D31" s="451"/>
      <c r="E31" s="556">
        <f>SUM($E$27:E27)*$C$30</f>
        <v>0</v>
      </c>
      <c r="F31" s="556">
        <f>SUM($E$27:F27)*$C$30</f>
        <v>0</v>
      </c>
      <c r="G31" s="556">
        <f>SUM($E$27:G27)*$C$30</f>
        <v>0</v>
      </c>
      <c r="H31" s="557">
        <f>SUM($E$27:H27)*$C$30</f>
        <v>0</v>
      </c>
      <c r="I31" s="557">
        <f>SUM($E$27:I27)*$C$30</f>
        <v>0</v>
      </c>
      <c r="J31" s="557">
        <f>SUM($E$27:J27)*$C$30</f>
        <v>0</v>
      </c>
      <c r="K31" s="558">
        <f>SUM($E$27:K27)*$C$30</f>
        <v>237421.5</v>
      </c>
      <c r="L31" s="558">
        <f>SUM($E$27:L27)*$C$30</f>
        <v>237421.5</v>
      </c>
      <c r="M31" s="558">
        <f>SUM($E$27:M27)*$C$30</f>
        <v>237421.5</v>
      </c>
      <c r="N31" s="567">
        <f>SUM($E$27:N27)*$C$30</f>
        <v>237421.5</v>
      </c>
    </row>
    <row r="32" spans="2:14" x14ac:dyDescent="0.2">
      <c r="B32" s="526" t="s">
        <v>64</v>
      </c>
      <c r="C32" s="449">
        <f>C23</f>
        <v>2.5827267994656609</v>
      </c>
      <c r="D32" s="450">
        <f>C32</f>
        <v>2.5827267994656609</v>
      </c>
      <c r="E32" s="210">
        <f>$D$32*(1+$C$26)^E31</f>
        <v>2.5827267994656609</v>
      </c>
      <c r="F32" s="210">
        <f t="shared" ref="F32:G32" si="11">$D$32*(1+$C$26)^F31</f>
        <v>2.5827267994656609</v>
      </c>
      <c r="G32" s="210">
        <f t="shared" si="11"/>
        <v>2.5827267994656609</v>
      </c>
      <c r="H32" s="213">
        <f>$D$32*(1+$C$26)^H4</f>
        <v>2.7956265482355023</v>
      </c>
      <c r="I32" s="213">
        <f t="shared" ref="I32:N32" si="12">$D$32*(1+$C$26)^I4</f>
        <v>2.8515390792002124</v>
      </c>
      <c r="J32" s="213">
        <f t="shared" si="12"/>
        <v>2.9085698607842168</v>
      </c>
      <c r="K32" s="216">
        <f t="shared" si="12"/>
        <v>2.9667412579999004</v>
      </c>
      <c r="L32" s="216">
        <f t="shared" si="12"/>
        <v>3.0260760831598987</v>
      </c>
      <c r="M32" s="216">
        <f t="shared" si="12"/>
        <v>3.0865976048230968</v>
      </c>
      <c r="N32" s="462">
        <f t="shared" si="12"/>
        <v>3.1483295569195584</v>
      </c>
    </row>
    <row r="33" spans="2:14" ht="13.5" thickBot="1" x14ac:dyDescent="0.25">
      <c r="B33" s="526" t="s">
        <v>65</v>
      </c>
      <c r="C33" s="575"/>
      <c r="D33" s="531">
        <v>0</v>
      </c>
      <c r="E33" s="245">
        <v>0</v>
      </c>
      <c r="F33" s="245">
        <v>0</v>
      </c>
      <c r="G33" s="245">
        <v>0</v>
      </c>
      <c r="H33" s="265">
        <v>0</v>
      </c>
      <c r="I33" s="265">
        <v>0</v>
      </c>
      <c r="J33" s="265">
        <v>0</v>
      </c>
      <c r="K33" s="266">
        <v>0.4</v>
      </c>
      <c r="L33" s="266">
        <v>0.8</v>
      </c>
      <c r="M33" s="266">
        <v>0.95</v>
      </c>
      <c r="N33" s="568">
        <v>0.96</v>
      </c>
    </row>
    <row r="34" spans="2:14" ht="15.75" thickBot="1" x14ac:dyDescent="0.25">
      <c r="B34" s="561" t="s">
        <v>3</v>
      </c>
      <c r="C34" s="485"/>
      <c r="D34" s="486"/>
      <c r="E34" s="487"/>
      <c r="F34" s="487"/>
      <c r="G34" s="487"/>
      <c r="H34" s="487"/>
      <c r="I34" s="487"/>
      <c r="J34" s="487"/>
      <c r="K34" s="487"/>
      <c r="L34" s="487"/>
      <c r="M34" s="487"/>
      <c r="N34" s="488"/>
    </row>
    <row r="35" spans="2:14" x14ac:dyDescent="0.2">
      <c r="B35" s="526" t="s">
        <v>66</v>
      </c>
      <c r="C35" s="452">
        <v>12</v>
      </c>
      <c r="D35" s="451"/>
      <c r="E35" s="559">
        <f t="shared" ref="E35:N35" si="13">SUM(E11,E20,E29)*$C$12*E14*$C$35</f>
        <v>3074544.3065081332</v>
      </c>
      <c r="F35" s="559">
        <f t="shared" si="13"/>
        <v>6272070.3852765905</v>
      </c>
      <c r="G35" s="559">
        <f t="shared" si="13"/>
        <v>7589205.1661846749</v>
      </c>
      <c r="H35" s="560">
        <f t="shared" si="13"/>
        <v>12603098.232174782</v>
      </c>
      <c r="I35" s="560">
        <f t="shared" si="13"/>
        <v>17912393.269170649</v>
      </c>
      <c r="J35" s="560">
        <f t="shared" si="13"/>
        <v>20167592.946338363</v>
      </c>
      <c r="K35" s="560">
        <f t="shared" si="13"/>
        <v>23931544.699194577</v>
      </c>
      <c r="L35" s="560">
        <f t="shared" si="13"/>
        <v>27872611.84753003</v>
      </c>
      <c r="M35" s="560">
        <f t="shared" si="13"/>
        <v>29878054.926050451</v>
      </c>
      <c r="N35" s="569">
        <f t="shared" si="13"/>
        <v>30583685.584942274</v>
      </c>
    </row>
    <row r="36" spans="2:14" x14ac:dyDescent="0.2">
      <c r="B36" s="526" t="s">
        <v>67</v>
      </c>
      <c r="C36" s="447">
        <v>0.35</v>
      </c>
      <c r="D36" s="451"/>
      <c r="E36" s="270">
        <f>-(E35*$C$36)</f>
        <v>-1076090.5072778466</v>
      </c>
      <c r="F36" s="270">
        <f t="shared" ref="F36:N36" si="14">-(F35*$C$36)</f>
        <v>-2195224.6348468065</v>
      </c>
      <c r="G36" s="270">
        <f t="shared" si="14"/>
        <v>-2656221.8081646361</v>
      </c>
      <c r="H36" s="290">
        <f t="shared" si="14"/>
        <v>-4411084.3812611736</v>
      </c>
      <c r="I36" s="290">
        <f t="shared" si="14"/>
        <v>-6269337.6442097267</v>
      </c>
      <c r="J36" s="290">
        <f t="shared" si="14"/>
        <v>-7058657.5312184263</v>
      </c>
      <c r="K36" s="271">
        <f t="shared" si="14"/>
        <v>-8376040.6447181012</v>
      </c>
      <c r="L36" s="271">
        <f t="shared" si="14"/>
        <v>-9755414.14663551</v>
      </c>
      <c r="M36" s="271">
        <f t="shared" si="14"/>
        <v>-10457319.224117657</v>
      </c>
      <c r="N36" s="466">
        <f t="shared" si="14"/>
        <v>-10704289.954729795</v>
      </c>
    </row>
    <row r="37" spans="2:14" ht="13.5" thickBot="1" x14ac:dyDescent="0.25">
      <c r="B37" s="525" t="s">
        <v>27</v>
      </c>
      <c r="C37" s="441"/>
      <c r="D37" s="451"/>
      <c r="E37" s="270">
        <f>SUM(E35:E36)</f>
        <v>1998453.7992302866</v>
      </c>
      <c r="F37" s="270">
        <f t="shared" ref="F37:N37" si="15">SUM(F35:F36)</f>
        <v>4076845.7504297839</v>
      </c>
      <c r="G37" s="270">
        <f t="shared" si="15"/>
        <v>4932983.3580200393</v>
      </c>
      <c r="H37" s="290">
        <f t="shared" si="15"/>
        <v>8192013.8509136084</v>
      </c>
      <c r="I37" s="290">
        <f t="shared" si="15"/>
        <v>11643055.624960922</v>
      </c>
      <c r="J37" s="290">
        <f t="shared" si="15"/>
        <v>13108935.415119937</v>
      </c>
      <c r="K37" s="271">
        <f t="shared" si="15"/>
        <v>15555504.054476475</v>
      </c>
      <c r="L37" s="271">
        <f t="shared" si="15"/>
        <v>18117197.70089452</v>
      </c>
      <c r="M37" s="271">
        <f t="shared" si="15"/>
        <v>19420735.701932795</v>
      </c>
      <c r="N37" s="466">
        <f t="shared" si="15"/>
        <v>19879395.630212478</v>
      </c>
    </row>
    <row r="38" spans="2:14" ht="15.75" thickBot="1" x14ac:dyDescent="0.25">
      <c r="B38" s="561" t="s">
        <v>20</v>
      </c>
      <c r="C38" s="485"/>
      <c r="D38" s="486"/>
      <c r="E38" s="487"/>
      <c r="F38" s="487"/>
      <c r="G38" s="487"/>
      <c r="H38" s="487"/>
      <c r="I38" s="487"/>
      <c r="J38" s="487"/>
      <c r="K38" s="487"/>
      <c r="L38" s="487"/>
      <c r="M38" s="487"/>
      <c r="N38" s="488"/>
    </row>
    <row r="39" spans="2:14" x14ac:dyDescent="0.2">
      <c r="B39" s="112" t="s">
        <v>111</v>
      </c>
      <c r="C39" s="449">
        <v>250.76</v>
      </c>
      <c r="D39" s="336">
        <f>C39</f>
        <v>250.76</v>
      </c>
      <c r="E39" s="212">
        <f t="shared" ref="E39:N39" si="16">$D$39*(1+$C$8)^E4</f>
        <v>255.77519999999998</v>
      </c>
      <c r="F39" s="212">
        <f t="shared" si="16"/>
        <v>260.89070399999997</v>
      </c>
      <c r="G39" s="212">
        <f t="shared" si="16"/>
        <v>266.10851807999995</v>
      </c>
      <c r="H39" s="215">
        <f t="shared" si="16"/>
        <v>271.43068844160001</v>
      </c>
      <c r="I39" s="215">
        <f t="shared" si="16"/>
        <v>276.85930221043202</v>
      </c>
      <c r="J39" s="215">
        <f t="shared" si="16"/>
        <v>282.39648825464064</v>
      </c>
      <c r="K39" s="218">
        <f t="shared" si="16"/>
        <v>288.04441801973337</v>
      </c>
      <c r="L39" s="218">
        <f t="shared" si="16"/>
        <v>293.80530638012812</v>
      </c>
      <c r="M39" s="218">
        <f t="shared" si="16"/>
        <v>299.68141250773067</v>
      </c>
      <c r="N39" s="469">
        <f t="shared" si="16"/>
        <v>305.67504075788526</v>
      </c>
    </row>
    <row r="40" spans="2:14" x14ac:dyDescent="0.2">
      <c r="B40" s="526" t="s">
        <v>68</v>
      </c>
      <c r="C40" s="441"/>
      <c r="D40" s="448">
        <f>D41/SUM($D$41:$N$41)</f>
        <v>0</v>
      </c>
      <c r="E40" s="245">
        <f>E41/SUM($E$41:$N$41)</f>
        <v>0.17984516393585151</v>
      </c>
      <c r="F40" s="245">
        <f t="shared" ref="F40:N40" si="17">F41/SUM($E$41:$N$41)</f>
        <v>9.1721033607284258E-2</v>
      </c>
      <c r="G40" s="245">
        <f t="shared" si="17"/>
        <v>0</v>
      </c>
      <c r="H40" s="265">
        <f t="shared" si="17"/>
        <v>0.14226229030001844</v>
      </c>
      <c r="I40" s="265">
        <f t="shared" si="17"/>
        <v>0.29021507221203763</v>
      </c>
      <c r="J40" s="265">
        <f t="shared" si="17"/>
        <v>0</v>
      </c>
      <c r="K40" s="266">
        <f t="shared" si="17"/>
        <v>0.29595643994480814</v>
      </c>
      <c r="L40" s="266">
        <f t="shared" si="17"/>
        <v>0</v>
      </c>
      <c r="M40" s="266">
        <f t="shared" si="17"/>
        <v>0</v>
      </c>
      <c r="N40" s="568">
        <f t="shared" si="17"/>
        <v>0</v>
      </c>
    </row>
    <row r="41" spans="2:14" x14ac:dyDescent="0.2">
      <c r="B41" s="526" t="s">
        <v>20</v>
      </c>
      <c r="C41" s="441"/>
      <c r="D41" s="451"/>
      <c r="E41" s="270">
        <f>E62*E39</f>
        <v>41489192.881919995</v>
      </c>
      <c r="F41" s="270">
        <f t="shared" ref="F41:G41" si="18">F62*F39</f>
        <v>21159488.369779196</v>
      </c>
      <c r="G41" s="270">
        <f t="shared" si="18"/>
        <v>0</v>
      </c>
      <c r="H41" s="290">
        <f>H63*H39</f>
        <v>32819050.970903251</v>
      </c>
      <c r="I41" s="290">
        <f t="shared" ref="I41:J41" si="19">I63*I39</f>
        <v>66950863.980642632</v>
      </c>
      <c r="J41" s="290">
        <f t="shared" si="19"/>
        <v>0</v>
      </c>
      <c r="K41" s="216">
        <f>K64*K39</f>
        <v>68275362.833199561</v>
      </c>
      <c r="L41" s="216">
        <f t="shared" ref="L41:N41" si="20">L64*L39</f>
        <v>0</v>
      </c>
      <c r="M41" s="216">
        <f t="shared" si="20"/>
        <v>0</v>
      </c>
      <c r="N41" s="462">
        <f t="shared" si="20"/>
        <v>0</v>
      </c>
    </row>
    <row r="42" spans="2:14" x14ac:dyDescent="0.2">
      <c r="B42" s="526" t="s">
        <v>47</v>
      </c>
      <c r="C42" s="441"/>
      <c r="D42" s="451"/>
      <c r="E42" s="244"/>
      <c r="F42" s="244"/>
      <c r="G42" s="244"/>
      <c r="H42" s="509"/>
      <c r="I42" s="509"/>
      <c r="J42" s="509"/>
      <c r="K42" s="426"/>
      <c r="L42" s="426"/>
      <c r="M42" s="426"/>
      <c r="N42" s="514"/>
    </row>
    <row r="43" spans="2:14" ht="13.5" thickBot="1" x14ac:dyDescent="0.25">
      <c r="B43" s="525" t="s">
        <v>25</v>
      </c>
      <c r="C43" s="441"/>
      <c r="D43" s="336">
        <f>SUM(D41:D42)</f>
        <v>0</v>
      </c>
      <c r="E43" s="212">
        <f>SUM(E41:E42)</f>
        <v>41489192.881919995</v>
      </c>
      <c r="F43" s="212">
        <f t="shared" ref="F43:N43" si="21">SUM(F41:F42)</f>
        <v>21159488.369779196</v>
      </c>
      <c r="G43" s="212">
        <f t="shared" si="21"/>
        <v>0</v>
      </c>
      <c r="H43" s="215">
        <f t="shared" si="21"/>
        <v>32819050.970903251</v>
      </c>
      <c r="I43" s="215">
        <f t="shared" si="21"/>
        <v>66950863.980642632</v>
      </c>
      <c r="J43" s="215">
        <f t="shared" si="21"/>
        <v>0</v>
      </c>
      <c r="K43" s="218">
        <f t="shared" si="21"/>
        <v>68275362.833199561</v>
      </c>
      <c r="L43" s="218">
        <f t="shared" si="21"/>
        <v>0</v>
      </c>
      <c r="M43" s="218">
        <f t="shared" si="21"/>
        <v>0</v>
      </c>
      <c r="N43" s="469">
        <f t="shared" si="21"/>
        <v>0</v>
      </c>
    </row>
    <row r="44" spans="2:14" ht="15.75" thickBot="1" x14ac:dyDescent="0.25">
      <c r="B44" s="561" t="s">
        <v>26</v>
      </c>
      <c r="C44" s="485"/>
      <c r="D44" s="486"/>
      <c r="E44" s="487"/>
      <c r="F44" s="487"/>
      <c r="G44" s="487"/>
      <c r="H44" s="487"/>
      <c r="I44" s="487"/>
      <c r="J44" s="487"/>
      <c r="K44" s="487"/>
      <c r="L44" s="487"/>
      <c r="M44" s="487"/>
      <c r="N44" s="488"/>
    </row>
    <row r="45" spans="2:14" x14ac:dyDescent="0.2">
      <c r="B45" s="526" t="s">
        <v>27</v>
      </c>
      <c r="C45" s="441"/>
      <c r="D45" s="570">
        <f>D37</f>
        <v>0</v>
      </c>
      <c r="E45" s="270">
        <f>E37</f>
        <v>1998453.7992302866</v>
      </c>
      <c r="F45" s="270">
        <f t="shared" ref="F45:N45" si="22">F37</f>
        <v>4076845.7504297839</v>
      </c>
      <c r="G45" s="270">
        <f t="shared" si="22"/>
        <v>4932983.3580200393</v>
      </c>
      <c r="H45" s="290">
        <f t="shared" si="22"/>
        <v>8192013.8509136084</v>
      </c>
      <c r="I45" s="290">
        <f t="shared" si="22"/>
        <v>11643055.624960922</v>
      </c>
      <c r="J45" s="290">
        <f t="shared" si="22"/>
        <v>13108935.415119937</v>
      </c>
      <c r="K45" s="271">
        <f t="shared" si="22"/>
        <v>15555504.054476475</v>
      </c>
      <c r="L45" s="271">
        <f t="shared" si="22"/>
        <v>18117197.70089452</v>
      </c>
      <c r="M45" s="271">
        <f t="shared" si="22"/>
        <v>19420735.701932795</v>
      </c>
      <c r="N45" s="466">
        <f t="shared" si="22"/>
        <v>19879395.630212478</v>
      </c>
    </row>
    <row r="46" spans="2:14" x14ac:dyDescent="0.2">
      <c r="B46" s="526" t="s">
        <v>69</v>
      </c>
      <c r="C46" s="571">
        <f>C57</f>
        <v>0.05</v>
      </c>
      <c r="D46" s="448"/>
      <c r="E46" s="244">
        <v>0</v>
      </c>
      <c r="F46" s="244">
        <v>0</v>
      </c>
      <c r="G46" s="244">
        <v>0</v>
      </c>
      <c r="H46" s="509">
        <v>0</v>
      </c>
      <c r="I46" s="509">
        <v>0</v>
      </c>
      <c r="J46" s="509">
        <v>0</v>
      </c>
      <c r="K46" s="426">
        <v>0</v>
      </c>
      <c r="L46" s="426">
        <v>0</v>
      </c>
      <c r="M46" s="426">
        <v>0</v>
      </c>
      <c r="N46" s="466">
        <f>N45/C46</f>
        <v>397587912.60424954</v>
      </c>
    </row>
    <row r="47" spans="2:14" x14ac:dyDescent="0.2">
      <c r="B47" s="526" t="s">
        <v>70</v>
      </c>
      <c r="C47" s="443">
        <v>0.03</v>
      </c>
      <c r="D47" s="448"/>
      <c r="E47" s="244">
        <v>0</v>
      </c>
      <c r="F47" s="244">
        <v>0</v>
      </c>
      <c r="G47" s="244">
        <v>0</v>
      </c>
      <c r="H47" s="509">
        <v>0</v>
      </c>
      <c r="I47" s="509">
        <v>0</v>
      </c>
      <c r="J47" s="509">
        <v>0</v>
      </c>
      <c r="K47" s="426">
        <v>0</v>
      </c>
      <c r="L47" s="426">
        <v>0</v>
      </c>
      <c r="M47" s="426">
        <v>0</v>
      </c>
      <c r="N47" s="466">
        <f>-(N46*C47)</f>
        <v>-11927637.378127486</v>
      </c>
    </row>
    <row r="48" spans="2:14" ht="13.5" thickBot="1" x14ac:dyDescent="0.25">
      <c r="B48" s="526" t="s">
        <v>25</v>
      </c>
      <c r="C48" s="441"/>
      <c r="D48" s="570">
        <f>-D43</f>
        <v>0</v>
      </c>
      <c r="E48" s="270">
        <f>-E43</f>
        <v>-41489192.881919995</v>
      </c>
      <c r="F48" s="270">
        <f t="shared" ref="F48:N48" si="23">-F43</f>
        <v>-21159488.369779196</v>
      </c>
      <c r="G48" s="270">
        <f t="shared" si="23"/>
        <v>0</v>
      </c>
      <c r="H48" s="290">
        <f t="shared" si="23"/>
        <v>-32819050.970903251</v>
      </c>
      <c r="I48" s="290">
        <f t="shared" si="23"/>
        <v>-66950863.980642632</v>
      </c>
      <c r="J48" s="290">
        <f t="shared" si="23"/>
        <v>0</v>
      </c>
      <c r="K48" s="271">
        <f t="shared" si="23"/>
        <v>-68275362.833199561</v>
      </c>
      <c r="L48" s="271">
        <f t="shared" si="23"/>
        <v>0</v>
      </c>
      <c r="M48" s="271">
        <f t="shared" si="23"/>
        <v>0</v>
      </c>
      <c r="N48" s="466">
        <f t="shared" si="23"/>
        <v>0</v>
      </c>
    </row>
    <row r="49" spans="2:15" ht="13.5" thickBot="1" x14ac:dyDescent="0.25">
      <c r="B49" s="523"/>
      <c r="C49" s="485"/>
      <c r="D49" s="486"/>
      <c r="E49" s="487"/>
      <c r="F49" s="487"/>
      <c r="G49" s="487"/>
      <c r="H49" s="487"/>
      <c r="I49" s="487"/>
      <c r="J49" s="487"/>
      <c r="K49" s="487"/>
      <c r="L49" s="487"/>
      <c r="M49" s="487"/>
      <c r="N49" s="488"/>
    </row>
    <row r="50" spans="2:15" x14ac:dyDescent="0.2">
      <c r="B50" s="357" t="s">
        <v>29</v>
      </c>
      <c r="C50" s="441"/>
      <c r="D50" s="570">
        <f>SUM(D45:D48)</f>
        <v>0</v>
      </c>
      <c r="E50" s="270">
        <f>SUM(E45:E48)</f>
        <v>-39490739.08268971</v>
      </c>
      <c r="F50" s="270">
        <f t="shared" ref="F50:N50" si="24">SUM(F45:F48)</f>
        <v>-17082642.619349413</v>
      </c>
      <c r="G50" s="270">
        <f t="shared" si="24"/>
        <v>4932983.3580200393</v>
      </c>
      <c r="H50" s="290">
        <f t="shared" si="24"/>
        <v>-24627037.119989641</v>
      </c>
      <c r="I50" s="290">
        <f t="shared" si="24"/>
        <v>-55307808.35568171</v>
      </c>
      <c r="J50" s="290">
        <f t="shared" si="24"/>
        <v>13108935.415119937</v>
      </c>
      <c r="K50" s="271">
        <f t="shared" si="24"/>
        <v>-52719858.778723083</v>
      </c>
      <c r="L50" s="271">
        <f t="shared" si="24"/>
        <v>18117197.70089452</v>
      </c>
      <c r="M50" s="271">
        <f t="shared" si="24"/>
        <v>19420735.701932795</v>
      </c>
      <c r="N50" s="466">
        <f t="shared" si="24"/>
        <v>405539670.85633457</v>
      </c>
    </row>
    <row r="51" spans="2:15" x14ac:dyDescent="0.2">
      <c r="B51" s="357" t="s">
        <v>32</v>
      </c>
      <c r="C51" s="443">
        <f>C56</f>
        <v>0.06</v>
      </c>
      <c r="D51" s="444">
        <f>NPV(C51,E50:N50)</f>
        <v>114339647.45701191</v>
      </c>
      <c r="E51" s="152"/>
      <c r="F51" s="152"/>
      <c r="G51" s="152"/>
      <c r="H51" s="152"/>
      <c r="I51" s="152"/>
      <c r="J51" s="152"/>
      <c r="K51" s="152"/>
      <c r="L51" s="152"/>
      <c r="M51" s="152"/>
      <c r="N51" s="474"/>
    </row>
    <row r="52" spans="2:15" x14ac:dyDescent="0.2">
      <c r="B52" s="357" t="s">
        <v>34</v>
      </c>
      <c r="C52" s="441"/>
      <c r="D52" s="531">
        <f>IRR(D50:N50,0)</f>
        <v>0.17053694248093776</v>
      </c>
      <c r="E52" s="152"/>
      <c r="F52" s="152"/>
      <c r="G52" s="152"/>
      <c r="H52" s="152"/>
      <c r="I52" s="152"/>
      <c r="J52" s="152"/>
      <c r="K52" s="152"/>
      <c r="L52" s="152"/>
      <c r="M52" s="152"/>
      <c r="N52" s="474"/>
    </row>
    <row r="53" spans="2:15" ht="13.5" thickBot="1" x14ac:dyDescent="0.25">
      <c r="B53" s="358" t="s">
        <v>36</v>
      </c>
      <c r="C53" s="472"/>
      <c r="D53" s="446"/>
      <c r="E53" s="475"/>
      <c r="F53" s="475"/>
      <c r="G53" s="475"/>
      <c r="H53" s="475"/>
      <c r="I53" s="475"/>
      <c r="J53" s="475"/>
      <c r="K53" s="475"/>
      <c r="L53" s="475"/>
      <c r="M53" s="475"/>
      <c r="N53" s="476"/>
    </row>
    <row r="54" spans="2:15" ht="13.5" thickBot="1" x14ac:dyDescent="0.25">
      <c r="E54" s="12"/>
      <c r="F54" s="12"/>
      <c r="G54" s="12"/>
      <c r="H54" s="12"/>
      <c r="I54" s="12"/>
      <c r="J54" s="12"/>
      <c r="K54" s="12"/>
      <c r="L54" s="12"/>
      <c r="M54" s="12"/>
      <c r="N54" s="12"/>
    </row>
    <row r="55" spans="2:15" x14ac:dyDescent="0.2">
      <c r="B55" s="1245" t="s">
        <v>71</v>
      </c>
      <c r="C55" s="1246"/>
      <c r="E55" s="12"/>
      <c r="F55" s="12"/>
      <c r="G55" s="12"/>
      <c r="H55" s="12"/>
      <c r="I55" s="12"/>
      <c r="J55" s="12"/>
      <c r="K55" s="12"/>
      <c r="L55" s="12"/>
      <c r="M55" s="12"/>
      <c r="N55" s="12"/>
    </row>
    <row r="56" spans="2:15" x14ac:dyDescent="0.2">
      <c r="B56" s="112" t="s">
        <v>153</v>
      </c>
      <c r="C56" s="478">
        <v>0.06</v>
      </c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</row>
    <row r="57" spans="2:15" ht="13.5" thickBot="1" x14ac:dyDescent="0.25">
      <c r="B57" s="479" t="s">
        <v>244</v>
      </c>
      <c r="C57" s="481">
        <v>0.05</v>
      </c>
      <c r="E57" s="550"/>
      <c r="F57" s="550"/>
      <c r="G57" s="550"/>
      <c r="H57" s="550"/>
      <c r="I57" s="550"/>
      <c r="J57" s="550"/>
      <c r="K57" s="551"/>
      <c r="L57" s="551"/>
      <c r="M57" s="551"/>
      <c r="N57" s="551"/>
      <c r="O57" s="12"/>
    </row>
    <row r="58" spans="2:15" ht="13.5" thickBot="1" x14ac:dyDescent="0.25">
      <c r="B58" s="370"/>
      <c r="C58" s="513"/>
      <c r="D58" s="323"/>
      <c r="E58" s="57"/>
      <c r="F58" s="57"/>
      <c r="G58" s="57"/>
      <c r="H58" s="57"/>
      <c r="I58" s="57"/>
      <c r="J58" s="57"/>
      <c r="K58" s="324"/>
      <c r="L58" s="324"/>
      <c r="M58" s="324"/>
      <c r="N58" s="324"/>
    </row>
    <row r="59" spans="2:15" x14ac:dyDescent="0.2">
      <c r="B59" s="1226" t="s">
        <v>237</v>
      </c>
      <c r="C59" s="1227"/>
      <c r="D59" s="1227"/>
      <c r="E59" s="1227"/>
      <c r="F59" s="1227"/>
      <c r="G59" s="1227"/>
      <c r="H59" s="1227"/>
      <c r="I59" s="1227"/>
      <c r="J59" s="1227"/>
      <c r="K59" s="1227"/>
      <c r="L59" s="1227"/>
      <c r="M59" s="1227"/>
      <c r="N59" s="1228"/>
    </row>
    <row r="60" spans="2:15" x14ac:dyDescent="0.2">
      <c r="B60" s="112"/>
      <c r="C60" s="441"/>
      <c r="D60" s="477">
        <v>0</v>
      </c>
      <c r="E60" s="505">
        <f t="shared" ref="E60:N60" si="25">E4</f>
        <v>1</v>
      </c>
      <c r="F60" s="505">
        <f t="shared" si="25"/>
        <v>2</v>
      </c>
      <c r="G60" s="505">
        <f t="shared" si="25"/>
        <v>3</v>
      </c>
      <c r="H60" s="505">
        <f t="shared" si="25"/>
        <v>4</v>
      </c>
      <c r="I60" s="505">
        <f t="shared" si="25"/>
        <v>5</v>
      </c>
      <c r="J60" s="505">
        <f t="shared" si="25"/>
        <v>6</v>
      </c>
      <c r="K60" s="505">
        <f t="shared" si="25"/>
        <v>7</v>
      </c>
      <c r="L60" s="505">
        <f t="shared" si="25"/>
        <v>8</v>
      </c>
      <c r="M60" s="505">
        <f t="shared" si="25"/>
        <v>9</v>
      </c>
      <c r="N60" s="506">
        <f t="shared" si="25"/>
        <v>10</v>
      </c>
    </row>
    <row r="61" spans="2:15" ht="15.75" customHeight="1" thickBot="1" x14ac:dyDescent="0.25">
      <c r="B61" s="112"/>
      <c r="C61" s="808"/>
      <c r="D61" s="126" t="str">
        <f>D5</f>
        <v>2020-2021</v>
      </c>
      <c r="E61" s="475">
        <f t="shared" ref="E61:N61" si="26">E5</f>
        <v>2022</v>
      </c>
      <c r="F61" s="475">
        <f t="shared" si="26"/>
        <v>2023</v>
      </c>
      <c r="G61" s="475">
        <f t="shared" si="26"/>
        <v>2024</v>
      </c>
      <c r="H61" s="475">
        <f t="shared" si="26"/>
        <v>2025</v>
      </c>
      <c r="I61" s="475">
        <f t="shared" si="26"/>
        <v>2026</v>
      </c>
      <c r="J61" s="475">
        <f t="shared" si="26"/>
        <v>2027</v>
      </c>
      <c r="K61" s="475">
        <f t="shared" si="26"/>
        <v>2028</v>
      </c>
      <c r="L61" s="475">
        <f t="shared" si="26"/>
        <v>2029</v>
      </c>
      <c r="M61" s="475">
        <f t="shared" si="26"/>
        <v>2030</v>
      </c>
      <c r="N61" s="476">
        <f t="shared" si="26"/>
        <v>2031</v>
      </c>
    </row>
    <row r="62" spans="2:15" x14ac:dyDescent="0.2">
      <c r="B62" s="546" t="s">
        <v>206</v>
      </c>
      <c r="C62" s="956">
        <f>E94</f>
        <v>243314.39999999997</v>
      </c>
      <c r="D62" s="301">
        <f>C62/$C$12</f>
        <v>255.18028316727842</v>
      </c>
      <c r="E62" s="644">
        <f>$C$62*(2/3)</f>
        <v>162209.59999999998</v>
      </c>
      <c r="F62" s="644">
        <f t="shared" ref="F62" si="27">$C$62*(1/3)</f>
        <v>81104.799999999988</v>
      </c>
      <c r="G62" s="644"/>
      <c r="H62" s="504"/>
      <c r="I62" s="504"/>
      <c r="J62" s="504"/>
      <c r="K62" s="504"/>
      <c r="L62" s="504"/>
      <c r="M62" s="504"/>
      <c r="N62" s="508"/>
    </row>
    <row r="63" spans="2:15" x14ac:dyDescent="0.2">
      <c r="B63" s="547" t="s">
        <v>207</v>
      </c>
      <c r="C63" s="956">
        <f>E95</f>
        <v>362734.05</v>
      </c>
      <c r="D63" s="301">
        <f t="shared" ref="D63:D64" si="28">C63/$C$12</f>
        <v>380.42375458835869</v>
      </c>
      <c r="E63" s="152"/>
      <c r="F63" s="504"/>
      <c r="G63" s="504"/>
      <c r="H63" s="644">
        <f>$C$63*(1/3)</f>
        <v>120911.34999999999</v>
      </c>
      <c r="I63" s="644">
        <f>$C$63*(2/3)</f>
        <v>241822.69999999998</v>
      </c>
      <c r="J63" s="644"/>
      <c r="K63" s="440"/>
      <c r="L63" s="152"/>
      <c r="M63" s="152"/>
      <c r="N63" s="474"/>
    </row>
    <row r="64" spans="2:15" x14ac:dyDescent="0.2">
      <c r="B64" s="548" t="s">
        <v>208</v>
      </c>
      <c r="C64" s="956">
        <f>E96</f>
        <v>237030.67499999999</v>
      </c>
      <c r="D64" s="301">
        <f t="shared" si="28"/>
        <v>248.59011536444677</v>
      </c>
      <c r="E64" s="152"/>
      <c r="F64" s="152"/>
      <c r="G64" s="152"/>
      <c r="H64" s="504"/>
      <c r="I64" s="504"/>
      <c r="J64" s="440"/>
      <c r="K64" s="644">
        <f>C64</f>
        <v>237030.67499999999</v>
      </c>
      <c r="L64" s="644"/>
      <c r="M64" s="645"/>
      <c r="N64" s="646"/>
    </row>
    <row r="65" spans="2:14" x14ac:dyDescent="0.2">
      <c r="B65" s="775" t="s">
        <v>41</v>
      </c>
      <c r="C65" s="808">
        <f>SUM(C62:C64)</f>
        <v>843079.125</v>
      </c>
      <c r="D65" s="807">
        <f>SUM(D62:D64)</f>
        <v>884.19415312008391</v>
      </c>
      <c r="E65" s="152"/>
      <c r="F65" s="152"/>
      <c r="G65" s="152"/>
      <c r="H65" s="152"/>
      <c r="I65" s="152"/>
      <c r="J65" s="504"/>
      <c r="K65" s="504"/>
      <c r="L65" s="504"/>
      <c r="M65" s="152"/>
      <c r="N65" s="474"/>
    </row>
    <row r="66" spans="2:14" ht="13.5" thickBot="1" x14ac:dyDescent="0.25">
      <c r="B66" s="112"/>
      <c r="C66" s="441"/>
      <c r="D66" s="477"/>
      <c r="E66" s="615"/>
      <c r="F66" s="615"/>
      <c r="G66" s="615"/>
      <c r="H66" s="615"/>
      <c r="I66" s="615"/>
      <c r="J66" s="615"/>
      <c r="K66" s="440"/>
      <c r="L66" s="440"/>
      <c r="M66" s="440"/>
      <c r="N66" s="589"/>
    </row>
    <row r="67" spans="2:14" ht="12.75" customHeight="1" x14ac:dyDescent="0.2">
      <c r="B67" s="1238" t="s">
        <v>241</v>
      </c>
      <c r="C67" s="1239"/>
      <c r="D67" s="549" t="s">
        <v>242</v>
      </c>
      <c r="E67" s="536">
        <f>E62</f>
        <v>162209.59999999998</v>
      </c>
      <c r="F67" s="536">
        <f>F62</f>
        <v>81104.799999999988</v>
      </c>
      <c r="G67" s="536">
        <f>G62</f>
        <v>0</v>
      </c>
      <c r="H67" s="536">
        <f>H63</f>
        <v>120911.34999999999</v>
      </c>
      <c r="I67" s="536">
        <f>I63</f>
        <v>241822.69999999998</v>
      </c>
      <c r="J67" s="536">
        <f>J63</f>
        <v>0</v>
      </c>
      <c r="K67" s="536">
        <f>K64</f>
        <v>237030.67499999999</v>
      </c>
      <c r="L67" s="536">
        <f>L64</f>
        <v>0</v>
      </c>
      <c r="M67" s="536">
        <f>M64</f>
        <v>0</v>
      </c>
      <c r="N67" s="537">
        <f>N64</f>
        <v>0</v>
      </c>
    </row>
    <row r="68" spans="2:14" ht="12.75" customHeight="1" thickBot="1" x14ac:dyDescent="0.25">
      <c r="B68" s="1084"/>
      <c r="C68" s="1240"/>
      <c r="D68" s="407" t="s">
        <v>249</v>
      </c>
      <c r="E68" s="538">
        <f>E67/$C$12</f>
        <v>170.12018877818562</v>
      </c>
      <c r="F68" s="538">
        <f t="shared" ref="F68:N68" si="29">F67/$C$12</f>
        <v>85.060094389092811</v>
      </c>
      <c r="G68" s="538">
        <f t="shared" si="29"/>
        <v>0</v>
      </c>
      <c r="H68" s="538">
        <f t="shared" si="29"/>
        <v>126.80791819611954</v>
      </c>
      <c r="I68" s="538">
        <f t="shared" si="29"/>
        <v>253.61583639223909</v>
      </c>
      <c r="J68" s="538">
        <f t="shared" si="29"/>
        <v>0</v>
      </c>
      <c r="K68" s="538">
        <f t="shared" si="29"/>
        <v>248.59011536444677</v>
      </c>
      <c r="L68" s="538">
        <f t="shared" si="29"/>
        <v>0</v>
      </c>
      <c r="M68" s="538">
        <f t="shared" si="29"/>
        <v>0</v>
      </c>
      <c r="N68" s="614">
        <f t="shared" si="29"/>
        <v>0</v>
      </c>
    </row>
    <row r="69" spans="2:14" ht="12.75" customHeight="1" x14ac:dyDescent="0.2">
      <c r="B69" s="263"/>
      <c r="C69" s="199"/>
      <c r="D69" s="33"/>
      <c r="E69" s="269"/>
    </row>
    <row r="70" spans="2:14" x14ac:dyDescent="0.2">
      <c r="B70" s="134"/>
    </row>
    <row r="71" spans="2:14" ht="13.5" thickBot="1" x14ac:dyDescent="0.25">
      <c r="B71" s="136"/>
    </row>
    <row r="72" spans="2:14" ht="15" x14ac:dyDescent="0.25">
      <c r="B72" s="133"/>
      <c r="C72" s="581" t="s">
        <v>203</v>
      </c>
      <c r="D72" s="582"/>
      <c r="E72" s="582"/>
      <c r="F72" s="582"/>
      <c r="G72" s="582"/>
      <c r="H72" s="583"/>
    </row>
    <row r="73" spans="2:14" x14ac:dyDescent="0.2">
      <c r="B73" s="134"/>
      <c r="C73" s="206" t="s">
        <v>181</v>
      </c>
      <c r="D73" s="207" t="s">
        <v>62</v>
      </c>
      <c r="E73" s="207" t="s">
        <v>185</v>
      </c>
      <c r="F73" s="207" t="s">
        <v>205</v>
      </c>
      <c r="G73" s="207" t="s">
        <v>204</v>
      </c>
      <c r="H73" s="208" t="s">
        <v>183</v>
      </c>
    </row>
    <row r="74" spans="2:14" x14ac:dyDescent="0.2">
      <c r="C74" s="225" t="s">
        <v>184</v>
      </c>
      <c r="D74" s="226">
        <v>606</v>
      </c>
      <c r="E74" s="227">
        <f t="shared" ref="E74:E76" si="30">G74/D74</f>
        <v>2.722772277227723</v>
      </c>
      <c r="F74" s="228">
        <f t="shared" ref="F74:F77" si="31">E74*12</f>
        <v>32.673267326732677</v>
      </c>
      <c r="G74" s="228">
        <v>1650</v>
      </c>
      <c r="H74" s="229">
        <f>G74*12</f>
        <v>19800</v>
      </c>
    </row>
    <row r="75" spans="2:14" x14ac:dyDescent="0.2">
      <c r="B75" s="136"/>
      <c r="C75" s="225" t="s">
        <v>200</v>
      </c>
      <c r="D75" s="226">
        <v>800</v>
      </c>
      <c r="E75" s="227">
        <f t="shared" si="30"/>
        <v>2.4375</v>
      </c>
      <c r="F75" s="228">
        <f t="shared" si="31"/>
        <v>29.25</v>
      </c>
      <c r="G75" s="228">
        <v>1950</v>
      </c>
      <c r="H75" s="229">
        <f>G75*12</f>
        <v>23400</v>
      </c>
    </row>
    <row r="76" spans="2:14" x14ac:dyDescent="0.2">
      <c r="B76" s="264"/>
      <c r="C76" s="225" t="s">
        <v>201</v>
      </c>
      <c r="D76" s="226">
        <v>1008</v>
      </c>
      <c r="E76" s="227">
        <f t="shared" si="30"/>
        <v>2.5277777777777777</v>
      </c>
      <c r="F76" s="228">
        <f t="shared" si="31"/>
        <v>30.333333333333332</v>
      </c>
      <c r="G76" s="228">
        <v>2548</v>
      </c>
      <c r="H76" s="229">
        <f>G76*12</f>
        <v>30576</v>
      </c>
    </row>
    <row r="77" spans="2:14" ht="13.5" thickBot="1" x14ac:dyDescent="0.25">
      <c r="C77" s="230" t="s">
        <v>202</v>
      </c>
      <c r="D77" s="231">
        <v>1400</v>
      </c>
      <c r="E77" s="232">
        <f>G77/D77</f>
        <v>2.6428571428571428</v>
      </c>
      <c r="F77" s="233">
        <f t="shared" si="31"/>
        <v>31.714285714285715</v>
      </c>
      <c r="G77" s="233">
        <v>3700</v>
      </c>
      <c r="H77" s="234">
        <f>G77*12</f>
        <v>44400</v>
      </c>
    </row>
    <row r="78" spans="2:14" x14ac:dyDescent="0.2">
      <c r="C78" s="10"/>
      <c r="D78" s="130">
        <f>AVERAGE(D74:D77)</f>
        <v>953.5</v>
      </c>
      <c r="E78" s="227">
        <f>AVERAGE(E74:E77)</f>
        <v>2.5827267994656609</v>
      </c>
      <c r="F78" s="228">
        <f t="shared" ref="F78:H78" si="32">AVERAGE(F74:F77)</f>
        <v>30.99272159358793</v>
      </c>
      <c r="G78" s="228">
        <f t="shared" si="32"/>
        <v>2462</v>
      </c>
      <c r="H78" s="228">
        <f t="shared" si="32"/>
        <v>29544</v>
      </c>
    </row>
    <row r="80" spans="2:14" hidden="1" x14ac:dyDescent="0.2"/>
    <row r="81" spans="3:8" hidden="1" x14ac:dyDescent="0.2">
      <c r="C81" s="6"/>
      <c r="D81" s="6"/>
      <c r="F81" s="267">
        <f>D78</f>
        <v>953.5</v>
      </c>
    </row>
    <row r="82" spans="3:8" hidden="1" x14ac:dyDescent="0.2">
      <c r="C82" s="138"/>
      <c r="D82" s="6"/>
    </row>
    <row r="83" spans="3:8" hidden="1" x14ac:dyDescent="0.2">
      <c r="C83" s="6"/>
      <c r="D83" s="591"/>
      <c r="E83" s="1244">
        <f>1-G83</f>
        <v>0.7</v>
      </c>
      <c r="F83" s="1244"/>
      <c r="G83" s="1243">
        <v>0.3</v>
      </c>
      <c r="H83" s="1243"/>
    </row>
    <row r="84" spans="3:8" ht="15" hidden="1" x14ac:dyDescent="0.2">
      <c r="C84" s="138"/>
      <c r="D84" s="591">
        <v>463456</v>
      </c>
      <c r="E84" s="239">
        <f>D84*$E$83</f>
        <v>324419.19999999995</v>
      </c>
      <c r="F84" s="142">
        <f>E84/$F$81</f>
        <v>340.24037755637124</v>
      </c>
      <c r="G84" s="239">
        <f>D84*$G$83</f>
        <v>139036.79999999999</v>
      </c>
      <c r="H84" s="142">
        <f>G84/$F$81</f>
        <v>145.81730466701623</v>
      </c>
    </row>
    <row r="85" spans="3:8" ht="15" hidden="1" x14ac:dyDescent="0.2">
      <c r="C85" s="6"/>
      <c r="D85" s="591">
        <v>690922</v>
      </c>
      <c r="E85" s="239">
        <f>D85*$E$83</f>
        <v>483645.39999999997</v>
      </c>
      <c r="F85" s="142">
        <f>E85/$F$81</f>
        <v>507.23167278447818</v>
      </c>
      <c r="G85" s="239">
        <f>D85*$G$83</f>
        <v>207276.6</v>
      </c>
      <c r="H85" s="142">
        <f>G85/$F$81</f>
        <v>217.38500262191926</v>
      </c>
    </row>
    <row r="86" spans="3:8" ht="15" hidden="1" x14ac:dyDescent="0.2">
      <c r="C86" s="6"/>
      <c r="D86" s="591">
        <v>451487</v>
      </c>
      <c r="E86" s="239">
        <f>D86*$E$83</f>
        <v>316040.89999999997</v>
      </c>
      <c r="F86" s="142">
        <f>E86/$F$81</f>
        <v>331.45348715259564</v>
      </c>
      <c r="G86" s="239">
        <f>D86*$G$83</f>
        <v>135446.1</v>
      </c>
      <c r="H86" s="142">
        <f>G86/$F$81</f>
        <v>142.05149449396959</v>
      </c>
    </row>
    <row r="87" spans="3:8" hidden="1" x14ac:dyDescent="0.2">
      <c r="C87" s="6"/>
      <c r="D87" s="592"/>
      <c r="F87" s="268">
        <f>SUM(F84:F86)</f>
        <v>1178.9255374934451</v>
      </c>
      <c r="G87" s="268"/>
      <c r="H87" s="268">
        <f t="shared" ref="H87" si="33">SUM(H84:H86)</f>
        <v>505.25380178290504</v>
      </c>
    </row>
    <row r="88" spans="3:8" hidden="1" x14ac:dyDescent="0.2">
      <c r="C88" s="6"/>
      <c r="D88" s="323"/>
      <c r="E88" s="1242">
        <v>0.25</v>
      </c>
      <c r="F88" s="1242"/>
      <c r="G88" s="1242">
        <f>E88</f>
        <v>0.25</v>
      </c>
      <c r="H88" s="1242"/>
    </row>
    <row r="89" spans="3:8" ht="15" hidden="1" x14ac:dyDescent="0.2">
      <c r="C89" s="134" t="s">
        <v>246</v>
      </c>
      <c r="D89" s="590">
        <f>SUM(E89,G89)</f>
        <v>115863.99999999999</v>
      </c>
      <c r="E89" s="239">
        <f>F89*$F$81</f>
        <v>81104.799999999988</v>
      </c>
      <c r="F89" s="142">
        <f>F84*$E$88</f>
        <v>85.060094389092811</v>
      </c>
      <c r="G89" s="239">
        <f>H89*$F$81</f>
        <v>34759.199999999997</v>
      </c>
      <c r="H89" s="142">
        <f>H84*$G$88</f>
        <v>36.454326166754058</v>
      </c>
    </row>
    <row r="90" spans="3:8" ht="15" hidden="1" x14ac:dyDescent="0.2">
      <c r="C90" s="134" t="s">
        <v>247</v>
      </c>
      <c r="D90" s="590">
        <f>SUM(E90,G90)</f>
        <v>172730.5</v>
      </c>
      <c r="E90" s="239">
        <f>F90*$F$81</f>
        <v>120911.34999999999</v>
      </c>
      <c r="F90" s="142">
        <f>F85*$E$88</f>
        <v>126.80791819611954</v>
      </c>
      <c r="G90" s="239">
        <f>H90*$F$81</f>
        <v>51819.15</v>
      </c>
      <c r="H90" s="142">
        <f>H85*$G$88</f>
        <v>54.346250655479814</v>
      </c>
    </row>
    <row r="91" spans="3:8" ht="15" hidden="1" x14ac:dyDescent="0.2">
      <c r="C91" s="134" t="s">
        <v>248</v>
      </c>
      <c r="D91" s="590">
        <f>SUM(E91,G91)</f>
        <v>112871.75</v>
      </c>
      <c r="E91" s="239">
        <f>F91*$F$81</f>
        <v>79010.224999999991</v>
      </c>
      <c r="F91" s="142">
        <f>F86*$E$88</f>
        <v>82.86337178814891</v>
      </c>
      <c r="G91" s="239">
        <f>H91*$F$81</f>
        <v>33861.525000000001</v>
      </c>
      <c r="H91" s="142">
        <f>H86*$G$88</f>
        <v>35.512873623492396</v>
      </c>
    </row>
    <row r="92" spans="3:8" hidden="1" x14ac:dyDescent="0.2">
      <c r="C92" s="6"/>
      <c r="D92" s="323"/>
      <c r="F92" s="268">
        <f>SUM(F89:F91)</f>
        <v>294.73138437336127</v>
      </c>
      <c r="H92" s="268">
        <f>SUM(H89:H91)</f>
        <v>126.31345044572626</v>
      </c>
    </row>
    <row r="93" spans="3:8" hidden="1" x14ac:dyDescent="0.2">
      <c r="C93" s="6"/>
      <c r="D93" s="323"/>
      <c r="E93" s="1241" t="s">
        <v>209</v>
      </c>
      <c r="F93" s="1241"/>
      <c r="G93" s="1241" t="s">
        <v>209</v>
      </c>
      <c r="H93" s="1241"/>
    </row>
    <row r="94" spans="3:8" ht="15" hidden="1" x14ac:dyDescent="0.2">
      <c r="C94" s="134" t="s">
        <v>246</v>
      </c>
      <c r="D94" s="590">
        <f>SUM(E94,G94)</f>
        <v>347591.99999999994</v>
      </c>
      <c r="E94" s="239">
        <f>E84-E89</f>
        <v>243314.39999999997</v>
      </c>
      <c r="F94" s="268">
        <f>F84-F89</f>
        <v>255.18028316727845</v>
      </c>
      <c r="G94" s="239">
        <f>G84-G89</f>
        <v>104277.59999999999</v>
      </c>
      <c r="H94" s="142">
        <f>H84-H89</f>
        <v>109.36297850026217</v>
      </c>
    </row>
    <row r="95" spans="3:8" ht="15" hidden="1" x14ac:dyDescent="0.2">
      <c r="C95" s="134" t="s">
        <v>247</v>
      </c>
      <c r="D95" s="590">
        <f>SUM(E95,G95)</f>
        <v>518191.5</v>
      </c>
      <c r="E95" s="239">
        <f t="shared" ref="E95:E96" si="34">E85-E90</f>
        <v>362734.05</v>
      </c>
      <c r="F95" s="268">
        <f t="shared" ref="F95:F96" si="35">F85-F90</f>
        <v>380.42375458835863</v>
      </c>
      <c r="G95" s="239">
        <f t="shared" ref="G95:H96" si="36">G85-G90</f>
        <v>155457.45000000001</v>
      </c>
      <c r="H95" s="142">
        <f t="shared" si="36"/>
        <v>163.03875196643943</v>
      </c>
    </row>
    <row r="96" spans="3:8" ht="15" hidden="1" x14ac:dyDescent="0.2">
      <c r="C96" s="134" t="s">
        <v>248</v>
      </c>
      <c r="D96" s="590">
        <f>SUM(E96,G96)</f>
        <v>338615.25</v>
      </c>
      <c r="E96" s="239">
        <f t="shared" si="34"/>
        <v>237030.67499999999</v>
      </c>
      <c r="F96" s="268">
        <f t="shared" si="35"/>
        <v>248.59011536444672</v>
      </c>
      <c r="G96" s="239">
        <f t="shared" si="36"/>
        <v>101584.57500000001</v>
      </c>
      <c r="H96" s="142">
        <f t="shared" si="36"/>
        <v>106.53862087047719</v>
      </c>
    </row>
    <row r="97" spans="3:8" hidden="1" x14ac:dyDescent="0.2">
      <c r="C97" s="6"/>
      <c r="D97" s="6"/>
      <c r="F97" s="268">
        <f>SUM(F94:F96)</f>
        <v>884.19415312008391</v>
      </c>
      <c r="H97" s="268">
        <f>SUM(H94:H96)</f>
        <v>378.94035133717881</v>
      </c>
    </row>
    <row r="98" spans="3:8" x14ac:dyDescent="0.2">
      <c r="C98" s="6"/>
      <c r="D98" s="6"/>
    </row>
    <row r="99" spans="3:8" x14ac:dyDescent="0.2">
      <c r="C99" s="6"/>
      <c r="D99" s="6"/>
      <c r="E99" s="608" t="s">
        <v>210</v>
      </c>
      <c r="F99" s="609">
        <f>F97</f>
        <v>884.19415312008391</v>
      </c>
    </row>
    <row r="100" spans="3:8" x14ac:dyDescent="0.2">
      <c r="C100" s="6"/>
      <c r="D100" s="6"/>
      <c r="E100" s="610" t="s">
        <v>211</v>
      </c>
      <c r="F100" s="611">
        <f>H97</f>
        <v>378.94035133717881</v>
      </c>
    </row>
    <row r="101" spans="3:8" x14ac:dyDescent="0.2">
      <c r="C101" s="6"/>
      <c r="D101" s="6"/>
      <c r="E101" s="610" t="s">
        <v>212</v>
      </c>
      <c r="F101" s="611">
        <f>F92</f>
        <v>294.73138437336127</v>
      </c>
    </row>
    <row r="102" spans="3:8" x14ac:dyDescent="0.2">
      <c r="C102" s="6"/>
      <c r="D102" s="6"/>
      <c r="E102" s="610" t="s">
        <v>213</v>
      </c>
      <c r="F102" s="611">
        <f>H92</f>
        <v>126.31345044572626</v>
      </c>
      <c r="G102" s="268">
        <f>SUM(F101:F102)</f>
        <v>421.04483481908755</v>
      </c>
    </row>
    <row r="103" spans="3:8" x14ac:dyDescent="0.2">
      <c r="C103" s="6"/>
      <c r="D103" s="6"/>
      <c r="E103" s="612" t="s">
        <v>41</v>
      </c>
      <c r="F103" s="613">
        <f>SUM(F99:F102)</f>
        <v>1684.1793392763502</v>
      </c>
      <c r="G103" s="264">
        <f>SUM(F101:F102)/F103</f>
        <v>0.25</v>
      </c>
    </row>
    <row r="107" spans="3:8" x14ac:dyDescent="0.2">
      <c r="E107" s="1022"/>
    </row>
    <row r="110" spans="3:8" x14ac:dyDescent="0.2">
      <c r="E110" s="1023"/>
    </row>
  </sheetData>
  <mergeCells count="12">
    <mergeCell ref="B55:C55"/>
    <mergeCell ref="B59:N59"/>
    <mergeCell ref="E3:G3"/>
    <mergeCell ref="H3:J3"/>
    <mergeCell ref="K3:N3"/>
    <mergeCell ref="B67:C68"/>
    <mergeCell ref="G93:H93"/>
    <mergeCell ref="E93:F93"/>
    <mergeCell ref="E88:F88"/>
    <mergeCell ref="G88:H88"/>
    <mergeCell ref="G83:H83"/>
    <mergeCell ref="E83:F83"/>
  </mergeCells>
  <conditionalFormatting sqref="E64:I64 B54:H54 B3:D3 D57:E58 K57:K58 H57:H58 C66:D66 C61:C65 E63:J63 D69 J54:N54 D55:N56 L66:N66 K67:N67 O56:O60 D61:O61 F69:O69 V56:XFD65 L63:O63 E62:O62 K64:O64 B78:C84 C78:D78 F74:H78 E83:E86 H99:H102 D99:G103 D87:H87 O75:Q77 Q78:Q79 D93:E93 G93 D89:H92 D88:E88 G88 G83:G86 W66:XFD68 O66:O68 V69:XFD79 A2:L2 A60:N60 A101:L102 A94:K100 A85:H86 B70:O70 B71:H71 C81:H82 C85:C87 A87:B93 C97:C103 O71:O74 C84:H84 A72:H77 C83:E83 C65:O65 D39:XFD39 O2:XFD3 O54:XFD55 P101:XFD102 R80:XFD94 Q95:XFD100 A40:XFD53 A103:XFD1048576 A4:XFD38">
    <cfRule type="cellIs" dxfId="240" priority="67" operator="lessThan">
      <formula>0</formula>
    </cfRule>
  </conditionalFormatting>
  <conditionalFormatting sqref="C69">
    <cfRule type="cellIs" dxfId="239" priority="65" operator="lessThan">
      <formula>0</formula>
    </cfRule>
  </conditionalFormatting>
  <conditionalFormatting sqref="E69">
    <cfRule type="cellIs" dxfId="238" priority="64" operator="lessThan">
      <formula>0</formula>
    </cfRule>
  </conditionalFormatting>
  <conditionalFormatting sqref="E69">
    <cfRule type="cellIs" dxfId="237" priority="63" operator="lessThan">
      <formula>0</formula>
    </cfRule>
  </conditionalFormatting>
  <conditionalFormatting sqref="C72:H73">
    <cfRule type="cellIs" dxfId="236" priority="60" operator="lessThan">
      <formula>0</formula>
    </cfRule>
  </conditionalFormatting>
  <conditionalFormatting sqref="C74:C77">
    <cfRule type="cellIs" dxfId="235" priority="59" operator="lessThan">
      <formula>0</formula>
    </cfRule>
  </conditionalFormatting>
  <conditionalFormatting sqref="E74:E77">
    <cfRule type="cellIs" dxfId="234" priority="58" operator="lessThan">
      <formula>0</formula>
    </cfRule>
  </conditionalFormatting>
  <conditionalFormatting sqref="D77">
    <cfRule type="cellIs" dxfId="233" priority="55" operator="lessThan">
      <formula>0</formula>
    </cfRule>
  </conditionalFormatting>
  <conditionalFormatting sqref="D74:D76">
    <cfRule type="cellIs" dxfId="232" priority="54" operator="lessThan">
      <formula>0</formula>
    </cfRule>
  </conditionalFormatting>
  <conditionalFormatting sqref="E78">
    <cfRule type="cellIs" dxfId="231" priority="53" operator="lessThan">
      <formula>0</formula>
    </cfRule>
  </conditionalFormatting>
  <conditionalFormatting sqref="E84:E86">
    <cfRule type="cellIs" dxfId="230" priority="52" operator="lessThan">
      <formula>0</formula>
    </cfRule>
  </conditionalFormatting>
  <conditionalFormatting sqref="D62:D64">
    <cfRule type="cellIs" dxfId="229" priority="48" operator="lessThan">
      <formula>0</formula>
    </cfRule>
  </conditionalFormatting>
  <conditionalFormatting sqref="D62:D64">
    <cfRule type="cellIs" dxfId="228" priority="49" operator="lessThan">
      <formula>0</formula>
    </cfRule>
  </conditionalFormatting>
  <conditionalFormatting sqref="F84:F86">
    <cfRule type="cellIs" dxfId="227" priority="47" operator="lessThan">
      <formula>0</formula>
    </cfRule>
  </conditionalFormatting>
  <conditionalFormatting sqref="F84:F86">
    <cfRule type="cellIs" dxfId="226" priority="46" operator="lessThan">
      <formula>0</formula>
    </cfRule>
  </conditionalFormatting>
  <conditionalFormatting sqref="F89:F91">
    <cfRule type="cellIs" dxfId="225" priority="45" operator="lessThan">
      <formula>0</formula>
    </cfRule>
  </conditionalFormatting>
  <conditionalFormatting sqref="F89:F91">
    <cfRule type="cellIs" dxfId="224" priority="44" operator="lessThan">
      <formula>0</formula>
    </cfRule>
  </conditionalFormatting>
  <conditionalFormatting sqref="E89:E91">
    <cfRule type="cellIs" dxfId="223" priority="43" operator="lessThan">
      <formula>0</formula>
    </cfRule>
  </conditionalFormatting>
  <conditionalFormatting sqref="E89:E91">
    <cfRule type="cellIs" dxfId="222" priority="42" operator="lessThan">
      <formula>0</formula>
    </cfRule>
  </conditionalFormatting>
  <conditionalFormatting sqref="G89:G91">
    <cfRule type="cellIs" dxfId="221" priority="32" operator="lessThan">
      <formula>0</formula>
    </cfRule>
  </conditionalFormatting>
  <conditionalFormatting sqref="G94:G96">
    <cfRule type="cellIs" dxfId="220" priority="25" operator="lessThan">
      <formula>0</formula>
    </cfRule>
  </conditionalFormatting>
  <conditionalFormatting sqref="E94:E96">
    <cfRule type="cellIs" dxfId="219" priority="39" operator="lessThan">
      <formula>0</formula>
    </cfRule>
  </conditionalFormatting>
  <conditionalFormatting sqref="E94:E96">
    <cfRule type="cellIs" dxfId="218" priority="38" operator="lessThan">
      <formula>0</formula>
    </cfRule>
  </conditionalFormatting>
  <conditionalFormatting sqref="F92">
    <cfRule type="cellIs" dxfId="217" priority="37" operator="lessThan">
      <formula>0</formula>
    </cfRule>
  </conditionalFormatting>
  <conditionalFormatting sqref="G92">
    <cfRule type="cellIs" dxfId="216" priority="36" operator="lessThan">
      <formula>0</formula>
    </cfRule>
  </conditionalFormatting>
  <conditionalFormatting sqref="H89:H91">
    <cfRule type="cellIs" dxfId="215" priority="35" operator="lessThan">
      <formula>0</formula>
    </cfRule>
  </conditionalFormatting>
  <conditionalFormatting sqref="H89:H91">
    <cfRule type="cellIs" dxfId="214" priority="34" operator="lessThan">
      <formula>0</formula>
    </cfRule>
  </conditionalFormatting>
  <conditionalFormatting sqref="G89:G91">
    <cfRule type="cellIs" dxfId="213" priority="33" operator="lessThan">
      <formula>0</formula>
    </cfRule>
  </conditionalFormatting>
  <conditionalFormatting sqref="H84:H86">
    <cfRule type="cellIs" dxfId="212" priority="27" operator="lessThan">
      <formula>0</formula>
    </cfRule>
  </conditionalFormatting>
  <conditionalFormatting sqref="H84:H86">
    <cfRule type="cellIs" dxfId="211" priority="26" operator="lessThan">
      <formula>0</formula>
    </cfRule>
  </conditionalFormatting>
  <conditionalFormatting sqref="G93 G97">
    <cfRule type="cellIs" dxfId="210" priority="30" operator="lessThan">
      <formula>0</formula>
    </cfRule>
  </conditionalFormatting>
  <conditionalFormatting sqref="G94:G96">
    <cfRule type="cellIs" dxfId="209" priority="24" operator="lessThan">
      <formula>0</formula>
    </cfRule>
  </conditionalFormatting>
  <conditionalFormatting sqref="H94:H96">
    <cfRule type="cellIs" dxfId="208" priority="19" operator="lessThan">
      <formula>0</formula>
    </cfRule>
  </conditionalFormatting>
  <conditionalFormatting sqref="H97">
    <cfRule type="cellIs" dxfId="207" priority="18" operator="lessThan">
      <formula>0</formula>
    </cfRule>
  </conditionalFormatting>
  <conditionalFormatting sqref="H92">
    <cfRule type="cellIs" dxfId="206" priority="21" operator="lessThan">
      <formula>0</formula>
    </cfRule>
  </conditionalFormatting>
  <conditionalFormatting sqref="H94:H96">
    <cfRule type="cellIs" dxfId="205" priority="20" operator="lessThan">
      <formula>0</formula>
    </cfRule>
  </conditionalFormatting>
  <conditionalFormatting sqref="E66:J67">
    <cfRule type="cellIs" dxfId="204" priority="17" operator="lessThan">
      <formula>0</formula>
    </cfRule>
  </conditionalFormatting>
  <conditionalFormatting sqref="B56:C58">
    <cfRule type="cellIs" dxfId="203" priority="15" operator="lessThan">
      <formula>0</formula>
    </cfRule>
  </conditionalFormatting>
  <conditionalFormatting sqref="B55 B56:C58">
    <cfRule type="cellIs" dxfId="202" priority="14" operator="lessThan">
      <formula>0</formula>
    </cfRule>
  </conditionalFormatting>
  <conditionalFormatting sqref="B56:C56">
    <cfRule type="cellIs" dxfId="201" priority="13" operator="lessThan">
      <formula>0</formula>
    </cfRule>
  </conditionalFormatting>
  <conditionalFormatting sqref="C57:C58">
    <cfRule type="cellIs" dxfId="200" priority="12" operator="lessThan">
      <formula>0</formula>
    </cfRule>
  </conditionalFormatting>
  <conditionalFormatting sqref="B59">
    <cfRule type="cellIs" dxfId="199" priority="11" operator="lessThan">
      <formula>0</formula>
    </cfRule>
  </conditionalFormatting>
  <conditionalFormatting sqref="D83:D86">
    <cfRule type="cellIs" dxfId="198" priority="10" operator="lessThan">
      <formula>0</formula>
    </cfRule>
  </conditionalFormatting>
  <conditionalFormatting sqref="B67">
    <cfRule type="cellIs" dxfId="197" priority="9" operator="lessThan">
      <formula>0</formula>
    </cfRule>
  </conditionalFormatting>
  <conditionalFormatting sqref="B62:B64">
    <cfRule type="cellIs" dxfId="196" priority="8" operator="lessThan">
      <formula>0</formula>
    </cfRule>
  </conditionalFormatting>
  <conditionalFormatting sqref="D67:D68">
    <cfRule type="cellIs" dxfId="195" priority="7" operator="lessThan">
      <formula>0</formula>
    </cfRule>
  </conditionalFormatting>
  <conditionalFormatting sqref="E68">
    <cfRule type="cellIs" dxfId="194" priority="6" operator="lessThan">
      <formula>0</formula>
    </cfRule>
  </conditionalFormatting>
  <conditionalFormatting sqref="F68:N68">
    <cfRule type="cellIs" dxfId="193" priority="5" operator="lessThan">
      <formula>0</formula>
    </cfRule>
  </conditionalFormatting>
  <conditionalFormatting sqref="D69">
    <cfRule type="duplicateValues" dxfId="192" priority="70"/>
  </conditionalFormatting>
  <conditionalFormatting sqref="E3 K3 H3">
    <cfRule type="cellIs" dxfId="191" priority="4" operator="lessThan">
      <formula>0</formula>
    </cfRule>
  </conditionalFormatting>
  <conditionalFormatting sqref="C39">
    <cfRule type="cellIs" dxfId="190" priority="2" operator="lessThan">
      <formula>0</formula>
    </cfRule>
  </conditionalFormatting>
  <conditionalFormatting sqref="M2:N2">
    <cfRule type="cellIs" dxfId="189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3E652-C0ED-4474-AC35-0719F5DBAE6E}">
  <dimension ref="B1:N76"/>
  <sheetViews>
    <sheetView topLeftCell="A10" zoomScale="85" zoomScaleNormal="85" workbookViewId="0">
      <selection activeCell="J32" sqref="J32"/>
    </sheetView>
  </sheetViews>
  <sheetFormatPr defaultColWidth="9.140625" defaultRowHeight="12.75" x14ac:dyDescent="0.2"/>
  <cols>
    <col min="1" max="1" width="9.140625" style="6"/>
    <col min="2" max="2" width="29.5703125" style="6" bestFit="1" customWidth="1"/>
    <col min="3" max="3" width="13.140625" style="9" bestFit="1" customWidth="1"/>
    <col min="4" max="4" width="14.5703125" style="33" bestFit="1" customWidth="1"/>
    <col min="5" max="5" width="16.28515625" style="33" bestFit="1" customWidth="1"/>
    <col min="6" max="7" width="12.140625" style="33" bestFit="1" customWidth="1"/>
    <col min="8" max="8" width="8.28515625" style="33" bestFit="1" customWidth="1"/>
    <col min="9" max="9" width="12.42578125" style="33" bestFit="1" customWidth="1"/>
    <col min="10" max="10" width="12.140625" style="33" bestFit="1" customWidth="1"/>
    <col min="11" max="11" width="12.85546875" style="33" bestFit="1" customWidth="1"/>
    <col min="12" max="13" width="12.140625" style="33" bestFit="1" customWidth="1"/>
    <col min="14" max="14" width="10.28515625" style="33" bestFit="1" customWidth="1"/>
    <col min="15" max="16384" width="9.140625" style="6"/>
  </cols>
  <sheetData>
    <row r="1" spans="2:14" ht="13.5" thickBot="1" x14ac:dyDescent="0.25"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</row>
    <row r="2" spans="2:14" ht="15.75" thickBot="1" x14ac:dyDescent="0.25">
      <c r="B2" s="113"/>
      <c r="C2" s="518"/>
      <c r="D2" s="520"/>
      <c r="E2" s="520"/>
      <c r="F2" s="520"/>
      <c r="G2" s="520"/>
      <c r="H2" s="520"/>
      <c r="I2" s="520"/>
      <c r="J2" s="520"/>
      <c r="K2" s="520"/>
      <c r="L2" s="520"/>
      <c r="M2" s="952" t="s">
        <v>1</v>
      </c>
      <c r="N2" s="953" t="s">
        <v>105</v>
      </c>
    </row>
    <row r="3" spans="2:14" x14ac:dyDescent="0.2">
      <c r="B3" s="112"/>
      <c r="C3" s="441"/>
      <c r="D3" s="604"/>
      <c r="E3" s="1235" t="s">
        <v>2</v>
      </c>
      <c r="F3" s="1235"/>
      <c r="G3" s="1235"/>
      <c r="H3" s="1234" t="s">
        <v>207</v>
      </c>
      <c r="I3" s="1234"/>
      <c r="J3" s="1234"/>
      <c r="K3" s="1247" t="s">
        <v>208</v>
      </c>
      <c r="L3" s="1247"/>
      <c r="M3" s="1247"/>
      <c r="N3" s="1248"/>
    </row>
    <row r="4" spans="2:14" x14ac:dyDescent="0.2">
      <c r="B4" s="112"/>
      <c r="C4" s="441"/>
      <c r="D4" s="605">
        <v>0</v>
      </c>
      <c r="E4" s="427">
        <f>D4+1</f>
        <v>1</v>
      </c>
      <c r="F4" s="427">
        <f t="shared" ref="F4:N4" si="0">E4+1</f>
        <v>2</v>
      </c>
      <c r="G4" s="427">
        <f t="shared" si="0"/>
        <v>3</v>
      </c>
      <c r="H4" s="434">
        <f t="shared" si="0"/>
        <v>4</v>
      </c>
      <c r="I4" s="434">
        <f t="shared" si="0"/>
        <v>5</v>
      </c>
      <c r="J4" s="434">
        <f t="shared" si="0"/>
        <v>6</v>
      </c>
      <c r="K4" s="428">
        <f t="shared" si="0"/>
        <v>7</v>
      </c>
      <c r="L4" s="428">
        <f t="shared" si="0"/>
        <v>8</v>
      </c>
      <c r="M4" s="428">
        <f t="shared" si="0"/>
        <v>9</v>
      </c>
      <c r="N4" s="458">
        <f t="shared" si="0"/>
        <v>10</v>
      </c>
    </row>
    <row r="5" spans="2:14" ht="13.5" thickBot="1" x14ac:dyDescent="0.25">
      <c r="B5" s="112"/>
      <c r="C5" s="441" t="s">
        <v>52</v>
      </c>
      <c r="D5" s="606" t="str">
        <f>'Summary Board'!E4</f>
        <v>2020-2021</v>
      </c>
      <c r="E5" s="415">
        <f>'Summary Board'!F4</f>
        <v>2022</v>
      </c>
      <c r="F5" s="415">
        <f>E5+1</f>
        <v>2023</v>
      </c>
      <c r="G5" s="415">
        <f t="shared" ref="G5:N5" si="1">F5+1</f>
        <v>2024</v>
      </c>
      <c r="H5" s="435">
        <f t="shared" si="1"/>
        <v>2025</v>
      </c>
      <c r="I5" s="435">
        <f t="shared" si="1"/>
        <v>2026</v>
      </c>
      <c r="J5" s="435">
        <f t="shared" si="1"/>
        <v>2027</v>
      </c>
      <c r="K5" s="433">
        <f t="shared" si="1"/>
        <v>2028</v>
      </c>
      <c r="L5" s="433">
        <f t="shared" si="1"/>
        <v>2029</v>
      </c>
      <c r="M5" s="433">
        <f t="shared" si="1"/>
        <v>2030</v>
      </c>
      <c r="N5" s="459">
        <f t="shared" si="1"/>
        <v>2031</v>
      </c>
    </row>
    <row r="6" spans="2:14" ht="13.5" thickBot="1" x14ac:dyDescent="0.25">
      <c r="B6" s="522" t="s">
        <v>71</v>
      </c>
      <c r="C6" s="482"/>
      <c r="D6" s="638"/>
      <c r="E6" s="640"/>
      <c r="F6" s="640"/>
      <c r="G6" s="640"/>
      <c r="H6" s="640"/>
      <c r="I6" s="640"/>
      <c r="J6" s="640"/>
      <c r="K6" s="640"/>
      <c r="L6" s="640"/>
      <c r="M6" s="640"/>
      <c r="N6" s="641"/>
    </row>
    <row r="7" spans="2:14" s="12" customFormat="1" ht="15" x14ac:dyDescent="0.2">
      <c r="B7" s="572" t="s">
        <v>206</v>
      </c>
      <c r="C7" s="441"/>
      <c r="D7" s="448"/>
      <c r="E7" s="244"/>
      <c r="F7" s="244"/>
      <c r="G7" s="244"/>
      <c r="H7" s="509"/>
      <c r="I7" s="509"/>
      <c r="J7" s="509"/>
      <c r="K7" s="426"/>
      <c r="L7" s="426"/>
      <c r="M7" s="426"/>
      <c r="N7" s="514"/>
    </row>
    <row r="8" spans="2:14" x14ac:dyDescent="0.2">
      <c r="B8" s="526" t="s">
        <v>53</v>
      </c>
      <c r="C8" s="443">
        <v>0.02</v>
      </c>
      <c r="D8" s="603"/>
      <c r="E8" s="510"/>
      <c r="F8" s="510"/>
      <c r="G8" s="510"/>
      <c r="H8" s="511"/>
      <c r="I8" s="511"/>
      <c r="J8" s="511"/>
      <c r="K8" s="512"/>
      <c r="L8" s="512"/>
      <c r="M8" s="512"/>
      <c r="N8" s="515"/>
    </row>
    <row r="9" spans="2:14" x14ac:dyDescent="0.2">
      <c r="B9" s="526" t="s">
        <v>109</v>
      </c>
      <c r="C9" s="573">
        <f>SUM(E9:N9)</f>
        <v>0</v>
      </c>
      <c r="D9" s="603"/>
      <c r="E9" s="431"/>
      <c r="F9" s="431"/>
      <c r="G9" s="431"/>
      <c r="H9" s="555"/>
      <c r="I9" s="555"/>
      <c r="J9" s="555"/>
      <c r="K9" s="276"/>
      <c r="L9" s="276"/>
      <c r="M9" s="276"/>
      <c r="N9" s="467"/>
    </row>
    <row r="10" spans="2:14" x14ac:dyDescent="0.2">
      <c r="B10" s="526" t="s">
        <v>155</v>
      </c>
      <c r="C10" s="573"/>
      <c r="D10" s="448"/>
      <c r="E10" s="431">
        <f>E57</f>
        <v>0</v>
      </c>
      <c r="F10" s="431">
        <f t="shared" ref="F10:N10" si="2">F57</f>
        <v>54.652830188679239</v>
      </c>
      <c r="G10" s="431">
        <f t="shared" si="2"/>
        <v>54.652830188679239</v>
      </c>
      <c r="H10" s="555">
        <f t="shared" si="2"/>
        <v>0</v>
      </c>
      <c r="I10" s="555">
        <f t="shared" si="2"/>
        <v>0</v>
      </c>
      <c r="J10" s="555">
        <f t="shared" si="2"/>
        <v>0</v>
      </c>
      <c r="K10" s="276">
        <f t="shared" si="2"/>
        <v>0</v>
      </c>
      <c r="L10" s="276">
        <f t="shared" si="2"/>
        <v>0</v>
      </c>
      <c r="M10" s="276">
        <f t="shared" si="2"/>
        <v>0</v>
      </c>
      <c r="N10" s="467">
        <f t="shared" si="2"/>
        <v>0</v>
      </c>
    </row>
    <row r="11" spans="2:14" x14ac:dyDescent="0.2">
      <c r="B11" s="526" t="s">
        <v>112</v>
      </c>
      <c r="C11" s="441"/>
      <c r="D11" s="448"/>
      <c r="E11" s="431"/>
      <c r="F11" s="431"/>
      <c r="G11" s="431"/>
      <c r="H11" s="555"/>
      <c r="I11" s="555"/>
      <c r="J11" s="555"/>
      <c r="K11" s="276"/>
      <c r="L11" s="276"/>
      <c r="M11" s="276"/>
      <c r="N11" s="467"/>
    </row>
    <row r="12" spans="2:14" x14ac:dyDescent="0.2">
      <c r="B12" s="526" t="s">
        <v>62</v>
      </c>
      <c r="C12" s="574">
        <v>954</v>
      </c>
      <c r="D12" s="448"/>
      <c r="E12" s="244"/>
      <c r="F12" s="244"/>
      <c r="G12" s="244"/>
      <c r="H12" s="509"/>
      <c r="I12" s="509"/>
      <c r="J12" s="509"/>
      <c r="K12" s="426"/>
      <c r="L12" s="426"/>
      <c r="M12" s="426"/>
      <c r="N12" s="514"/>
    </row>
    <row r="13" spans="2:14" x14ac:dyDescent="0.2">
      <c r="B13" s="526" t="s">
        <v>72</v>
      </c>
      <c r="C13" s="441"/>
      <c r="D13" s="448"/>
      <c r="E13" s="556">
        <f>SUM($E10:E$10)*$C$12</f>
        <v>0</v>
      </c>
      <c r="F13" s="556">
        <f>SUM($E10:F$10)*$C$12</f>
        <v>52138.799999999996</v>
      </c>
      <c r="G13" s="556">
        <f>SUM($E10:G$10)*$C$12</f>
        <v>104277.59999999999</v>
      </c>
      <c r="H13" s="557">
        <f>SUM($E10:H$10)*$C$12</f>
        <v>104277.59999999999</v>
      </c>
      <c r="I13" s="557">
        <f>SUM($E10:I$10)*$C$12</f>
        <v>104277.59999999999</v>
      </c>
      <c r="J13" s="557">
        <f>SUM($E10:J$10)*$C$12</f>
        <v>104277.59999999999</v>
      </c>
      <c r="K13" s="558">
        <f>SUM($E10:K$10)*$C$12</f>
        <v>104277.59999999999</v>
      </c>
      <c r="L13" s="558">
        <f>SUM($E10:L$10)*$C$12</f>
        <v>104277.59999999999</v>
      </c>
      <c r="M13" s="558">
        <f>SUM($E10:M$10)*$C$12</f>
        <v>104277.59999999999</v>
      </c>
      <c r="N13" s="567">
        <f>SUM($E10:N$10)*$C$12</f>
        <v>104277.59999999999</v>
      </c>
    </row>
    <row r="14" spans="2:14" x14ac:dyDescent="0.2">
      <c r="B14" s="578" t="s">
        <v>73</v>
      </c>
      <c r="C14" s="501">
        <v>556</v>
      </c>
      <c r="D14" s="607">
        <f>C14</f>
        <v>556</v>
      </c>
      <c r="E14" s="497">
        <f>$D14*(1+$C$8)^E$4</f>
        <v>567.12</v>
      </c>
      <c r="F14" s="497">
        <f t="shared" ref="F14:N14" si="3">$D14*(1+$C$8)^F$4</f>
        <v>578.4624</v>
      </c>
      <c r="G14" s="497">
        <f t="shared" si="3"/>
        <v>590.0316479999999</v>
      </c>
      <c r="H14" s="498">
        <f t="shared" si="3"/>
        <v>601.83228095999993</v>
      </c>
      <c r="I14" s="498">
        <f t="shared" si="3"/>
        <v>613.86892657919998</v>
      </c>
      <c r="J14" s="498">
        <f t="shared" si="3"/>
        <v>626.14630511078406</v>
      </c>
      <c r="K14" s="499">
        <f t="shared" si="3"/>
        <v>638.66923121299953</v>
      </c>
      <c r="L14" s="499">
        <f t="shared" si="3"/>
        <v>651.44261583725961</v>
      </c>
      <c r="M14" s="499">
        <f t="shared" si="3"/>
        <v>664.47146815400481</v>
      </c>
      <c r="N14" s="500">
        <f t="shared" si="3"/>
        <v>677.76089751708491</v>
      </c>
    </row>
    <row r="15" spans="2:14" ht="15" x14ac:dyDescent="0.2">
      <c r="B15" s="572" t="s">
        <v>207</v>
      </c>
      <c r="C15" s="449"/>
      <c r="D15" s="442"/>
      <c r="E15" s="210"/>
      <c r="F15" s="210"/>
      <c r="G15" s="210"/>
      <c r="H15" s="213"/>
      <c r="I15" s="213"/>
      <c r="J15" s="213"/>
      <c r="K15" s="216"/>
      <c r="L15" s="216"/>
      <c r="M15" s="216"/>
      <c r="N15" s="462"/>
    </row>
    <row r="16" spans="2:14" x14ac:dyDescent="0.2">
      <c r="B16" s="526" t="s">
        <v>53</v>
      </c>
      <c r="C16" s="443">
        <v>0.02</v>
      </c>
      <c r="D16" s="603"/>
      <c r="E16" s="510"/>
      <c r="F16" s="510"/>
      <c r="G16" s="510"/>
      <c r="H16" s="511"/>
      <c r="I16" s="511"/>
      <c r="J16" s="511"/>
      <c r="K16" s="512"/>
      <c r="L16" s="512"/>
      <c r="M16" s="512"/>
      <c r="N16" s="515"/>
    </row>
    <row r="17" spans="2:14" x14ac:dyDescent="0.2">
      <c r="B17" s="526" t="s">
        <v>109</v>
      </c>
      <c r="C17" s="573">
        <f>SUM(E17:N17)</f>
        <v>0</v>
      </c>
      <c r="D17" s="603"/>
      <c r="E17" s="431"/>
      <c r="F17" s="431"/>
      <c r="G17" s="431"/>
      <c r="H17" s="555"/>
      <c r="I17" s="555"/>
      <c r="J17" s="555"/>
      <c r="K17" s="276"/>
      <c r="L17" s="276"/>
      <c r="M17" s="276"/>
      <c r="N17" s="467"/>
    </row>
    <row r="18" spans="2:14" x14ac:dyDescent="0.2">
      <c r="B18" s="526" t="s">
        <v>155</v>
      </c>
      <c r="C18" s="573"/>
      <c r="D18" s="448"/>
      <c r="E18" s="431">
        <f>E59</f>
        <v>0</v>
      </c>
      <c r="F18" s="431">
        <f t="shared" ref="F18:N18" si="4">F59</f>
        <v>0</v>
      </c>
      <c r="G18" s="431">
        <f t="shared" si="4"/>
        <v>0</v>
      </c>
      <c r="H18" s="555">
        <f t="shared" si="4"/>
        <v>0</v>
      </c>
      <c r="I18" s="555">
        <f t="shared" si="4"/>
        <v>81.476650943396237</v>
      </c>
      <c r="J18" s="555">
        <f t="shared" si="4"/>
        <v>81.476650943396237</v>
      </c>
      <c r="K18" s="276">
        <f t="shared" si="4"/>
        <v>0</v>
      </c>
      <c r="L18" s="276">
        <f t="shared" si="4"/>
        <v>0</v>
      </c>
      <c r="M18" s="276">
        <f t="shared" si="4"/>
        <v>0</v>
      </c>
      <c r="N18" s="467">
        <f t="shared" si="4"/>
        <v>0</v>
      </c>
    </row>
    <row r="19" spans="2:14" x14ac:dyDescent="0.2">
      <c r="B19" s="526" t="s">
        <v>112</v>
      </c>
      <c r="C19" s="441"/>
      <c r="D19" s="448"/>
      <c r="E19" s="431"/>
      <c r="F19" s="431"/>
      <c r="G19" s="431"/>
      <c r="H19" s="555"/>
      <c r="I19" s="555"/>
      <c r="J19" s="555"/>
      <c r="K19" s="276"/>
      <c r="L19" s="276"/>
      <c r="M19" s="276"/>
      <c r="N19" s="467"/>
    </row>
    <row r="20" spans="2:14" x14ac:dyDescent="0.2">
      <c r="B20" s="526" t="s">
        <v>62</v>
      </c>
      <c r="C20" s="574">
        <v>954</v>
      </c>
      <c r="D20" s="448"/>
      <c r="E20" s="244"/>
      <c r="F20" s="244"/>
      <c r="G20" s="244"/>
      <c r="H20" s="509"/>
      <c r="I20" s="509"/>
      <c r="J20" s="509"/>
      <c r="K20" s="426"/>
      <c r="L20" s="426"/>
      <c r="M20" s="426"/>
      <c r="N20" s="514"/>
    </row>
    <row r="21" spans="2:14" x14ac:dyDescent="0.2">
      <c r="B21" s="526" t="s">
        <v>72</v>
      </c>
      <c r="C21" s="441"/>
      <c r="D21" s="448"/>
      <c r="E21" s="556">
        <f>SUM($E$18:E18)*$C$12</f>
        <v>0</v>
      </c>
      <c r="F21" s="556">
        <f>SUM($E$18:F18)*$C$12</f>
        <v>0</v>
      </c>
      <c r="G21" s="556">
        <f>SUM($E$18:G18)*$C$12</f>
        <v>0</v>
      </c>
      <c r="H21" s="557">
        <f>SUM($E$18:H18)*$C$12</f>
        <v>0</v>
      </c>
      <c r="I21" s="557">
        <f>SUM($E$18:I18)*$C$12</f>
        <v>77728.725000000006</v>
      </c>
      <c r="J21" s="557">
        <f>SUM($E$18:J18)*$C$12</f>
        <v>155457.45000000001</v>
      </c>
      <c r="K21" s="558">
        <f>SUM($E$18:K18)*$C$12</f>
        <v>155457.45000000001</v>
      </c>
      <c r="L21" s="558">
        <f>SUM($E$18:L18)*$C$12</f>
        <v>155457.45000000001</v>
      </c>
      <c r="M21" s="558">
        <f>SUM($E$18:M18)*$C$12</f>
        <v>155457.45000000001</v>
      </c>
      <c r="N21" s="567">
        <f>SUM($E$18:N18)*$C$12</f>
        <v>155457.45000000001</v>
      </c>
    </row>
    <row r="22" spans="2:14" x14ac:dyDescent="0.2">
      <c r="B22" s="578" t="s">
        <v>73</v>
      </c>
      <c r="C22" s="501">
        <f>C14</f>
        <v>556</v>
      </c>
      <c r="D22" s="607">
        <f>C22</f>
        <v>556</v>
      </c>
      <c r="E22" s="497">
        <f>$D22*(1+$C$8)^E$4</f>
        <v>567.12</v>
      </c>
      <c r="F22" s="497">
        <f t="shared" ref="F22:N22" si="5">$D22*(1+$C$8)^F$4</f>
        <v>578.4624</v>
      </c>
      <c r="G22" s="497">
        <f t="shared" si="5"/>
        <v>590.0316479999999</v>
      </c>
      <c r="H22" s="498">
        <f t="shared" si="5"/>
        <v>601.83228095999993</v>
      </c>
      <c r="I22" s="498">
        <f t="shared" si="5"/>
        <v>613.86892657919998</v>
      </c>
      <c r="J22" s="498">
        <f t="shared" si="5"/>
        <v>626.14630511078406</v>
      </c>
      <c r="K22" s="499">
        <f t="shared" si="5"/>
        <v>638.66923121299953</v>
      </c>
      <c r="L22" s="499">
        <f t="shared" si="5"/>
        <v>651.44261583725961</v>
      </c>
      <c r="M22" s="499">
        <f t="shared" si="5"/>
        <v>664.47146815400481</v>
      </c>
      <c r="N22" s="500">
        <f t="shared" si="5"/>
        <v>677.76089751708491</v>
      </c>
    </row>
    <row r="23" spans="2:14" ht="15" x14ac:dyDescent="0.2">
      <c r="B23" s="572" t="s">
        <v>208</v>
      </c>
      <c r="C23" s="449"/>
      <c r="D23" s="442"/>
      <c r="E23" s="210"/>
      <c r="F23" s="210"/>
      <c r="G23" s="210"/>
      <c r="H23" s="213"/>
      <c r="I23" s="213"/>
      <c r="J23" s="213"/>
      <c r="K23" s="216"/>
      <c r="L23" s="216"/>
      <c r="M23" s="216"/>
      <c r="N23" s="462"/>
    </row>
    <row r="24" spans="2:14" x14ac:dyDescent="0.2">
      <c r="B24" s="526" t="s">
        <v>53</v>
      </c>
      <c r="C24" s="443">
        <v>0.02</v>
      </c>
      <c r="D24" s="603"/>
      <c r="E24" s="510"/>
      <c r="F24" s="510"/>
      <c r="G24" s="510"/>
      <c r="H24" s="511"/>
      <c r="I24" s="511"/>
      <c r="J24" s="511"/>
      <c r="K24" s="512"/>
      <c r="L24" s="512"/>
      <c r="M24" s="512"/>
      <c r="N24" s="515"/>
    </row>
    <row r="25" spans="2:14" x14ac:dyDescent="0.2">
      <c r="B25" s="526" t="s">
        <v>109</v>
      </c>
      <c r="C25" s="573">
        <f>SUM(E25:N25)</f>
        <v>0</v>
      </c>
      <c r="D25" s="603"/>
      <c r="E25" s="431"/>
      <c r="F25" s="431"/>
      <c r="G25" s="431"/>
      <c r="H25" s="555"/>
      <c r="I25" s="555"/>
      <c r="J25" s="555"/>
      <c r="K25" s="276"/>
      <c r="L25" s="276"/>
      <c r="M25" s="276"/>
      <c r="N25" s="467"/>
    </row>
    <row r="26" spans="2:14" x14ac:dyDescent="0.2">
      <c r="B26" s="526" t="s">
        <v>155</v>
      </c>
      <c r="C26" s="573"/>
      <c r="D26" s="448"/>
      <c r="E26" s="431">
        <f>E61</f>
        <v>0</v>
      </c>
      <c r="F26" s="431">
        <f t="shared" ref="F26:J26" si="6">F74</f>
        <v>0</v>
      </c>
      <c r="G26" s="431">
        <f t="shared" si="6"/>
        <v>0</v>
      </c>
      <c r="H26" s="555">
        <f t="shared" si="6"/>
        <v>0</v>
      </c>
      <c r="I26" s="555">
        <f t="shared" si="6"/>
        <v>0</v>
      </c>
      <c r="J26" s="555">
        <f t="shared" si="6"/>
        <v>0</v>
      </c>
      <c r="K26" s="276">
        <f>K61</f>
        <v>0</v>
      </c>
      <c r="L26" s="276">
        <f t="shared" ref="L26:N26" si="7">L61</f>
        <v>53.241391509433967</v>
      </c>
      <c r="M26" s="276">
        <f t="shared" si="7"/>
        <v>53.241391509433967</v>
      </c>
      <c r="N26" s="467">
        <f t="shared" si="7"/>
        <v>0</v>
      </c>
    </row>
    <row r="27" spans="2:14" x14ac:dyDescent="0.2">
      <c r="B27" s="526" t="s">
        <v>112</v>
      </c>
      <c r="C27" s="441"/>
      <c r="D27" s="448"/>
      <c r="E27" s="431"/>
      <c r="F27" s="431"/>
      <c r="G27" s="431"/>
      <c r="H27" s="555"/>
      <c r="I27" s="555"/>
      <c r="J27" s="555"/>
      <c r="K27" s="276"/>
      <c r="L27" s="276"/>
      <c r="M27" s="276"/>
      <c r="N27" s="467"/>
    </row>
    <row r="28" spans="2:14" x14ac:dyDescent="0.2">
      <c r="B28" s="526" t="s">
        <v>62</v>
      </c>
      <c r="C28" s="574">
        <v>954</v>
      </c>
      <c r="D28" s="448"/>
      <c r="E28" s="244"/>
      <c r="F28" s="244"/>
      <c r="G28" s="244"/>
      <c r="H28" s="509"/>
      <c r="I28" s="509"/>
      <c r="J28" s="509"/>
      <c r="K28" s="426"/>
      <c r="L28" s="426"/>
      <c r="M28" s="426"/>
      <c r="N28" s="514"/>
    </row>
    <row r="29" spans="2:14" x14ac:dyDescent="0.2">
      <c r="B29" s="526" t="s">
        <v>72</v>
      </c>
      <c r="C29" s="441"/>
      <c r="D29" s="448"/>
      <c r="E29" s="556">
        <f>SUM($E$26:E26)*$C$12</f>
        <v>0</v>
      </c>
      <c r="F29" s="556">
        <f>SUM($E$26:F26)*$C$12</f>
        <v>0</v>
      </c>
      <c r="G29" s="556">
        <f>SUM($E$26:G26)*$C$12</f>
        <v>0</v>
      </c>
      <c r="H29" s="557">
        <f>SUM($E$26:H26)*$C$12</f>
        <v>0</v>
      </c>
      <c r="I29" s="557">
        <f>SUM($E$26:I26)*$C$12</f>
        <v>0</v>
      </c>
      <c r="J29" s="557">
        <f>SUM($E$26:J26)*$C$12</f>
        <v>0</v>
      </c>
      <c r="K29" s="558">
        <f>SUM($E$26:K26)*$C$12</f>
        <v>0</v>
      </c>
      <c r="L29" s="558">
        <f>SUM($E$26:L26)*$C$12</f>
        <v>50792.287500000006</v>
      </c>
      <c r="M29" s="558">
        <f>SUM($E$26:M26)*$C$12</f>
        <v>101584.57500000001</v>
      </c>
      <c r="N29" s="567">
        <f>SUM($E$26:N26)*$C$12</f>
        <v>101584.57500000001</v>
      </c>
    </row>
    <row r="30" spans="2:14" ht="13.5" thickBot="1" x14ac:dyDescent="0.25">
      <c r="B30" s="526" t="s">
        <v>73</v>
      </c>
      <c r="C30" s="449">
        <f>C14</f>
        <v>556</v>
      </c>
      <c r="D30" s="442">
        <f>C30</f>
        <v>556</v>
      </c>
      <c r="E30" s="210">
        <f>$D30*(1+$C$8)^E$4</f>
        <v>567.12</v>
      </c>
      <c r="F30" s="210">
        <f t="shared" ref="F30:N30" si="8">$D30*(1+$C$8)^F$4</f>
        <v>578.4624</v>
      </c>
      <c r="G30" s="210">
        <f t="shared" si="8"/>
        <v>590.0316479999999</v>
      </c>
      <c r="H30" s="213">
        <f t="shared" si="8"/>
        <v>601.83228095999993</v>
      </c>
      <c r="I30" s="213">
        <f t="shared" si="8"/>
        <v>613.86892657919998</v>
      </c>
      <c r="J30" s="213">
        <f t="shared" si="8"/>
        <v>626.14630511078406</v>
      </c>
      <c r="K30" s="216">
        <f t="shared" si="8"/>
        <v>638.66923121299953</v>
      </c>
      <c r="L30" s="216">
        <f t="shared" si="8"/>
        <v>651.44261583725961</v>
      </c>
      <c r="M30" s="216">
        <f t="shared" si="8"/>
        <v>664.47146815400481</v>
      </c>
      <c r="N30" s="462">
        <f t="shared" si="8"/>
        <v>677.76089751708491</v>
      </c>
    </row>
    <row r="31" spans="2:14" ht="13.5" thickBot="1" x14ac:dyDescent="0.25">
      <c r="B31" s="522" t="s">
        <v>3</v>
      </c>
      <c r="C31" s="482"/>
      <c r="D31" s="638"/>
      <c r="E31" s="640"/>
      <c r="F31" s="640"/>
      <c r="G31" s="640"/>
      <c r="H31" s="640"/>
      <c r="I31" s="640"/>
      <c r="J31" s="640"/>
      <c r="K31" s="640"/>
      <c r="L31" s="640"/>
      <c r="M31" s="640"/>
      <c r="N31" s="641"/>
    </row>
    <row r="32" spans="2:14" x14ac:dyDescent="0.2">
      <c r="B32" s="526" t="s">
        <v>74</v>
      </c>
      <c r="C32" s="441"/>
      <c r="D32" s="448"/>
      <c r="E32" s="270">
        <f>SUM(E10,E18,E26)*$C$12*E14</f>
        <v>0</v>
      </c>
      <c r="F32" s="270">
        <f t="shared" ref="F32:N32" si="9">SUM(F10,F18,F26)*$C$12*F14</f>
        <v>30160335.381119996</v>
      </c>
      <c r="G32" s="270">
        <f t="shared" si="9"/>
        <v>30763542.088742394</v>
      </c>
      <c r="H32" s="290">
        <f t="shared" si="9"/>
        <v>0</v>
      </c>
      <c r="I32" s="290">
        <f t="shared" si="9"/>
        <v>47715248.980119832</v>
      </c>
      <c r="J32" s="290">
        <f t="shared" si="9"/>
        <v>48669553.959722228</v>
      </c>
      <c r="K32" s="271">
        <f t="shared" si="9"/>
        <v>0</v>
      </c>
      <c r="L32" s="271">
        <f t="shared" si="9"/>
        <v>33088260.633358147</v>
      </c>
      <c r="M32" s="271">
        <f t="shared" si="9"/>
        <v>33750025.84602531</v>
      </c>
      <c r="N32" s="466">
        <f t="shared" si="9"/>
        <v>0</v>
      </c>
    </row>
    <row r="33" spans="2:14" x14ac:dyDescent="0.2">
      <c r="B33" s="526" t="s">
        <v>75</v>
      </c>
      <c r="C33" s="443">
        <v>0.05</v>
      </c>
      <c r="D33" s="603"/>
      <c r="E33" s="270">
        <f>-(E32*$C$33)</f>
        <v>0</v>
      </c>
      <c r="F33" s="270">
        <f t="shared" ref="F33:N33" si="10">-(F32*$C$33)</f>
        <v>-1508016.7690559998</v>
      </c>
      <c r="G33" s="270">
        <f t="shared" si="10"/>
        <v>-1538177.1044371198</v>
      </c>
      <c r="H33" s="290">
        <f t="shared" si="10"/>
        <v>0</v>
      </c>
      <c r="I33" s="290">
        <f t="shared" si="10"/>
        <v>-2385762.4490059917</v>
      </c>
      <c r="J33" s="290">
        <f t="shared" si="10"/>
        <v>-2433477.6979861115</v>
      </c>
      <c r="K33" s="271">
        <f t="shared" si="10"/>
        <v>0</v>
      </c>
      <c r="L33" s="271">
        <f t="shared" si="10"/>
        <v>-1654413.0316679075</v>
      </c>
      <c r="M33" s="271">
        <f t="shared" si="10"/>
        <v>-1687501.2923012655</v>
      </c>
      <c r="N33" s="466">
        <f t="shared" si="10"/>
        <v>0</v>
      </c>
    </row>
    <row r="34" spans="2:14" x14ac:dyDescent="0.2">
      <c r="B34" s="526" t="s">
        <v>76</v>
      </c>
      <c r="C34" s="443">
        <v>0.05</v>
      </c>
      <c r="D34" s="603"/>
      <c r="E34" s="270">
        <f>-(E32*$C$34)</f>
        <v>0</v>
      </c>
      <c r="F34" s="270">
        <f t="shared" ref="F34:N34" si="11">-(F32*$C$34)</f>
        <v>-1508016.7690559998</v>
      </c>
      <c r="G34" s="270">
        <f t="shared" si="11"/>
        <v>-1538177.1044371198</v>
      </c>
      <c r="H34" s="290">
        <f t="shared" si="11"/>
        <v>0</v>
      </c>
      <c r="I34" s="290">
        <f t="shared" si="11"/>
        <v>-2385762.4490059917</v>
      </c>
      <c r="J34" s="290">
        <f t="shared" si="11"/>
        <v>-2433477.6979861115</v>
      </c>
      <c r="K34" s="271">
        <f t="shared" si="11"/>
        <v>0</v>
      </c>
      <c r="L34" s="271">
        <f t="shared" si="11"/>
        <v>-1654413.0316679075</v>
      </c>
      <c r="M34" s="271">
        <f t="shared" si="11"/>
        <v>-1687501.2923012655</v>
      </c>
      <c r="N34" s="466">
        <f t="shared" si="11"/>
        <v>0</v>
      </c>
    </row>
    <row r="35" spans="2:14" ht="13.5" thickBot="1" x14ac:dyDescent="0.25">
      <c r="B35" s="525" t="s">
        <v>27</v>
      </c>
      <c r="C35" s="441"/>
      <c r="D35" s="448"/>
      <c r="E35" s="270">
        <f>SUM(E32:E34)</f>
        <v>0</v>
      </c>
      <c r="F35" s="270">
        <f t="shared" ref="F35:N35" si="12">SUM(F32:F34)</f>
        <v>27144301.843007997</v>
      </c>
      <c r="G35" s="270">
        <f t="shared" si="12"/>
        <v>27687187.879868153</v>
      </c>
      <c r="H35" s="290">
        <f t="shared" si="12"/>
        <v>0</v>
      </c>
      <c r="I35" s="290">
        <f t="shared" si="12"/>
        <v>42943724.082107849</v>
      </c>
      <c r="J35" s="290">
        <f t="shared" si="12"/>
        <v>43802598.563750006</v>
      </c>
      <c r="K35" s="271">
        <f t="shared" si="12"/>
        <v>0</v>
      </c>
      <c r="L35" s="271">
        <f t="shared" si="12"/>
        <v>29779434.570022333</v>
      </c>
      <c r="M35" s="271">
        <f t="shared" si="12"/>
        <v>30375023.261422776</v>
      </c>
      <c r="N35" s="466">
        <f t="shared" si="12"/>
        <v>0</v>
      </c>
    </row>
    <row r="36" spans="2:14" ht="13.5" thickBot="1" x14ac:dyDescent="0.25">
      <c r="B36" s="522" t="s">
        <v>20</v>
      </c>
      <c r="C36" s="482"/>
      <c r="D36" s="638"/>
      <c r="E36" s="639"/>
      <c r="F36" s="636"/>
      <c r="G36" s="636"/>
      <c r="H36" s="636"/>
      <c r="I36" s="636"/>
      <c r="J36" s="636"/>
      <c r="K36" s="636"/>
      <c r="L36" s="636"/>
      <c r="M36" s="636"/>
      <c r="N36" s="637"/>
    </row>
    <row r="37" spans="2:14" x14ac:dyDescent="0.2">
      <c r="B37" s="526" t="s">
        <v>111</v>
      </c>
      <c r="C37" s="449">
        <v>250.76</v>
      </c>
      <c r="D37" s="442">
        <f>C37</f>
        <v>250.76</v>
      </c>
      <c r="E37" s="600">
        <f>$D37*(1+$C$8)^E$4</f>
        <v>255.77519999999998</v>
      </c>
      <c r="F37" s="270">
        <f t="shared" ref="F37:M37" si="13">$D37*(1+$C$8)^F$4</f>
        <v>260.89070399999997</v>
      </c>
      <c r="G37" s="270">
        <f t="shared" si="13"/>
        <v>266.10851807999995</v>
      </c>
      <c r="H37" s="290">
        <f t="shared" si="13"/>
        <v>271.43068844160001</v>
      </c>
      <c r="I37" s="290">
        <f t="shared" si="13"/>
        <v>276.85930221043202</v>
      </c>
      <c r="J37" s="290">
        <f t="shared" si="13"/>
        <v>282.39648825464064</v>
      </c>
      <c r="K37" s="271">
        <f t="shared" si="13"/>
        <v>288.04441801973337</v>
      </c>
      <c r="L37" s="271">
        <f t="shared" si="13"/>
        <v>293.80530638012812</v>
      </c>
      <c r="M37" s="271">
        <f t="shared" si="13"/>
        <v>299.68141250773067</v>
      </c>
      <c r="N37" s="466">
        <f>$D37*(1+$C$8)^N$4</f>
        <v>305.67504075788526</v>
      </c>
    </row>
    <row r="38" spans="2:14" x14ac:dyDescent="0.2">
      <c r="B38" s="526" t="s">
        <v>68</v>
      </c>
      <c r="C38" s="441"/>
      <c r="D38" s="448">
        <f>D39/SUM($D$39:$N$39)</f>
        <v>0</v>
      </c>
      <c r="E38" s="245">
        <f>E39/SUM($E$39:$N$39)</f>
        <v>0.26948564989747081</v>
      </c>
      <c r="F38" s="245">
        <f t="shared" ref="F38:N38" si="14">F39/SUM($E$39:$N$39)</f>
        <v>0</v>
      </c>
      <c r="G38" s="245">
        <f t="shared" si="14"/>
        <v>0</v>
      </c>
      <c r="H38" s="265">
        <f t="shared" si="14"/>
        <v>0</v>
      </c>
      <c r="I38" s="265">
        <f t="shared" si="14"/>
        <v>0.43486739166919441</v>
      </c>
      <c r="J38" s="265">
        <f t="shared" si="14"/>
        <v>0</v>
      </c>
      <c r="K38" s="266">
        <f t="shared" si="14"/>
        <v>0.29564695843333472</v>
      </c>
      <c r="L38" s="266">
        <f t="shared" si="14"/>
        <v>0</v>
      </c>
      <c r="M38" s="266">
        <f t="shared" si="14"/>
        <v>0</v>
      </c>
      <c r="N38" s="568">
        <f t="shared" si="14"/>
        <v>0</v>
      </c>
    </row>
    <row r="39" spans="2:14" x14ac:dyDescent="0.2">
      <c r="B39" s="526" t="s">
        <v>20</v>
      </c>
      <c r="C39" s="441"/>
      <c r="D39" s="448"/>
      <c r="E39" s="270">
        <f>E58*E37</f>
        <v>26671623.995519996</v>
      </c>
      <c r="F39" s="270">
        <f>F58*F37</f>
        <v>0</v>
      </c>
      <c r="G39" s="270">
        <f>G58*G37</f>
        <v>0</v>
      </c>
      <c r="H39" s="290">
        <f>H60*H37</f>
        <v>0</v>
      </c>
      <c r="I39" s="290">
        <f>I60*I37</f>
        <v>43039841.13041313</v>
      </c>
      <c r="J39" s="290">
        <f>J60*J37</f>
        <v>0</v>
      </c>
      <c r="K39" s="271">
        <f>K62*K37</f>
        <v>29260869.785656959</v>
      </c>
      <c r="L39" s="271">
        <f>L62*L37</f>
        <v>0</v>
      </c>
      <c r="M39" s="271">
        <f>M62*M37</f>
        <v>0</v>
      </c>
      <c r="N39" s="466">
        <f>N62*N37</f>
        <v>0</v>
      </c>
    </row>
    <row r="40" spans="2:14" x14ac:dyDescent="0.2">
      <c r="B40" s="526" t="s">
        <v>47</v>
      </c>
      <c r="C40" s="441"/>
      <c r="D40" s="448"/>
      <c r="E40" s="600"/>
      <c r="F40" s="270"/>
      <c r="G40" s="270"/>
      <c r="H40" s="290"/>
      <c r="I40" s="290"/>
      <c r="J40" s="290"/>
      <c r="K40" s="271"/>
      <c r="L40" s="271"/>
      <c r="M40" s="271"/>
      <c r="N40" s="466"/>
    </row>
    <row r="41" spans="2:14" ht="13.5" thickBot="1" x14ac:dyDescent="0.25">
      <c r="B41" s="525" t="s">
        <v>25</v>
      </c>
      <c r="C41" s="441"/>
      <c r="D41" s="442">
        <f>SUM(D39:D40)</f>
        <v>0</v>
      </c>
      <c r="E41" s="270">
        <f>SUM(E39:E40)</f>
        <v>26671623.995519996</v>
      </c>
      <c r="F41" s="270">
        <f t="shared" ref="F41:N41" si="15">SUM(F39:F40)</f>
        <v>0</v>
      </c>
      <c r="G41" s="270">
        <f t="shared" si="15"/>
        <v>0</v>
      </c>
      <c r="H41" s="290">
        <f t="shared" si="15"/>
        <v>0</v>
      </c>
      <c r="I41" s="290">
        <f t="shared" si="15"/>
        <v>43039841.13041313</v>
      </c>
      <c r="J41" s="290">
        <f t="shared" si="15"/>
        <v>0</v>
      </c>
      <c r="K41" s="271">
        <f t="shared" si="15"/>
        <v>29260869.785656959</v>
      </c>
      <c r="L41" s="271">
        <f t="shared" si="15"/>
        <v>0</v>
      </c>
      <c r="M41" s="271">
        <f t="shared" si="15"/>
        <v>0</v>
      </c>
      <c r="N41" s="466">
        <f t="shared" si="15"/>
        <v>0</v>
      </c>
    </row>
    <row r="42" spans="2:14" ht="13.5" thickBot="1" x14ac:dyDescent="0.25">
      <c r="B42" s="522" t="s">
        <v>26</v>
      </c>
      <c r="C42" s="482"/>
      <c r="D42" s="638"/>
      <c r="E42" s="639"/>
      <c r="F42" s="636"/>
      <c r="G42" s="636"/>
      <c r="H42" s="636"/>
      <c r="I42" s="636"/>
      <c r="J42" s="636"/>
      <c r="K42" s="636"/>
      <c r="L42" s="636"/>
      <c r="M42" s="636"/>
      <c r="N42" s="637"/>
    </row>
    <row r="43" spans="2:14" x14ac:dyDescent="0.2">
      <c r="B43" s="526" t="s">
        <v>27</v>
      </c>
      <c r="C43" s="441"/>
      <c r="D43" s="442">
        <f>D35</f>
        <v>0</v>
      </c>
      <c r="E43" s="600">
        <f>E35</f>
        <v>0</v>
      </c>
      <c r="F43" s="270">
        <f t="shared" ref="F43:N43" si="16">F35</f>
        <v>27144301.843007997</v>
      </c>
      <c r="G43" s="270">
        <f t="shared" si="16"/>
        <v>27687187.879868153</v>
      </c>
      <c r="H43" s="290">
        <f t="shared" si="16"/>
        <v>0</v>
      </c>
      <c r="I43" s="290">
        <f t="shared" si="16"/>
        <v>42943724.082107849</v>
      </c>
      <c r="J43" s="290">
        <f t="shared" si="16"/>
        <v>43802598.563750006</v>
      </c>
      <c r="K43" s="271">
        <f t="shared" si="16"/>
        <v>0</v>
      </c>
      <c r="L43" s="271">
        <f t="shared" si="16"/>
        <v>29779434.570022333</v>
      </c>
      <c r="M43" s="271">
        <f t="shared" si="16"/>
        <v>30375023.261422776</v>
      </c>
      <c r="N43" s="466">
        <f t="shared" si="16"/>
        <v>0</v>
      </c>
    </row>
    <row r="44" spans="2:14" ht="13.5" thickBot="1" x14ac:dyDescent="0.25">
      <c r="B44" s="526" t="s">
        <v>25</v>
      </c>
      <c r="C44" s="443"/>
      <c r="D44" s="442">
        <f>-D41</f>
        <v>0</v>
      </c>
      <c r="E44" s="270">
        <f>-E41</f>
        <v>-26671623.995519996</v>
      </c>
      <c r="F44" s="270">
        <f t="shared" ref="F44:G44" si="17">-F41</f>
        <v>0</v>
      </c>
      <c r="G44" s="270">
        <f t="shared" si="17"/>
        <v>0</v>
      </c>
      <c r="H44" s="290">
        <f t="shared" ref="H44:N44" si="18">-H41</f>
        <v>0</v>
      </c>
      <c r="I44" s="290">
        <f t="shared" si="18"/>
        <v>-43039841.13041313</v>
      </c>
      <c r="J44" s="290">
        <f t="shared" si="18"/>
        <v>0</v>
      </c>
      <c r="K44" s="271">
        <f t="shared" si="18"/>
        <v>-29260869.785656959</v>
      </c>
      <c r="L44" s="271">
        <f t="shared" si="18"/>
        <v>0</v>
      </c>
      <c r="M44" s="271">
        <f t="shared" si="18"/>
        <v>0</v>
      </c>
      <c r="N44" s="466">
        <f t="shared" si="18"/>
        <v>0</v>
      </c>
    </row>
    <row r="45" spans="2:14" ht="13.5" thickBot="1" x14ac:dyDescent="0.25">
      <c r="B45" s="633"/>
      <c r="C45" s="634"/>
      <c r="D45" s="635"/>
      <c r="E45" s="636"/>
      <c r="F45" s="636"/>
      <c r="G45" s="636"/>
      <c r="H45" s="636"/>
      <c r="I45" s="636"/>
      <c r="J45" s="636"/>
      <c r="K45" s="636"/>
      <c r="L45" s="636"/>
      <c r="M45" s="636"/>
      <c r="N45" s="637"/>
    </row>
    <row r="46" spans="2:14" x14ac:dyDescent="0.2">
      <c r="B46" s="525" t="s">
        <v>29</v>
      </c>
      <c r="C46" s="443"/>
      <c r="D46" s="442">
        <f>SUM(D43:D44)</f>
        <v>0</v>
      </c>
      <c r="E46" s="270">
        <f>SUM(E43:E44)</f>
        <v>-26671623.995519996</v>
      </c>
      <c r="F46" s="270">
        <f t="shared" ref="F46:N46" si="19">SUM(F43:F44)</f>
        <v>27144301.843007997</v>
      </c>
      <c r="G46" s="270">
        <f t="shared" si="19"/>
        <v>27687187.879868153</v>
      </c>
      <c r="H46" s="290">
        <f t="shared" si="19"/>
        <v>0</v>
      </c>
      <c r="I46" s="290">
        <f t="shared" si="19"/>
        <v>-96117.048305280507</v>
      </c>
      <c r="J46" s="290">
        <f t="shared" si="19"/>
        <v>43802598.563750006</v>
      </c>
      <c r="K46" s="271">
        <f t="shared" si="19"/>
        <v>-29260869.785656959</v>
      </c>
      <c r="L46" s="271">
        <f t="shared" si="19"/>
        <v>29779434.570022333</v>
      </c>
      <c r="M46" s="271">
        <f t="shared" si="19"/>
        <v>30375023.261422776</v>
      </c>
      <c r="N46" s="466">
        <f t="shared" si="19"/>
        <v>0</v>
      </c>
    </row>
    <row r="47" spans="2:14" x14ac:dyDescent="0.2">
      <c r="B47" s="357" t="s">
        <v>32</v>
      </c>
      <c r="C47" s="443">
        <f>C52</f>
        <v>0.06</v>
      </c>
      <c r="D47" s="444">
        <f>NPV(C47,E46:N46)</f>
        <v>70253164.377547622</v>
      </c>
      <c r="E47" s="601"/>
      <c r="F47" s="152"/>
      <c r="G47" s="152"/>
      <c r="H47" s="152"/>
      <c r="I47" s="152"/>
      <c r="J47" s="152"/>
      <c r="K47" s="152"/>
      <c r="L47" s="152"/>
      <c r="M47" s="152"/>
      <c r="N47" s="474"/>
    </row>
    <row r="48" spans="2:14" x14ac:dyDescent="0.2">
      <c r="B48" s="357" t="s">
        <v>34</v>
      </c>
      <c r="C48" s="441"/>
      <c r="D48" s="445">
        <f>IRR(D46:N46,0)</f>
        <v>0.76710329149024403</v>
      </c>
      <c r="E48" s="152"/>
      <c r="F48" s="152"/>
      <c r="G48" s="152"/>
      <c r="H48" s="152"/>
      <c r="I48" s="152"/>
      <c r="J48" s="152"/>
      <c r="K48" s="152"/>
      <c r="L48" s="152"/>
      <c r="M48" s="152"/>
      <c r="N48" s="474"/>
    </row>
    <row r="49" spans="2:14" ht="13.5" thickBot="1" x14ac:dyDescent="0.25">
      <c r="B49" s="358" t="s">
        <v>36</v>
      </c>
      <c r="C49" s="472"/>
      <c r="D49" s="602"/>
      <c r="E49" s="475"/>
      <c r="F49" s="475"/>
      <c r="G49" s="475"/>
      <c r="H49" s="475"/>
      <c r="I49" s="475"/>
      <c r="J49" s="475"/>
      <c r="K49" s="475"/>
      <c r="L49" s="475"/>
      <c r="M49" s="475"/>
      <c r="N49" s="476"/>
    </row>
    <row r="50" spans="2:14" ht="13.5" thickBot="1" x14ac:dyDescent="0.25"/>
    <row r="51" spans="2:14" x14ac:dyDescent="0.2">
      <c r="B51" s="1245" t="s">
        <v>71</v>
      </c>
      <c r="C51" s="1246"/>
    </row>
    <row r="52" spans="2:14" ht="13.5" thickBot="1" x14ac:dyDescent="0.25">
      <c r="B52" s="479" t="s">
        <v>153</v>
      </c>
      <c r="C52" s="616">
        <v>0.06</v>
      </c>
      <c r="E52" s="140"/>
      <c r="F52" s="140"/>
      <c r="G52" s="140"/>
      <c r="H52" s="140"/>
      <c r="I52" s="140"/>
      <c r="J52" s="99"/>
    </row>
    <row r="53" spans="2:14" ht="13.5" thickBot="1" x14ac:dyDescent="0.25">
      <c r="C53" s="128"/>
      <c r="D53" s="130"/>
    </row>
    <row r="54" spans="2:14" x14ac:dyDescent="0.2">
      <c r="B54" s="1226" t="s">
        <v>237</v>
      </c>
      <c r="C54" s="1227"/>
      <c r="D54" s="1227"/>
      <c r="E54" s="1227"/>
      <c r="F54" s="1227"/>
      <c r="G54" s="1227"/>
      <c r="H54" s="1227"/>
      <c r="I54" s="1227"/>
      <c r="J54" s="1227"/>
      <c r="K54" s="1227"/>
      <c r="L54" s="1227"/>
      <c r="M54" s="1227"/>
      <c r="N54" s="1228"/>
    </row>
    <row r="55" spans="2:14" x14ac:dyDescent="0.2">
      <c r="B55" s="112"/>
      <c r="C55" s="441"/>
      <c r="D55" s="477">
        <v>0</v>
      </c>
      <c r="E55" s="505">
        <f t="shared" ref="E55:N55" si="20">E4</f>
        <v>1</v>
      </c>
      <c r="F55" s="505">
        <f t="shared" si="20"/>
        <v>2</v>
      </c>
      <c r="G55" s="505">
        <f t="shared" si="20"/>
        <v>3</v>
      </c>
      <c r="H55" s="505">
        <f t="shared" si="20"/>
        <v>4</v>
      </c>
      <c r="I55" s="505">
        <f t="shared" si="20"/>
        <v>5</v>
      </c>
      <c r="J55" s="505">
        <f t="shared" si="20"/>
        <v>6</v>
      </c>
      <c r="K55" s="505">
        <f t="shared" si="20"/>
        <v>7</v>
      </c>
      <c r="L55" s="505">
        <f t="shared" si="20"/>
        <v>8</v>
      </c>
      <c r="M55" s="505">
        <f t="shared" si="20"/>
        <v>9</v>
      </c>
      <c r="N55" s="506">
        <f t="shared" si="20"/>
        <v>10</v>
      </c>
    </row>
    <row r="56" spans="2:14" ht="13.5" thickBot="1" x14ac:dyDescent="0.25">
      <c r="B56" s="112"/>
      <c r="C56" s="199"/>
      <c r="D56" s="126" t="str">
        <f>D5</f>
        <v>2020-2021</v>
      </c>
      <c r="E56" s="475">
        <f t="shared" ref="E56:N56" si="21">E5</f>
        <v>2022</v>
      </c>
      <c r="F56" s="475">
        <f t="shared" si="21"/>
        <v>2023</v>
      </c>
      <c r="G56" s="475">
        <f t="shared" si="21"/>
        <v>2024</v>
      </c>
      <c r="H56" s="475">
        <f t="shared" si="21"/>
        <v>2025</v>
      </c>
      <c r="I56" s="475">
        <f t="shared" si="21"/>
        <v>2026</v>
      </c>
      <c r="J56" s="475">
        <f t="shared" si="21"/>
        <v>2027</v>
      </c>
      <c r="K56" s="475">
        <f t="shared" si="21"/>
        <v>2028</v>
      </c>
      <c r="L56" s="475">
        <f t="shared" si="21"/>
        <v>2029</v>
      </c>
      <c r="M56" s="475">
        <f t="shared" si="21"/>
        <v>2030</v>
      </c>
      <c r="N56" s="476">
        <f t="shared" si="21"/>
        <v>2031</v>
      </c>
    </row>
    <row r="57" spans="2:14" ht="15" customHeight="1" x14ac:dyDescent="0.2">
      <c r="B57" s="1253" t="s">
        <v>206</v>
      </c>
      <c r="C57" s="1252">
        <f>'2. Market-Rate Rental'!G94</f>
        <v>104277.59999999999</v>
      </c>
      <c r="D57" s="301">
        <f>C57/$C$12</f>
        <v>109.30566037735848</v>
      </c>
      <c r="E57" s="644"/>
      <c r="F57" s="644">
        <f>$D$57/2</f>
        <v>54.652830188679239</v>
      </c>
      <c r="G57" s="644">
        <f>$D$57/2</f>
        <v>54.652830188679239</v>
      </c>
      <c r="H57" s="504"/>
      <c r="I57" s="504"/>
      <c r="J57" s="504"/>
      <c r="K57" s="504"/>
      <c r="L57" s="504"/>
      <c r="M57" s="504"/>
      <c r="N57" s="508"/>
    </row>
    <row r="58" spans="2:14" x14ac:dyDescent="0.2">
      <c r="B58" s="1253"/>
      <c r="C58" s="1252"/>
      <c r="D58" s="301"/>
      <c r="E58" s="644">
        <f>$C$57</f>
        <v>104277.59999999999</v>
      </c>
      <c r="F58" s="644"/>
      <c r="G58" s="644"/>
      <c r="H58" s="504"/>
      <c r="I58" s="504"/>
      <c r="J58" s="504"/>
      <c r="K58" s="504"/>
      <c r="L58" s="504"/>
      <c r="M58" s="504"/>
      <c r="N58" s="508"/>
    </row>
    <row r="59" spans="2:14" ht="15" customHeight="1" x14ac:dyDescent="0.2">
      <c r="B59" s="1249" t="s">
        <v>207</v>
      </c>
      <c r="C59" s="1252">
        <f>'2. Market-Rate Rental'!G95</f>
        <v>155457.45000000001</v>
      </c>
      <c r="D59" s="301">
        <f>C59/$C$12</f>
        <v>162.95330188679247</v>
      </c>
      <c r="E59" s="504"/>
      <c r="F59" s="504"/>
      <c r="G59" s="504"/>
      <c r="H59" s="644"/>
      <c r="I59" s="644">
        <f>$D$59/2</f>
        <v>81.476650943396237</v>
      </c>
      <c r="J59" s="644">
        <f>$D$59/2</f>
        <v>81.476650943396237</v>
      </c>
      <c r="K59" s="504"/>
      <c r="L59" s="504"/>
      <c r="M59" s="504"/>
      <c r="N59" s="508"/>
    </row>
    <row r="60" spans="2:14" x14ac:dyDescent="0.2">
      <c r="B60" s="1249"/>
      <c r="C60" s="1252"/>
      <c r="D60" s="301"/>
      <c r="E60" s="504"/>
      <c r="F60" s="504"/>
      <c r="G60" s="504"/>
      <c r="H60" s="644"/>
      <c r="I60" s="644">
        <f>$C$59</f>
        <v>155457.45000000001</v>
      </c>
      <c r="J60" s="644"/>
      <c r="K60" s="152"/>
      <c r="L60" s="504"/>
      <c r="M60" s="504"/>
      <c r="N60" s="508"/>
    </row>
    <row r="61" spans="2:14" ht="15" customHeight="1" x14ac:dyDescent="0.2">
      <c r="B61" s="1250" t="s">
        <v>208</v>
      </c>
      <c r="C61" s="1252">
        <f>'2. Market-Rate Rental'!G96</f>
        <v>101584.57500000001</v>
      </c>
      <c r="D61" s="301">
        <f>C61/$C$12</f>
        <v>106.48278301886793</v>
      </c>
      <c r="E61" s="152"/>
      <c r="F61" s="152"/>
      <c r="G61" s="152"/>
      <c r="H61" s="152"/>
      <c r="I61" s="152"/>
      <c r="J61" s="152"/>
      <c r="K61" s="644"/>
      <c r="L61" s="644">
        <f>$D$61/2</f>
        <v>53.241391509433967</v>
      </c>
      <c r="M61" s="644">
        <f>$D$61/2</f>
        <v>53.241391509433967</v>
      </c>
      <c r="N61" s="646"/>
    </row>
    <row r="62" spans="2:14" x14ac:dyDescent="0.2">
      <c r="B62" s="1250"/>
      <c r="C62" s="1252"/>
      <c r="D62" s="152"/>
      <c r="E62" s="152"/>
      <c r="F62" s="152"/>
      <c r="G62" s="152"/>
      <c r="H62" s="152"/>
      <c r="I62" s="152"/>
      <c r="J62" s="152"/>
      <c r="K62" s="644">
        <f>C61</f>
        <v>101584.57500000001</v>
      </c>
      <c r="L62" s="644"/>
      <c r="M62" s="645"/>
      <c r="N62" s="646"/>
    </row>
    <row r="63" spans="2:14" x14ac:dyDescent="0.2">
      <c r="B63" s="775" t="s">
        <v>41</v>
      </c>
      <c r="C63" s="808">
        <f>SUM(C57:C62)</f>
        <v>361319.625</v>
      </c>
      <c r="D63" s="807">
        <f>SUM(D57:D61)</f>
        <v>378.74174528301887</v>
      </c>
      <c r="E63" s="152"/>
      <c r="F63" s="152"/>
      <c r="G63" s="152"/>
      <c r="H63" s="152"/>
      <c r="I63" s="152"/>
      <c r="J63" s="152"/>
      <c r="K63" s="152"/>
      <c r="L63" s="152"/>
      <c r="M63" s="152"/>
      <c r="N63" s="474"/>
    </row>
    <row r="64" spans="2:14" ht="13.5" thickBot="1" x14ac:dyDescent="0.25">
      <c r="B64" s="112"/>
      <c r="C64" s="441"/>
      <c r="D64" s="477"/>
      <c r="E64" s="440"/>
      <c r="F64" s="440"/>
      <c r="G64" s="440"/>
      <c r="H64" s="440"/>
      <c r="I64" s="440"/>
      <c r="J64" s="440"/>
      <c r="K64" s="440"/>
      <c r="L64" s="440"/>
      <c r="M64" s="440"/>
      <c r="N64" s="589"/>
    </row>
    <row r="65" spans="2:14" x14ac:dyDescent="0.2">
      <c r="B65" s="1238" t="s">
        <v>241</v>
      </c>
      <c r="C65" s="1251"/>
      <c r="D65" s="521" t="s">
        <v>242</v>
      </c>
      <c r="E65" s="536">
        <f>E58</f>
        <v>104277.59999999999</v>
      </c>
      <c r="F65" s="536">
        <f t="shared" ref="F65:G65" si="22">F58</f>
        <v>0</v>
      </c>
      <c r="G65" s="536">
        <f t="shared" si="22"/>
        <v>0</v>
      </c>
      <c r="H65" s="536">
        <f>H60</f>
        <v>0</v>
      </c>
      <c r="I65" s="536">
        <f t="shared" ref="I65:J65" si="23">I60</f>
        <v>155457.45000000001</v>
      </c>
      <c r="J65" s="536">
        <f t="shared" si="23"/>
        <v>0</v>
      </c>
      <c r="K65" s="536">
        <f>K62</f>
        <v>101584.57500000001</v>
      </c>
      <c r="L65" s="536">
        <f t="shared" ref="L65:N65" si="24">L62</f>
        <v>0</v>
      </c>
      <c r="M65" s="536">
        <f t="shared" si="24"/>
        <v>0</v>
      </c>
      <c r="N65" s="537">
        <f t="shared" si="24"/>
        <v>0</v>
      </c>
    </row>
    <row r="66" spans="2:14" ht="13.5" thickBot="1" x14ac:dyDescent="0.25">
      <c r="B66" s="1084"/>
      <c r="C66" s="1085"/>
      <c r="D66" s="588" t="s">
        <v>249</v>
      </c>
      <c r="E66" s="538">
        <f>E57</f>
        <v>0</v>
      </c>
      <c r="F66" s="538">
        <f t="shared" ref="F66:G66" si="25">F57</f>
        <v>54.652830188679239</v>
      </c>
      <c r="G66" s="538">
        <f t="shared" si="25"/>
        <v>54.652830188679239</v>
      </c>
      <c r="H66" s="538">
        <f>H59</f>
        <v>0</v>
      </c>
      <c r="I66" s="538">
        <f t="shared" ref="I66:J66" si="26">I59</f>
        <v>81.476650943396237</v>
      </c>
      <c r="J66" s="538">
        <f t="shared" si="26"/>
        <v>81.476650943396237</v>
      </c>
      <c r="K66" s="538">
        <f>K61</f>
        <v>0</v>
      </c>
      <c r="L66" s="538">
        <f t="shared" ref="L66:N66" si="27">L61</f>
        <v>53.241391509433967</v>
      </c>
      <c r="M66" s="538">
        <f t="shared" si="27"/>
        <v>53.241391509433967</v>
      </c>
      <c r="N66" s="614">
        <f t="shared" si="27"/>
        <v>0</v>
      </c>
    </row>
    <row r="71" spans="2:14" x14ac:dyDescent="0.2">
      <c r="B71" s="136"/>
    </row>
    <row r="72" spans="2:14" x14ac:dyDescent="0.2">
      <c r="B72" s="133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</row>
    <row r="75" spans="2:14" x14ac:dyDescent="0.2">
      <c r="B75" s="136"/>
    </row>
    <row r="76" spans="2:14" x14ac:dyDescent="0.2">
      <c r="B76" s="264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</row>
  </sheetData>
  <mergeCells count="12">
    <mergeCell ref="K3:N3"/>
    <mergeCell ref="H3:J3"/>
    <mergeCell ref="E3:G3"/>
    <mergeCell ref="B51:C51"/>
    <mergeCell ref="B57:B58"/>
    <mergeCell ref="B59:B60"/>
    <mergeCell ref="B61:B62"/>
    <mergeCell ref="B54:N54"/>
    <mergeCell ref="B65:C66"/>
    <mergeCell ref="C61:C62"/>
    <mergeCell ref="C59:C60"/>
    <mergeCell ref="C57:C58"/>
  </mergeCells>
  <conditionalFormatting sqref="B47:C47 B37 B3:D3 B76:C76 E60:J60 O76:XFD76 A54 E47:N47 D37:XFD37 A55:N55 A48:N50 C70:XFD70 C56:XFD56 A2:L2 O2:XFD3 L60:XFD60 A4:XFD6 A38:XFD46 A71:XFD75 E57:XFD59 A8:XFD14 A7 C7:XFD7 A16:XFD22 A15 C15:XFD15 A24:XFD36 A23 C23:XFD23 D67:XFD69 E65:XFD66 O47:XFD55 D51:N53 C64:XFD64 E61:XFD63 C61 C59 C57 C63:N64 A77:XFD1048576">
    <cfRule type="cellIs" dxfId="188" priority="52" operator="lessThan">
      <formula>0</formula>
    </cfRule>
  </conditionalFormatting>
  <conditionalFormatting sqref="C12">
    <cfRule type="cellIs" dxfId="187" priority="50" operator="lessThan">
      <formula>0</formula>
    </cfRule>
  </conditionalFormatting>
  <conditionalFormatting sqref="E13:N13">
    <cfRule type="cellIs" dxfId="186" priority="49" operator="lessThan">
      <formula>0</formula>
    </cfRule>
  </conditionalFormatting>
  <conditionalFormatting sqref="C14:C30">
    <cfRule type="cellIs" dxfId="185" priority="48" operator="lessThan">
      <formula>0</formula>
    </cfRule>
  </conditionalFormatting>
  <conditionalFormatting sqref="D48">
    <cfRule type="cellIs" dxfId="184" priority="45" operator="lessThan">
      <formula>0</formula>
    </cfRule>
  </conditionalFormatting>
  <conditionalFormatting sqref="O44">
    <cfRule type="cellIs" dxfId="183" priority="41" operator="lessThan">
      <formula>0</formula>
    </cfRule>
  </conditionalFormatting>
  <conditionalFormatting sqref="D47">
    <cfRule type="cellIs" dxfId="182" priority="38" operator="lessThan">
      <formula>0</formula>
    </cfRule>
  </conditionalFormatting>
  <conditionalFormatting sqref="E52:I52">
    <cfRule type="cellIs" dxfId="181" priority="37" operator="lessThan">
      <formula>0</formula>
    </cfRule>
  </conditionalFormatting>
  <conditionalFormatting sqref="B53:C53">
    <cfRule type="cellIs" dxfId="180" priority="32" operator="lessThan">
      <formula>0</formula>
    </cfRule>
  </conditionalFormatting>
  <conditionalFormatting sqref="D67:D69">
    <cfRule type="cellIs" dxfId="179" priority="31" operator="lessThan">
      <formula>0</formula>
    </cfRule>
  </conditionalFormatting>
  <conditionalFormatting sqref="D57:D61">
    <cfRule type="cellIs" dxfId="178" priority="27" operator="lessThan">
      <formula>0</formula>
    </cfRule>
  </conditionalFormatting>
  <conditionalFormatting sqref="D57:D61">
    <cfRule type="cellIs" dxfId="177" priority="26" operator="lessThan">
      <formula>0</formula>
    </cfRule>
  </conditionalFormatting>
  <conditionalFormatting sqref="C20">
    <cfRule type="cellIs" dxfId="176" priority="25" operator="lessThan">
      <formula>0</formula>
    </cfRule>
  </conditionalFormatting>
  <conditionalFormatting sqref="E21:N21">
    <cfRule type="cellIs" dxfId="175" priority="24" operator="lessThan">
      <formula>0</formula>
    </cfRule>
  </conditionalFormatting>
  <conditionalFormatting sqref="C28">
    <cfRule type="cellIs" dxfId="174" priority="23" operator="lessThan">
      <formula>0</formula>
    </cfRule>
  </conditionalFormatting>
  <conditionalFormatting sqref="E29:N29">
    <cfRule type="cellIs" dxfId="173" priority="22" operator="lessThan">
      <formula>0</formula>
    </cfRule>
  </conditionalFormatting>
  <conditionalFormatting sqref="D76:N76">
    <cfRule type="cellIs" dxfId="172" priority="21" operator="lessThan">
      <formula>0</formula>
    </cfRule>
  </conditionalFormatting>
  <conditionalFormatting sqref="B52:C52">
    <cfRule type="cellIs" dxfId="171" priority="13" operator="lessThan">
      <formula>0</formula>
    </cfRule>
  </conditionalFormatting>
  <conditionalFormatting sqref="B51 B52:C52">
    <cfRule type="cellIs" dxfId="170" priority="12" operator="lessThan">
      <formula>0</formula>
    </cfRule>
  </conditionalFormatting>
  <conditionalFormatting sqref="B52:C52">
    <cfRule type="cellIs" dxfId="169" priority="11" operator="lessThan">
      <formula>0</formula>
    </cfRule>
  </conditionalFormatting>
  <conditionalFormatting sqref="B57:B62">
    <cfRule type="cellIs" dxfId="168" priority="9" operator="lessThan">
      <formula>0</formula>
    </cfRule>
  </conditionalFormatting>
  <conditionalFormatting sqref="B54">
    <cfRule type="cellIs" dxfId="167" priority="8" operator="lessThan">
      <formula>0</formula>
    </cfRule>
  </conditionalFormatting>
  <conditionalFormatting sqref="B23 B15 B7">
    <cfRule type="cellIs" dxfId="166" priority="7" operator="lessThan">
      <formula>0</formula>
    </cfRule>
  </conditionalFormatting>
  <conditionalFormatting sqref="B65">
    <cfRule type="cellIs" dxfId="165" priority="6" operator="lessThan">
      <formula>0</formula>
    </cfRule>
  </conditionalFormatting>
  <conditionalFormatting sqref="D65:D66">
    <cfRule type="cellIs" dxfId="164" priority="5" operator="lessThan">
      <formula>0</formula>
    </cfRule>
  </conditionalFormatting>
  <conditionalFormatting sqref="E3 K3 H3">
    <cfRule type="cellIs" dxfId="163" priority="4" operator="lessThan">
      <formula>0</formula>
    </cfRule>
  </conditionalFormatting>
  <conditionalFormatting sqref="C37">
    <cfRule type="cellIs" dxfId="162" priority="2" operator="lessThan">
      <formula>0</formula>
    </cfRule>
  </conditionalFormatting>
  <conditionalFormatting sqref="M2:N2">
    <cfRule type="cellIs" dxfId="161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C1F45-1761-4284-9120-02ECD5C9A3D2}">
  <dimension ref="B1:N89"/>
  <sheetViews>
    <sheetView topLeftCell="B41" zoomScale="85" zoomScaleNormal="85" workbookViewId="0">
      <selection activeCell="N46" sqref="C46:N46"/>
    </sheetView>
  </sheetViews>
  <sheetFormatPr defaultColWidth="9.140625" defaultRowHeight="12.75" x14ac:dyDescent="0.2"/>
  <cols>
    <col min="1" max="1" width="9.140625" style="6"/>
    <col min="2" max="2" width="31.140625" style="6" bestFit="1" customWidth="1"/>
    <col min="3" max="3" width="13.42578125" style="9" bestFit="1" customWidth="1"/>
    <col min="4" max="4" width="16.7109375" style="10" customWidth="1"/>
    <col min="5" max="5" width="22.28515625" style="33" customWidth="1"/>
    <col min="6" max="6" width="26.140625" style="33" customWidth="1"/>
    <col min="7" max="7" width="23.85546875" style="33" customWidth="1"/>
    <col min="8" max="8" width="20.7109375" style="33" customWidth="1"/>
    <col min="9" max="9" width="12.85546875" style="33" bestFit="1" customWidth="1"/>
    <col min="10" max="10" width="11.42578125" style="33" bestFit="1" customWidth="1"/>
    <col min="11" max="11" width="11.28515625" style="33" bestFit="1" customWidth="1"/>
    <col min="12" max="12" width="12.85546875" style="33" bestFit="1" customWidth="1"/>
    <col min="13" max="13" width="11.28515625" style="33" bestFit="1" customWidth="1"/>
    <col min="14" max="14" width="12.140625" style="33" bestFit="1" customWidth="1"/>
    <col min="15" max="16384" width="9.140625" style="6"/>
  </cols>
  <sheetData>
    <row r="1" spans="2:14" ht="13.5" thickBot="1" x14ac:dyDescent="0.25">
      <c r="D1" s="414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2:14" ht="15.75" thickBot="1" x14ac:dyDescent="0.25">
      <c r="B2" s="113"/>
      <c r="C2" s="518"/>
      <c r="D2" s="519"/>
      <c r="E2" s="576"/>
      <c r="F2" s="576"/>
      <c r="G2" s="576"/>
      <c r="H2" s="576"/>
      <c r="I2" s="576"/>
      <c r="J2" s="576"/>
      <c r="K2" s="576"/>
      <c r="L2" s="576"/>
      <c r="M2" s="952" t="s">
        <v>1</v>
      </c>
      <c r="N2" s="953" t="s">
        <v>105</v>
      </c>
    </row>
    <row r="3" spans="2:14" x14ac:dyDescent="0.2">
      <c r="B3" s="112"/>
      <c r="C3" s="441"/>
      <c r="D3" s="455"/>
      <c r="E3" s="1235" t="s">
        <v>2</v>
      </c>
      <c r="F3" s="1235"/>
      <c r="G3" s="1235"/>
      <c r="H3" s="1234" t="s">
        <v>207</v>
      </c>
      <c r="I3" s="1234"/>
      <c r="J3" s="1234"/>
      <c r="K3" s="1247" t="s">
        <v>208</v>
      </c>
      <c r="L3" s="1247"/>
      <c r="M3" s="1247"/>
      <c r="N3" s="1248"/>
    </row>
    <row r="4" spans="2:14" x14ac:dyDescent="0.2">
      <c r="B4" s="112"/>
      <c r="C4" s="441"/>
      <c r="D4" s="456">
        <v>0</v>
      </c>
      <c r="E4" s="427">
        <f>D4+1</f>
        <v>1</v>
      </c>
      <c r="F4" s="427">
        <f t="shared" ref="F4:N5" si="0">E4+1</f>
        <v>2</v>
      </c>
      <c r="G4" s="427">
        <f t="shared" si="0"/>
        <v>3</v>
      </c>
      <c r="H4" s="434">
        <f t="shared" si="0"/>
        <v>4</v>
      </c>
      <c r="I4" s="434">
        <f t="shared" si="0"/>
        <v>5</v>
      </c>
      <c r="J4" s="434">
        <f t="shared" si="0"/>
        <v>6</v>
      </c>
      <c r="K4" s="428">
        <f t="shared" si="0"/>
        <v>7</v>
      </c>
      <c r="L4" s="428">
        <f t="shared" si="0"/>
        <v>8</v>
      </c>
      <c r="M4" s="428">
        <f t="shared" si="0"/>
        <v>9</v>
      </c>
      <c r="N4" s="458">
        <f t="shared" si="0"/>
        <v>10</v>
      </c>
    </row>
    <row r="5" spans="2:14" ht="13.5" thickBot="1" x14ac:dyDescent="0.25">
      <c r="B5" s="112"/>
      <c r="C5" s="441" t="s">
        <v>52</v>
      </c>
      <c r="D5" s="457" t="str">
        <f>'Summary Board'!E4</f>
        <v>2020-2021</v>
      </c>
      <c r="E5" s="415">
        <f>'Summary Board'!F4</f>
        <v>2022</v>
      </c>
      <c r="F5" s="415">
        <f>E5+1</f>
        <v>2023</v>
      </c>
      <c r="G5" s="415">
        <f t="shared" si="0"/>
        <v>2024</v>
      </c>
      <c r="H5" s="435">
        <f t="shared" si="0"/>
        <v>2025</v>
      </c>
      <c r="I5" s="435">
        <f t="shared" si="0"/>
        <v>2026</v>
      </c>
      <c r="J5" s="435">
        <f t="shared" si="0"/>
        <v>2027</v>
      </c>
      <c r="K5" s="433">
        <f t="shared" si="0"/>
        <v>2028</v>
      </c>
      <c r="L5" s="433">
        <f t="shared" si="0"/>
        <v>2029</v>
      </c>
      <c r="M5" s="433">
        <f t="shared" si="0"/>
        <v>2030</v>
      </c>
      <c r="N5" s="459">
        <f t="shared" si="0"/>
        <v>2031</v>
      </c>
    </row>
    <row r="6" spans="2:14" ht="15.75" thickBot="1" x14ac:dyDescent="0.25">
      <c r="B6" s="561" t="s">
        <v>60</v>
      </c>
      <c r="C6" s="482"/>
      <c r="D6" s="483"/>
      <c r="E6" s="562"/>
      <c r="F6" s="562"/>
      <c r="G6" s="562"/>
      <c r="H6" s="562"/>
      <c r="I6" s="562"/>
      <c r="J6" s="562"/>
      <c r="K6" s="562"/>
      <c r="L6" s="562"/>
      <c r="M6" s="562"/>
      <c r="N6" s="563"/>
    </row>
    <row r="7" spans="2:14" ht="15" x14ac:dyDescent="0.2">
      <c r="B7" s="632"/>
      <c r="C7" s="441"/>
      <c r="D7" s="451"/>
      <c r="E7" s="289"/>
      <c r="F7" s="289"/>
      <c r="G7" s="289"/>
      <c r="H7" s="288"/>
      <c r="I7" s="288"/>
      <c r="J7" s="288"/>
      <c r="K7" s="287"/>
      <c r="L7" s="287"/>
      <c r="M7" s="287"/>
      <c r="N7" s="566"/>
    </row>
    <row r="8" spans="2:14" x14ac:dyDescent="0.2">
      <c r="B8" s="526" t="s">
        <v>53</v>
      </c>
      <c r="C8" s="443">
        <v>0.02</v>
      </c>
      <c r="D8" s="445"/>
      <c r="E8" s="510"/>
      <c r="F8" s="510"/>
      <c r="G8" s="510"/>
      <c r="H8" s="511"/>
      <c r="I8" s="511"/>
      <c r="J8" s="511"/>
      <c r="K8" s="512"/>
      <c r="L8" s="512"/>
      <c r="M8" s="512"/>
      <c r="N8" s="515"/>
    </row>
    <row r="9" spans="2:14" x14ac:dyDescent="0.2">
      <c r="B9" s="526" t="s">
        <v>109</v>
      </c>
      <c r="C9" s="441"/>
      <c r="D9" s="445"/>
      <c r="E9" s="431">
        <f t="shared" ref="E9:N9" si="1">ROUND(E62/$C$12,0)</f>
        <v>0</v>
      </c>
      <c r="F9" s="431">
        <f t="shared" si="1"/>
        <v>85</v>
      </c>
      <c r="G9" s="431">
        <f t="shared" si="1"/>
        <v>0</v>
      </c>
      <c r="H9" s="555">
        <f t="shared" si="1"/>
        <v>0</v>
      </c>
      <c r="I9" s="555">
        <f t="shared" si="1"/>
        <v>0</v>
      </c>
      <c r="J9" s="555">
        <f t="shared" si="1"/>
        <v>0</v>
      </c>
      <c r="K9" s="276">
        <f t="shared" si="1"/>
        <v>0</v>
      </c>
      <c r="L9" s="276">
        <f t="shared" si="1"/>
        <v>0</v>
      </c>
      <c r="M9" s="276">
        <f t="shared" si="1"/>
        <v>0</v>
      </c>
      <c r="N9" s="467">
        <f t="shared" si="1"/>
        <v>0</v>
      </c>
    </row>
    <row r="10" spans="2:14" x14ac:dyDescent="0.2">
      <c r="B10" s="526" t="s">
        <v>61</v>
      </c>
      <c r="C10" s="441"/>
      <c r="D10" s="451"/>
      <c r="E10" s="244">
        <f>E11-SUM($D$10:D10)</f>
        <v>34</v>
      </c>
      <c r="F10" s="244">
        <f>F11-SUM($D$10:E10)</f>
        <v>47</v>
      </c>
      <c r="G10" s="244">
        <f>G11-SUM($D$10:F10)</f>
        <v>3</v>
      </c>
      <c r="H10" s="509">
        <f>H11-SUM($D$10:G10)</f>
        <v>1</v>
      </c>
      <c r="I10" s="509">
        <f>I11-SUM($D$10:H10)</f>
        <v>0</v>
      </c>
      <c r="J10" s="509">
        <f>J11-SUM($D$10:I10)</f>
        <v>0</v>
      </c>
      <c r="K10" s="426">
        <f>K11-SUM($D$10:J10)</f>
        <v>0</v>
      </c>
      <c r="L10" s="426">
        <f>L11-SUM($D$10:K10)</f>
        <v>0</v>
      </c>
      <c r="M10" s="426">
        <f>M11-SUM($D$10:L10)</f>
        <v>0</v>
      </c>
      <c r="N10" s="514">
        <f>N11-SUM($D$10:M10)</f>
        <v>0</v>
      </c>
    </row>
    <row r="11" spans="2:14" x14ac:dyDescent="0.2">
      <c r="B11" s="526" t="s">
        <v>110</v>
      </c>
      <c r="C11" s="441">
        <f>N11</f>
        <v>85</v>
      </c>
      <c r="D11" s="451"/>
      <c r="E11" s="244">
        <f t="shared" ref="E11:N11" si="2">ROUND($D$62*E15,0)</f>
        <v>34</v>
      </c>
      <c r="F11" s="244">
        <f t="shared" si="2"/>
        <v>81</v>
      </c>
      <c r="G11" s="244">
        <f t="shared" si="2"/>
        <v>84</v>
      </c>
      <c r="H11" s="509">
        <f t="shared" si="2"/>
        <v>85</v>
      </c>
      <c r="I11" s="509">
        <f t="shared" si="2"/>
        <v>85</v>
      </c>
      <c r="J11" s="509">
        <f t="shared" si="2"/>
        <v>85</v>
      </c>
      <c r="K11" s="426">
        <f t="shared" si="2"/>
        <v>85</v>
      </c>
      <c r="L11" s="426">
        <f t="shared" si="2"/>
        <v>85</v>
      </c>
      <c r="M11" s="426">
        <f t="shared" si="2"/>
        <v>85</v>
      </c>
      <c r="N11" s="514">
        <f t="shared" si="2"/>
        <v>85</v>
      </c>
    </row>
    <row r="12" spans="2:14" x14ac:dyDescent="0.2">
      <c r="B12" s="526" t="s">
        <v>62</v>
      </c>
      <c r="C12" s="574">
        <f>'2. Market-Rate Rental'!C12</f>
        <v>953.5</v>
      </c>
      <c r="D12" s="451"/>
      <c r="E12" s="244"/>
      <c r="F12" s="244"/>
      <c r="G12" s="244"/>
      <c r="H12" s="509"/>
      <c r="I12" s="509"/>
      <c r="J12" s="509"/>
      <c r="K12" s="426"/>
      <c r="L12" s="426"/>
      <c r="M12" s="426"/>
      <c r="N12" s="514"/>
    </row>
    <row r="13" spans="2:14" x14ac:dyDescent="0.2">
      <c r="B13" s="526" t="s">
        <v>63</v>
      </c>
      <c r="C13" s="441"/>
      <c r="D13" s="451"/>
      <c r="E13" s="556">
        <f>SUM($E$9:E9)*$C$12</f>
        <v>0</v>
      </c>
      <c r="F13" s="556">
        <f>SUM($E$9:F9)*$C$12</f>
        <v>81047.5</v>
      </c>
      <c r="G13" s="556">
        <f>SUM($E$9:G9)*$C$12</f>
        <v>81047.5</v>
      </c>
      <c r="H13" s="557">
        <f>SUM($E$9:H9)*$C$12</f>
        <v>81047.5</v>
      </c>
      <c r="I13" s="557">
        <f>SUM($E$9:I9)*$C$12</f>
        <v>81047.5</v>
      </c>
      <c r="J13" s="557">
        <f>SUM($E$9:J9)*$C$12</f>
        <v>81047.5</v>
      </c>
      <c r="K13" s="558">
        <f>SUM($E$9:K9)*$C$12</f>
        <v>81047.5</v>
      </c>
      <c r="L13" s="558">
        <f>SUM($E$9:L9)*$C$12</f>
        <v>81047.5</v>
      </c>
      <c r="M13" s="558">
        <f>SUM($E$9:M9)*$C$12</f>
        <v>81047.5</v>
      </c>
      <c r="N13" s="567">
        <f>SUM($E$9:N9)*$C$12</f>
        <v>81047.5</v>
      </c>
    </row>
    <row r="14" spans="2:14" x14ac:dyDescent="0.2">
      <c r="B14" s="526" t="s">
        <v>64</v>
      </c>
      <c r="C14" s="449">
        <f>E77</f>
        <v>1.1299999999999999</v>
      </c>
      <c r="D14" s="450">
        <f>C14</f>
        <v>1.1299999999999999</v>
      </c>
      <c r="E14" s="210">
        <f>$D$14*(1+$C$8)^E4</f>
        <v>1.1525999999999998</v>
      </c>
      <c r="F14" s="210">
        <f t="shared" ref="F14:N14" si="3">$D$14*(1+$C$8)^F4</f>
        <v>1.1756519999999999</v>
      </c>
      <c r="G14" s="210">
        <f t="shared" si="3"/>
        <v>1.1991650399999998</v>
      </c>
      <c r="H14" s="213">
        <f t="shared" si="3"/>
        <v>1.2231483407999999</v>
      </c>
      <c r="I14" s="213">
        <f t="shared" si="3"/>
        <v>1.2476113076159998</v>
      </c>
      <c r="J14" s="213">
        <f t="shared" si="3"/>
        <v>1.2725635337683199</v>
      </c>
      <c r="K14" s="216">
        <f t="shared" si="3"/>
        <v>1.2980148044436861</v>
      </c>
      <c r="L14" s="216">
        <f t="shared" si="3"/>
        <v>1.32397510053256</v>
      </c>
      <c r="M14" s="216">
        <f t="shared" si="3"/>
        <v>1.3504546025432111</v>
      </c>
      <c r="N14" s="462">
        <f t="shared" si="3"/>
        <v>1.3774636945940755</v>
      </c>
    </row>
    <row r="15" spans="2:14" x14ac:dyDescent="0.2">
      <c r="B15" s="526" t="s">
        <v>65</v>
      </c>
      <c r="C15" s="575"/>
      <c r="D15" s="531">
        <v>0</v>
      </c>
      <c r="E15" s="245">
        <v>0.4</v>
      </c>
      <c r="F15" s="245">
        <v>0.95</v>
      </c>
      <c r="G15" s="245">
        <v>0.99</v>
      </c>
      <c r="H15" s="265">
        <v>1</v>
      </c>
      <c r="I15" s="265">
        <v>1</v>
      </c>
      <c r="J15" s="265">
        <v>1</v>
      </c>
      <c r="K15" s="266">
        <v>1</v>
      </c>
      <c r="L15" s="266">
        <v>1</v>
      </c>
      <c r="M15" s="266">
        <v>1</v>
      </c>
      <c r="N15" s="568">
        <v>1</v>
      </c>
    </row>
    <row r="16" spans="2:14" x14ac:dyDescent="0.2">
      <c r="B16" s="526"/>
      <c r="C16" s="575"/>
      <c r="D16" s="531"/>
      <c r="E16" s="245"/>
      <c r="F16" s="245"/>
      <c r="G16" s="245"/>
      <c r="H16" s="265"/>
      <c r="I16" s="265"/>
      <c r="J16" s="265"/>
      <c r="K16" s="266"/>
      <c r="L16" s="266"/>
      <c r="M16" s="266"/>
      <c r="N16" s="568"/>
    </row>
    <row r="17" spans="2:14" x14ac:dyDescent="0.2">
      <c r="B17" s="526" t="s">
        <v>53</v>
      </c>
      <c r="C17" s="443">
        <v>0.02</v>
      </c>
      <c r="D17" s="445"/>
      <c r="E17" s="510"/>
      <c r="F17" s="510"/>
      <c r="G17" s="510"/>
      <c r="H17" s="511"/>
      <c r="I17" s="511"/>
      <c r="J17" s="511"/>
      <c r="K17" s="512"/>
      <c r="L17" s="512"/>
      <c r="M17" s="512"/>
      <c r="N17" s="515"/>
    </row>
    <row r="18" spans="2:14" x14ac:dyDescent="0.2">
      <c r="B18" s="526" t="s">
        <v>109</v>
      </c>
      <c r="C18" s="441"/>
      <c r="D18" s="445"/>
      <c r="E18" s="431">
        <f t="shared" ref="E18:N18" si="4">ROUND(E63/$C$12,0)</f>
        <v>0</v>
      </c>
      <c r="F18" s="431">
        <f t="shared" si="4"/>
        <v>0</v>
      </c>
      <c r="G18" s="431">
        <f t="shared" si="4"/>
        <v>0</v>
      </c>
      <c r="H18" s="555">
        <f t="shared" si="4"/>
        <v>0</v>
      </c>
      <c r="I18" s="555">
        <f t="shared" si="4"/>
        <v>127</v>
      </c>
      <c r="J18" s="555">
        <f t="shared" si="4"/>
        <v>0</v>
      </c>
      <c r="K18" s="276">
        <f t="shared" si="4"/>
        <v>0</v>
      </c>
      <c r="L18" s="276">
        <f t="shared" si="4"/>
        <v>0</v>
      </c>
      <c r="M18" s="276">
        <f t="shared" si="4"/>
        <v>0</v>
      </c>
      <c r="N18" s="467">
        <f t="shared" si="4"/>
        <v>0</v>
      </c>
    </row>
    <row r="19" spans="2:14" x14ac:dyDescent="0.2">
      <c r="B19" s="526" t="s">
        <v>61</v>
      </c>
      <c r="C19" s="441"/>
      <c r="D19" s="451"/>
      <c r="E19" s="244">
        <f>E20-SUM($D$19:D19)</f>
        <v>0</v>
      </c>
      <c r="F19" s="244">
        <f>F20-SUM($D$19:E19)</f>
        <v>0</v>
      </c>
      <c r="G19" s="244">
        <f>G20-SUM($D$19:F19)</f>
        <v>0</v>
      </c>
      <c r="H19" s="509">
        <f>H20-SUM($D$19:G19)</f>
        <v>51</v>
      </c>
      <c r="I19" s="509">
        <f>I20-SUM($D$19:H19)</f>
        <v>69</v>
      </c>
      <c r="J19" s="509">
        <f>J20-SUM($D$19:I19)</f>
        <v>6</v>
      </c>
      <c r="K19" s="426">
        <f>K20-SUM($D$19:J19)</f>
        <v>1</v>
      </c>
      <c r="L19" s="426">
        <f>L20-SUM($D$19:K19)</f>
        <v>0</v>
      </c>
      <c r="M19" s="426">
        <f>M20-SUM($D$19:L19)</f>
        <v>0</v>
      </c>
      <c r="N19" s="514">
        <f>N20-SUM($D$19:M19)</f>
        <v>0</v>
      </c>
    </row>
    <row r="20" spans="2:14" x14ac:dyDescent="0.2">
      <c r="B20" s="526" t="s">
        <v>110</v>
      </c>
      <c r="C20" s="441">
        <f>N20</f>
        <v>127</v>
      </c>
      <c r="D20" s="451"/>
      <c r="E20" s="244">
        <f t="shared" ref="E20:N20" si="5">ROUND($D$63*E24,0)</f>
        <v>0</v>
      </c>
      <c r="F20" s="244">
        <f t="shared" si="5"/>
        <v>0</v>
      </c>
      <c r="G20" s="244">
        <f t="shared" si="5"/>
        <v>0</v>
      </c>
      <c r="H20" s="509">
        <f t="shared" si="5"/>
        <v>51</v>
      </c>
      <c r="I20" s="509">
        <f t="shared" si="5"/>
        <v>120</v>
      </c>
      <c r="J20" s="509">
        <f t="shared" si="5"/>
        <v>126</v>
      </c>
      <c r="K20" s="426">
        <f t="shared" si="5"/>
        <v>127</v>
      </c>
      <c r="L20" s="426">
        <f t="shared" si="5"/>
        <v>127</v>
      </c>
      <c r="M20" s="426">
        <f t="shared" si="5"/>
        <v>127</v>
      </c>
      <c r="N20" s="514">
        <f t="shared" si="5"/>
        <v>127</v>
      </c>
    </row>
    <row r="21" spans="2:14" x14ac:dyDescent="0.2">
      <c r="B21" s="526" t="s">
        <v>62</v>
      </c>
      <c r="C21" s="574">
        <f>C12</f>
        <v>953.5</v>
      </c>
      <c r="D21" s="451"/>
      <c r="E21" s="244"/>
      <c r="F21" s="244"/>
      <c r="G21" s="244"/>
      <c r="H21" s="509"/>
      <c r="I21" s="509"/>
      <c r="J21" s="509"/>
      <c r="K21" s="426"/>
      <c r="L21" s="426"/>
      <c r="M21" s="426"/>
      <c r="N21" s="514"/>
    </row>
    <row r="22" spans="2:14" x14ac:dyDescent="0.2">
      <c r="B22" s="526" t="s">
        <v>63</v>
      </c>
      <c r="C22" s="441"/>
      <c r="D22" s="451"/>
      <c r="E22" s="556">
        <f>SUM($E$18:E18)*$C$21</f>
        <v>0</v>
      </c>
      <c r="F22" s="556">
        <f>SUM($E$18:F18)*$C$21</f>
        <v>0</v>
      </c>
      <c r="G22" s="556">
        <f>SUM($E$18:G18)*$C$21</f>
        <v>0</v>
      </c>
      <c r="H22" s="557">
        <f>SUM($E$18:H18)*$C$21</f>
        <v>0</v>
      </c>
      <c r="I22" s="557">
        <f>SUM($E$18:I18)*$C$21</f>
        <v>121094.5</v>
      </c>
      <c r="J22" s="557">
        <f>SUM($E$18:J18)*$C$21</f>
        <v>121094.5</v>
      </c>
      <c r="K22" s="558">
        <f>SUM($E$18:K18)*$C$21</f>
        <v>121094.5</v>
      </c>
      <c r="L22" s="558">
        <f>SUM($E$18:L18)*$C$21</f>
        <v>121094.5</v>
      </c>
      <c r="M22" s="558">
        <f>SUM($E$18:M18)*$C$21</f>
        <v>121094.5</v>
      </c>
      <c r="N22" s="567">
        <f>SUM($E$18:N18)*$C$21</f>
        <v>121094.5</v>
      </c>
    </row>
    <row r="23" spans="2:14" x14ac:dyDescent="0.2">
      <c r="B23" s="526" t="s">
        <v>64</v>
      </c>
      <c r="C23" s="449">
        <f>C14</f>
        <v>1.1299999999999999</v>
      </c>
      <c r="D23" s="450">
        <f>C23</f>
        <v>1.1299999999999999</v>
      </c>
      <c r="E23" s="210">
        <f>$D$23*(1+$C$17)^E22</f>
        <v>1.1299999999999999</v>
      </c>
      <c r="F23" s="210">
        <f t="shared" ref="F23:G23" si="6">$D$23*(1+$C$17)^F22</f>
        <v>1.1299999999999999</v>
      </c>
      <c r="G23" s="210">
        <f t="shared" si="6"/>
        <v>1.1299999999999999</v>
      </c>
      <c r="H23" s="213">
        <f>$D$23*(1+$C$17)^H4</f>
        <v>1.2231483407999999</v>
      </c>
      <c r="I23" s="213">
        <f t="shared" ref="I23:N23" si="7">$D$23*(1+$C$17)^I4</f>
        <v>1.2476113076159998</v>
      </c>
      <c r="J23" s="213">
        <f t="shared" si="7"/>
        <v>1.2725635337683199</v>
      </c>
      <c r="K23" s="216">
        <f t="shared" si="7"/>
        <v>1.2980148044436861</v>
      </c>
      <c r="L23" s="216">
        <f t="shared" si="7"/>
        <v>1.32397510053256</v>
      </c>
      <c r="M23" s="216">
        <f t="shared" si="7"/>
        <v>1.3504546025432111</v>
      </c>
      <c r="N23" s="462">
        <f t="shared" si="7"/>
        <v>1.3774636945940755</v>
      </c>
    </row>
    <row r="24" spans="2:14" x14ac:dyDescent="0.2">
      <c r="B24" s="526" t="s">
        <v>65</v>
      </c>
      <c r="C24" s="575"/>
      <c r="D24" s="531">
        <v>0</v>
      </c>
      <c r="E24" s="245">
        <v>0</v>
      </c>
      <c r="F24" s="245">
        <v>0</v>
      </c>
      <c r="G24" s="245">
        <v>0</v>
      </c>
      <c r="H24" s="265">
        <v>0.4</v>
      </c>
      <c r="I24" s="265">
        <v>0.95</v>
      </c>
      <c r="J24" s="265">
        <v>0.99</v>
      </c>
      <c r="K24" s="266">
        <v>1</v>
      </c>
      <c r="L24" s="266">
        <v>1</v>
      </c>
      <c r="M24" s="266">
        <v>1</v>
      </c>
      <c r="N24" s="568">
        <v>1</v>
      </c>
    </row>
    <row r="25" spans="2:14" x14ac:dyDescent="0.2">
      <c r="B25" s="526"/>
      <c r="C25" s="575"/>
      <c r="D25" s="531"/>
      <c r="E25" s="245"/>
      <c r="F25" s="245"/>
      <c r="G25" s="245"/>
      <c r="H25" s="265"/>
      <c r="I25" s="265"/>
      <c r="J25" s="265"/>
      <c r="K25" s="266"/>
      <c r="L25" s="266"/>
      <c r="M25" s="266"/>
      <c r="N25" s="568"/>
    </row>
    <row r="26" spans="2:14" x14ac:dyDescent="0.2">
      <c r="B26" s="526" t="s">
        <v>53</v>
      </c>
      <c r="C26" s="443">
        <v>0.02</v>
      </c>
      <c r="D26" s="445"/>
      <c r="E26" s="510"/>
      <c r="F26" s="510"/>
      <c r="G26" s="510"/>
      <c r="H26" s="511"/>
      <c r="I26" s="511"/>
      <c r="J26" s="511"/>
      <c r="K26" s="512"/>
      <c r="L26" s="512"/>
      <c r="M26" s="512"/>
      <c r="N26" s="515"/>
    </row>
    <row r="27" spans="2:14" x14ac:dyDescent="0.2">
      <c r="B27" s="526" t="s">
        <v>109</v>
      </c>
      <c r="C27" s="441"/>
      <c r="D27" s="445"/>
      <c r="E27" s="431">
        <f t="shared" ref="E27:N27" si="8">ROUND(E64/$C$30,0)</f>
        <v>0</v>
      </c>
      <c r="F27" s="431">
        <f t="shared" si="8"/>
        <v>0</v>
      </c>
      <c r="G27" s="431">
        <f t="shared" si="8"/>
        <v>0</v>
      </c>
      <c r="H27" s="555">
        <f t="shared" si="8"/>
        <v>0</v>
      </c>
      <c r="I27" s="555">
        <f t="shared" si="8"/>
        <v>0</v>
      </c>
      <c r="J27" s="555">
        <f t="shared" si="8"/>
        <v>0</v>
      </c>
      <c r="K27" s="276">
        <f t="shared" si="8"/>
        <v>0</v>
      </c>
      <c r="L27" s="276">
        <f t="shared" si="8"/>
        <v>83</v>
      </c>
      <c r="M27" s="276">
        <f t="shared" si="8"/>
        <v>0</v>
      </c>
      <c r="N27" s="467">
        <f t="shared" si="8"/>
        <v>0</v>
      </c>
    </row>
    <row r="28" spans="2:14" x14ac:dyDescent="0.2">
      <c r="B28" s="526" t="s">
        <v>61</v>
      </c>
      <c r="C28" s="441"/>
      <c r="D28" s="451"/>
      <c r="E28" s="244">
        <f>E29-SUM($D$28:D28)</f>
        <v>0</v>
      </c>
      <c r="F28" s="244">
        <f>F29-SUM($D$28:E28)</f>
        <v>0</v>
      </c>
      <c r="G28" s="244">
        <f>G29-SUM($D$28:F28)</f>
        <v>0</v>
      </c>
      <c r="H28" s="509">
        <f>H29-SUM($D$28:G28)</f>
        <v>0</v>
      </c>
      <c r="I28" s="509">
        <f>I29-SUM($D$28:H28)</f>
        <v>0</v>
      </c>
      <c r="J28" s="509">
        <f>J29-SUM($D$28:I28)</f>
        <v>0</v>
      </c>
      <c r="K28" s="426">
        <f>K29-SUM($D$28:J28)</f>
        <v>33</v>
      </c>
      <c r="L28" s="426">
        <f>L29-SUM($D$28:K28)</f>
        <v>46</v>
      </c>
      <c r="M28" s="426">
        <f>M29-SUM($D$28:L28)</f>
        <v>3</v>
      </c>
      <c r="N28" s="514">
        <f>N29-SUM($D$28:M28)</f>
        <v>0</v>
      </c>
    </row>
    <row r="29" spans="2:14" x14ac:dyDescent="0.2">
      <c r="B29" s="526" t="s">
        <v>110</v>
      </c>
      <c r="C29" s="441">
        <f>N29</f>
        <v>82</v>
      </c>
      <c r="D29" s="451"/>
      <c r="E29" s="244">
        <f t="shared" ref="E29:N29" si="9">ROUND($D$64*E33,0)</f>
        <v>0</v>
      </c>
      <c r="F29" s="244">
        <f t="shared" si="9"/>
        <v>0</v>
      </c>
      <c r="G29" s="244">
        <f t="shared" si="9"/>
        <v>0</v>
      </c>
      <c r="H29" s="509">
        <f t="shared" si="9"/>
        <v>0</v>
      </c>
      <c r="I29" s="509">
        <f t="shared" si="9"/>
        <v>0</v>
      </c>
      <c r="J29" s="509">
        <f t="shared" si="9"/>
        <v>0</v>
      </c>
      <c r="K29" s="426">
        <f t="shared" si="9"/>
        <v>33</v>
      </c>
      <c r="L29" s="426">
        <f t="shared" si="9"/>
        <v>79</v>
      </c>
      <c r="M29" s="426">
        <f t="shared" si="9"/>
        <v>82</v>
      </c>
      <c r="N29" s="514">
        <f t="shared" si="9"/>
        <v>82</v>
      </c>
    </row>
    <row r="30" spans="2:14" x14ac:dyDescent="0.2">
      <c r="B30" s="526" t="s">
        <v>62</v>
      </c>
      <c r="C30" s="574">
        <f>C21</f>
        <v>953.5</v>
      </c>
      <c r="D30" s="451"/>
      <c r="E30" s="244"/>
      <c r="F30" s="244"/>
      <c r="G30" s="244"/>
      <c r="H30" s="509"/>
      <c r="I30" s="509"/>
      <c r="J30" s="509"/>
      <c r="K30" s="426"/>
      <c r="L30" s="426"/>
      <c r="M30" s="426"/>
      <c r="N30" s="514"/>
    </row>
    <row r="31" spans="2:14" x14ac:dyDescent="0.2">
      <c r="B31" s="526" t="s">
        <v>63</v>
      </c>
      <c r="C31" s="441"/>
      <c r="D31" s="451"/>
      <c r="E31" s="556">
        <f>SUM($E$27:E27)*$C$30</f>
        <v>0</v>
      </c>
      <c r="F31" s="556">
        <f>SUM($E$27:F27)*$C$30</f>
        <v>0</v>
      </c>
      <c r="G31" s="556">
        <f>SUM($E$27:G27)*$C$30</f>
        <v>0</v>
      </c>
      <c r="H31" s="557">
        <f>SUM($E$27:H27)*$C$30</f>
        <v>0</v>
      </c>
      <c r="I31" s="557">
        <f>SUM($E$27:I27)*$C$30</f>
        <v>0</v>
      </c>
      <c r="J31" s="557">
        <f>SUM($E$27:J27)*$C$30</f>
        <v>0</v>
      </c>
      <c r="K31" s="558">
        <f>SUM($E$27:K27)*$C$30</f>
        <v>0</v>
      </c>
      <c r="L31" s="558">
        <f>SUM($E$27:L27)*$C$30</f>
        <v>79140.5</v>
      </c>
      <c r="M31" s="558">
        <f>SUM($E$27:M27)*$C$30</f>
        <v>79140.5</v>
      </c>
      <c r="N31" s="567">
        <f>SUM($E$27:N27)*$C$30</f>
        <v>79140.5</v>
      </c>
    </row>
    <row r="32" spans="2:14" x14ac:dyDescent="0.2">
      <c r="B32" s="526" t="s">
        <v>64</v>
      </c>
      <c r="C32" s="449">
        <f>C23</f>
        <v>1.1299999999999999</v>
      </c>
      <c r="D32" s="450">
        <f>C32</f>
        <v>1.1299999999999999</v>
      </c>
      <c r="E32" s="210">
        <f>$D$32*(1+$C$26)^E31</f>
        <v>1.1299999999999999</v>
      </c>
      <c r="F32" s="210">
        <f t="shared" ref="F32:G32" si="10">$D$32*(1+$C$26)^F31</f>
        <v>1.1299999999999999</v>
      </c>
      <c r="G32" s="210">
        <f t="shared" si="10"/>
        <v>1.1299999999999999</v>
      </c>
      <c r="H32" s="213">
        <f>$D$32*(1+$C$26)^H4</f>
        <v>1.2231483407999999</v>
      </c>
      <c r="I32" s="213">
        <f t="shared" ref="I32:N32" si="11">$D$32*(1+$C$26)^I4</f>
        <v>1.2476113076159998</v>
      </c>
      <c r="J32" s="213">
        <f t="shared" si="11"/>
        <v>1.2725635337683199</v>
      </c>
      <c r="K32" s="216">
        <f t="shared" si="11"/>
        <v>1.2980148044436861</v>
      </c>
      <c r="L32" s="216">
        <f t="shared" si="11"/>
        <v>1.32397510053256</v>
      </c>
      <c r="M32" s="216">
        <f t="shared" si="11"/>
        <v>1.3504546025432111</v>
      </c>
      <c r="N32" s="462">
        <f t="shared" si="11"/>
        <v>1.3774636945940755</v>
      </c>
    </row>
    <row r="33" spans="2:14" ht="13.5" thickBot="1" x14ac:dyDescent="0.25">
      <c r="B33" s="526" t="s">
        <v>65</v>
      </c>
      <c r="C33" s="575"/>
      <c r="D33" s="531">
        <v>0</v>
      </c>
      <c r="E33" s="245">
        <v>0</v>
      </c>
      <c r="F33" s="245">
        <v>0</v>
      </c>
      <c r="G33" s="245">
        <v>0</v>
      </c>
      <c r="H33" s="265">
        <v>0</v>
      </c>
      <c r="I33" s="265">
        <v>0</v>
      </c>
      <c r="J33" s="265">
        <v>0</v>
      </c>
      <c r="K33" s="266">
        <v>0.4</v>
      </c>
      <c r="L33" s="266">
        <v>0.95</v>
      </c>
      <c r="M33" s="266">
        <v>0.99</v>
      </c>
      <c r="N33" s="568">
        <v>0.99</v>
      </c>
    </row>
    <row r="34" spans="2:14" ht="15.75" thickBot="1" x14ac:dyDescent="0.25">
      <c r="B34" s="561" t="s">
        <v>3</v>
      </c>
      <c r="C34" s="485"/>
      <c r="D34" s="486"/>
      <c r="E34" s="487"/>
      <c r="F34" s="487"/>
      <c r="G34" s="487"/>
      <c r="H34" s="487"/>
      <c r="I34" s="487"/>
      <c r="J34" s="487"/>
      <c r="K34" s="487"/>
      <c r="L34" s="487"/>
      <c r="M34" s="487"/>
      <c r="N34" s="488"/>
    </row>
    <row r="35" spans="2:14" x14ac:dyDescent="0.2">
      <c r="B35" s="526" t="s">
        <v>66</v>
      </c>
      <c r="C35" s="452">
        <v>12</v>
      </c>
      <c r="D35" s="451"/>
      <c r="E35" s="559">
        <f t="shared" ref="E35:N35" si="12">SUM(E11,E20,E29)*$C$12*E14*$C$35</f>
        <v>448393.67279999994</v>
      </c>
      <c r="F35" s="559">
        <f t="shared" si="12"/>
        <v>1089596.624904</v>
      </c>
      <c r="G35" s="559">
        <f t="shared" si="12"/>
        <v>1152551.0965651199</v>
      </c>
      <c r="H35" s="560">
        <f t="shared" si="12"/>
        <v>1903355.8108989694</v>
      </c>
      <c r="I35" s="560">
        <f t="shared" si="12"/>
        <v>2926409.5592571651</v>
      </c>
      <c r="J35" s="560">
        <f t="shared" si="12"/>
        <v>3072301.7821625713</v>
      </c>
      <c r="K35" s="860">
        <f t="shared" si="12"/>
        <v>3638711.9211489409</v>
      </c>
      <c r="L35" s="860">
        <f t="shared" si="12"/>
        <v>4408336.622185424</v>
      </c>
      <c r="M35" s="860">
        <f t="shared" si="12"/>
        <v>4542859.0593160298</v>
      </c>
      <c r="N35" s="861">
        <f t="shared" si="12"/>
        <v>4633716.240502351</v>
      </c>
    </row>
    <row r="36" spans="2:14" x14ac:dyDescent="0.2">
      <c r="B36" s="526" t="s">
        <v>67</v>
      </c>
      <c r="C36" s="447">
        <v>0.35</v>
      </c>
      <c r="D36" s="451"/>
      <c r="E36" s="270">
        <f>-(E35*$C$36)</f>
        <v>-156937.78547999996</v>
      </c>
      <c r="F36" s="270">
        <f t="shared" ref="F36:N36" si="13">-(F35*$C$36)</f>
        <v>-381358.81871639995</v>
      </c>
      <c r="G36" s="270">
        <f t="shared" si="13"/>
        <v>-403392.88379779196</v>
      </c>
      <c r="H36" s="290">
        <f t="shared" si="13"/>
        <v>-666174.5338146392</v>
      </c>
      <c r="I36" s="290">
        <f t="shared" si="13"/>
        <v>-1024243.3457400077</v>
      </c>
      <c r="J36" s="290">
        <f t="shared" si="13"/>
        <v>-1075305.6237569</v>
      </c>
      <c r="K36" s="823">
        <f t="shared" si="13"/>
        <v>-1273549.1724021293</v>
      </c>
      <c r="L36" s="823">
        <f t="shared" si="13"/>
        <v>-1542917.8177648983</v>
      </c>
      <c r="M36" s="823">
        <f t="shared" si="13"/>
        <v>-1590000.6707606104</v>
      </c>
      <c r="N36" s="824">
        <f t="shared" si="13"/>
        <v>-1621800.6841758227</v>
      </c>
    </row>
    <row r="37" spans="2:14" ht="13.5" thickBot="1" x14ac:dyDescent="0.25">
      <c r="B37" s="525" t="s">
        <v>27</v>
      </c>
      <c r="C37" s="441"/>
      <c r="D37" s="451"/>
      <c r="E37" s="270">
        <f>SUM(E35:E36)</f>
        <v>291455.88731999998</v>
      </c>
      <c r="F37" s="270">
        <f t="shared" ref="F37:N37" si="14">SUM(F35:F36)</f>
        <v>708237.80618760001</v>
      </c>
      <c r="G37" s="270">
        <f t="shared" si="14"/>
        <v>749158.2127673279</v>
      </c>
      <c r="H37" s="290">
        <f t="shared" si="14"/>
        <v>1237181.2770843301</v>
      </c>
      <c r="I37" s="290">
        <f t="shared" si="14"/>
        <v>1902166.2135171574</v>
      </c>
      <c r="J37" s="290">
        <f t="shared" si="14"/>
        <v>1996996.1584056714</v>
      </c>
      <c r="K37" s="271">
        <f t="shared" si="14"/>
        <v>2365162.7487468114</v>
      </c>
      <c r="L37" s="271">
        <f t="shared" si="14"/>
        <v>2865418.8044205257</v>
      </c>
      <c r="M37" s="271">
        <f t="shared" si="14"/>
        <v>2952858.3885554196</v>
      </c>
      <c r="N37" s="466">
        <f t="shared" si="14"/>
        <v>3011915.5563265281</v>
      </c>
    </row>
    <row r="38" spans="2:14" ht="15.75" thickBot="1" x14ac:dyDescent="0.25">
      <c r="B38" s="561" t="s">
        <v>20</v>
      </c>
      <c r="C38" s="485"/>
      <c r="D38" s="486"/>
      <c r="E38" s="487"/>
      <c r="F38" s="487"/>
      <c r="G38" s="487"/>
      <c r="H38" s="487"/>
      <c r="I38" s="487"/>
      <c r="J38" s="487"/>
      <c r="K38" s="487"/>
      <c r="L38" s="487"/>
      <c r="M38" s="487"/>
      <c r="N38" s="488"/>
    </row>
    <row r="39" spans="2:14" x14ac:dyDescent="0.2">
      <c r="B39" s="112" t="s">
        <v>111</v>
      </c>
      <c r="C39" s="449">
        <v>250.76</v>
      </c>
      <c r="D39" s="336">
        <f>C39</f>
        <v>250.76</v>
      </c>
      <c r="E39" s="212">
        <f t="shared" ref="E39:N39" si="15">$D$39*(1+$C$8)^E4</f>
        <v>255.77519999999998</v>
      </c>
      <c r="F39" s="212">
        <f t="shared" si="15"/>
        <v>260.89070399999997</v>
      </c>
      <c r="G39" s="212">
        <f t="shared" si="15"/>
        <v>266.10851807999995</v>
      </c>
      <c r="H39" s="215">
        <f t="shared" si="15"/>
        <v>271.43068844160001</v>
      </c>
      <c r="I39" s="215">
        <f t="shared" si="15"/>
        <v>276.85930221043202</v>
      </c>
      <c r="J39" s="215">
        <f t="shared" si="15"/>
        <v>282.39648825464064</v>
      </c>
      <c r="K39" s="218">
        <f t="shared" si="15"/>
        <v>288.04441801973337</v>
      </c>
      <c r="L39" s="218">
        <f t="shared" si="15"/>
        <v>293.80530638012812</v>
      </c>
      <c r="M39" s="218">
        <f t="shared" si="15"/>
        <v>299.68141250773067</v>
      </c>
      <c r="N39" s="469">
        <f t="shared" si="15"/>
        <v>305.67504075788526</v>
      </c>
    </row>
    <row r="40" spans="2:14" x14ac:dyDescent="0.2">
      <c r="B40" s="526" t="s">
        <v>68</v>
      </c>
      <c r="C40" s="441"/>
      <c r="D40" s="448">
        <f>D41/SUM($D$41:$N$41)</f>
        <v>0</v>
      </c>
      <c r="E40" s="245">
        <f>E41/SUM($E$41:$N$41)</f>
        <v>0</v>
      </c>
      <c r="F40" s="245">
        <f t="shared" ref="F40:N40" si="16">F41/SUM($E$41:$N$41)</f>
        <v>0.27180326513188408</v>
      </c>
      <c r="G40" s="245">
        <f t="shared" si="16"/>
        <v>0</v>
      </c>
      <c r="H40" s="265">
        <f t="shared" si="16"/>
        <v>0</v>
      </c>
      <c r="I40" s="265">
        <f t="shared" si="16"/>
        <v>0.43000717019532575</v>
      </c>
      <c r="J40" s="265">
        <f t="shared" si="16"/>
        <v>0</v>
      </c>
      <c r="K40" s="266">
        <f t="shared" si="16"/>
        <v>0</v>
      </c>
      <c r="L40" s="266">
        <f t="shared" si="16"/>
        <v>0.29818956467279029</v>
      </c>
      <c r="M40" s="266">
        <f t="shared" si="16"/>
        <v>0</v>
      </c>
      <c r="N40" s="568">
        <f t="shared" si="16"/>
        <v>0</v>
      </c>
    </row>
    <row r="41" spans="2:14" x14ac:dyDescent="0.2">
      <c r="B41" s="526" t="s">
        <v>20</v>
      </c>
      <c r="C41" s="441"/>
      <c r="D41" s="451"/>
      <c r="E41" s="270">
        <f>E62*E39</f>
        <v>0</v>
      </c>
      <c r="F41" s="270">
        <f>F62*F39</f>
        <v>21159488.369779196</v>
      </c>
      <c r="G41" s="270">
        <f>G62*G39</f>
        <v>0</v>
      </c>
      <c r="H41" s="213">
        <f>H63*H39</f>
        <v>0</v>
      </c>
      <c r="I41" s="290">
        <f>I63*I39</f>
        <v>33475431.990321316</v>
      </c>
      <c r="J41" s="213">
        <f>J63*J39</f>
        <v>0</v>
      </c>
      <c r="K41" s="271">
        <f>K64*K39</f>
        <v>0</v>
      </c>
      <c r="L41" s="271">
        <f>L64*L39</f>
        <v>23213623.363287855</v>
      </c>
      <c r="M41" s="271">
        <f>M64*M39</f>
        <v>0</v>
      </c>
      <c r="N41" s="466">
        <f>N64*N39</f>
        <v>0</v>
      </c>
    </row>
    <row r="42" spans="2:14" x14ac:dyDescent="0.2">
      <c r="B42" s="526" t="s">
        <v>47</v>
      </c>
      <c r="C42" s="441"/>
      <c r="D42" s="451"/>
      <c r="E42" s="244"/>
      <c r="F42" s="244"/>
      <c r="G42" s="244"/>
      <c r="H42" s="509"/>
      <c r="I42" s="509"/>
      <c r="J42" s="509"/>
      <c r="K42" s="426"/>
      <c r="L42" s="426"/>
      <c r="M42" s="426"/>
      <c r="N42" s="514"/>
    </row>
    <row r="43" spans="2:14" ht="13.5" thickBot="1" x14ac:dyDescent="0.25">
      <c r="B43" s="525" t="s">
        <v>25</v>
      </c>
      <c r="C43" s="441"/>
      <c r="D43" s="336">
        <f>SUM(D41:D42)</f>
        <v>0</v>
      </c>
      <c r="E43" s="212">
        <f>SUM(E41:E42)</f>
        <v>0</v>
      </c>
      <c r="F43" s="212">
        <f t="shared" ref="F43:N43" si="17">SUM(F41:F42)</f>
        <v>21159488.369779196</v>
      </c>
      <c r="G43" s="212">
        <f t="shared" si="17"/>
        <v>0</v>
      </c>
      <c r="H43" s="215">
        <f t="shared" si="17"/>
        <v>0</v>
      </c>
      <c r="I43" s="215">
        <f t="shared" si="17"/>
        <v>33475431.990321316</v>
      </c>
      <c r="J43" s="215">
        <f t="shared" si="17"/>
        <v>0</v>
      </c>
      <c r="K43" s="218">
        <f t="shared" si="17"/>
        <v>0</v>
      </c>
      <c r="L43" s="218">
        <f t="shared" si="17"/>
        <v>23213623.363287855</v>
      </c>
      <c r="M43" s="218">
        <f t="shared" si="17"/>
        <v>0</v>
      </c>
      <c r="N43" s="469">
        <f t="shared" si="17"/>
        <v>0</v>
      </c>
    </row>
    <row r="44" spans="2:14" ht="15.75" thickBot="1" x14ac:dyDescent="0.25">
      <c r="B44" s="561" t="s">
        <v>26</v>
      </c>
      <c r="C44" s="485"/>
      <c r="D44" s="486"/>
      <c r="E44" s="487"/>
      <c r="F44" s="487"/>
      <c r="G44" s="487"/>
      <c r="H44" s="487"/>
      <c r="I44" s="487"/>
      <c r="J44" s="487"/>
      <c r="K44" s="487"/>
      <c r="L44" s="487"/>
      <c r="M44" s="487"/>
      <c r="N44" s="488"/>
    </row>
    <row r="45" spans="2:14" x14ac:dyDescent="0.2">
      <c r="B45" s="526" t="s">
        <v>27</v>
      </c>
      <c r="C45" s="441"/>
      <c r="D45" s="570">
        <f>D37</f>
        <v>0</v>
      </c>
      <c r="E45" s="270">
        <f>E37</f>
        <v>291455.88731999998</v>
      </c>
      <c r="F45" s="270">
        <f t="shared" ref="F45:N45" si="18">F37</f>
        <v>708237.80618760001</v>
      </c>
      <c r="G45" s="270">
        <f t="shared" si="18"/>
        <v>749158.2127673279</v>
      </c>
      <c r="H45" s="290">
        <f t="shared" si="18"/>
        <v>1237181.2770843301</v>
      </c>
      <c r="I45" s="290">
        <f t="shared" si="18"/>
        <v>1902166.2135171574</v>
      </c>
      <c r="J45" s="290">
        <f t="shared" si="18"/>
        <v>1996996.1584056714</v>
      </c>
      <c r="K45" s="271">
        <f t="shared" si="18"/>
        <v>2365162.7487468114</v>
      </c>
      <c r="L45" s="271">
        <f t="shared" si="18"/>
        <v>2865418.8044205257</v>
      </c>
      <c r="M45" s="271">
        <f t="shared" si="18"/>
        <v>2952858.3885554196</v>
      </c>
      <c r="N45" s="466">
        <f t="shared" si="18"/>
        <v>3011915.5563265281</v>
      </c>
    </row>
    <row r="46" spans="2:14" x14ac:dyDescent="0.2">
      <c r="B46" s="526" t="s">
        <v>69</v>
      </c>
      <c r="C46" s="571">
        <f>C57</f>
        <v>0.05</v>
      </c>
      <c r="D46" s="448"/>
      <c r="E46" s="244">
        <v>0</v>
      </c>
      <c r="F46" s="244">
        <v>0</v>
      </c>
      <c r="G46" s="244">
        <v>0</v>
      </c>
      <c r="H46" s="509">
        <v>0</v>
      </c>
      <c r="I46" s="509">
        <v>0</v>
      </c>
      <c r="J46" s="509">
        <v>0</v>
      </c>
      <c r="K46" s="426">
        <v>0</v>
      </c>
      <c r="L46" s="426">
        <v>0</v>
      </c>
      <c r="M46" s="426">
        <v>0</v>
      </c>
      <c r="N46" s="466">
        <f>N45/C46</f>
        <v>60238311.126530558</v>
      </c>
    </row>
    <row r="47" spans="2:14" x14ac:dyDescent="0.2">
      <c r="B47" s="526" t="s">
        <v>70</v>
      </c>
      <c r="C47" s="443">
        <v>0.03</v>
      </c>
      <c r="D47" s="448"/>
      <c r="E47" s="244">
        <v>0</v>
      </c>
      <c r="F47" s="244">
        <v>0</v>
      </c>
      <c r="G47" s="244">
        <v>0</v>
      </c>
      <c r="H47" s="509">
        <v>0</v>
      </c>
      <c r="I47" s="509">
        <v>0</v>
      </c>
      <c r="J47" s="509">
        <v>0</v>
      </c>
      <c r="K47" s="426">
        <v>0</v>
      </c>
      <c r="L47" s="426">
        <v>0</v>
      </c>
      <c r="M47" s="426">
        <v>0</v>
      </c>
      <c r="N47" s="466">
        <f>-(N46*C47)</f>
        <v>-1807149.3337959168</v>
      </c>
    </row>
    <row r="48" spans="2:14" ht="13.5" thickBot="1" x14ac:dyDescent="0.25">
      <c r="B48" s="526" t="s">
        <v>25</v>
      </c>
      <c r="C48" s="441"/>
      <c r="D48" s="570">
        <f>-D43</f>
        <v>0</v>
      </c>
      <c r="E48" s="270">
        <f>-E43</f>
        <v>0</v>
      </c>
      <c r="F48" s="270">
        <f t="shared" ref="F48:N48" si="19">-F43</f>
        <v>-21159488.369779196</v>
      </c>
      <c r="G48" s="270">
        <f t="shared" si="19"/>
        <v>0</v>
      </c>
      <c r="H48" s="290">
        <f t="shared" si="19"/>
        <v>0</v>
      </c>
      <c r="I48" s="290">
        <f t="shared" si="19"/>
        <v>-33475431.990321316</v>
      </c>
      <c r="J48" s="290">
        <f t="shared" si="19"/>
        <v>0</v>
      </c>
      <c r="K48" s="271">
        <f t="shared" si="19"/>
        <v>0</v>
      </c>
      <c r="L48" s="271">
        <f t="shared" si="19"/>
        <v>-23213623.363287855</v>
      </c>
      <c r="M48" s="271">
        <f t="shared" si="19"/>
        <v>0</v>
      </c>
      <c r="N48" s="466">
        <f t="shared" si="19"/>
        <v>0</v>
      </c>
    </row>
    <row r="49" spans="2:14" ht="13.5" thickBot="1" x14ac:dyDescent="0.25">
      <c r="B49" s="523"/>
      <c r="C49" s="485"/>
      <c r="D49" s="486"/>
      <c r="E49" s="487"/>
      <c r="F49" s="487"/>
      <c r="G49" s="487"/>
      <c r="H49" s="487"/>
      <c r="I49" s="487"/>
      <c r="J49" s="487"/>
      <c r="K49" s="487"/>
      <c r="L49" s="487"/>
      <c r="M49" s="487"/>
      <c r="N49" s="488"/>
    </row>
    <row r="50" spans="2:14" x14ac:dyDescent="0.2">
      <c r="B50" s="357" t="s">
        <v>29</v>
      </c>
      <c r="C50" s="441"/>
      <c r="D50" s="570">
        <f>SUM(D45:D48)</f>
        <v>0</v>
      </c>
      <c r="E50" s="270">
        <f>SUM(E45:E48)</f>
        <v>291455.88731999998</v>
      </c>
      <c r="F50" s="270">
        <f t="shared" ref="F50:N50" si="20">SUM(F45:F48)</f>
        <v>-20451250.563591596</v>
      </c>
      <c r="G50" s="270">
        <f t="shared" si="20"/>
        <v>749158.2127673279</v>
      </c>
      <c r="H50" s="290">
        <f t="shared" si="20"/>
        <v>1237181.2770843301</v>
      </c>
      <c r="I50" s="290">
        <f t="shared" si="20"/>
        <v>-31573265.776804157</v>
      </c>
      <c r="J50" s="290">
        <f t="shared" si="20"/>
        <v>1996996.1584056714</v>
      </c>
      <c r="K50" s="271">
        <f t="shared" si="20"/>
        <v>2365162.7487468114</v>
      </c>
      <c r="L50" s="271">
        <f t="shared" si="20"/>
        <v>-20348204.558867328</v>
      </c>
      <c r="M50" s="271">
        <f t="shared" si="20"/>
        <v>2952858.3885554196</v>
      </c>
      <c r="N50" s="466">
        <f t="shared" si="20"/>
        <v>61443077.349061169</v>
      </c>
    </row>
    <row r="51" spans="2:14" x14ac:dyDescent="0.2">
      <c r="B51" s="357" t="s">
        <v>32</v>
      </c>
      <c r="C51" s="443">
        <f>C56</f>
        <v>0.06</v>
      </c>
      <c r="D51" s="444">
        <f>NPV(C51,E50:N50)</f>
        <v>-13639649.23592221</v>
      </c>
      <c r="E51" s="152"/>
      <c r="F51" s="152"/>
      <c r="G51" s="152"/>
      <c r="H51" s="152"/>
      <c r="I51" s="152"/>
      <c r="J51" s="152"/>
      <c r="K51" s="152"/>
      <c r="L51" s="152"/>
      <c r="M51" s="152"/>
      <c r="N51" s="474"/>
    </row>
    <row r="52" spans="2:14" x14ac:dyDescent="0.2">
      <c r="B52" s="357" t="s">
        <v>34</v>
      </c>
      <c r="C52" s="441"/>
      <c r="D52" s="531">
        <f>IRR(D50:N50,0)</f>
        <v>-4.108290835191708E-3</v>
      </c>
      <c r="E52" s="152"/>
      <c r="F52" s="152"/>
      <c r="G52" s="152"/>
      <c r="H52" s="152"/>
      <c r="I52" s="152"/>
      <c r="J52" s="152"/>
      <c r="K52" s="152"/>
      <c r="L52" s="152"/>
      <c r="M52" s="152"/>
      <c r="N52" s="474"/>
    </row>
    <row r="53" spans="2:14" ht="13.5" thickBot="1" x14ac:dyDescent="0.25">
      <c r="B53" s="358" t="s">
        <v>36</v>
      </c>
      <c r="C53" s="472"/>
      <c r="D53" s="446"/>
      <c r="E53" s="475"/>
      <c r="F53" s="475"/>
      <c r="G53" s="475"/>
      <c r="H53" s="475"/>
      <c r="I53" s="475"/>
      <c r="J53" s="475"/>
      <c r="K53" s="475"/>
      <c r="L53" s="475"/>
      <c r="M53" s="475"/>
      <c r="N53" s="476"/>
    </row>
    <row r="54" spans="2:14" ht="13.5" thickBot="1" x14ac:dyDescent="0.25"/>
    <row r="55" spans="2:14" x14ac:dyDescent="0.2">
      <c r="B55" s="1245" t="s">
        <v>71</v>
      </c>
      <c r="C55" s="1246"/>
      <c r="D55" s="200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2:14" x14ac:dyDescent="0.2">
      <c r="B56" s="112" t="s">
        <v>153</v>
      </c>
      <c r="C56" s="478">
        <v>0.06</v>
      </c>
      <c r="D56" s="200"/>
      <c r="E56" s="1256"/>
      <c r="F56" s="1256"/>
      <c r="G56" s="1256"/>
      <c r="H56" s="1256"/>
      <c r="I56" s="1256"/>
      <c r="J56" s="1256"/>
      <c r="K56" s="1256"/>
      <c r="L56" s="1256"/>
      <c r="M56" s="1256"/>
      <c r="N56" s="1256"/>
    </row>
    <row r="57" spans="2:14" ht="13.5" thickBot="1" x14ac:dyDescent="0.25">
      <c r="B57" s="479" t="s">
        <v>244</v>
      </c>
      <c r="C57" s="481">
        <v>0.05</v>
      </c>
      <c r="D57" s="200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2:14" ht="13.5" thickBot="1" x14ac:dyDescent="0.25">
      <c r="B58" s="370"/>
      <c r="C58" s="513"/>
      <c r="D58" s="323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2:14" x14ac:dyDescent="0.2">
      <c r="B59" s="1226" t="s">
        <v>237</v>
      </c>
      <c r="C59" s="1227"/>
      <c r="D59" s="1227"/>
      <c r="E59" s="1227"/>
      <c r="F59" s="1227"/>
      <c r="G59" s="1227"/>
      <c r="H59" s="1227"/>
      <c r="I59" s="1227"/>
      <c r="J59" s="1227"/>
      <c r="K59" s="1227"/>
      <c r="L59" s="1227"/>
      <c r="M59" s="1227"/>
      <c r="N59" s="1228"/>
    </row>
    <row r="60" spans="2:14" x14ac:dyDescent="0.2">
      <c r="B60" s="112"/>
      <c r="C60" s="502"/>
      <c r="D60" s="477">
        <v>0</v>
      </c>
      <c r="E60" s="505">
        <f t="shared" ref="E60:N60" si="21">E4</f>
        <v>1</v>
      </c>
      <c r="F60" s="505">
        <f t="shared" si="21"/>
        <v>2</v>
      </c>
      <c r="G60" s="505">
        <f t="shared" si="21"/>
        <v>3</v>
      </c>
      <c r="H60" s="505">
        <f t="shared" si="21"/>
        <v>4</v>
      </c>
      <c r="I60" s="505">
        <f t="shared" si="21"/>
        <v>5</v>
      </c>
      <c r="J60" s="505">
        <f t="shared" si="21"/>
        <v>6</v>
      </c>
      <c r="K60" s="505">
        <f t="shared" si="21"/>
        <v>7</v>
      </c>
      <c r="L60" s="505">
        <f t="shared" si="21"/>
        <v>8</v>
      </c>
      <c r="M60" s="505">
        <f t="shared" si="21"/>
        <v>9</v>
      </c>
      <c r="N60" s="506">
        <f t="shared" si="21"/>
        <v>10</v>
      </c>
    </row>
    <row r="61" spans="2:14" ht="13.5" thickBot="1" x14ac:dyDescent="0.25">
      <c r="B61" s="112"/>
      <c r="C61" s="199"/>
      <c r="D61" s="126" t="str">
        <f>D5</f>
        <v>2020-2021</v>
      </c>
      <c r="E61" s="475">
        <f t="shared" ref="E61:N61" si="22">E5</f>
        <v>2022</v>
      </c>
      <c r="F61" s="475">
        <f t="shared" si="22"/>
        <v>2023</v>
      </c>
      <c r="G61" s="475">
        <f t="shared" si="22"/>
        <v>2024</v>
      </c>
      <c r="H61" s="475">
        <f t="shared" si="22"/>
        <v>2025</v>
      </c>
      <c r="I61" s="475">
        <f t="shared" si="22"/>
        <v>2026</v>
      </c>
      <c r="J61" s="475">
        <f t="shared" si="22"/>
        <v>2027</v>
      </c>
      <c r="K61" s="475">
        <f t="shared" si="22"/>
        <v>2028</v>
      </c>
      <c r="L61" s="475">
        <f t="shared" si="22"/>
        <v>2029</v>
      </c>
      <c r="M61" s="475">
        <f t="shared" si="22"/>
        <v>2030</v>
      </c>
      <c r="N61" s="476">
        <f t="shared" si="22"/>
        <v>2031</v>
      </c>
    </row>
    <row r="62" spans="2:14" x14ac:dyDescent="0.2">
      <c r="B62" s="546" t="s">
        <v>206</v>
      </c>
      <c r="C62" s="809">
        <f>'2. Market-Rate Rental'!E89</f>
        <v>81104.799999999988</v>
      </c>
      <c r="D62" s="301">
        <f>C62/$C$12</f>
        <v>85.060094389092811</v>
      </c>
      <c r="E62" s="644"/>
      <c r="F62" s="644">
        <f>C62</f>
        <v>81104.799999999988</v>
      </c>
      <c r="G62" s="644"/>
      <c r="H62" s="504"/>
      <c r="I62" s="504"/>
      <c r="J62" s="504"/>
      <c r="K62" s="504"/>
      <c r="L62" s="504"/>
      <c r="M62" s="504"/>
      <c r="N62" s="508"/>
    </row>
    <row r="63" spans="2:14" x14ac:dyDescent="0.2">
      <c r="B63" s="547" t="s">
        <v>207</v>
      </c>
      <c r="C63" s="809">
        <f>'2. Market-Rate Rental'!E90</f>
        <v>120911.34999999999</v>
      </c>
      <c r="D63" s="301">
        <f t="shared" ref="D63:D64" si="23">C63/$C$12</f>
        <v>126.80791819611954</v>
      </c>
      <c r="E63" s="152"/>
      <c r="F63" s="504"/>
      <c r="G63" s="504"/>
      <c r="H63" s="644"/>
      <c r="I63" s="644">
        <f>C63</f>
        <v>120911.34999999999</v>
      </c>
      <c r="J63" s="644"/>
      <c r="K63" s="152"/>
      <c r="L63" s="152"/>
      <c r="M63" s="152"/>
      <c r="N63" s="474"/>
    </row>
    <row r="64" spans="2:14" x14ac:dyDescent="0.2">
      <c r="B64" s="548" t="s">
        <v>208</v>
      </c>
      <c r="C64" s="809">
        <f>'2. Market-Rate Rental'!E91</f>
        <v>79010.224999999991</v>
      </c>
      <c r="D64" s="301">
        <f t="shared" si="23"/>
        <v>82.86337178814891</v>
      </c>
      <c r="E64" s="152"/>
      <c r="F64" s="152"/>
      <c r="G64" s="152"/>
      <c r="H64" s="504"/>
      <c r="I64" s="504"/>
      <c r="J64" s="504"/>
      <c r="K64" s="644"/>
      <c r="L64" s="644">
        <f>C64</f>
        <v>79010.224999999991</v>
      </c>
      <c r="M64" s="645"/>
      <c r="N64" s="646"/>
    </row>
    <row r="65" spans="2:14" x14ac:dyDescent="0.2">
      <c r="B65" s="775" t="s">
        <v>41</v>
      </c>
      <c r="C65" s="806">
        <f>SUM(C62:C64)</f>
        <v>281026.37499999994</v>
      </c>
      <c r="D65" s="631">
        <f>SUM(D62:D64)</f>
        <v>294.73138437336127</v>
      </c>
      <c r="E65" s="152"/>
      <c r="F65" s="152"/>
      <c r="G65" s="152"/>
      <c r="H65" s="152"/>
      <c r="I65" s="152"/>
      <c r="J65" s="152"/>
      <c r="K65" s="152"/>
      <c r="L65" s="152"/>
      <c r="M65" s="152"/>
      <c r="N65" s="474"/>
    </row>
    <row r="66" spans="2:14" ht="13.5" thickBot="1" x14ac:dyDescent="0.25">
      <c r="B66" s="112"/>
      <c r="C66" s="441"/>
      <c r="D66" s="301"/>
      <c r="E66" s="152"/>
      <c r="F66" s="152"/>
      <c r="G66" s="152"/>
      <c r="H66" s="152"/>
      <c r="I66" s="152"/>
      <c r="J66" s="152"/>
      <c r="K66" s="152"/>
      <c r="L66" s="152"/>
      <c r="M66" s="152"/>
      <c r="N66" s="474"/>
    </row>
    <row r="67" spans="2:14" x14ac:dyDescent="0.2">
      <c r="B67" s="1238" t="s">
        <v>241</v>
      </c>
      <c r="C67" s="1239"/>
      <c r="D67" s="549" t="s">
        <v>242</v>
      </c>
      <c r="E67" s="536">
        <f>E62</f>
        <v>0</v>
      </c>
      <c r="F67" s="536">
        <f t="shared" ref="F67:G67" si="24">F62</f>
        <v>81104.799999999988</v>
      </c>
      <c r="G67" s="536">
        <f t="shared" si="24"/>
        <v>0</v>
      </c>
      <c r="H67" s="536">
        <f>H63</f>
        <v>0</v>
      </c>
      <c r="I67" s="536">
        <f t="shared" ref="I67:J67" si="25">I63</f>
        <v>120911.34999999999</v>
      </c>
      <c r="J67" s="536">
        <f t="shared" si="25"/>
        <v>0</v>
      </c>
      <c r="K67" s="536">
        <f>K64</f>
        <v>0</v>
      </c>
      <c r="L67" s="536">
        <f t="shared" ref="L67:N67" si="26">L64</f>
        <v>79010.224999999991</v>
      </c>
      <c r="M67" s="536">
        <f t="shared" si="26"/>
        <v>0</v>
      </c>
      <c r="N67" s="537">
        <f t="shared" si="26"/>
        <v>0</v>
      </c>
    </row>
    <row r="68" spans="2:14" ht="13.5" thickBot="1" x14ac:dyDescent="0.25">
      <c r="B68" s="1084"/>
      <c r="C68" s="1240"/>
      <c r="D68" s="407" t="s">
        <v>243</v>
      </c>
      <c r="E68" s="642">
        <f>E67/$C$12</f>
        <v>0</v>
      </c>
      <c r="F68" s="642">
        <f t="shared" ref="F68:N68" si="27">F67/$C$12</f>
        <v>85.060094389092811</v>
      </c>
      <c r="G68" s="642">
        <f t="shared" si="27"/>
        <v>0</v>
      </c>
      <c r="H68" s="642">
        <f t="shared" si="27"/>
        <v>0</v>
      </c>
      <c r="I68" s="642">
        <f t="shared" si="27"/>
        <v>126.80791819611954</v>
      </c>
      <c r="J68" s="642">
        <f t="shared" si="27"/>
        <v>0</v>
      </c>
      <c r="K68" s="642">
        <f t="shared" si="27"/>
        <v>0</v>
      </c>
      <c r="L68" s="642">
        <f t="shared" si="27"/>
        <v>82.86337178814891</v>
      </c>
      <c r="M68" s="642">
        <f t="shared" si="27"/>
        <v>0</v>
      </c>
      <c r="N68" s="643">
        <f t="shared" si="27"/>
        <v>0</v>
      </c>
    </row>
    <row r="69" spans="2:14" x14ac:dyDescent="0.2">
      <c r="D69" s="280"/>
      <c r="E69" s="281"/>
      <c r="F69" s="281"/>
      <c r="G69" s="281"/>
      <c r="H69" s="281"/>
      <c r="I69" s="281"/>
      <c r="J69" s="281"/>
      <c r="K69" s="281"/>
      <c r="L69" s="281"/>
      <c r="M69" s="281"/>
      <c r="N69" s="281"/>
    </row>
    <row r="70" spans="2:14" x14ac:dyDescent="0.2">
      <c r="B70" s="135"/>
      <c r="D70" s="200"/>
    </row>
    <row r="71" spans="2:14" x14ac:dyDescent="0.2">
      <c r="B71" s="264"/>
      <c r="D71" s="200"/>
      <c r="E71" s="139"/>
      <c r="F71" s="139"/>
      <c r="G71" s="139"/>
      <c r="H71" s="139"/>
      <c r="I71" s="139"/>
      <c r="J71" s="139"/>
      <c r="K71" s="139"/>
      <c r="L71" s="139"/>
      <c r="M71" s="139"/>
      <c r="N71" s="139"/>
    </row>
    <row r="72" spans="2:14" x14ac:dyDescent="0.2">
      <c r="D72" s="200"/>
    </row>
    <row r="73" spans="2:14" x14ac:dyDescent="0.2">
      <c r="B73" s="277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</row>
    <row r="74" spans="2:14" ht="13.5" thickBot="1" x14ac:dyDescent="0.25">
      <c r="B74" s="264"/>
      <c r="D74" s="200"/>
    </row>
    <row r="75" spans="2:14" x14ac:dyDescent="0.2">
      <c r="C75" s="1257" t="s">
        <v>180</v>
      </c>
      <c r="D75" s="1258"/>
      <c r="E75" s="1258"/>
      <c r="F75" s="1258"/>
      <c r="G75" s="1258"/>
      <c r="H75" s="1259"/>
    </row>
    <row r="76" spans="2:14" x14ac:dyDescent="0.2">
      <c r="C76" s="206" t="s">
        <v>181</v>
      </c>
      <c r="D76" s="207" t="s">
        <v>62</v>
      </c>
      <c r="E76" s="207" t="s">
        <v>185</v>
      </c>
      <c r="F76" s="207" t="s">
        <v>186</v>
      </c>
      <c r="G76" s="207" t="s">
        <v>182</v>
      </c>
      <c r="H76" s="208" t="s">
        <v>183</v>
      </c>
    </row>
    <row r="77" spans="2:14" ht="13.5" thickBot="1" x14ac:dyDescent="0.25">
      <c r="C77" s="811"/>
      <c r="D77" s="934">
        <f>C21</f>
        <v>953.5</v>
      </c>
      <c r="E77" s="933">
        <f>H83</f>
        <v>1.1299999999999999</v>
      </c>
      <c r="F77" s="812">
        <f t="shared" ref="F77" si="28">E77*12</f>
        <v>13.559999999999999</v>
      </c>
      <c r="G77" s="813">
        <f>G83</f>
        <v>1130</v>
      </c>
      <c r="H77" s="814">
        <f t="shared" ref="H77" si="29">G77*12</f>
        <v>13560</v>
      </c>
    </row>
    <row r="79" spans="2:14" x14ac:dyDescent="0.2">
      <c r="C79" s="1255" t="s">
        <v>199</v>
      </c>
      <c r="D79" s="1255"/>
      <c r="E79" s="1255"/>
      <c r="F79" s="1255"/>
      <c r="G79" s="1255"/>
      <c r="H79" s="1255"/>
      <c r="I79" s="204"/>
    </row>
    <row r="80" spans="2:14" x14ac:dyDescent="0.2">
      <c r="C80" s="203" t="s">
        <v>193</v>
      </c>
      <c r="D80" s="10" t="s">
        <v>190</v>
      </c>
      <c r="E80" s="139">
        <f>E84*D84</f>
        <v>43360</v>
      </c>
      <c r="F80" s="33">
        <v>3</v>
      </c>
      <c r="G80" s="33">
        <v>12</v>
      </c>
      <c r="H80" s="33">
        <v>1000</v>
      </c>
    </row>
    <row r="81" spans="3:8" x14ac:dyDescent="0.2">
      <c r="C81" s="10" t="s">
        <v>187</v>
      </c>
      <c r="D81" s="201">
        <v>0.3</v>
      </c>
      <c r="E81" s="139">
        <v>20350</v>
      </c>
      <c r="F81" s="139">
        <f>E81/$F$80</f>
        <v>6783.333333333333</v>
      </c>
      <c r="G81" s="204">
        <f t="shared" ref="G81:G83" si="30">F81/$G$80</f>
        <v>565.27777777777771</v>
      </c>
      <c r="H81" s="204">
        <f>G81/$H$80</f>
        <v>0.56527777777777777</v>
      </c>
    </row>
    <row r="82" spans="3:8" x14ac:dyDescent="0.2">
      <c r="C82" s="10" t="s">
        <v>188</v>
      </c>
      <c r="D82" s="201">
        <v>0.5</v>
      </c>
      <c r="E82" s="139">
        <v>33900</v>
      </c>
      <c r="F82" s="139">
        <f>E82/$F$80</f>
        <v>11300</v>
      </c>
      <c r="G82" s="204">
        <f t="shared" si="30"/>
        <v>941.66666666666663</v>
      </c>
      <c r="H82" s="204">
        <f t="shared" ref="H82:H84" si="31">G82/$H$80</f>
        <v>0.94166666666666665</v>
      </c>
    </row>
    <row r="83" spans="3:8" x14ac:dyDescent="0.2">
      <c r="C83" s="929" t="s">
        <v>198</v>
      </c>
      <c r="D83" s="930">
        <v>0.6</v>
      </c>
      <c r="E83" s="931">
        <v>40680</v>
      </c>
      <c r="F83" s="931">
        <f>E83/$F$80</f>
        <v>13560</v>
      </c>
      <c r="G83" s="932">
        <f t="shared" si="30"/>
        <v>1130</v>
      </c>
      <c r="H83" s="932">
        <f t="shared" si="31"/>
        <v>1.1299999999999999</v>
      </c>
    </row>
    <row r="84" spans="3:8" x14ac:dyDescent="0.2">
      <c r="C84" s="33" t="s">
        <v>189</v>
      </c>
      <c r="D84" s="201">
        <v>0.8</v>
      </c>
      <c r="E84" s="139">
        <v>54200</v>
      </c>
      <c r="F84" s="139">
        <f>E84/$F$80</f>
        <v>18066.666666666668</v>
      </c>
      <c r="G84" s="204">
        <f>F84/$G$80</f>
        <v>1505.5555555555557</v>
      </c>
      <c r="H84" s="204">
        <f t="shared" si="31"/>
        <v>1.5055555555555558</v>
      </c>
    </row>
    <row r="85" spans="3:8" x14ac:dyDescent="0.2">
      <c r="F85" s="205" t="s">
        <v>194</v>
      </c>
      <c r="G85" s="205" t="s">
        <v>195</v>
      </c>
      <c r="H85" s="33" t="s">
        <v>196</v>
      </c>
    </row>
    <row r="86" spans="3:8" x14ac:dyDescent="0.2">
      <c r="C86" s="1254" t="s">
        <v>191</v>
      </c>
      <c r="D86" s="138">
        <v>48982</v>
      </c>
    </row>
    <row r="87" spans="3:8" x14ac:dyDescent="0.2">
      <c r="C87" s="1254"/>
      <c r="D87" s="138">
        <v>52043</v>
      </c>
    </row>
    <row r="89" spans="3:8" ht="15" x14ac:dyDescent="0.25">
      <c r="C89" s="9" t="s">
        <v>192</v>
      </c>
      <c r="D89" s="202" t="s">
        <v>197</v>
      </c>
    </row>
  </sheetData>
  <mergeCells count="12">
    <mergeCell ref="C86:C87"/>
    <mergeCell ref="C79:H79"/>
    <mergeCell ref="E3:G3"/>
    <mergeCell ref="H3:J3"/>
    <mergeCell ref="K3:N3"/>
    <mergeCell ref="E56:G56"/>
    <mergeCell ref="H56:J56"/>
    <mergeCell ref="K56:N56"/>
    <mergeCell ref="C75:H75"/>
    <mergeCell ref="B55:C55"/>
    <mergeCell ref="B59:N59"/>
    <mergeCell ref="B67:C68"/>
  </mergeCells>
  <conditionalFormatting sqref="C81:D81 C82:C84 B87 B86:C86 B89:C89 B80 B77:E78 B79:C79 H81:I81 C73 B71 B4:N38 D57:D58 D60:N61 A67:A68 A88:XFD88 A85:XFD85 F86:XFD86 E87:XFD87 E89:XFD89 D80:XFD80 A54:N54 O2:XFD64 G77:XFD78 I79:XFD79 M81:XFD81 A90:XFD1048576 H82:XFD84 O73:XFD73 C71:XFD72 A74:XFD76 A66:XFD66 A69:XFD70 E67:XFD68 A65 D65:XFD65">
    <cfRule type="cellIs" dxfId="160" priority="51" operator="lessThan">
      <formula>0</formula>
    </cfRule>
  </conditionalFormatting>
  <conditionalFormatting sqref="D86:D87">
    <cfRule type="cellIs" dxfId="159" priority="27" operator="lessThan">
      <formula>0</formula>
    </cfRule>
  </conditionalFormatting>
  <conditionalFormatting sqref="D82:D84">
    <cfRule type="cellIs" dxfId="158" priority="28" operator="lessThan">
      <formula>0</formula>
    </cfRule>
  </conditionalFormatting>
  <conditionalFormatting sqref="B3:D3 D39:N39 B2:L2 B40:N53">
    <cfRule type="cellIs" dxfId="157" priority="21" operator="lessThan">
      <formula>0</formula>
    </cfRule>
  </conditionalFormatting>
  <conditionalFormatting sqref="D56:E56 K56 H56 D55:N55 C61:C64 E62:N64">
    <cfRule type="cellIs" dxfId="156" priority="20" operator="lessThan">
      <formula>0</formula>
    </cfRule>
  </conditionalFormatting>
  <conditionalFormatting sqref="D62:D64">
    <cfRule type="cellIs" dxfId="155" priority="17" operator="lessThan">
      <formula>0</formula>
    </cfRule>
  </conditionalFormatting>
  <conditionalFormatting sqref="D62:D64">
    <cfRule type="cellIs" dxfId="154" priority="16" operator="lessThan">
      <formula>0</formula>
    </cfRule>
  </conditionalFormatting>
  <conditionalFormatting sqref="D73:N73">
    <cfRule type="cellIs" dxfId="153" priority="15" operator="lessThan">
      <formula>0</formula>
    </cfRule>
  </conditionalFormatting>
  <conditionalFormatting sqref="B73">
    <cfRule type="cellIs" dxfId="152" priority="14" operator="lessThan">
      <formula>0</formula>
    </cfRule>
  </conditionalFormatting>
  <conditionalFormatting sqref="B56:C58 B60:C60">
    <cfRule type="cellIs" dxfId="151" priority="13" operator="lessThan">
      <formula>0</formula>
    </cfRule>
  </conditionalFormatting>
  <conditionalFormatting sqref="B55 B56:C58 B60:C60">
    <cfRule type="cellIs" dxfId="150" priority="12" operator="lessThan">
      <formula>0</formula>
    </cfRule>
  </conditionalFormatting>
  <conditionalFormatting sqref="B56:C56">
    <cfRule type="cellIs" dxfId="149" priority="11" operator="lessThan">
      <formula>0</formula>
    </cfRule>
  </conditionalFormatting>
  <conditionalFormatting sqref="C57:C58 C60">
    <cfRule type="cellIs" dxfId="148" priority="10" operator="lessThan">
      <formula>0</formula>
    </cfRule>
  </conditionalFormatting>
  <conditionalFormatting sqref="B59">
    <cfRule type="cellIs" dxfId="147" priority="9" operator="lessThan">
      <formula>0</formula>
    </cfRule>
  </conditionalFormatting>
  <conditionalFormatting sqref="D67:D68 B67">
    <cfRule type="cellIs" dxfId="146" priority="8" operator="lessThan">
      <formula>0</formula>
    </cfRule>
  </conditionalFormatting>
  <conditionalFormatting sqref="B62:B64">
    <cfRule type="cellIs" dxfId="145" priority="7" operator="lessThan">
      <formula>0</formula>
    </cfRule>
  </conditionalFormatting>
  <conditionalFormatting sqref="E3 K3 H3">
    <cfRule type="cellIs" dxfId="144" priority="6" operator="lessThan">
      <formula>0</formula>
    </cfRule>
  </conditionalFormatting>
  <conditionalFormatting sqref="C65">
    <cfRule type="cellIs" dxfId="143" priority="4" operator="lessThan">
      <formula>0</formula>
    </cfRule>
  </conditionalFormatting>
  <conditionalFormatting sqref="C39">
    <cfRule type="cellIs" dxfId="142" priority="2" operator="lessThan">
      <formula>0</formula>
    </cfRule>
  </conditionalFormatting>
  <conditionalFormatting sqref="M2:N2">
    <cfRule type="cellIs" dxfId="141" priority="1" operator="lessThan">
      <formula>0</formula>
    </cfRule>
  </conditionalFormatting>
  <hyperlinks>
    <hyperlink ref="D89" r:id="rId1" xr:uid="{D34BC980-F785-4663-BDEA-4B8B75B15930}"/>
  </hyperlinks>
  <pageMargins left="0.7" right="0.7" top="0.75" bottom="0.75" header="0.3" footer="0.3"/>
  <pageSetup paperSize="9" orientation="portrait" horizontalDpi="1200" verticalDpi="12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BB4B-8D81-414A-8CFC-8A9E551A882D}">
  <dimension ref="B1:N79"/>
  <sheetViews>
    <sheetView topLeftCell="B34" zoomScaleNormal="100" workbookViewId="0">
      <selection activeCell="D62" sqref="D62"/>
    </sheetView>
  </sheetViews>
  <sheetFormatPr defaultColWidth="9.140625" defaultRowHeight="12.75" x14ac:dyDescent="0.2"/>
  <cols>
    <col min="1" max="1" width="9.28515625" style="6" customWidth="1"/>
    <col min="2" max="2" width="29.5703125" style="6" bestFit="1" customWidth="1"/>
    <col min="3" max="3" width="15" style="9" bestFit="1" customWidth="1"/>
    <col min="4" max="4" width="14.5703125" style="33" bestFit="1" customWidth="1"/>
    <col min="5" max="5" width="11.5703125" style="33" bestFit="1" customWidth="1"/>
    <col min="6" max="6" width="11.85546875" style="33" bestFit="1" customWidth="1"/>
    <col min="7" max="8" width="8.42578125" style="33" bestFit="1" customWidth="1"/>
    <col min="9" max="9" width="12.5703125" style="33" bestFit="1" customWidth="1"/>
    <col min="10" max="10" width="11.85546875" style="33" bestFit="1" customWidth="1"/>
    <col min="11" max="11" width="8.42578125" style="33" bestFit="1" customWidth="1"/>
    <col min="12" max="12" width="11.5703125" style="33" bestFit="1" customWidth="1"/>
    <col min="13" max="13" width="11.85546875" style="33" bestFit="1" customWidth="1"/>
    <col min="14" max="14" width="8.42578125" style="33" bestFit="1" customWidth="1"/>
    <col min="15" max="16384" width="9.140625" style="6"/>
  </cols>
  <sheetData>
    <row r="1" spans="2:14" ht="13.5" customHeight="1" thickBot="1" x14ac:dyDescent="0.25"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2:14" ht="15.75" thickBot="1" x14ac:dyDescent="0.25">
      <c r="B2" s="113"/>
      <c r="C2" s="518"/>
      <c r="D2" s="520"/>
      <c r="E2" s="520"/>
      <c r="F2" s="520"/>
      <c r="G2" s="520"/>
      <c r="H2" s="520"/>
      <c r="I2" s="520"/>
      <c r="J2" s="520"/>
      <c r="K2" s="520"/>
      <c r="L2" s="520"/>
      <c r="M2" s="952" t="s">
        <v>1</v>
      </c>
      <c r="N2" s="953" t="s">
        <v>105</v>
      </c>
    </row>
    <row r="3" spans="2:14" x14ac:dyDescent="0.2">
      <c r="B3" s="112"/>
      <c r="C3" s="441"/>
      <c r="D3" s="604"/>
      <c r="E3" s="1235" t="s">
        <v>2</v>
      </c>
      <c r="F3" s="1235"/>
      <c r="G3" s="1235"/>
      <c r="H3" s="1234" t="s">
        <v>207</v>
      </c>
      <c r="I3" s="1234"/>
      <c r="J3" s="1234"/>
      <c r="K3" s="1247" t="s">
        <v>208</v>
      </c>
      <c r="L3" s="1247"/>
      <c r="M3" s="1247"/>
      <c r="N3" s="1248"/>
    </row>
    <row r="4" spans="2:14" x14ac:dyDescent="0.2">
      <c r="B4" s="112"/>
      <c r="C4" s="441"/>
      <c r="D4" s="605">
        <v>0</v>
      </c>
      <c r="E4" s="427">
        <f>D4+1</f>
        <v>1</v>
      </c>
      <c r="F4" s="427">
        <f t="shared" ref="F4:N5" si="0">E4+1</f>
        <v>2</v>
      </c>
      <c r="G4" s="427">
        <f t="shared" si="0"/>
        <v>3</v>
      </c>
      <c r="H4" s="434">
        <f t="shared" si="0"/>
        <v>4</v>
      </c>
      <c r="I4" s="434">
        <f t="shared" si="0"/>
        <v>5</v>
      </c>
      <c r="J4" s="434">
        <f t="shared" si="0"/>
        <v>6</v>
      </c>
      <c r="K4" s="428">
        <f t="shared" si="0"/>
        <v>7</v>
      </c>
      <c r="L4" s="428">
        <f t="shared" si="0"/>
        <v>8</v>
      </c>
      <c r="M4" s="428">
        <f t="shared" si="0"/>
        <v>9</v>
      </c>
      <c r="N4" s="458">
        <f t="shared" si="0"/>
        <v>10</v>
      </c>
    </row>
    <row r="5" spans="2:14" ht="13.5" thickBot="1" x14ac:dyDescent="0.25">
      <c r="B5" s="112"/>
      <c r="C5" s="441" t="s">
        <v>52</v>
      </c>
      <c r="D5" s="606" t="str">
        <f>'Summary Board'!E4</f>
        <v>2020-2021</v>
      </c>
      <c r="E5" s="415">
        <f>'Summary Board'!F4</f>
        <v>2022</v>
      </c>
      <c r="F5" s="415">
        <f>E5+1</f>
        <v>2023</v>
      </c>
      <c r="G5" s="415">
        <f t="shared" si="0"/>
        <v>2024</v>
      </c>
      <c r="H5" s="435">
        <f t="shared" si="0"/>
        <v>2025</v>
      </c>
      <c r="I5" s="435">
        <f t="shared" si="0"/>
        <v>2026</v>
      </c>
      <c r="J5" s="435">
        <f t="shared" si="0"/>
        <v>2027</v>
      </c>
      <c r="K5" s="433">
        <f t="shared" si="0"/>
        <v>2028</v>
      </c>
      <c r="L5" s="433">
        <f t="shared" si="0"/>
        <v>2029</v>
      </c>
      <c r="M5" s="433">
        <f t="shared" si="0"/>
        <v>2030</v>
      </c>
      <c r="N5" s="459">
        <f t="shared" si="0"/>
        <v>2031</v>
      </c>
    </row>
    <row r="6" spans="2:14" ht="13.5" thickBot="1" x14ac:dyDescent="0.25">
      <c r="B6" s="522" t="s">
        <v>71</v>
      </c>
      <c r="C6" s="485"/>
      <c r="D6" s="534"/>
      <c r="E6" s="487"/>
      <c r="F6" s="487"/>
      <c r="G6" s="487"/>
      <c r="H6" s="487"/>
      <c r="I6" s="487"/>
      <c r="J6" s="487"/>
      <c r="K6" s="487"/>
      <c r="L6" s="487"/>
      <c r="M6" s="487"/>
      <c r="N6" s="488"/>
    </row>
    <row r="7" spans="2:14" ht="15" x14ac:dyDescent="0.2">
      <c r="B7" s="572" t="s">
        <v>208</v>
      </c>
      <c r="C7" s="441"/>
      <c r="D7" s="448"/>
      <c r="E7" s="244"/>
      <c r="F7" s="244"/>
      <c r="G7" s="244"/>
      <c r="H7" s="509"/>
      <c r="I7" s="509"/>
      <c r="J7" s="509"/>
      <c r="K7" s="426"/>
      <c r="L7" s="426"/>
      <c r="M7" s="426"/>
      <c r="N7" s="514"/>
    </row>
    <row r="8" spans="2:14" x14ac:dyDescent="0.2">
      <c r="B8" s="526" t="s">
        <v>53</v>
      </c>
      <c r="C8" s="443">
        <v>0.02</v>
      </c>
      <c r="D8" s="603"/>
      <c r="E8" s="510"/>
      <c r="F8" s="510"/>
      <c r="G8" s="510"/>
      <c r="H8" s="511"/>
      <c r="I8" s="511"/>
      <c r="J8" s="511"/>
      <c r="K8" s="512"/>
      <c r="L8" s="512"/>
      <c r="M8" s="512"/>
      <c r="N8" s="515"/>
    </row>
    <row r="9" spans="2:14" x14ac:dyDescent="0.2">
      <c r="B9" s="526" t="s">
        <v>109</v>
      </c>
      <c r="C9" s="573">
        <f>SUM(E9:N9)</f>
        <v>0</v>
      </c>
      <c r="D9" s="603"/>
      <c r="E9" s="431"/>
      <c r="F9" s="431"/>
      <c r="G9" s="431"/>
      <c r="H9" s="555"/>
      <c r="I9" s="555"/>
      <c r="J9" s="555"/>
      <c r="K9" s="276"/>
      <c r="L9" s="276"/>
      <c r="M9" s="276"/>
      <c r="N9" s="467"/>
    </row>
    <row r="10" spans="2:14" x14ac:dyDescent="0.2">
      <c r="B10" s="526" t="s">
        <v>155</v>
      </c>
      <c r="C10" s="573"/>
      <c r="D10" s="448"/>
      <c r="E10" s="431">
        <f>E58</f>
        <v>0</v>
      </c>
      <c r="F10" s="431">
        <f t="shared" ref="F10:N10" si="1">F58</f>
        <v>36.435220125786159</v>
      </c>
      <c r="G10" s="431">
        <f t="shared" si="1"/>
        <v>0</v>
      </c>
      <c r="H10" s="555">
        <f t="shared" si="1"/>
        <v>0</v>
      </c>
      <c r="I10" s="555">
        <f t="shared" si="1"/>
        <v>0</v>
      </c>
      <c r="J10" s="555">
        <f t="shared" si="1"/>
        <v>0</v>
      </c>
      <c r="K10" s="276">
        <f t="shared" si="1"/>
        <v>0</v>
      </c>
      <c r="L10" s="276">
        <f t="shared" si="1"/>
        <v>0</v>
      </c>
      <c r="M10" s="276">
        <f t="shared" si="1"/>
        <v>0</v>
      </c>
      <c r="N10" s="467">
        <f t="shared" si="1"/>
        <v>0</v>
      </c>
    </row>
    <row r="11" spans="2:14" x14ac:dyDescent="0.2">
      <c r="B11" s="526" t="s">
        <v>112</v>
      </c>
      <c r="C11" s="441"/>
      <c r="D11" s="448"/>
      <c r="E11" s="431"/>
      <c r="F11" s="431"/>
      <c r="G11" s="431"/>
      <c r="H11" s="555"/>
      <c r="I11" s="555"/>
      <c r="J11" s="555"/>
      <c r="K11" s="276"/>
      <c r="L11" s="276"/>
      <c r="M11" s="276"/>
      <c r="N11" s="467"/>
    </row>
    <row r="12" spans="2:14" x14ac:dyDescent="0.2">
      <c r="B12" s="526" t="s">
        <v>62</v>
      </c>
      <c r="C12" s="574">
        <v>954</v>
      </c>
      <c r="D12" s="448"/>
      <c r="E12" s="244"/>
      <c r="F12" s="244"/>
      <c r="G12" s="244"/>
      <c r="H12" s="509"/>
      <c r="I12" s="509"/>
      <c r="J12" s="509"/>
      <c r="K12" s="426"/>
      <c r="L12" s="426"/>
      <c r="M12" s="426"/>
      <c r="N12" s="514"/>
    </row>
    <row r="13" spans="2:14" x14ac:dyDescent="0.2">
      <c r="B13" s="526" t="s">
        <v>72</v>
      </c>
      <c r="C13" s="441"/>
      <c r="D13" s="448"/>
      <c r="E13" s="556">
        <f>SUM($E10:E$10)*$C$12</f>
        <v>0</v>
      </c>
      <c r="F13" s="556">
        <f>SUM($E10:F$10)*$C$12</f>
        <v>34759.199999999997</v>
      </c>
      <c r="G13" s="556">
        <f>SUM($E10:G$10)*$C$12</f>
        <v>34759.199999999997</v>
      </c>
      <c r="H13" s="557">
        <f>SUM($E10:H$10)*$C$12</f>
        <v>34759.199999999997</v>
      </c>
      <c r="I13" s="557">
        <f>SUM($E10:I$10)*$C$12</f>
        <v>34759.199999999997</v>
      </c>
      <c r="J13" s="557">
        <f>SUM($E10:J$10)*$C$12</f>
        <v>34759.199999999997</v>
      </c>
      <c r="K13" s="558">
        <f>SUM($E10:K$10)*$C$12</f>
        <v>34759.199999999997</v>
      </c>
      <c r="L13" s="558">
        <f>SUM($E10:L$10)*$C$12</f>
        <v>34759.199999999997</v>
      </c>
      <c r="M13" s="558">
        <f>SUM($E10:M$10)*$C$12</f>
        <v>34759.199999999997</v>
      </c>
      <c r="N13" s="567">
        <f>SUM($E10:N$10)*$C$12</f>
        <v>34759.199999999997</v>
      </c>
    </row>
    <row r="14" spans="2:14" x14ac:dyDescent="0.2">
      <c r="B14" s="578" t="s">
        <v>73</v>
      </c>
      <c r="C14" s="501">
        <f>C53</f>
        <v>333.59999999999997</v>
      </c>
      <c r="D14" s="607">
        <f>C14</f>
        <v>333.59999999999997</v>
      </c>
      <c r="E14" s="497">
        <f>$D14*(1+$C$8)^E$4</f>
        <v>340.27199999999999</v>
      </c>
      <c r="F14" s="497">
        <f t="shared" ref="F14:N14" si="2">$D14*(1+$C$8)^F$4</f>
        <v>347.07743999999997</v>
      </c>
      <c r="G14" s="497">
        <f t="shared" si="2"/>
        <v>354.01898879999993</v>
      </c>
      <c r="H14" s="498">
        <f t="shared" si="2"/>
        <v>361.09936857599996</v>
      </c>
      <c r="I14" s="498">
        <f t="shared" si="2"/>
        <v>368.32135594751998</v>
      </c>
      <c r="J14" s="498">
        <f t="shared" si="2"/>
        <v>375.68778306647039</v>
      </c>
      <c r="K14" s="499">
        <f t="shared" si="2"/>
        <v>383.20153872779969</v>
      </c>
      <c r="L14" s="499">
        <f t="shared" si="2"/>
        <v>390.86556950235575</v>
      </c>
      <c r="M14" s="499">
        <f t="shared" si="2"/>
        <v>398.68288089240286</v>
      </c>
      <c r="N14" s="500">
        <f t="shared" si="2"/>
        <v>406.65653851025093</v>
      </c>
    </row>
    <row r="15" spans="2:14" ht="15" x14ac:dyDescent="0.2">
      <c r="B15" s="572" t="s">
        <v>207</v>
      </c>
      <c r="C15" s="449"/>
      <c r="D15" s="442"/>
      <c r="E15" s="210"/>
      <c r="F15" s="210"/>
      <c r="G15" s="210"/>
      <c r="H15" s="213"/>
      <c r="I15" s="213"/>
      <c r="J15" s="213"/>
      <c r="K15" s="216"/>
      <c r="L15" s="216"/>
      <c r="M15" s="216"/>
      <c r="N15" s="462"/>
    </row>
    <row r="16" spans="2:14" x14ac:dyDescent="0.2">
      <c r="B16" s="526" t="s">
        <v>53</v>
      </c>
      <c r="C16" s="443">
        <v>0.02</v>
      </c>
      <c r="D16" s="603"/>
      <c r="E16" s="510"/>
      <c r="F16" s="510"/>
      <c r="G16" s="510"/>
      <c r="H16" s="511"/>
      <c r="I16" s="511"/>
      <c r="J16" s="511"/>
      <c r="K16" s="512"/>
      <c r="L16" s="512"/>
      <c r="M16" s="512"/>
      <c r="N16" s="515"/>
    </row>
    <row r="17" spans="2:14" x14ac:dyDescent="0.2">
      <c r="B17" s="526" t="s">
        <v>109</v>
      </c>
      <c r="C17" s="573">
        <f>SUM(E17:N17)</f>
        <v>0</v>
      </c>
      <c r="D17" s="603"/>
      <c r="E17" s="431"/>
      <c r="F17" s="431"/>
      <c r="G17" s="431"/>
      <c r="H17" s="555"/>
      <c r="I17" s="555"/>
      <c r="J17" s="555"/>
      <c r="K17" s="276"/>
      <c r="L17" s="276"/>
      <c r="M17" s="276"/>
      <c r="N17" s="467"/>
    </row>
    <row r="18" spans="2:14" x14ac:dyDescent="0.2">
      <c r="B18" s="526" t="s">
        <v>155</v>
      </c>
      <c r="C18" s="573"/>
      <c r="D18" s="448"/>
      <c r="E18" s="431">
        <f>E60</f>
        <v>0</v>
      </c>
      <c r="F18" s="431">
        <f t="shared" ref="F18:N18" si="3">F60</f>
        <v>0</v>
      </c>
      <c r="G18" s="431">
        <f t="shared" si="3"/>
        <v>0</v>
      </c>
      <c r="H18" s="555">
        <f t="shared" si="3"/>
        <v>0</v>
      </c>
      <c r="I18" s="555">
        <f t="shared" si="3"/>
        <v>0</v>
      </c>
      <c r="J18" s="555">
        <f t="shared" si="3"/>
        <v>54.317767295597484</v>
      </c>
      <c r="K18" s="276">
        <f t="shared" si="3"/>
        <v>0</v>
      </c>
      <c r="L18" s="276">
        <f t="shared" si="3"/>
        <v>0</v>
      </c>
      <c r="M18" s="276">
        <f t="shared" si="3"/>
        <v>0</v>
      </c>
      <c r="N18" s="467">
        <f t="shared" si="3"/>
        <v>0</v>
      </c>
    </row>
    <row r="19" spans="2:14" x14ac:dyDescent="0.2">
      <c r="B19" s="526" t="s">
        <v>112</v>
      </c>
      <c r="C19" s="441"/>
      <c r="D19" s="448"/>
      <c r="E19" s="431"/>
      <c r="F19" s="431"/>
      <c r="G19" s="431"/>
      <c r="H19" s="555"/>
      <c r="I19" s="555"/>
      <c r="J19" s="555"/>
      <c r="K19" s="276"/>
      <c r="L19" s="276"/>
      <c r="M19" s="276"/>
      <c r="N19" s="467"/>
    </row>
    <row r="20" spans="2:14" x14ac:dyDescent="0.2">
      <c r="B20" s="526" t="s">
        <v>62</v>
      </c>
      <c r="C20" s="574">
        <v>954</v>
      </c>
      <c r="D20" s="448"/>
      <c r="E20" s="244"/>
      <c r="F20" s="244"/>
      <c r="G20" s="244"/>
      <c r="H20" s="509"/>
      <c r="I20" s="509"/>
      <c r="J20" s="509"/>
      <c r="K20" s="426"/>
      <c r="L20" s="426"/>
      <c r="M20" s="426"/>
      <c r="N20" s="514"/>
    </row>
    <row r="21" spans="2:14" x14ac:dyDescent="0.2">
      <c r="B21" s="526" t="s">
        <v>72</v>
      </c>
      <c r="C21" s="441"/>
      <c r="D21" s="448"/>
      <c r="E21" s="556">
        <f>SUM($E$18:E18)*$C$12</f>
        <v>0</v>
      </c>
      <c r="F21" s="556">
        <f>SUM($E$18:F18)*$C$12</f>
        <v>0</v>
      </c>
      <c r="G21" s="556">
        <f>SUM($E$18:G18)*$C$12</f>
        <v>0</v>
      </c>
      <c r="H21" s="557">
        <f>SUM($E$18:H18)*$C$12</f>
        <v>0</v>
      </c>
      <c r="I21" s="557">
        <f>SUM($E$18:I18)*$C$12</f>
        <v>0</v>
      </c>
      <c r="J21" s="557">
        <f>SUM($E$18:J18)*$C$12</f>
        <v>51819.15</v>
      </c>
      <c r="K21" s="558">
        <f>SUM($E$18:K18)*$C$12</f>
        <v>51819.15</v>
      </c>
      <c r="L21" s="558">
        <f>SUM($E$18:L18)*$C$12</f>
        <v>51819.15</v>
      </c>
      <c r="M21" s="558">
        <f>SUM($E$18:M18)*$C$12</f>
        <v>51819.15</v>
      </c>
      <c r="N21" s="567">
        <f>SUM($E$18:N18)*$C$12</f>
        <v>51819.15</v>
      </c>
    </row>
    <row r="22" spans="2:14" x14ac:dyDescent="0.2">
      <c r="B22" s="578" t="s">
        <v>73</v>
      </c>
      <c r="C22" s="501">
        <f>C14</f>
        <v>333.59999999999997</v>
      </c>
      <c r="D22" s="607">
        <f>C22</f>
        <v>333.59999999999997</v>
      </c>
      <c r="E22" s="497">
        <f>$D22*(1+$C$8)^E$4</f>
        <v>340.27199999999999</v>
      </c>
      <c r="F22" s="497">
        <f t="shared" ref="F22:N22" si="4">$D22*(1+$C$8)^F$4</f>
        <v>347.07743999999997</v>
      </c>
      <c r="G22" s="497">
        <f t="shared" si="4"/>
        <v>354.01898879999993</v>
      </c>
      <c r="H22" s="498">
        <f t="shared" si="4"/>
        <v>361.09936857599996</v>
      </c>
      <c r="I22" s="498">
        <f t="shared" si="4"/>
        <v>368.32135594751998</v>
      </c>
      <c r="J22" s="498">
        <f t="shared" si="4"/>
        <v>375.68778306647039</v>
      </c>
      <c r="K22" s="499">
        <f t="shared" si="4"/>
        <v>383.20153872779969</v>
      </c>
      <c r="L22" s="499">
        <f t="shared" si="4"/>
        <v>390.86556950235575</v>
      </c>
      <c r="M22" s="499">
        <f t="shared" si="4"/>
        <v>398.68288089240286</v>
      </c>
      <c r="N22" s="500">
        <f t="shared" si="4"/>
        <v>406.65653851025093</v>
      </c>
    </row>
    <row r="23" spans="2:14" ht="15" x14ac:dyDescent="0.2">
      <c r="B23" s="572" t="s">
        <v>208</v>
      </c>
      <c r="C23" s="449"/>
      <c r="D23" s="442"/>
      <c r="E23" s="210"/>
      <c r="F23" s="210"/>
      <c r="G23" s="210"/>
      <c r="H23" s="213"/>
      <c r="I23" s="213"/>
      <c r="J23" s="213"/>
      <c r="K23" s="216"/>
      <c r="L23" s="216"/>
      <c r="M23" s="216"/>
      <c r="N23" s="462"/>
    </row>
    <row r="24" spans="2:14" x14ac:dyDescent="0.2">
      <c r="B24" s="526" t="s">
        <v>53</v>
      </c>
      <c r="C24" s="443">
        <v>0.02</v>
      </c>
      <c r="D24" s="603"/>
      <c r="E24" s="510"/>
      <c r="F24" s="510"/>
      <c r="G24" s="510"/>
      <c r="H24" s="511"/>
      <c r="I24" s="511"/>
      <c r="J24" s="511"/>
      <c r="K24" s="512"/>
      <c r="L24" s="512"/>
      <c r="M24" s="512"/>
      <c r="N24" s="515"/>
    </row>
    <row r="25" spans="2:14" x14ac:dyDescent="0.2">
      <c r="B25" s="526" t="s">
        <v>109</v>
      </c>
      <c r="C25" s="573">
        <f>SUM(E25:N25)</f>
        <v>0</v>
      </c>
      <c r="D25" s="603"/>
      <c r="E25" s="431"/>
      <c r="F25" s="431"/>
      <c r="G25" s="431"/>
      <c r="H25" s="555"/>
      <c r="I25" s="555"/>
      <c r="J25" s="555"/>
      <c r="K25" s="276"/>
      <c r="L25" s="276"/>
      <c r="M25" s="276"/>
      <c r="N25" s="467"/>
    </row>
    <row r="26" spans="2:14" x14ac:dyDescent="0.2">
      <c r="B26" s="526" t="s">
        <v>155</v>
      </c>
      <c r="C26" s="573"/>
      <c r="D26" s="448"/>
      <c r="E26" s="431">
        <f>E62</f>
        <v>0</v>
      </c>
      <c r="F26" s="431">
        <f t="shared" ref="F26:N26" si="5">F62</f>
        <v>0</v>
      </c>
      <c r="G26" s="431">
        <f t="shared" si="5"/>
        <v>0</v>
      </c>
      <c r="H26" s="555">
        <f t="shared" si="5"/>
        <v>0</v>
      </c>
      <c r="I26" s="555">
        <f t="shared" si="5"/>
        <v>0</v>
      </c>
      <c r="J26" s="555">
        <f t="shared" si="5"/>
        <v>0</v>
      </c>
      <c r="K26" s="276">
        <f t="shared" si="5"/>
        <v>0</v>
      </c>
      <c r="L26" s="276">
        <f t="shared" si="5"/>
        <v>0</v>
      </c>
      <c r="M26" s="276">
        <f t="shared" si="5"/>
        <v>35.494261006289307</v>
      </c>
      <c r="N26" s="467">
        <f t="shared" si="5"/>
        <v>0</v>
      </c>
    </row>
    <row r="27" spans="2:14" x14ac:dyDescent="0.2">
      <c r="B27" s="526" t="s">
        <v>112</v>
      </c>
      <c r="C27" s="441"/>
      <c r="D27" s="448"/>
      <c r="E27" s="431"/>
      <c r="F27" s="431"/>
      <c r="G27" s="431"/>
      <c r="H27" s="555"/>
      <c r="I27" s="555"/>
      <c r="J27" s="555"/>
      <c r="K27" s="276"/>
      <c r="L27" s="276"/>
      <c r="M27" s="276"/>
      <c r="N27" s="467"/>
    </row>
    <row r="28" spans="2:14" x14ac:dyDescent="0.2">
      <c r="B28" s="526" t="s">
        <v>62</v>
      </c>
      <c r="C28" s="574">
        <v>954</v>
      </c>
      <c r="D28" s="448"/>
      <c r="E28" s="244"/>
      <c r="F28" s="244"/>
      <c r="G28" s="244"/>
      <c r="H28" s="509"/>
      <c r="I28" s="509"/>
      <c r="J28" s="509"/>
      <c r="K28" s="426"/>
      <c r="L28" s="426"/>
      <c r="M28" s="426"/>
      <c r="N28" s="514"/>
    </row>
    <row r="29" spans="2:14" x14ac:dyDescent="0.2">
      <c r="B29" s="526" t="s">
        <v>72</v>
      </c>
      <c r="C29" s="441"/>
      <c r="D29" s="448"/>
      <c r="E29" s="556">
        <f>SUM($E$26:E26)*$C$12</f>
        <v>0</v>
      </c>
      <c r="F29" s="556">
        <f>SUM($E$26:F26)*$C$12</f>
        <v>0</v>
      </c>
      <c r="G29" s="556">
        <f>SUM($E$26:G26)*$C$12</f>
        <v>0</v>
      </c>
      <c r="H29" s="557">
        <f>SUM($E$26:H26)*$C$12</f>
        <v>0</v>
      </c>
      <c r="I29" s="557">
        <f>SUM($E$26:I26)*$C$12</f>
        <v>0</v>
      </c>
      <c r="J29" s="557">
        <f>SUM($E$26:J26)*$C$12</f>
        <v>0</v>
      </c>
      <c r="K29" s="558">
        <f>SUM($E$26:K26)*$C$12</f>
        <v>0</v>
      </c>
      <c r="L29" s="558">
        <f>SUM($E$26:L26)*$C$12</f>
        <v>0</v>
      </c>
      <c r="M29" s="558">
        <f>SUM($E$26:M26)*$C$12</f>
        <v>33861.525000000001</v>
      </c>
      <c r="N29" s="567">
        <f>SUM($E$26:N26)*$C$12</f>
        <v>33861.525000000001</v>
      </c>
    </row>
    <row r="30" spans="2:14" ht="13.5" thickBot="1" x14ac:dyDescent="0.25">
      <c r="B30" s="526" t="s">
        <v>73</v>
      </c>
      <c r="C30" s="449">
        <f>C14</f>
        <v>333.59999999999997</v>
      </c>
      <c r="D30" s="442">
        <f>C30</f>
        <v>333.59999999999997</v>
      </c>
      <c r="E30" s="210">
        <f>$D30*(1+$C$8)^E$4</f>
        <v>340.27199999999999</v>
      </c>
      <c r="F30" s="210">
        <f t="shared" ref="F30:N30" si="6">$D30*(1+$C$8)^F$4</f>
        <v>347.07743999999997</v>
      </c>
      <c r="G30" s="210">
        <f t="shared" si="6"/>
        <v>354.01898879999993</v>
      </c>
      <c r="H30" s="213">
        <f t="shared" si="6"/>
        <v>361.09936857599996</v>
      </c>
      <c r="I30" s="213">
        <f t="shared" si="6"/>
        <v>368.32135594751998</v>
      </c>
      <c r="J30" s="213">
        <f t="shared" si="6"/>
        <v>375.68778306647039</v>
      </c>
      <c r="K30" s="216">
        <f t="shared" si="6"/>
        <v>383.20153872779969</v>
      </c>
      <c r="L30" s="216">
        <f t="shared" si="6"/>
        <v>390.86556950235575</v>
      </c>
      <c r="M30" s="216">
        <f t="shared" si="6"/>
        <v>398.68288089240286</v>
      </c>
      <c r="N30" s="462">
        <f t="shared" si="6"/>
        <v>406.65653851025093</v>
      </c>
    </row>
    <row r="31" spans="2:14" ht="13.5" thickBot="1" x14ac:dyDescent="0.25">
      <c r="B31" s="522" t="s">
        <v>3</v>
      </c>
      <c r="C31" s="485"/>
      <c r="D31" s="534"/>
      <c r="E31" s="487"/>
      <c r="F31" s="487"/>
      <c r="G31" s="487"/>
      <c r="H31" s="487"/>
      <c r="I31" s="487"/>
      <c r="J31" s="487"/>
      <c r="K31" s="487"/>
      <c r="L31" s="487"/>
      <c r="M31" s="487"/>
      <c r="N31" s="488"/>
    </row>
    <row r="32" spans="2:14" x14ac:dyDescent="0.2">
      <c r="B32" s="526" t="s">
        <v>74</v>
      </c>
      <c r="C32" s="441"/>
      <c r="D32" s="448"/>
      <c r="E32" s="270">
        <f>SUM(E10,E18,E26)*$C$12*E14</f>
        <v>0</v>
      </c>
      <c r="F32" s="270">
        <f t="shared" ref="F32:N32" si="7">SUM(F10,F18,F26)*$C$12*F14</f>
        <v>12064134.152447999</v>
      </c>
      <c r="G32" s="270">
        <f t="shared" si="7"/>
        <v>0</v>
      </c>
      <c r="H32" s="290">
        <f t="shared" si="7"/>
        <v>0</v>
      </c>
      <c r="I32" s="290">
        <f t="shared" si="7"/>
        <v>0</v>
      </c>
      <c r="J32" s="290">
        <f t="shared" si="7"/>
        <v>19467821.583888888</v>
      </c>
      <c r="K32" s="271">
        <f t="shared" si="7"/>
        <v>0</v>
      </c>
      <c r="L32" s="271">
        <f t="shared" si="7"/>
        <v>0</v>
      </c>
      <c r="M32" s="271">
        <f t="shared" si="7"/>
        <v>13500010.338410122</v>
      </c>
      <c r="N32" s="466">
        <f t="shared" si="7"/>
        <v>0</v>
      </c>
    </row>
    <row r="33" spans="2:14" x14ac:dyDescent="0.2">
      <c r="B33" s="526" t="s">
        <v>75</v>
      </c>
      <c r="C33" s="443">
        <v>0.05</v>
      </c>
      <c r="D33" s="603"/>
      <c r="E33" s="270">
        <f>-(E32*$C$33)</f>
        <v>0</v>
      </c>
      <c r="F33" s="270">
        <f t="shared" ref="F33:N33" si="8">-(F32*$C$33)</f>
        <v>-603206.7076223999</v>
      </c>
      <c r="G33" s="270">
        <f t="shared" si="8"/>
        <v>0</v>
      </c>
      <c r="H33" s="290">
        <f t="shared" si="8"/>
        <v>0</v>
      </c>
      <c r="I33" s="290">
        <f t="shared" si="8"/>
        <v>0</v>
      </c>
      <c r="J33" s="290">
        <f t="shared" si="8"/>
        <v>-973391.07919444446</v>
      </c>
      <c r="K33" s="271">
        <f t="shared" si="8"/>
        <v>0</v>
      </c>
      <c r="L33" s="271">
        <f t="shared" si="8"/>
        <v>0</v>
      </c>
      <c r="M33" s="271">
        <f t="shared" si="8"/>
        <v>-675000.51692050614</v>
      </c>
      <c r="N33" s="466">
        <f t="shared" si="8"/>
        <v>0</v>
      </c>
    </row>
    <row r="34" spans="2:14" x14ac:dyDescent="0.2">
      <c r="B34" s="526" t="s">
        <v>76</v>
      </c>
      <c r="C34" s="443">
        <v>0.05</v>
      </c>
      <c r="D34" s="603"/>
      <c r="E34" s="270">
        <f>-(E32*$C$34)</f>
        <v>0</v>
      </c>
      <c r="F34" s="270">
        <f t="shared" ref="F34:N34" si="9">-(F32*$C$34)</f>
        <v>-603206.7076223999</v>
      </c>
      <c r="G34" s="270">
        <f t="shared" si="9"/>
        <v>0</v>
      </c>
      <c r="H34" s="290">
        <f t="shared" si="9"/>
        <v>0</v>
      </c>
      <c r="I34" s="290">
        <f t="shared" si="9"/>
        <v>0</v>
      </c>
      <c r="J34" s="290">
        <f t="shared" si="9"/>
        <v>-973391.07919444446</v>
      </c>
      <c r="K34" s="271">
        <f t="shared" si="9"/>
        <v>0</v>
      </c>
      <c r="L34" s="271">
        <f t="shared" si="9"/>
        <v>0</v>
      </c>
      <c r="M34" s="271">
        <f t="shared" si="9"/>
        <v>-675000.51692050614</v>
      </c>
      <c r="N34" s="466">
        <f t="shared" si="9"/>
        <v>0</v>
      </c>
    </row>
    <row r="35" spans="2:14" ht="13.5" thickBot="1" x14ac:dyDescent="0.25">
      <c r="B35" s="525" t="s">
        <v>27</v>
      </c>
      <c r="C35" s="441"/>
      <c r="D35" s="448"/>
      <c r="E35" s="270">
        <f>SUM(E32:E34)</f>
        <v>0</v>
      </c>
      <c r="F35" s="270">
        <f t="shared" ref="F35:N35" si="10">SUM(F32:F34)</f>
        <v>10857720.737203199</v>
      </c>
      <c r="G35" s="270">
        <f t="shared" si="10"/>
        <v>0</v>
      </c>
      <c r="H35" s="290">
        <f t="shared" si="10"/>
        <v>0</v>
      </c>
      <c r="I35" s="290">
        <f t="shared" si="10"/>
        <v>0</v>
      </c>
      <c r="J35" s="290">
        <f t="shared" si="10"/>
        <v>17521039.425499998</v>
      </c>
      <c r="K35" s="271">
        <f t="shared" si="10"/>
        <v>0</v>
      </c>
      <c r="L35" s="271">
        <f t="shared" si="10"/>
        <v>0</v>
      </c>
      <c r="M35" s="271">
        <f t="shared" si="10"/>
        <v>12150009.304569108</v>
      </c>
      <c r="N35" s="466">
        <f t="shared" si="10"/>
        <v>0</v>
      </c>
    </row>
    <row r="36" spans="2:14" ht="13.5" thickBot="1" x14ac:dyDescent="0.25">
      <c r="B36" s="522" t="s">
        <v>20</v>
      </c>
      <c r="C36" s="485"/>
      <c r="D36" s="534"/>
      <c r="E36" s="940"/>
      <c r="F36" s="938"/>
      <c r="G36" s="938"/>
      <c r="H36" s="938"/>
      <c r="I36" s="938"/>
      <c r="J36" s="938"/>
      <c r="K36" s="938"/>
      <c r="L36" s="938"/>
      <c r="M36" s="938"/>
      <c r="N36" s="939"/>
    </row>
    <row r="37" spans="2:14" x14ac:dyDescent="0.2">
      <c r="B37" s="526" t="s">
        <v>111</v>
      </c>
      <c r="C37" s="449">
        <v>250.76</v>
      </c>
      <c r="D37" s="442">
        <f>C37</f>
        <v>250.76</v>
      </c>
      <c r="E37" s="600">
        <f>$D37*(1+$C$8)^E$4</f>
        <v>255.77519999999998</v>
      </c>
      <c r="F37" s="270">
        <f t="shared" ref="F37:M37" si="11">$D37*(1+$C$8)^F$4</f>
        <v>260.89070399999997</v>
      </c>
      <c r="G37" s="270">
        <f t="shared" si="11"/>
        <v>266.10851807999995</v>
      </c>
      <c r="H37" s="290">
        <f t="shared" si="11"/>
        <v>271.43068844160001</v>
      </c>
      <c r="I37" s="290">
        <f t="shared" si="11"/>
        <v>276.85930221043202</v>
      </c>
      <c r="J37" s="290">
        <f t="shared" si="11"/>
        <v>282.39648825464064</v>
      </c>
      <c r="K37" s="271">
        <f t="shared" si="11"/>
        <v>288.04441801973337</v>
      </c>
      <c r="L37" s="271">
        <f t="shared" si="11"/>
        <v>293.80530638012812</v>
      </c>
      <c r="M37" s="271">
        <f t="shared" si="11"/>
        <v>299.68141250773067</v>
      </c>
      <c r="N37" s="466">
        <f>$D37*(1+$C$8)^N$4</f>
        <v>305.67504075788526</v>
      </c>
    </row>
    <row r="38" spans="2:14" x14ac:dyDescent="0.2">
      <c r="B38" s="526" t="s">
        <v>68</v>
      </c>
      <c r="C38" s="441"/>
      <c r="D38" s="628">
        <f>D39/SUM($D$39:$N$39)</f>
        <v>0</v>
      </c>
      <c r="E38" s="245">
        <f>E39/SUM($E$39:$N$39)</f>
        <v>0.26790156424490008</v>
      </c>
      <c r="F38" s="245">
        <f t="shared" ref="F38:N38" si="12">F39/SUM($E$39:$N$39)</f>
        <v>0</v>
      </c>
      <c r="G38" s="245">
        <f t="shared" si="12"/>
        <v>0</v>
      </c>
      <c r="H38" s="265">
        <f t="shared" si="12"/>
        <v>0</v>
      </c>
      <c r="I38" s="265">
        <f t="shared" si="12"/>
        <v>0.43231116206596271</v>
      </c>
      <c r="J38" s="265">
        <f t="shared" si="12"/>
        <v>0</v>
      </c>
      <c r="K38" s="266">
        <f t="shared" si="12"/>
        <v>0</v>
      </c>
      <c r="L38" s="266">
        <f t="shared" si="12"/>
        <v>0.29978727368913721</v>
      </c>
      <c r="M38" s="266">
        <f t="shared" si="12"/>
        <v>0</v>
      </c>
      <c r="N38" s="568">
        <f t="shared" si="12"/>
        <v>0</v>
      </c>
    </row>
    <row r="39" spans="2:14" x14ac:dyDescent="0.2">
      <c r="B39" s="526" t="s">
        <v>20</v>
      </c>
      <c r="C39" s="441"/>
      <c r="D39" s="448"/>
      <c r="E39" s="270">
        <f>E59*E37</f>
        <v>8890541.3318399992</v>
      </c>
      <c r="F39" s="270">
        <f>F59*F37</f>
        <v>0</v>
      </c>
      <c r="G39" s="270">
        <f>G59*G37</f>
        <v>0</v>
      </c>
      <c r="H39" s="290">
        <f>H61*H37</f>
        <v>0</v>
      </c>
      <c r="I39" s="290">
        <f>I61*I37</f>
        <v>14346613.710137708</v>
      </c>
      <c r="J39" s="290">
        <f>J61*J37</f>
        <v>0</v>
      </c>
      <c r="K39" s="271">
        <f>K63*K37</f>
        <v>0</v>
      </c>
      <c r="L39" s="271">
        <f>L63*L37</f>
        <v>9948695.7271233685</v>
      </c>
      <c r="M39" s="271">
        <f>M63*M37</f>
        <v>0</v>
      </c>
      <c r="N39" s="466">
        <f>N63*N37</f>
        <v>0</v>
      </c>
    </row>
    <row r="40" spans="2:14" x14ac:dyDescent="0.2">
      <c r="B40" s="526" t="s">
        <v>47</v>
      </c>
      <c r="C40" s="441"/>
      <c r="D40" s="448"/>
      <c r="E40" s="600"/>
      <c r="F40" s="270"/>
      <c r="G40" s="270"/>
      <c r="H40" s="290"/>
      <c r="I40" s="290"/>
      <c r="J40" s="290"/>
      <c r="K40" s="271"/>
      <c r="L40" s="271"/>
      <c r="M40" s="271"/>
      <c r="N40" s="466"/>
    </row>
    <row r="41" spans="2:14" ht="13.5" thickBot="1" x14ac:dyDescent="0.25">
      <c r="B41" s="525" t="s">
        <v>25</v>
      </c>
      <c r="C41" s="441"/>
      <c r="D41" s="442">
        <f>SUM(D39:D40)</f>
        <v>0</v>
      </c>
      <c r="E41" s="270">
        <f>SUM(E39:E40)</f>
        <v>8890541.3318399992</v>
      </c>
      <c r="F41" s="270">
        <f t="shared" ref="F41:N41" si="13">SUM(F39:F40)</f>
        <v>0</v>
      </c>
      <c r="G41" s="270">
        <f t="shared" si="13"/>
        <v>0</v>
      </c>
      <c r="H41" s="290">
        <f t="shared" si="13"/>
        <v>0</v>
      </c>
      <c r="I41" s="290">
        <f t="shared" si="13"/>
        <v>14346613.710137708</v>
      </c>
      <c r="J41" s="290">
        <f t="shared" si="13"/>
        <v>0</v>
      </c>
      <c r="K41" s="271">
        <f t="shared" si="13"/>
        <v>0</v>
      </c>
      <c r="L41" s="271">
        <f t="shared" si="13"/>
        <v>9948695.7271233685</v>
      </c>
      <c r="M41" s="271">
        <f t="shared" si="13"/>
        <v>0</v>
      </c>
      <c r="N41" s="466">
        <f t="shared" si="13"/>
        <v>0</v>
      </c>
    </row>
    <row r="42" spans="2:14" ht="13.5" thickBot="1" x14ac:dyDescent="0.25">
      <c r="B42" s="522" t="s">
        <v>26</v>
      </c>
      <c r="C42" s="485"/>
      <c r="D42" s="534"/>
      <c r="E42" s="940"/>
      <c r="F42" s="938"/>
      <c r="G42" s="938"/>
      <c r="H42" s="938"/>
      <c r="I42" s="938"/>
      <c r="J42" s="938"/>
      <c r="K42" s="938"/>
      <c r="L42" s="938"/>
      <c r="M42" s="938"/>
      <c r="N42" s="939"/>
    </row>
    <row r="43" spans="2:14" x14ac:dyDescent="0.2">
      <c r="B43" s="526" t="s">
        <v>27</v>
      </c>
      <c r="C43" s="441"/>
      <c r="D43" s="442">
        <f>D35</f>
        <v>0</v>
      </c>
      <c r="E43" s="600">
        <f>E35</f>
        <v>0</v>
      </c>
      <c r="F43" s="270">
        <f t="shared" ref="F43:N43" si="14">F35</f>
        <v>10857720.737203199</v>
      </c>
      <c r="G43" s="270">
        <f t="shared" si="14"/>
        <v>0</v>
      </c>
      <c r="H43" s="290">
        <f t="shared" si="14"/>
        <v>0</v>
      </c>
      <c r="I43" s="290">
        <f t="shared" si="14"/>
        <v>0</v>
      </c>
      <c r="J43" s="290">
        <f t="shared" si="14"/>
        <v>17521039.425499998</v>
      </c>
      <c r="K43" s="271">
        <f t="shared" si="14"/>
        <v>0</v>
      </c>
      <c r="L43" s="271">
        <f t="shared" si="14"/>
        <v>0</v>
      </c>
      <c r="M43" s="271">
        <f t="shared" si="14"/>
        <v>12150009.304569108</v>
      </c>
      <c r="N43" s="466">
        <f t="shared" si="14"/>
        <v>0</v>
      </c>
    </row>
    <row r="44" spans="2:14" ht="13.5" thickBot="1" x14ac:dyDescent="0.25">
      <c r="B44" s="526" t="s">
        <v>25</v>
      </c>
      <c r="C44" s="443"/>
      <c r="D44" s="442">
        <f>-D41</f>
        <v>0</v>
      </c>
      <c r="E44" s="270">
        <f>-E41</f>
        <v>-8890541.3318399992</v>
      </c>
      <c r="F44" s="270">
        <f t="shared" ref="F44:N44" si="15">-F41</f>
        <v>0</v>
      </c>
      <c r="G44" s="270">
        <f t="shared" si="15"/>
        <v>0</v>
      </c>
      <c r="H44" s="290">
        <f t="shared" si="15"/>
        <v>0</v>
      </c>
      <c r="I44" s="290">
        <f t="shared" si="15"/>
        <v>-14346613.710137708</v>
      </c>
      <c r="J44" s="290">
        <f t="shared" si="15"/>
        <v>0</v>
      </c>
      <c r="K44" s="271">
        <f t="shared" si="15"/>
        <v>0</v>
      </c>
      <c r="L44" s="271">
        <f t="shared" si="15"/>
        <v>-9948695.7271233685</v>
      </c>
      <c r="M44" s="271">
        <f t="shared" si="15"/>
        <v>0</v>
      </c>
      <c r="N44" s="466">
        <f t="shared" si="15"/>
        <v>0</v>
      </c>
    </row>
    <row r="45" spans="2:14" ht="13.5" thickBot="1" x14ac:dyDescent="0.25">
      <c r="B45" s="523"/>
      <c r="C45" s="524"/>
      <c r="D45" s="937"/>
      <c r="E45" s="938"/>
      <c r="F45" s="938"/>
      <c r="G45" s="938"/>
      <c r="H45" s="938"/>
      <c r="I45" s="938"/>
      <c r="J45" s="938"/>
      <c r="K45" s="938"/>
      <c r="L45" s="938"/>
      <c r="M45" s="938"/>
      <c r="N45" s="939"/>
    </row>
    <row r="46" spans="2:14" x14ac:dyDescent="0.2">
      <c r="B46" s="525" t="s">
        <v>29</v>
      </c>
      <c r="C46" s="443"/>
      <c r="D46" s="442">
        <f>SUM(D43:D44)</f>
        <v>0</v>
      </c>
      <c r="E46" s="270">
        <f>SUM(E43:E44)</f>
        <v>-8890541.3318399992</v>
      </c>
      <c r="F46" s="270">
        <f t="shared" ref="F46:N46" si="16">SUM(F43:F44)</f>
        <v>10857720.737203199</v>
      </c>
      <c r="G46" s="270">
        <f t="shared" si="16"/>
        <v>0</v>
      </c>
      <c r="H46" s="290">
        <f t="shared" si="16"/>
        <v>0</v>
      </c>
      <c r="I46" s="290">
        <f t="shared" si="16"/>
        <v>-14346613.710137708</v>
      </c>
      <c r="J46" s="290">
        <f t="shared" si="16"/>
        <v>17521039.425499998</v>
      </c>
      <c r="K46" s="271">
        <f t="shared" si="16"/>
        <v>0</v>
      </c>
      <c r="L46" s="271">
        <f t="shared" si="16"/>
        <v>-9948695.7271233685</v>
      </c>
      <c r="M46" s="271">
        <f t="shared" si="16"/>
        <v>12150009.304569108</v>
      </c>
      <c r="N46" s="466">
        <f t="shared" si="16"/>
        <v>0</v>
      </c>
    </row>
    <row r="47" spans="2:14" x14ac:dyDescent="0.2">
      <c r="B47" s="357" t="s">
        <v>32</v>
      </c>
      <c r="C47" s="443">
        <f>C52</f>
        <v>0.06</v>
      </c>
      <c r="D47" s="444">
        <f>NPV(C47,E46:N46)</f>
        <v>3856683.7954842723</v>
      </c>
      <c r="E47" s="601"/>
      <c r="F47" s="152"/>
      <c r="G47" s="152"/>
      <c r="H47" s="152"/>
      <c r="I47" s="152"/>
      <c r="J47" s="152"/>
      <c r="K47" s="152"/>
      <c r="L47" s="152"/>
      <c r="M47" s="152"/>
      <c r="N47" s="474"/>
    </row>
    <row r="48" spans="2:14" x14ac:dyDescent="0.2">
      <c r="B48" s="357" t="s">
        <v>34</v>
      </c>
      <c r="C48" s="441"/>
      <c r="D48" s="445">
        <f>IRR(D46:N46,0)</f>
        <v>0.22126654968894521</v>
      </c>
      <c r="E48" s="152"/>
      <c r="F48" s="152"/>
      <c r="G48" s="152"/>
      <c r="H48" s="152"/>
      <c r="I48" s="152"/>
      <c r="J48" s="152"/>
      <c r="K48" s="152"/>
      <c r="L48" s="152"/>
      <c r="M48" s="152"/>
      <c r="N48" s="474"/>
    </row>
    <row r="49" spans="2:14" ht="13.5" thickBot="1" x14ac:dyDescent="0.25">
      <c r="B49" s="358" t="s">
        <v>36</v>
      </c>
      <c r="C49" s="472"/>
      <c r="D49" s="602"/>
      <c r="E49" s="475"/>
      <c r="F49" s="475"/>
      <c r="G49" s="475"/>
      <c r="H49" s="475"/>
      <c r="I49" s="475"/>
      <c r="J49" s="475"/>
      <c r="K49" s="475"/>
      <c r="L49" s="475"/>
      <c r="M49" s="475"/>
      <c r="N49" s="476"/>
    </row>
    <row r="50" spans="2:14" ht="13.5" thickBot="1" x14ac:dyDescent="0.25">
      <c r="B50" s="272"/>
      <c r="C50" s="124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</row>
    <row r="51" spans="2:14" x14ac:dyDescent="0.2">
      <c r="B51" s="1073" t="s">
        <v>71</v>
      </c>
      <c r="C51" s="1077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</row>
    <row r="52" spans="2:14" x14ac:dyDescent="0.2">
      <c r="B52" s="112" t="s">
        <v>153</v>
      </c>
      <c r="C52" s="478">
        <v>0.06</v>
      </c>
      <c r="D52" s="936"/>
      <c r="E52" s="43"/>
      <c r="F52" s="43"/>
      <c r="G52" s="43"/>
      <c r="H52" s="43"/>
      <c r="I52" s="43"/>
      <c r="J52" s="43"/>
      <c r="K52" s="43"/>
      <c r="L52" s="43"/>
      <c r="M52" s="43"/>
      <c r="N52" s="43"/>
    </row>
    <row r="53" spans="2:14" ht="13.5" thickBot="1" x14ac:dyDescent="0.25">
      <c r="B53" s="629" t="s">
        <v>250</v>
      </c>
      <c r="C53" s="630">
        <f>'3. Market-Rate For-Sale'!C30*0.6</f>
        <v>333.59999999999997</v>
      </c>
      <c r="D53" s="936"/>
      <c r="E53" s="132"/>
      <c r="F53" s="43"/>
      <c r="G53" s="43"/>
      <c r="H53" s="43"/>
      <c r="I53" s="43"/>
      <c r="J53" s="43"/>
      <c r="K53" s="43"/>
      <c r="L53" s="43"/>
      <c r="M53" s="43"/>
      <c r="N53" s="43"/>
    </row>
    <row r="54" spans="2:14" ht="13.5" thickBot="1" x14ac:dyDescent="0.25">
      <c r="C54" s="137"/>
      <c r="D54" s="10"/>
    </row>
    <row r="55" spans="2:14" x14ac:dyDescent="0.2">
      <c r="B55" s="1226" t="s">
        <v>237</v>
      </c>
      <c r="C55" s="1227"/>
      <c r="D55" s="1227"/>
      <c r="E55" s="1227"/>
      <c r="F55" s="1227"/>
      <c r="G55" s="1227"/>
      <c r="H55" s="1227"/>
      <c r="I55" s="1227"/>
      <c r="J55" s="1227"/>
      <c r="K55" s="1227"/>
      <c r="L55" s="1227"/>
      <c r="M55" s="1227"/>
      <c r="N55" s="1228"/>
    </row>
    <row r="56" spans="2:14" x14ac:dyDescent="0.2">
      <c r="B56" s="112"/>
      <c r="C56" s="441"/>
      <c r="D56" s="477">
        <v>0</v>
      </c>
      <c r="E56" s="505">
        <f t="shared" ref="E56:N56" si="17">E4</f>
        <v>1</v>
      </c>
      <c r="F56" s="505">
        <f t="shared" si="17"/>
        <v>2</v>
      </c>
      <c r="G56" s="505">
        <f t="shared" si="17"/>
        <v>3</v>
      </c>
      <c r="H56" s="505">
        <f t="shared" si="17"/>
        <v>4</v>
      </c>
      <c r="I56" s="505">
        <f t="shared" si="17"/>
        <v>5</v>
      </c>
      <c r="J56" s="505">
        <f t="shared" si="17"/>
        <v>6</v>
      </c>
      <c r="K56" s="505">
        <f t="shared" si="17"/>
        <v>7</v>
      </c>
      <c r="L56" s="505">
        <f t="shared" si="17"/>
        <v>8</v>
      </c>
      <c r="M56" s="505">
        <f t="shared" si="17"/>
        <v>9</v>
      </c>
      <c r="N56" s="506">
        <f t="shared" si="17"/>
        <v>10</v>
      </c>
    </row>
    <row r="57" spans="2:14" ht="13.5" thickBot="1" x14ac:dyDescent="0.25">
      <c r="B57" s="112"/>
      <c r="C57" s="810"/>
      <c r="D57" s="126" t="str">
        <f>D5</f>
        <v>2020-2021</v>
      </c>
      <c r="E57" s="475">
        <f t="shared" ref="E57:N57" si="18">E5</f>
        <v>2022</v>
      </c>
      <c r="F57" s="475">
        <f t="shared" si="18"/>
        <v>2023</v>
      </c>
      <c r="G57" s="475">
        <f t="shared" si="18"/>
        <v>2024</v>
      </c>
      <c r="H57" s="475">
        <f t="shared" si="18"/>
        <v>2025</v>
      </c>
      <c r="I57" s="475">
        <f t="shared" si="18"/>
        <v>2026</v>
      </c>
      <c r="J57" s="475">
        <f t="shared" si="18"/>
        <v>2027</v>
      </c>
      <c r="K57" s="475">
        <f t="shared" si="18"/>
        <v>2028</v>
      </c>
      <c r="L57" s="475">
        <f t="shared" si="18"/>
        <v>2029</v>
      </c>
      <c r="M57" s="475">
        <f t="shared" si="18"/>
        <v>2030</v>
      </c>
      <c r="N57" s="476">
        <f t="shared" si="18"/>
        <v>2031</v>
      </c>
    </row>
    <row r="58" spans="2:14" ht="15" customHeight="1" x14ac:dyDescent="0.2">
      <c r="B58" s="1253" t="s">
        <v>206</v>
      </c>
      <c r="C58" s="1260">
        <f>'2. Market-Rate Rental'!G89</f>
        <v>34759.199999999997</v>
      </c>
      <c r="D58" s="301">
        <f>C58/$C$12</f>
        <v>36.435220125786159</v>
      </c>
      <c r="E58" s="644"/>
      <c r="F58" s="644">
        <f>D58</f>
        <v>36.435220125786159</v>
      </c>
      <c r="G58" s="644"/>
      <c r="H58" s="504"/>
      <c r="I58" s="504"/>
      <c r="J58" s="504"/>
      <c r="K58" s="504"/>
      <c r="L58" s="504"/>
      <c r="M58" s="504"/>
      <c r="N58" s="508"/>
    </row>
    <row r="59" spans="2:14" ht="15" customHeight="1" x14ac:dyDescent="0.2">
      <c r="B59" s="1253"/>
      <c r="C59" s="1260"/>
      <c r="D59" s="301"/>
      <c r="E59" s="644">
        <f>C58</f>
        <v>34759.199999999997</v>
      </c>
      <c r="F59" s="644"/>
      <c r="G59" s="644"/>
      <c r="H59" s="504"/>
      <c r="I59" s="504"/>
      <c r="J59" s="504"/>
      <c r="K59" s="504"/>
      <c r="L59" s="504"/>
      <c r="M59" s="504"/>
      <c r="N59" s="508"/>
    </row>
    <row r="60" spans="2:14" ht="15" customHeight="1" x14ac:dyDescent="0.2">
      <c r="B60" s="1249" t="s">
        <v>207</v>
      </c>
      <c r="C60" s="1252">
        <f>'2. Market-Rate Rental'!G90</f>
        <v>51819.15</v>
      </c>
      <c r="D60" s="301">
        <f>C60/$C$12</f>
        <v>54.317767295597484</v>
      </c>
      <c r="E60" s="152"/>
      <c r="F60" s="152"/>
      <c r="G60" s="152"/>
      <c r="H60" s="645"/>
      <c r="I60" s="645"/>
      <c r="J60" s="647">
        <f>D60</f>
        <v>54.317767295597484</v>
      </c>
      <c r="K60" s="152"/>
      <c r="L60" s="152"/>
      <c r="M60" s="152"/>
      <c r="N60" s="474"/>
    </row>
    <row r="61" spans="2:14" ht="15" customHeight="1" x14ac:dyDescent="0.2">
      <c r="B61" s="1249"/>
      <c r="C61" s="1252"/>
      <c r="D61" s="301"/>
      <c r="E61" s="152"/>
      <c r="F61" s="152"/>
      <c r="G61" s="152"/>
      <c r="H61" s="645"/>
      <c r="I61" s="644">
        <f>C60</f>
        <v>51819.15</v>
      </c>
      <c r="J61" s="645"/>
      <c r="K61" s="152"/>
      <c r="L61" s="152"/>
      <c r="M61" s="152"/>
      <c r="N61" s="474"/>
    </row>
    <row r="62" spans="2:14" ht="15" customHeight="1" x14ac:dyDescent="0.2">
      <c r="B62" s="1250" t="s">
        <v>208</v>
      </c>
      <c r="C62" s="1252">
        <f>'2. Market-Rate Rental'!G91</f>
        <v>33861.525000000001</v>
      </c>
      <c r="D62" s="301">
        <f t="shared" ref="D62" si="19">C62/$C$12</f>
        <v>35.494261006289307</v>
      </c>
      <c r="E62" s="152"/>
      <c r="F62" s="152"/>
      <c r="G62" s="152"/>
      <c r="H62" s="152"/>
      <c r="I62" s="152"/>
      <c r="J62" s="152"/>
      <c r="K62" s="645"/>
      <c r="L62" s="645"/>
      <c r="M62" s="647">
        <f>D62</f>
        <v>35.494261006289307</v>
      </c>
      <c r="N62" s="646"/>
    </row>
    <row r="63" spans="2:14" ht="12.75" customHeight="1" x14ac:dyDescent="0.2">
      <c r="B63" s="1250"/>
      <c r="C63" s="1252"/>
      <c r="D63" s="152"/>
      <c r="E63" s="477"/>
      <c r="F63" s="477"/>
      <c r="G63" s="477"/>
      <c r="H63" s="477"/>
      <c r="I63" s="477"/>
      <c r="J63" s="477"/>
      <c r="K63" s="842"/>
      <c r="L63" s="843">
        <f>C62</f>
        <v>33861.525000000001</v>
      </c>
      <c r="M63" s="842"/>
      <c r="N63" s="844"/>
    </row>
    <row r="64" spans="2:14" x14ac:dyDescent="0.2">
      <c r="B64" s="775" t="s">
        <v>41</v>
      </c>
      <c r="C64" s="806">
        <f>SUM(C58:C62)</f>
        <v>120439.875</v>
      </c>
      <c r="D64" s="631">
        <f>SUM(D58:D62)</f>
        <v>126.24724842767294</v>
      </c>
      <c r="E64" s="477"/>
      <c r="F64" s="477"/>
      <c r="G64" s="477"/>
      <c r="H64" s="477"/>
      <c r="I64" s="477"/>
      <c r="J64" s="477"/>
      <c r="K64" s="477"/>
      <c r="L64" s="477"/>
      <c r="M64" s="477"/>
      <c r="N64" s="845"/>
    </row>
    <row r="65" spans="2:14" ht="13.5" thickBot="1" x14ac:dyDescent="0.25">
      <c r="B65" s="112"/>
      <c r="C65" s="441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474"/>
    </row>
    <row r="66" spans="2:14" x14ac:dyDescent="0.2">
      <c r="B66" s="1238" t="s">
        <v>241</v>
      </c>
      <c r="C66" s="1239"/>
      <c r="D66" s="549" t="s">
        <v>242</v>
      </c>
      <c r="E66" s="536">
        <f>E59</f>
        <v>34759.199999999997</v>
      </c>
      <c r="F66" s="536">
        <f t="shared" ref="F66:G66" si="20">F59</f>
        <v>0</v>
      </c>
      <c r="G66" s="536">
        <f t="shared" si="20"/>
        <v>0</v>
      </c>
      <c r="H66" s="536">
        <f>H61</f>
        <v>0</v>
      </c>
      <c r="I66" s="536">
        <f t="shared" ref="I66:J66" si="21">I61</f>
        <v>51819.15</v>
      </c>
      <c r="J66" s="536">
        <f t="shared" si="21"/>
        <v>0</v>
      </c>
      <c r="K66" s="536">
        <f>K63</f>
        <v>0</v>
      </c>
      <c r="L66" s="536">
        <f t="shared" ref="L66:N66" si="22">L63</f>
        <v>33861.525000000001</v>
      </c>
      <c r="M66" s="536">
        <f t="shared" si="22"/>
        <v>0</v>
      </c>
      <c r="N66" s="537">
        <f t="shared" si="22"/>
        <v>0</v>
      </c>
    </row>
    <row r="67" spans="2:14" ht="13.5" thickBot="1" x14ac:dyDescent="0.25">
      <c r="B67" s="1084"/>
      <c r="C67" s="1240"/>
      <c r="D67" s="407" t="s">
        <v>249</v>
      </c>
      <c r="E67" s="538">
        <f>E58</f>
        <v>0</v>
      </c>
      <c r="F67" s="538">
        <f t="shared" ref="F67:G67" si="23">F58</f>
        <v>36.435220125786159</v>
      </c>
      <c r="G67" s="538">
        <f t="shared" si="23"/>
        <v>0</v>
      </c>
      <c r="H67" s="538">
        <f>H60</f>
        <v>0</v>
      </c>
      <c r="I67" s="538">
        <f t="shared" ref="I67:J67" si="24">I60</f>
        <v>0</v>
      </c>
      <c r="J67" s="538">
        <f t="shared" si="24"/>
        <v>54.317767295597484</v>
      </c>
      <c r="K67" s="538">
        <f>K62</f>
        <v>0</v>
      </c>
      <c r="L67" s="538">
        <f t="shared" ref="L67:N67" si="25">L62</f>
        <v>0</v>
      </c>
      <c r="M67" s="538">
        <f t="shared" si="25"/>
        <v>35.494261006289307</v>
      </c>
      <c r="N67" s="614">
        <f t="shared" si="25"/>
        <v>0</v>
      </c>
    </row>
    <row r="70" spans="2:14" x14ac:dyDescent="0.2">
      <c r="B70" s="136"/>
    </row>
    <row r="71" spans="2:14" x14ac:dyDescent="0.2">
      <c r="B71" s="133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</row>
    <row r="74" spans="2:14" x14ac:dyDescent="0.2">
      <c r="B74" s="136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</row>
    <row r="75" spans="2:14" x14ac:dyDescent="0.2">
      <c r="B75" s="264"/>
    </row>
    <row r="79" spans="2:14" x14ac:dyDescent="0.2">
      <c r="C79" s="285"/>
    </row>
  </sheetData>
  <mergeCells count="12">
    <mergeCell ref="B66:C67"/>
    <mergeCell ref="K3:N3"/>
    <mergeCell ref="C62:C63"/>
    <mergeCell ref="C60:C61"/>
    <mergeCell ref="C58:C59"/>
    <mergeCell ref="B62:B63"/>
    <mergeCell ref="B60:B61"/>
    <mergeCell ref="B58:B59"/>
    <mergeCell ref="E3:G3"/>
    <mergeCell ref="H3:J3"/>
    <mergeCell ref="B51:C51"/>
    <mergeCell ref="B55:N55"/>
  </mergeCells>
  <conditionalFormatting sqref="B65 B74:C74 O74:XFD74 C62 C60 C57:C58 A69:XFD73 A75:XFD1048576 E58:XFD63 A56:XFD56 A50:N50 O2:XFD50 E54:XFD54 D57:XFD57 D64:XFD65 O55:XFD55 B68 D68:XFD68 E66:XFD67 B52:C52 D51:XFD52 F53:XFD53 C53:D53 C64">
    <cfRule type="cellIs" dxfId="140" priority="46" operator="lessThan">
      <formula>0</formula>
    </cfRule>
  </conditionalFormatting>
  <conditionalFormatting sqref="E13:N13">
    <cfRule type="cellIs" dxfId="139" priority="27" operator="lessThan">
      <formula>0</formula>
    </cfRule>
  </conditionalFormatting>
  <conditionalFormatting sqref="D48">
    <cfRule type="cellIs" dxfId="138" priority="25" operator="lessThan">
      <formula>0</formula>
    </cfRule>
  </conditionalFormatting>
  <conditionalFormatting sqref="J59:L59">
    <cfRule type="cellIs" dxfId="137" priority="40" operator="lessThan">
      <formula>0</formula>
    </cfRule>
  </conditionalFormatting>
  <conditionalFormatting sqref="E59:N59">
    <cfRule type="cellIs" dxfId="136" priority="39" operator="lessThan">
      <formula>0</formula>
    </cfRule>
  </conditionalFormatting>
  <conditionalFormatting sqref="E59:N59">
    <cfRule type="cellIs" dxfId="135" priority="38" operator="lessThan">
      <formula>0</formula>
    </cfRule>
  </conditionalFormatting>
  <conditionalFormatting sqref="B54:D54">
    <cfRule type="cellIs" dxfId="134" priority="36" operator="lessThan">
      <formula>0</formula>
    </cfRule>
  </conditionalFormatting>
  <conditionalFormatting sqref="D68">
    <cfRule type="cellIs" dxfId="133" priority="32" operator="lessThan">
      <formula>0</formula>
    </cfRule>
  </conditionalFormatting>
  <conditionalFormatting sqref="O27">
    <cfRule type="cellIs" dxfId="132" priority="45" operator="lessThan">
      <formula>0</formula>
    </cfRule>
  </conditionalFormatting>
  <conditionalFormatting sqref="D74:N74">
    <cfRule type="cellIs" dxfId="131" priority="30" operator="lessThan">
      <formula>0</formula>
    </cfRule>
  </conditionalFormatting>
  <conditionalFormatting sqref="B47:C47 E47:N47 B37 D37:N37 B48:N49 B2:L2 B3:D3 B4:N6 B38:N46 B8:N14 C7:N7 B16:N22 C15:N15 B24:N36 C23:N23">
    <cfRule type="cellIs" dxfId="130" priority="29" operator="lessThan">
      <formula>0</formula>
    </cfRule>
  </conditionalFormatting>
  <conditionalFormatting sqref="D68">
    <cfRule type="cellIs" dxfId="129" priority="33" operator="lessThan">
      <formula>0</formula>
    </cfRule>
  </conditionalFormatting>
  <conditionalFormatting sqref="D68 D65">
    <cfRule type="cellIs" dxfId="128" priority="31" operator="lessThan">
      <formula>0</formula>
    </cfRule>
  </conditionalFormatting>
  <conditionalFormatting sqref="C12">
    <cfRule type="cellIs" dxfId="127" priority="28" operator="lessThan">
      <formula>0</formula>
    </cfRule>
  </conditionalFormatting>
  <conditionalFormatting sqref="C14:C30">
    <cfRule type="cellIs" dxfId="126" priority="26" operator="lessThan">
      <formula>0</formula>
    </cfRule>
  </conditionalFormatting>
  <conditionalFormatting sqref="D47">
    <cfRule type="cellIs" dxfId="125" priority="24" operator="lessThan">
      <formula>0</formula>
    </cfRule>
  </conditionalFormatting>
  <conditionalFormatting sqref="C20">
    <cfRule type="cellIs" dxfId="124" priority="22" operator="lessThan">
      <formula>0</formula>
    </cfRule>
  </conditionalFormatting>
  <conditionalFormatting sqref="E21:N21">
    <cfRule type="cellIs" dxfId="123" priority="21" operator="lessThan">
      <formula>0</formula>
    </cfRule>
  </conditionalFormatting>
  <conditionalFormatting sqref="C28">
    <cfRule type="cellIs" dxfId="122" priority="20" operator="lessThan">
      <formula>0</formula>
    </cfRule>
  </conditionalFormatting>
  <conditionalFormatting sqref="E29:N29">
    <cfRule type="cellIs" dxfId="121" priority="19" operator="lessThan">
      <formula>0</formula>
    </cfRule>
  </conditionalFormatting>
  <conditionalFormatting sqref="D58:D62">
    <cfRule type="cellIs" dxfId="120" priority="14" operator="lessThan">
      <formula>0</formula>
    </cfRule>
  </conditionalFormatting>
  <conditionalFormatting sqref="D58:D62">
    <cfRule type="cellIs" dxfId="119" priority="15" operator="lessThan">
      <formula>0</formula>
    </cfRule>
  </conditionalFormatting>
  <conditionalFormatting sqref="B51:B52">
    <cfRule type="cellIs" dxfId="118" priority="12" operator="lessThan">
      <formula>0</formula>
    </cfRule>
  </conditionalFormatting>
  <conditionalFormatting sqref="B58:B63">
    <cfRule type="cellIs" dxfId="117" priority="9" operator="lessThan">
      <formula>0</formula>
    </cfRule>
  </conditionalFormatting>
  <conditionalFormatting sqref="B55">
    <cfRule type="cellIs" dxfId="116" priority="8" operator="lessThan">
      <formula>0</formula>
    </cfRule>
  </conditionalFormatting>
  <conditionalFormatting sqref="B66">
    <cfRule type="cellIs" dxfId="115" priority="7" operator="lessThan">
      <formula>0</formula>
    </cfRule>
  </conditionalFormatting>
  <conditionalFormatting sqref="D66:D67">
    <cfRule type="cellIs" dxfId="114" priority="6" operator="lessThan">
      <formula>0</formula>
    </cfRule>
  </conditionalFormatting>
  <conditionalFormatting sqref="E3 K3 H3">
    <cfRule type="cellIs" dxfId="113" priority="5" operator="lessThan">
      <formula>0</formula>
    </cfRule>
  </conditionalFormatting>
  <conditionalFormatting sqref="B23 B15 B7">
    <cfRule type="cellIs" dxfId="112" priority="3" operator="lessThan">
      <formula>0</formula>
    </cfRule>
  </conditionalFormatting>
  <conditionalFormatting sqref="C37">
    <cfRule type="cellIs" dxfId="111" priority="2" operator="lessThan">
      <formula>0</formula>
    </cfRule>
  </conditionalFormatting>
  <conditionalFormatting sqref="M2:N2">
    <cfRule type="cellIs" dxfId="110" priority="1" operator="less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Development Schedule</vt:lpstr>
      <vt:lpstr>Land</vt:lpstr>
      <vt:lpstr>Financing and Budget</vt:lpstr>
      <vt:lpstr>Summary Board</vt:lpstr>
      <vt:lpstr>1. Infrastructure Costs</vt:lpstr>
      <vt:lpstr>2. Market-Rate Rental</vt:lpstr>
      <vt:lpstr>3. Market-Rate For-Sale</vt:lpstr>
      <vt:lpstr>4. Affordable Rental</vt:lpstr>
      <vt:lpstr>5. Affordable For-Sale</vt:lpstr>
      <vt:lpstr>6. Office_Commercial</vt:lpstr>
      <vt:lpstr>7. Retail</vt:lpstr>
      <vt:lpstr>8. Industrial_Gallery n School</vt:lpstr>
      <vt:lpstr>9. Hotel</vt:lpstr>
      <vt:lpstr>10. Structured Parking</vt:lpstr>
      <vt:lpstr>11. Surface Parking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Villalobos</dc:creator>
  <cp:lastModifiedBy>Julio Villalobos</cp:lastModifiedBy>
  <cp:lastPrinted>2020-01-27T02:28:35Z</cp:lastPrinted>
  <dcterms:created xsi:type="dcterms:W3CDTF">2020-01-04T17:37:44Z</dcterms:created>
  <dcterms:modified xsi:type="dcterms:W3CDTF">2020-01-27T02:30:18Z</dcterms:modified>
</cp:coreProperties>
</file>