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/>
  <mc:AlternateContent xmlns:mc="http://schemas.openxmlformats.org/markup-compatibility/2006">
    <mc:Choice Requires="x15">
      <x15ac:absPath xmlns:x15ac="http://schemas.microsoft.com/office/spreadsheetml/2010/11/ac" url="C:\Users\glennsy\Desktop\"/>
    </mc:Choice>
  </mc:AlternateContent>
  <xr:revisionPtr revIDLastSave="0" documentId="8_{85B13E3D-AD82-47B8-A75B-8A23D4979051}" xr6:coauthVersionLast="41" xr6:coauthVersionMax="41" xr10:uidLastSave="{00000000-0000-0000-0000-000000000000}"/>
  <bookViews>
    <workbookView xWindow="-120" yWindow="-120" windowWidth="29040" windowHeight="15840" tabRatio="904" activeTab="1" xr2:uid="{00000000-000D-0000-FFFF-FFFF00000000}"/>
  </bookViews>
  <sheets>
    <sheet name="Assumptions" sheetId="33" r:id="rId1"/>
    <sheet name="Summary II" sheetId="48" r:id="rId2"/>
    <sheet name="S&amp;U" sheetId="32" r:id="rId3"/>
    <sheet name="Budget" sheetId="31" r:id="rId4"/>
    <sheet name="Parcel Breakdown" sheetId="43" r:id="rId5"/>
    <sheet name="Parcel x Block Info" sheetId="49" r:id="rId6"/>
    <sheet name="Demolition" sheetId="50" r:id="rId7"/>
    <sheet name="Infrastructure" sheetId="45" r:id="rId8"/>
    <sheet name="Acquisition" sheetId="46" r:id="rId9"/>
    <sheet name="Loan Sizing" sheetId="39" r:id="rId10"/>
    <sheet name="Phase I Pro Forma" sheetId="38" r:id="rId11"/>
    <sheet name="Phase II Pro Forma" sheetId="40" r:id="rId12"/>
    <sheet name="Phase III Pro Forma" sheetId="41" r:id="rId13"/>
    <sheet name="Cash Flow Roll-up" sheetId="42" r:id="rId14"/>
    <sheet name="Public Benefits" sheetId="47" r:id="rId15"/>
    <sheet name="Official Summary" sheetId="28" r:id="rId16"/>
  </sheets>
  <definedNames>
    <definedName name="_xlnm.Print_Area" localSheetId="15">'Official Summary'!$A$1:$O$133</definedName>
    <definedName name="_xlnm.Print_Area" localSheetId="1">'Summary II'!$A$1:$V$108</definedName>
  </definedNames>
  <calcPr calcId="191029" calcMode="manual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05" i="28" l="1"/>
  <c r="H92" i="28"/>
  <c r="G92" i="28"/>
  <c r="G105" i="28" s="1"/>
  <c r="N105" i="28"/>
  <c r="M105" i="28"/>
  <c r="L105" i="28"/>
  <c r="K105" i="28"/>
  <c r="J105" i="28"/>
  <c r="I105" i="28"/>
  <c r="F100" i="28"/>
  <c r="F105" i="28" s="1"/>
  <c r="E100" i="28"/>
  <c r="E105" i="28" s="1"/>
  <c r="J68" i="28"/>
  <c r="N57" i="28"/>
  <c r="M57" i="28"/>
  <c r="L57" i="28"/>
  <c r="K57" i="28"/>
  <c r="J57" i="28"/>
  <c r="I57" i="28"/>
  <c r="H57" i="28"/>
  <c r="AA10" i="47"/>
  <c r="Z10" i="47"/>
  <c r="Y10" i="47"/>
  <c r="X10" i="47"/>
  <c r="W10" i="47"/>
  <c r="V10" i="47"/>
  <c r="U10" i="47"/>
  <c r="T10" i="47"/>
  <c r="S10" i="47"/>
  <c r="R10" i="47"/>
  <c r="Q10" i="47"/>
  <c r="P10" i="47"/>
  <c r="O10" i="47"/>
  <c r="N10" i="47"/>
  <c r="M10" i="47"/>
  <c r="L10" i="47"/>
  <c r="K10" i="47"/>
  <c r="J10" i="47"/>
  <c r="I10" i="47"/>
  <c r="H10" i="47"/>
  <c r="G10" i="47"/>
  <c r="M162" i="41"/>
  <c r="M173" i="41" s="1"/>
  <c r="M159" i="41"/>
  <c r="M157" i="41"/>
  <c r="N217" i="41"/>
  <c r="O217" i="41"/>
  <c r="P217" i="41"/>
  <c r="Q217" i="41"/>
  <c r="R217" i="41"/>
  <c r="M326" i="41"/>
  <c r="F312" i="41"/>
  <c r="F326" i="41"/>
  <c r="G326" i="41"/>
  <c r="G299" i="41" s="1"/>
  <c r="K326" i="41"/>
  <c r="G176" i="41"/>
  <c r="H176" i="41"/>
  <c r="I176" i="41"/>
  <c r="J176" i="41"/>
  <c r="K176" i="41"/>
  <c r="L176" i="41"/>
  <c r="M176" i="41"/>
  <c r="N176" i="41"/>
  <c r="O176" i="41"/>
  <c r="P176" i="41"/>
  <c r="Q176" i="41"/>
  <c r="R176" i="41"/>
  <c r="S176" i="41"/>
  <c r="T176" i="41"/>
  <c r="U176" i="41"/>
  <c r="V176" i="41"/>
  <c r="W176" i="41"/>
  <c r="X176" i="41"/>
  <c r="Y176" i="41"/>
  <c r="F176" i="41"/>
  <c r="F152" i="41"/>
  <c r="F162" i="41" s="1"/>
  <c r="F173" i="41" s="1"/>
  <c r="G152" i="41"/>
  <c r="G162" i="41" s="1"/>
  <c r="G173" i="41" s="1"/>
  <c r="G312" i="41" l="1"/>
  <c r="F300" i="41"/>
  <c r="G300" i="41"/>
  <c r="G313" i="41" s="1"/>
  <c r="N15" i="41"/>
  <c r="D25" i="48"/>
  <c r="Z14" i="43"/>
  <c r="D9" i="28"/>
  <c r="F313" i="41" l="1"/>
  <c r="F328" i="41"/>
  <c r="L17" i="28"/>
  <c r="R55" i="48"/>
  <c r="T55" i="48"/>
  <c r="O55" i="48"/>
  <c r="P54" i="48"/>
  <c r="P55" i="48" s="1"/>
  <c r="Q54" i="48" s="1"/>
  <c r="T14" i="48"/>
  <c r="R242" i="41"/>
  <c r="F242" i="41"/>
  <c r="G242" i="41"/>
  <c r="H242" i="41"/>
  <c r="L268" i="41"/>
  <c r="K268" i="41"/>
  <c r="Z222" i="41"/>
  <c r="Y222" i="41"/>
  <c r="X222" i="41"/>
  <c r="W222" i="41"/>
  <c r="V222" i="41"/>
  <c r="U222" i="41"/>
  <c r="T222" i="41"/>
  <c r="S222" i="41"/>
  <c r="R222" i="41"/>
  <c r="Q222" i="41"/>
  <c r="P222" i="41"/>
  <c r="O222" i="41"/>
  <c r="N222" i="41"/>
  <c r="M222" i="41"/>
  <c r="L222" i="41"/>
  <c r="K222" i="41"/>
  <c r="J222" i="41"/>
  <c r="I222" i="41"/>
  <c r="H222" i="41"/>
  <c r="G222" i="41"/>
  <c r="F222" i="41"/>
  <c r="G217" i="41"/>
  <c r="F217" i="41"/>
  <c r="F198" i="41"/>
  <c r="G198" i="41"/>
  <c r="G200" i="41" s="1"/>
  <c r="I198" i="41"/>
  <c r="J141" i="41"/>
  <c r="AD26" i="43"/>
  <c r="AD24" i="43"/>
  <c r="AD25" i="43"/>
  <c r="J240" i="40"/>
  <c r="J45" i="38"/>
  <c r="J337" i="40"/>
  <c r="K337" i="40" s="1"/>
  <c r="L337" i="40" s="1"/>
  <c r="M337" i="40" s="1"/>
  <c r="N337" i="40" s="1"/>
  <c r="H69" i="31"/>
  <c r="Q18" i="32"/>
  <c r="X88" i="38"/>
  <c r="W88" i="38"/>
  <c r="T88" i="38"/>
  <c r="P88" i="38"/>
  <c r="Z86" i="38"/>
  <c r="Z88" i="38" s="1"/>
  <c r="Y86" i="38"/>
  <c r="Y88" i="38" s="1"/>
  <c r="X86" i="38"/>
  <c r="W86" i="38"/>
  <c r="V86" i="38"/>
  <c r="V88" i="38" s="1"/>
  <c r="U86" i="38"/>
  <c r="U88" i="38" s="1"/>
  <c r="T86" i="38"/>
  <c r="S86" i="38"/>
  <c r="S88" i="38" s="1"/>
  <c r="R86" i="38"/>
  <c r="R88" i="38" s="1"/>
  <c r="Q86" i="38"/>
  <c r="Q88" i="38" s="1"/>
  <c r="P86" i="38"/>
  <c r="O86" i="38"/>
  <c r="O88" i="38" s="1"/>
  <c r="N86" i="38"/>
  <c r="N88" i="38" s="1"/>
  <c r="M86" i="38"/>
  <c r="M88" i="38" s="1"/>
  <c r="L86" i="38"/>
  <c r="L88" i="38" s="1"/>
  <c r="K86" i="38"/>
  <c r="K88" i="38" s="1"/>
  <c r="J86" i="38"/>
  <c r="J88" i="38" s="1"/>
  <c r="I86" i="38"/>
  <c r="I88" i="38" s="1"/>
  <c r="K45" i="38" l="1"/>
  <c r="G86" i="39"/>
  <c r="G85" i="39"/>
  <c r="G84" i="39"/>
  <c r="G83" i="39"/>
  <c r="G82" i="39"/>
  <c r="G81" i="39"/>
  <c r="G80" i="39"/>
  <c r="G79" i="39"/>
  <c r="G108" i="39" s="1"/>
  <c r="L45" i="38" l="1"/>
  <c r="M45" i="38" l="1"/>
  <c r="N45" i="38" l="1"/>
  <c r="O45" i="38" l="1"/>
  <c r="P45" i="38" l="1"/>
  <c r="Q45" i="38" l="1"/>
  <c r="R45" i="38" l="1"/>
  <c r="S45" i="38" l="1"/>
  <c r="T45" i="38" l="1"/>
  <c r="U45" i="38" l="1"/>
  <c r="V45" i="38" l="1"/>
  <c r="W45" i="38" l="1"/>
  <c r="X45" i="38" l="1"/>
  <c r="Y45" i="38" l="1"/>
  <c r="Z45" i="38" l="1"/>
  <c r="B114" i="39" l="1"/>
  <c r="H324" i="38" l="1"/>
  <c r="H325" i="38" s="1"/>
  <c r="J129" i="38"/>
  <c r="K129" i="38"/>
  <c r="L129" i="38"/>
  <c r="M129" i="38"/>
  <c r="N129" i="38"/>
  <c r="O129" i="38"/>
  <c r="P129" i="38"/>
  <c r="Q129" i="38"/>
  <c r="R129" i="38"/>
  <c r="S129" i="38"/>
  <c r="T129" i="38"/>
  <c r="U129" i="38"/>
  <c r="V129" i="38"/>
  <c r="W129" i="38"/>
  <c r="X129" i="38"/>
  <c r="Y129" i="38"/>
  <c r="Z129" i="38"/>
  <c r="I129" i="38"/>
  <c r="J109" i="38"/>
  <c r="K109" i="38"/>
  <c r="L109" i="38"/>
  <c r="M109" i="38"/>
  <c r="N109" i="38"/>
  <c r="O109" i="38"/>
  <c r="P109" i="38"/>
  <c r="Q109" i="38"/>
  <c r="R109" i="38"/>
  <c r="S109" i="38"/>
  <c r="T109" i="38"/>
  <c r="U109" i="38"/>
  <c r="V109" i="38"/>
  <c r="W109" i="38"/>
  <c r="X109" i="38"/>
  <c r="Y109" i="38"/>
  <c r="Z109" i="38"/>
  <c r="I109" i="38"/>
  <c r="J65" i="38"/>
  <c r="K65" i="38"/>
  <c r="L65" i="38"/>
  <c r="M65" i="38"/>
  <c r="N65" i="38"/>
  <c r="O65" i="38"/>
  <c r="P65" i="38"/>
  <c r="Q65" i="38"/>
  <c r="R65" i="38"/>
  <c r="S65" i="38"/>
  <c r="T65" i="38"/>
  <c r="U65" i="38"/>
  <c r="V65" i="38"/>
  <c r="W65" i="38"/>
  <c r="X65" i="38"/>
  <c r="Y65" i="38"/>
  <c r="Z65" i="38"/>
  <c r="I65" i="38"/>
  <c r="J44" i="38"/>
  <c r="J46" i="38" s="1"/>
  <c r="K44" i="38"/>
  <c r="K46" i="38" s="1"/>
  <c r="L44" i="38"/>
  <c r="L46" i="38" s="1"/>
  <c r="M44" i="38"/>
  <c r="M46" i="38" s="1"/>
  <c r="N44" i="38"/>
  <c r="N46" i="38" s="1"/>
  <c r="O44" i="38"/>
  <c r="O46" i="38" s="1"/>
  <c r="P44" i="38"/>
  <c r="P46" i="38" s="1"/>
  <c r="Q44" i="38"/>
  <c r="Q46" i="38" s="1"/>
  <c r="R44" i="38"/>
  <c r="R46" i="38" s="1"/>
  <c r="S44" i="38"/>
  <c r="S46" i="38" s="1"/>
  <c r="T44" i="38"/>
  <c r="T46" i="38" s="1"/>
  <c r="U44" i="38"/>
  <c r="U46" i="38" s="1"/>
  <c r="V44" i="38"/>
  <c r="V46" i="38" s="1"/>
  <c r="W44" i="38"/>
  <c r="W46" i="38" s="1"/>
  <c r="X44" i="38"/>
  <c r="X46" i="38" s="1"/>
  <c r="Y44" i="38"/>
  <c r="Y46" i="38" s="1"/>
  <c r="Z44" i="38"/>
  <c r="Z46" i="38" s="1"/>
  <c r="I44" i="38"/>
  <c r="N23" i="38" l="1"/>
  <c r="Z22" i="38"/>
  <c r="Z23" i="38" s="1"/>
  <c r="Y22" i="38"/>
  <c r="Y23" i="38" s="1"/>
  <c r="X22" i="38"/>
  <c r="X23" i="38" s="1"/>
  <c r="W22" i="38"/>
  <c r="W23" i="38" s="1"/>
  <c r="V22" i="38"/>
  <c r="V23" i="38" s="1"/>
  <c r="U22" i="38"/>
  <c r="U23" i="38" s="1"/>
  <c r="T22" i="38"/>
  <c r="T23" i="38" s="1"/>
  <c r="S22" i="38"/>
  <c r="S23" i="38" s="1"/>
  <c r="R22" i="38"/>
  <c r="R23" i="38" s="1"/>
  <c r="Q22" i="38"/>
  <c r="Q23" i="38" s="1"/>
  <c r="P22" i="38"/>
  <c r="P23" i="38" s="1"/>
  <c r="O22" i="38"/>
  <c r="O23" i="38" s="1"/>
  <c r="N22" i="38"/>
  <c r="M22" i="38"/>
  <c r="M23" i="38" s="1"/>
  <c r="L22" i="38"/>
  <c r="L23" i="38" s="1"/>
  <c r="K22" i="38"/>
  <c r="K23" i="38" s="1"/>
  <c r="J22" i="38"/>
  <c r="J23" i="38" s="1"/>
  <c r="I22" i="38"/>
  <c r="I23" i="38" s="1"/>
  <c r="P20" i="38"/>
  <c r="P25" i="38" s="1"/>
  <c r="Q20" i="38"/>
  <c r="R20" i="38"/>
  <c r="S20" i="38"/>
  <c r="T20" i="38"/>
  <c r="V20" i="38"/>
  <c r="W20" i="38"/>
  <c r="X20" i="38"/>
  <c r="Y20" i="38"/>
  <c r="Z20" i="38"/>
  <c r="O20" i="38"/>
  <c r="M20" i="38"/>
  <c r="L20" i="38"/>
  <c r="K20" i="38"/>
  <c r="J20" i="38"/>
  <c r="I20" i="38"/>
  <c r="I25" i="38" s="1"/>
  <c r="G25" i="38"/>
  <c r="R25" i="38" l="1"/>
  <c r="J25" i="38"/>
  <c r="T25" i="38"/>
  <c r="T26" i="38" s="1"/>
  <c r="O25" i="38"/>
  <c r="W25" i="38"/>
  <c r="X25" i="38"/>
  <c r="M25" i="38"/>
  <c r="R26" i="38"/>
  <c r="P26" i="38"/>
  <c r="O26" i="38"/>
  <c r="W26" i="38"/>
  <c r="J26" i="38"/>
  <c r="K25" i="38"/>
  <c r="F15" i="39" s="1"/>
  <c r="S25" i="38"/>
  <c r="L25" i="38"/>
  <c r="Z25" i="38"/>
  <c r="V25" i="38"/>
  <c r="Y25" i="38"/>
  <c r="Q25" i="38"/>
  <c r="M26" i="38" l="1"/>
  <c r="X26" i="38"/>
  <c r="Y26" i="38"/>
  <c r="L26" i="38"/>
  <c r="S26" i="38"/>
  <c r="Q26" i="38"/>
  <c r="V26" i="38"/>
  <c r="K26" i="38"/>
  <c r="Z26" i="38"/>
  <c r="I26" i="38"/>
  <c r="J16" i="45" l="1"/>
  <c r="F125" i="28" s="1"/>
  <c r="P7" i="49" l="1"/>
  <c r="P8" i="49"/>
  <c r="E8" i="46" l="1"/>
  <c r="E9" i="46"/>
  <c r="C13" i="46"/>
  <c r="C5" i="46"/>
  <c r="C6" i="46"/>
  <c r="C7" i="46"/>
  <c r="C8" i="46"/>
  <c r="C9" i="46"/>
  <c r="C10" i="46"/>
  <c r="C11" i="46"/>
  <c r="C12" i="46"/>
  <c r="G9" i="43"/>
  <c r="C4" i="46"/>
  <c r="G194" i="33"/>
  <c r="AQ6" i="43"/>
  <c r="K10" i="43"/>
  <c r="AE10" i="43" s="1"/>
  <c r="K14" i="43"/>
  <c r="K13" i="43"/>
  <c r="K12" i="43"/>
  <c r="K11" i="43"/>
  <c r="K9" i="43"/>
  <c r="K8" i="43"/>
  <c r="K7" i="43"/>
  <c r="K6" i="43"/>
  <c r="E14" i="43"/>
  <c r="E13" i="43"/>
  <c r="E12" i="43"/>
  <c r="E11" i="43"/>
  <c r="E9" i="43"/>
  <c r="E8" i="43"/>
  <c r="E7" i="43"/>
  <c r="E6" i="43"/>
  <c r="G26" i="45"/>
  <c r="J36" i="45"/>
  <c r="J37" i="45"/>
  <c r="A16" i="43"/>
  <c r="A17" i="43"/>
  <c r="A18" i="43"/>
  <c r="A19" i="43"/>
  <c r="A20" i="43"/>
  <c r="A21" i="43"/>
  <c r="A22" i="43"/>
  <c r="AZ11" i="43" l="1"/>
  <c r="AZ10" i="43"/>
  <c r="I98" i="49"/>
  <c r="I100" i="49"/>
  <c r="F100" i="49"/>
  <c r="M12" i="49" s="1"/>
  <c r="E100" i="49"/>
  <c r="E15" i="43" s="1"/>
  <c r="E98" i="49"/>
  <c r="F98" i="49"/>
  <c r="M11" i="49" s="1"/>
  <c r="F91" i="49"/>
  <c r="E91" i="49"/>
  <c r="P11" i="49" l="1"/>
  <c r="E12" i="46"/>
  <c r="AZ14" i="43"/>
  <c r="P12" i="49"/>
  <c r="E13" i="46"/>
  <c r="AZ15" i="43"/>
  <c r="M10" i="49"/>
  <c r="I91" i="49"/>
  <c r="I87" i="49"/>
  <c r="P10" i="49" l="1"/>
  <c r="E11" i="46"/>
  <c r="AZ13" i="43"/>
  <c r="I68" i="49"/>
  <c r="F68" i="49"/>
  <c r="M6" i="49" s="1"/>
  <c r="P6" i="49" s="1"/>
  <c r="P16" i="49" s="1"/>
  <c r="E68" i="49"/>
  <c r="F87" i="49"/>
  <c r="M9" i="49" s="1"/>
  <c r="E87" i="49"/>
  <c r="I74" i="49"/>
  <c r="F32" i="49"/>
  <c r="M4" i="49" s="1"/>
  <c r="E32" i="49"/>
  <c r="E74" i="49"/>
  <c r="I55" i="49"/>
  <c r="F55" i="49"/>
  <c r="M5" i="49" s="1"/>
  <c r="P5" i="49" s="1"/>
  <c r="E55" i="49"/>
  <c r="I32" i="49"/>
  <c r="I22" i="49"/>
  <c r="F22" i="49"/>
  <c r="M3" i="49" s="1"/>
  <c r="E22" i="49"/>
  <c r="I55" i="31" l="1"/>
  <c r="J108" i="40"/>
  <c r="K108" i="40" s="1"/>
  <c r="L108" i="40" s="1"/>
  <c r="M108" i="40" s="1"/>
  <c r="N108" i="40" s="1"/>
  <c r="O108" i="40" s="1"/>
  <c r="P108" i="40" s="1"/>
  <c r="Q108" i="40" s="1"/>
  <c r="R108" i="40" s="1"/>
  <c r="S108" i="40" s="1"/>
  <c r="T108" i="40" s="1"/>
  <c r="U108" i="40" s="1"/>
  <c r="V108" i="40" s="1"/>
  <c r="W108" i="40" s="1"/>
  <c r="X108" i="40" s="1"/>
  <c r="Y108" i="40" s="1"/>
  <c r="Z108" i="40" s="1"/>
  <c r="J66" i="40"/>
  <c r="K66" i="40" s="1"/>
  <c r="L66" i="40" s="1"/>
  <c r="M66" i="40" s="1"/>
  <c r="N66" i="40" s="1"/>
  <c r="O66" i="40" s="1"/>
  <c r="P66" i="40" s="1"/>
  <c r="Q66" i="40" s="1"/>
  <c r="R66" i="40" s="1"/>
  <c r="S66" i="40" s="1"/>
  <c r="T66" i="40" s="1"/>
  <c r="U66" i="40" s="1"/>
  <c r="V66" i="40" s="1"/>
  <c r="W66" i="40" s="1"/>
  <c r="X66" i="40" s="1"/>
  <c r="Y66" i="40" s="1"/>
  <c r="Z66" i="40" s="1"/>
  <c r="J45" i="40"/>
  <c r="K45" i="40" s="1"/>
  <c r="L45" i="40" s="1"/>
  <c r="M45" i="40" s="1"/>
  <c r="N45" i="40" s="1"/>
  <c r="O45" i="40" s="1"/>
  <c r="P45" i="40" s="1"/>
  <c r="Q45" i="40" s="1"/>
  <c r="R45" i="40" s="1"/>
  <c r="S45" i="40" s="1"/>
  <c r="T45" i="40" s="1"/>
  <c r="U45" i="40" s="1"/>
  <c r="V45" i="40" s="1"/>
  <c r="W45" i="40" s="1"/>
  <c r="X45" i="40" s="1"/>
  <c r="Y45" i="40" s="1"/>
  <c r="Z45" i="40" s="1"/>
  <c r="P9" i="49"/>
  <c r="E10" i="46"/>
  <c r="AZ12" i="43"/>
  <c r="P3" i="49"/>
  <c r="M14" i="49"/>
  <c r="P4" i="49"/>
  <c r="P15" i="49" s="1"/>
  <c r="E5" i="46"/>
  <c r="F79" i="48"/>
  <c r="I66" i="38" l="1"/>
  <c r="S66" i="38"/>
  <c r="K66" i="38"/>
  <c r="M66" i="38"/>
  <c r="U66" i="38"/>
  <c r="Y66" i="38"/>
  <c r="Q66" i="38"/>
  <c r="J130" i="38"/>
  <c r="I45" i="38"/>
  <c r="I46" i="38" s="1"/>
  <c r="W66" i="38"/>
  <c r="O66" i="38"/>
  <c r="P13" i="49"/>
  <c r="P17" i="49"/>
  <c r="H55" i="31"/>
  <c r="I34" i="31"/>
  <c r="N66" i="38" l="1"/>
  <c r="N67" i="38" s="1"/>
  <c r="M67" i="38"/>
  <c r="R66" i="38"/>
  <c r="R67" i="38" s="1"/>
  <c r="Q67" i="38"/>
  <c r="L66" i="38"/>
  <c r="L67" i="38" s="1"/>
  <c r="K67" i="38"/>
  <c r="Z66" i="38"/>
  <c r="Z67" i="38" s="1"/>
  <c r="Y67" i="38"/>
  <c r="P66" i="38"/>
  <c r="P67" i="38" s="1"/>
  <c r="O67" i="38"/>
  <c r="T66" i="38"/>
  <c r="T67" i="38" s="1"/>
  <c r="S67" i="38"/>
  <c r="V66" i="38"/>
  <c r="V67" i="38" s="1"/>
  <c r="U67" i="38"/>
  <c r="I67" i="38"/>
  <c r="I62" i="38" s="1"/>
  <c r="J66" i="38"/>
  <c r="J67" i="38" s="1"/>
  <c r="J55" i="31"/>
  <c r="J67" i="41"/>
  <c r="K67" i="41" s="1"/>
  <c r="L67" i="41" s="1"/>
  <c r="M67" i="41" s="1"/>
  <c r="N67" i="41" s="1"/>
  <c r="O67" i="41" s="1"/>
  <c r="P67" i="41" s="1"/>
  <c r="Q67" i="41" s="1"/>
  <c r="R67" i="41" s="1"/>
  <c r="S67" i="41" s="1"/>
  <c r="T67" i="41" s="1"/>
  <c r="U67" i="41" s="1"/>
  <c r="V67" i="41" s="1"/>
  <c r="W67" i="41" s="1"/>
  <c r="X67" i="41" s="1"/>
  <c r="Y67" i="41" s="1"/>
  <c r="Z67" i="41" s="1"/>
  <c r="J46" i="41"/>
  <c r="K46" i="41" s="1"/>
  <c r="L46" i="41" s="1"/>
  <c r="M46" i="41" s="1"/>
  <c r="N46" i="41" s="1"/>
  <c r="O46" i="41" s="1"/>
  <c r="P46" i="41" s="1"/>
  <c r="Q46" i="41" s="1"/>
  <c r="R46" i="41" s="1"/>
  <c r="S46" i="41" s="1"/>
  <c r="T46" i="41" s="1"/>
  <c r="U46" i="41" s="1"/>
  <c r="V46" i="41" s="1"/>
  <c r="W46" i="41" s="1"/>
  <c r="X46" i="41" s="1"/>
  <c r="Y46" i="41" s="1"/>
  <c r="Z46" i="41" s="1"/>
  <c r="X66" i="38"/>
  <c r="X67" i="38" s="1"/>
  <c r="W67" i="38"/>
  <c r="I130" i="38"/>
  <c r="I131" i="38" s="1"/>
  <c r="K130" i="38"/>
  <c r="J131" i="38"/>
  <c r="P18" i="49"/>
  <c r="G55" i="31"/>
  <c r="J37" i="50"/>
  <c r="J9" i="50"/>
  <c r="J16" i="50" s="1"/>
  <c r="J23" i="50" s="1"/>
  <c r="J27" i="50"/>
  <c r="Z69" i="38" l="1"/>
  <c r="Z62" i="38"/>
  <c r="K69" i="38"/>
  <c r="K62" i="38"/>
  <c r="W69" i="38"/>
  <c r="W62" i="38"/>
  <c r="V69" i="38"/>
  <c r="V62" i="38"/>
  <c r="L69" i="38"/>
  <c r="L62" i="38"/>
  <c r="J69" i="38"/>
  <c r="J62" i="38"/>
  <c r="X69" i="38"/>
  <c r="X62" i="38"/>
  <c r="S69" i="38"/>
  <c r="S62" i="38"/>
  <c r="Q69" i="38"/>
  <c r="Q62" i="38"/>
  <c r="T69" i="38"/>
  <c r="T62" i="38"/>
  <c r="R69" i="38"/>
  <c r="R62" i="38"/>
  <c r="Y69" i="38"/>
  <c r="Y62" i="38"/>
  <c r="U69" i="38"/>
  <c r="U62" i="38"/>
  <c r="O69" i="38"/>
  <c r="O62" i="38"/>
  <c r="M69" i="38"/>
  <c r="M62" i="38"/>
  <c r="K131" i="38"/>
  <c r="L130" i="38"/>
  <c r="P69" i="38"/>
  <c r="P62" i="38"/>
  <c r="N69" i="38"/>
  <c r="N62" i="38"/>
  <c r="J39" i="50"/>
  <c r="H34" i="31" s="1"/>
  <c r="E26" i="43"/>
  <c r="E24" i="43"/>
  <c r="AO41" i="43"/>
  <c r="G79" i="33"/>
  <c r="H79" i="33"/>
  <c r="E47" i="33"/>
  <c r="E39" i="33"/>
  <c r="E43" i="33"/>
  <c r="E35" i="33"/>
  <c r="V70" i="38" l="1"/>
  <c r="M70" i="38"/>
  <c r="X70" i="38"/>
  <c r="N70" i="38"/>
  <c r="T70" i="38"/>
  <c r="J70" i="38"/>
  <c r="K70" i="38"/>
  <c r="O70" i="38"/>
  <c r="P70" i="38"/>
  <c r="U70" i="38"/>
  <c r="S70" i="38"/>
  <c r="R70" i="38"/>
  <c r="W70" i="38"/>
  <c r="M130" i="38"/>
  <c r="L131" i="38"/>
  <c r="Q70" i="38"/>
  <c r="L70" i="38"/>
  <c r="Y70" i="38"/>
  <c r="Z70" i="38"/>
  <c r="H9" i="32"/>
  <c r="G34" i="31"/>
  <c r="AZ9" i="43"/>
  <c r="E7" i="46"/>
  <c r="AZ7" i="43"/>
  <c r="AZ8" i="43"/>
  <c r="E6" i="46"/>
  <c r="AZ6" i="43"/>
  <c r="E4" i="46"/>
  <c r="AW31" i="43"/>
  <c r="F77" i="33"/>
  <c r="F79" i="33"/>
  <c r="AM30" i="43"/>
  <c r="AN31" i="43"/>
  <c r="AN33" i="43" s="1"/>
  <c r="AR31" i="43"/>
  <c r="AR33" i="43" s="1"/>
  <c r="AP31" i="43"/>
  <c r="AP33" i="43" s="1"/>
  <c r="AV34" i="43"/>
  <c r="E50" i="33" s="1"/>
  <c r="F62" i="33"/>
  <c r="F66" i="33"/>
  <c r="F67" i="33" s="1"/>
  <c r="F63" i="33" l="1"/>
  <c r="F35" i="33"/>
  <c r="F36" i="33" s="1"/>
  <c r="N130" i="38"/>
  <c r="M131" i="38"/>
  <c r="AM33" i="43"/>
  <c r="M4" i="31"/>
  <c r="M23" i="31" s="1"/>
  <c r="M73" i="31" s="1"/>
  <c r="A156" i="39"/>
  <c r="A157" i="39" s="1"/>
  <c r="A158" i="39" s="1"/>
  <c r="A159" i="39" s="1"/>
  <c r="A160" i="39" s="1"/>
  <c r="A161" i="39" s="1"/>
  <c r="A162" i="39" s="1"/>
  <c r="B173" i="39"/>
  <c r="B172" i="39"/>
  <c r="B171" i="39"/>
  <c r="B169" i="39"/>
  <c r="B168" i="39"/>
  <c r="B167" i="39"/>
  <c r="B166" i="39"/>
  <c r="AV3" i="31"/>
  <c r="AV4" i="31" s="1"/>
  <c r="AV23" i="31" s="1"/>
  <c r="AV66" i="31" s="1"/>
  <c r="AW3" i="31"/>
  <c r="AX3" i="31" s="1"/>
  <c r="AU4" i="31"/>
  <c r="AU23" i="31" s="1"/>
  <c r="AU78" i="31" s="1"/>
  <c r="A127" i="39"/>
  <c r="A128" i="39" s="1"/>
  <c r="A129" i="39" s="1"/>
  <c r="A130" i="39" s="1"/>
  <c r="A131" i="39" s="1"/>
  <c r="A132" i="39" s="1"/>
  <c r="A133" i="39" s="1"/>
  <c r="B144" i="39"/>
  <c r="B143" i="39"/>
  <c r="B142" i="39"/>
  <c r="B140" i="39"/>
  <c r="B139" i="39"/>
  <c r="B138" i="39"/>
  <c r="B137" i="39"/>
  <c r="M2" i="43"/>
  <c r="AK3" i="31"/>
  <c r="AJ4" i="31"/>
  <c r="AJ23" i="31" s="1"/>
  <c r="AJ78" i="31" s="1"/>
  <c r="A98" i="39"/>
  <c r="A99" i="39" s="1"/>
  <c r="A100" i="39" s="1"/>
  <c r="A101" i="39" s="1"/>
  <c r="A102" i="39" s="1"/>
  <c r="A103" i="39" s="1"/>
  <c r="A104" i="39" s="1"/>
  <c r="B115" i="39"/>
  <c r="B113" i="39"/>
  <c r="B111" i="39"/>
  <c r="B110" i="39"/>
  <c r="B109" i="39"/>
  <c r="B108" i="39"/>
  <c r="B86" i="39"/>
  <c r="B85" i="39"/>
  <c r="B84" i="39"/>
  <c r="B82" i="39"/>
  <c r="B81" i="39"/>
  <c r="B80" i="39"/>
  <c r="B79" i="39"/>
  <c r="Z3" i="31"/>
  <c r="Z4" i="31" s="1"/>
  <c r="Z23" i="31" s="1"/>
  <c r="Z27" i="31" s="1"/>
  <c r="Y4" i="31"/>
  <c r="Y23" i="31" s="1"/>
  <c r="AQ8" i="43"/>
  <c r="G10" i="45"/>
  <c r="H10" i="45"/>
  <c r="I10" i="45"/>
  <c r="H105" i="48"/>
  <c r="H106" i="48" s="1"/>
  <c r="G105" i="48"/>
  <c r="G106" i="48" s="1"/>
  <c r="F106" i="48"/>
  <c r="H120" i="33"/>
  <c r="H118" i="33"/>
  <c r="G120" i="33"/>
  <c r="G118" i="33"/>
  <c r="F120" i="33"/>
  <c r="F118" i="33"/>
  <c r="H83" i="48"/>
  <c r="H84" i="48" s="1"/>
  <c r="H86" i="48"/>
  <c r="H87" i="48" s="1"/>
  <c r="G86" i="48"/>
  <c r="G87" i="48" s="1"/>
  <c r="D45" i="48"/>
  <c r="D47" i="48" s="1"/>
  <c r="H33" i="48"/>
  <c r="G33" i="48"/>
  <c r="F86" i="48"/>
  <c r="F83" i="48"/>
  <c r="F80" i="48"/>
  <c r="H104" i="48"/>
  <c r="G104" i="48"/>
  <c r="H102" i="48"/>
  <c r="G102" i="48"/>
  <c r="F148" i="33"/>
  <c r="H101" i="48"/>
  <c r="G101" i="48"/>
  <c r="H100" i="48"/>
  <c r="G100" i="48"/>
  <c r="H99" i="48"/>
  <c r="G99" i="48"/>
  <c r="B94" i="48"/>
  <c r="H93" i="48"/>
  <c r="G93" i="48"/>
  <c r="F93" i="48"/>
  <c r="E93" i="48"/>
  <c r="G83" i="48"/>
  <c r="G84" i="48" s="1"/>
  <c r="G80" i="48"/>
  <c r="H79" i="48"/>
  <c r="H80" i="48" s="1"/>
  <c r="G79" i="48"/>
  <c r="H73" i="48"/>
  <c r="G73" i="48"/>
  <c r="E73" i="48"/>
  <c r="H72" i="48"/>
  <c r="G72" i="48"/>
  <c r="E72" i="48"/>
  <c r="H71" i="48"/>
  <c r="G71" i="48"/>
  <c r="E71" i="48"/>
  <c r="H70" i="48"/>
  <c r="G70" i="48"/>
  <c r="E70" i="48"/>
  <c r="H69" i="48"/>
  <c r="G69" i="48"/>
  <c r="E69" i="48"/>
  <c r="J19" i="32"/>
  <c r="T70" i="48" s="1"/>
  <c r="I19" i="32"/>
  <c r="R70" i="48" s="1"/>
  <c r="H19" i="32"/>
  <c r="P70" i="48" s="1"/>
  <c r="H66" i="48"/>
  <c r="G66" i="48"/>
  <c r="E66" i="48"/>
  <c r="H65" i="48"/>
  <c r="G65" i="48"/>
  <c r="E65" i="48"/>
  <c r="H64" i="48"/>
  <c r="G64" i="48"/>
  <c r="E64" i="48"/>
  <c r="H63" i="48"/>
  <c r="G63" i="48"/>
  <c r="E63" i="48"/>
  <c r="H62" i="48"/>
  <c r="G62" i="48"/>
  <c r="E62" i="48"/>
  <c r="T62" i="48"/>
  <c r="R62" i="48"/>
  <c r="P62" i="48"/>
  <c r="T61" i="48"/>
  <c r="R61" i="48"/>
  <c r="P61" i="48"/>
  <c r="G56" i="48"/>
  <c r="F56" i="48"/>
  <c r="D55" i="48"/>
  <c r="H52" i="48"/>
  <c r="G52" i="48"/>
  <c r="G51" i="48"/>
  <c r="F51" i="48"/>
  <c r="H50" i="48"/>
  <c r="G50" i="48"/>
  <c r="B50" i="48"/>
  <c r="H54" i="39"/>
  <c r="G54" i="39"/>
  <c r="R43" i="48" s="1"/>
  <c r="F54" i="39"/>
  <c r="P43" i="48" s="1"/>
  <c r="G39" i="48"/>
  <c r="G40" i="48" s="1"/>
  <c r="F39" i="48"/>
  <c r="F40" i="48" s="1"/>
  <c r="H49" i="39"/>
  <c r="T41" i="48" s="1"/>
  <c r="G49" i="39"/>
  <c r="R41" i="48"/>
  <c r="F49" i="39"/>
  <c r="P41" i="48" s="1"/>
  <c r="B36" i="48"/>
  <c r="B83" i="48" s="1"/>
  <c r="H57" i="39"/>
  <c r="T38" i="48" s="1"/>
  <c r="G57" i="39"/>
  <c r="R38" i="48" s="1"/>
  <c r="F57" i="39"/>
  <c r="P38" i="48" s="1"/>
  <c r="B33" i="48"/>
  <c r="B80" i="48" s="1"/>
  <c r="H38" i="39"/>
  <c r="T34" i="48" s="1"/>
  <c r="G38" i="39"/>
  <c r="F38" i="39"/>
  <c r="P34" i="48" s="1"/>
  <c r="B79" i="48"/>
  <c r="H33" i="39"/>
  <c r="T32" i="48" s="1"/>
  <c r="G33" i="39"/>
  <c r="R32" i="48" s="1"/>
  <c r="F33" i="39"/>
  <c r="P32" i="48" s="1"/>
  <c r="H41" i="39"/>
  <c r="T29" i="48" s="1"/>
  <c r="G41" i="39"/>
  <c r="R29" i="48" s="1"/>
  <c r="F41" i="39"/>
  <c r="P29" i="48" s="1"/>
  <c r="B26" i="48"/>
  <c r="H22" i="39"/>
  <c r="T25" i="48" s="1"/>
  <c r="G22" i="39"/>
  <c r="R25" i="48" s="1"/>
  <c r="F22" i="39"/>
  <c r="P25" i="48" s="1"/>
  <c r="B25" i="48"/>
  <c r="B24" i="48"/>
  <c r="H12" i="39"/>
  <c r="T23" i="48" s="1"/>
  <c r="G12" i="39"/>
  <c r="R23" i="48" s="1"/>
  <c r="F12" i="39"/>
  <c r="P23" i="48" s="1"/>
  <c r="B23" i="48"/>
  <c r="B22" i="48"/>
  <c r="T20" i="48"/>
  <c r="R20" i="48"/>
  <c r="P20" i="48"/>
  <c r="D19" i="48"/>
  <c r="D26" i="48" s="1"/>
  <c r="D18" i="48"/>
  <c r="D17" i="48"/>
  <c r="D24" i="48" s="1"/>
  <c r="D16" i="48"/>
  <c r="D23" i="48" s="1"/>
  <c r="L15" i="48"/>
  <c r="D15" i="48"/>
  <c r="D22" i="48" s="1"/>
  <c r="L12" i="48"/>
  <c r="L11" i="48"/>
  <c r="L10" i="48"/>
  <c r="L9" i="48"/>
  <c r="L7" i="48"/>
  <c r="L6" i="48"/>
  <c r="H6" i="48"/>
  <c r="G6" i="48"/>
  <c r="F6" i="48"/>
  <c r="B86" i="48"/>
  <c r="N68" i="33"/>
  <c r="P68" i="33"/>
  <c r="AU9" i="47"/>
  <c r="AT9" i="47"/>
  <c r="AS9" i="47"/>
  <c r="AR9" i="47"/>
  <c r="AQ9" i="47"/>
  <c r="AP9" i="47"/>
  <c r="AO9" i="47"/>
  <c r="AN9" i="47"/>
  <c r="AM9" i="47"/>
  <c r="AL9" i="47"/>
  <c r="AK9" i="47"/>
  <c r="AJ9" i="47"/>
  <c r="AI9" i="47"/>
  <c r="AH9" i="47"/>
  <c r="AG9" i="47"/>
  <c r="AF9" i="47"/>
  <c r="AE9" i="47"/>
  <c r="AD9" i="47"/>
  <c r="AC9" i="47"/>
  <c r="AB9" i="47"/>
  <c r="AU8" i="47"/>
  <c r="AT8" i="47"/>
  <c r="AS8" i="47"/>
  <c r="AR8" i="47"/>
  <c r="AQ8" i="47"/>
  <c r="AP8" i="47"/>
  <c r="AO8" i="47"/>
  <c r="AN8" i="47"/>
  <c r="AM8" i="47"/>
  <c r="AL8" i="47"/>
  <c r="AK8" i="47"/>
  <c r="AJ8" i="47"/>
  <c r="AI8" i="47"/>
  <c r="AH8" i="47"/>
  <c r="AG8" i="47"/>
  <c r="AF8" i="47"/>
  <c r="AE8" i="47"/>
  <c r="AD8" i="47"/>
  <c r="AC8" i="47"/>
  <c r="AB8" i="47"/>
  <c r="AS7" i="47"/>
  <c r="AP7" i="47"/>
  <c r="AA24" i="43"/>
  <c r="AB24" i="43"/>
  <c r="AC24" i="43"/>
  <c r="F33" i="43" s="1"/>
  <c r="AE24" i="43"/>
  <c r="AG24" i="43"/>
  <c r="AA25" i="43"/>
  <c r="AA26" i="43"/>
  <c r="AB25" i="43"/>
  <c r="AC25" i="43"/>
  <c r="AC26" i="43"/>
  <c r="AE25" i="43"/>
  <c r="AE26" i="43"/>
  <c r="AG25" i="43"/>
  <c r="A7" i="43"/>
  <c r="A8" i="43"/>
  <c r="A9" i="43"/>
  <c r="W52" i="32"/>
  <c r="AN34" i="43"/>
  <c r="AO29" i="43"/>
  <c r="AP34" i="43"/>
  <c r="AQ29" i="43"/>
  <c r="AR34" i="43"/>
  <c r="AS29" i="43"/>
  <c r="AT34" i="43"/>
  <c r="AU29" i="43"/>
  <c r="AW29" i="43"/>
  <c r="AW33" i="43" s="1"/>
  <c r="AN36" i="43"/>
  <c r="AP36" i="43"/>
  <c r="AR36" i="43"/>
  <c r="AT36" i="43"/>
  <c r="AV36" i="43"/>
  <c r="AN37" i="43"/>
  <c r="AP37" i="43"/>
  <c r="AR37" i="43"/>
  <c r="AT37" i="43"/>
  <c r="AV37" i="43"/>
  <c r="AE50" i="32"/>
  <c r="AD50" i="32"/>
  <c r="AC50" i="32"/>
  <c r="AK50" i="32"/>
  <c r="AJ50" i="32"/>
  <c r="AI50" i="32"/>
  <c r="A12" i="43"/>
  <c r="A13" i="43"/>
  <c r="A14" i="43"/>
  <c r="A15" i="43"/>
  <c r="G173" i="39"/>
  <c r="G172" i="39"/>
  <c r="G170" i="39"/>
  <c r="G168" i="39"/>
  <c r="G167" i="39"/>
  <c r="H4" i="31"/>
  <c r="H23" i="31" s="1"/>
  <c r="H73" i="31" s="1"/>
  <c r="I4" i="31"/>
  <c r="I23" i="31" s="1"/>
  <c r="I48" i="31" s="1"/>
  <c r="J4" i="31"/>
  <c r="J23" i="31" s="1"/>
  <c r="G295" i="41"/>
  <c r="G307" i="41" s="1"/>
  <c r="F307" i="41"/>
  <c r="G331" i="40"/>
  <c r="G343" i="40" s="1"/>
  <c r="F343" i="40"/>
  <c r="F337" i="38"/>
  <c r="G398" i="38"/>
  <c r="H398" i="38" s="1"/>
  <c r="I398" i="38" s="1"/>
  <c r="I410" i="38" s="1"/>
  <c r="AO48" i="43"/>
  <c r="N82" i="33"/>
  <c r="N76" i="33"/>
  <c r="F139" i="38"/>
  <c r="F233" i="38"/>
  <c r="N81" i="33"/>
  <c r="G239" i="38" s="1"/>
  <c r="H239" i="38" s="1"/>
  <c r="I239" i="38" s="1"/>
  <c r="J239" i="38" s="1"/>
  <c r="K239" i="38" s="1"/>
  <c r="L239" i="38" s="1"/>
  <c r="M239" i="38" s="1"/>
  <c r="N239" i="38" s="1"/>
  <c r="O239" i="38" s="1"/>
  <c r="P239" i="38" s="1"/>
  <c r="Q239" i="38" s="1"/>
  <c r="R239" i="38" s="1"/>
  <c r="S239" i="38" s="1"/>
  <c r="T239" i="38" s="1"/>
  <c r="U239" i="38" s="1"/>
  <c r="V239" i="38" s="1"/>
  <c r="W239" i="38" s="1"/>
  <c r="X239" i="38" s="1"/>
  <c r="Y239" i="38" s="1"/>
  <c r="Z239" i="38" s="1"/>
  <c r="F283" i="38"/>
  <c r="G283" i="38" s="1"/>
  <c r="H283" i="38" s="1"/>
  <c r="I283" i="38" s="1"/>
  <c r="F410" i="38"/>
  <c r="AS9" i="43"/>
  <c r="AS10" i="43"/>
  <c r="AS14" i="43"/>
  <c r="AS15" i="43"/>
  <c r="AS6" i="43"/>
  <c r="AS7" i="43"/>
  <c r="AS11" i="43"/>
  <c r="AS12" i="43"/>
  <c r="AS13" i="43"/>
  <c r="P181" i="33"/>
  <c r="O181" i="33"/>
  <c r="G127" i="39" s="1"/>
  <c r="M4" i="43"/>
  <c r="AF7" i="43"/>
  <c r="N1" i="43"/>
  <c r="N2" i="43" s="1"/>
  <c r="AF11" i="43"/>
  <c r="AA23" i="43"/>
  <c r="AB23" i="43"/>
  <c r="AC23" i="43"/>
  <c r="AD23" i="43"/>
  <c r="AE23" i="43"/>
  <c r="AF6" i="43"/>
  <c r="AF8" i="43"/>
  <c r="AF9" i="43"/>
  <c r="AF10" i="43"/>
  <c r="AF12" i="43"/>
  <c r="AF13" i="43"/>
  <c r="AV13" i="43" s="1"/>
  <c r="AF14" i="43"/>
  <c r="AF15" i="43"/>
  <c r="AV15" i="43" s="1"/>
  <c r="AG23" i="43"/>
  <c r="A6" i="43"/>
  <c r="A10" i="43"/>
  <c r="J10" i="45"/>
  <c r="F124" i="28" s="1"/>
  <c r="G12" i="45"/>
  <c r="H12" i="45"/>
  <c r="I12" i="45"/>
  <c r="G13" i="45"/>
  <c r="I13" i="45"/>
  <c r="G6" i="45"/>
  <c r="C27" i="45"/>
  <c r="I6" i="45"/>
  <c r="C35" i="45"/>
  <c r="G15" i="45" s="1"/>
  <c r="I17" i="45"/>
  <c r="J29" i="31" s="1"/>
  <c r="H17" i="45"/>
  <c r="I29" i="31" s="1"/>
  <c r="G17" i="45"/>
  <c r="E25" i="43"/>
  <c r="E23" i="43"/>
  <c r="G8" i="45"/>
  <c r="G14" i="45"/>
  <c r="H8" i="45"/>
  <c r="H14" i="45"/>
  <c r="H13" i="45"/>
  <c r="I8" i="45"/>
  <c r="I14" i="45"/>
  <c r="J35" i="45"/>
  <c r="J34" i="45"/>
  <c r="J32" i="45"/>
  <c r="J30" i="45"/>
  <c r="J27" i="45"/>
  <c r="H24" i="33"/>
  <c r="H26" i="33" s="1"/>
  <c r="G24" i="33"/>
  <c r="G26" i="33" s="1"/>
  <c r="F24" i="33"/>
  <c r="F26" i="33" s="1"/>
  <c r="AQ48" i="43"/>
  <c r="G178" i="33"/>
  <c r="H178" i="33" s="1"/>
  <c r="AT15" i="43"/>
  <c r="AQ15" i="43"/>
  <c r="AQ14" i="43"/>
  <c r="AQ13" i="43"/>
  <c r="AQ12" i="43"/>
  <c r="AQ11" i="43"/>
  <c r="AQ10" i="43"/>
  <c r="AQ9" i="43"/>
  <c r="AQ7" i="43"/>
  <c r="AM31" i="43"/>
  <c r="H62" i="33"/>
  <c r="G62" i="33"/>
  <c r="G35" i="33" s="1"/>
  <c r="Q35" i="33"/>
  <c r="Q36" i="33" s="1"/>
  <c r="Z1" i="43"/>
  <c r="Z4" i="43" s="1"/>
  <c r="AP4" i="43" s="1"/>
  <c r="Y4" i="43"/>
  <c r="AO4" i="43" s="1"/>
  <c r="AT13" i="43"/>
  <c r="AR12" i="43"/>
  <c r="AR10" i="43"/>
  <c r="AR8" i="43"/>
  <c r="AR7" i="43"/>
  <c r="AR6" i="43"/>
  <c r="AR9" i="43"/>
  <c r="AV6" i="43"/>
  <c r="AW10" i="43"/>
  <c r="AW9" i="43"/>
  <c r="AW8" i="43"/>
  <c r="AW7" i="43"/>
  <c r="AW6" i="43"/>
  <c r="AU10" i="43"/>
  <c r="AU9" i="43"/>
  <c r="AU8" i="43"/>
  <c r="AU6" i="43"/>
  <c r="AS8" i="43"/>
  <c r="AT14" i="43"/>
  <c r="AT12" i="43"/>
  <c r="AT11" i="43"/>
  <c r="AT10" i="43"/>
  <c r="AT9" i="43"/>
  <c r="AT8" i="43"/>
  <c r="AT6" i="43"/>
  <c r="AT7" i="43"/>
  <c r="H26" i="43"/>
  <c r="G26" i="43"/>
  <c r="F26" i="43"/>
  <c r="H25" i="43"/>
  <c r="G25" i="43"/>
  <c r="F25" i="43"/>
  <c r="H24" i="43"/>
  <c r="G24" i="43"/>
  <c r="F24" i="43"/>
  <c r="H23" i="43"/>
  <c r="G23" i="43"/>
  <c r="F23" i="43"/>
  <c r="AA1" i="43"/>
  <c r="H194" i="33"/>
  <c r="H181" i="33"/>
  <c r="G181" i="33"/>
  <c r="E76" i="28"/>
  <c r="E7" i="28"/>
  <c r="F267" i="41"/>
  <c r="G255" i="41"/>
  <c r="F270" i="40"/>
  <c r="G270" i="40" s="1"/>
  <c r="G289" i="40" s="1"/>
  <c r="G329" i="40" s="1"/>
  <c r="G291" i="40"/>
  <c r="H291" i="40" s="1"/>
  <c r="F303" i="40"/>
  <c r="N194" i="33"/>
  <c r="O194" i="33"/>
  <c r="P194" i="33" s="1"/>
  <c r="N193" i="33"/>
  <c r="O193" i="33" s="1"/>
  <c r="P193" i="33" s="1"/>
  <c r="N192" i="33"/>
  <c r="O192" i="33" s="1"/>
  <c r="P192" i="33" s="1"/>
  <c r="F370" i="38"/>
  <c r="G358" i="38"/>
  <c r="D229" i="41"/>
  <c r="D276" i="40"/>
  <c r="D265" i="40"/>
  <c r="O96" i="33"/>
  <c r="P96" i="33" s="1"/>
  <c r="F190" i="41"/>
  <c r="F213" i="41" s="1"/>
  <c r="O97" i="33"/>
  <c r="P97" i="33"/>
  <c r="O124" i="33"/>
  <c r="P124" i="33" s="1"/>
  <c r="O123" i="33"/>
  <c r="P123" i="33" s="1"/>
  <c r="O122" i="33"/>
  <c r="P122" i="33" s="1"/>
  <c r="O121" i="33"/>
  <c r="P121" i="33" s="1"/>
  <c r="O95" i="33"/>
  <c r="P95" i="33"/>
  <c r="H80" i="33"/>
  <c r="G76" i="33"/>
  <c r="G72" i="33"/>
  <c r="G68" i="33"/>
  <c r="H68" i="33" s="1"/>
  <c r="G53" i="33"/>
  <c r="G49" i="33"/>
  <c r="G45" i="33"/>
  <c r="G41" i="33"/>
  <c r="G37" i="33"/>
  <c r="H126" i="33"/>
  <c r="G126" i="33"/>
  <c r="H161" i="33"/>
  <c r="G161" i="33"/>
  <c r="P86" i="33"/>
  <c r="O86" i="33"/>
  <c r="P85" i="33"/>
  <c r="O85" i="33"/>
  <c r="N85" i="33"/>
  <c r="N3" i="31"/>
  <c r="N4" i="31" s="1"/>
  <c r="N23" i="31" s="1"/>
  <c r="H90" i="33"/>
  <c r="G90" i="33"/>
  <c r="F90" i="33"/>
  <c r="H89" i="33"/>
  <c r="G89" i="33"/>
  <c r="F89" i="33"/>
  <c r="F180" i="41"/>
  <c r="F166" i="40"/>
  <c r="G166" i="40" s="1"/>
  <c r="H166" i="40" s="1"/>
  <c r="I166" i="40" s="1"/>
  <c r="F140" i="41"/>
  <c r="H202" i="33"/>
  <c r="H189" i="33"/>
  <c r="F116" i="41"/>
  <c r="G116" i="41" s="1"/>
  <c r="F95" i="41"/>
  <c r="G95" i="41" s="1"/>
  <c r="H95" i="41" s="1"/>
  <c r="I95" i="41" s="1"/>
  <c r="F74" i="41"/>
  <c r="F53" i="41"/>
  <c r="G53" i="41" s="1"/>
  <c r="F30" i="41"/>
  <c r="G30" i="41" s="1"/>
  <c r="H30" i="41" s="1"/>
  <c r="I30" i="41" s="1"/>
  <c r="J30" i="41" s="1"/>
  <c r="K30" i="41" s="1"/>
  <c r="L30" i="41" s="1"/>
  <c r="F7" i="41"/>
  <c r="F226" i="40"/>
  <c r="F260" i="40" s="1"/>
  <c r="F216" i="40"/>
  <c r="G216" i="40" s="1"/>
  <c r="H216" i="40" s="1"/>
  <c r="I216" i="40" s="1"/>
  <c r="F187" i="40"/>
  <c r="G187" i="40" s="1"/>
  <c r="H187" i="40" s="1"/>
  <c r="I187" i="40" s="1"/>
  <c r="J187" i="40" s="1"/>
  <c r="K187" i="40" s="1"/>
  <c r="L187" i="40" s="1"/>
  <c r="M187" i="40" s="1"/>
  <c r="N187" i="40" s="1"/>
  <c r="O187" i="40" s="1"/>
  <c r="P187" i="40" s="1"/>
  <c r="Q187" i="40" s="1"/>
  <c r="R187" i="40" s="1"/>
  <c r="S187" i="40" s="1"/>
  <c r="T187" i="40" s="1"/>
  <c r="U187" i="40" s="1"/>
  <c r="V187" i="40" s="1"/>
  <c r="W187" i="40" s="1"/>
  <c r="X187" i="40" s="1"/>
  <c r="Y187" i="40" s="1"/>
  <c r="Z187" i="40" s="1"/>
  <c r="F139" i="40"/>
  <c r="F115" i="40"/>
  <c r="G115" i="40" s="1"/>
  <c r="H115" i="40" s="1"/>
  <c r="F94" i="40"/>
  <c r="G94" i="40" s="1"/>
  <c r="H94" i="40" s="1"/>
  <c r="I94" i="40" s="1"/>
  <c r="J94" i="40" s="1"/>
  <c r="K94" i="40" s="1"/>
  <c r="L94" i="40" s="1"/>
  <c r="M94" i="40" s="1"/>
  <c r="N94" i="40" s="1"/>
  <c r="O94" i="40" s="1"/>
  <c r="F73" i="40"/>
  <c r="G73" i="40" s="1"/>
  <c r="H73" i="40" s="1"/>
  <c r="I73" i="40" s="1"/>
  <c r="J73" i="40" s="1"/>
  <c r="K73" i="40" s="1"/>
  <c r="F52" i="40"/>
  <c r="G52" i="40" s="1"/>
  <c r="H52" i="40" s="1"/>
  <c r="I52" i="40" s="1"/>
  <c r="F29" i="40"/>
  <c r="G29" i="40" s="1"/>
  <c r="H29" i="40" s="1"/>
  <c r="I29" i="40" s="1"/>
  <c r="J29" i="40" s="1"/>
  <c r="K29" i="40" s="1"/>
  <c r="F6" i="40"/>
  <c r="G6" i="40" s="1"/>
  <c r="H198" i="33"/>
  <c r="G198" i="33"/>
  <c r="F198" i="33"/>
  <c r="H192" i="33"/>
  <c r="G192" i="33"/>
  <c r="F192" i="33"/>
  <c r="H185" i="33"/>
  <c r="H186" i="33" s="1"/>
  <c r="G185" i="33"/>
  <c r="G186" i="33" s="1"/>
  <c r="F185" i="33"/>
  <c r="H78" i="33"/>
  <c r="H51" i="33" s="1"/>
  <c r="H52" i="33" s="1"/>
  <c r="G78" i="33"/>
  <c r="G51" i="33" s="1"/>
  <c r="G52" i="33" s="1"/>
  <c r="F78" i="33"/>
  <c r="F51" i="33" s="1"/>
  <c r="F66" i="48"/>
  <c r="F112" i="33"/>
  <c r="F114" i="33" s="1"/>
  <c r="F115" i="33" s="1"/>
  <c r="G112" i="33"/>
  <c r="G114" i="33" s="1"/>
  <c r="G115" i="33" s="1"/>
  <c r="O171" i="33"/>
  <c r="P171" i="33" s="1"/>
  <c r="O170" i="33"/>
  <c r="P170" i="33" s="1"/>
  <c r="O169" i="33"/>
  <c r="P169" i="33" s="1"/>
  <c r="O168" i="33"/>
  <c r="P168" i="33" s="1"/>
  <c r="O167" i="33"/>
  <c r="P167" i="33" s="1"/>
  <c r="P189" i="33"/>
  <c r="O189" i="33"/>
  <c r="N189" i="33"/>
  <c r="F293" i="38"/>
  <c r="F316" i="38" s="1"/>
  <c r="F254" i="38"/>
  <c r="G254" i="38" s="1"/>
  <c r="H254" i="38" s="1"/>
  <c r="I254" i="38" s="1"/>
  <c r="J254" i="38" s="1"/>
  <c r="K254" i="38" s="1"/>
  <c r="L254" i="38" s="1"/>
  <c r="M254" i="38" s="1"/>
  <c r="N254" i="38" s="1"/>
  <c r="O254" i="38" s="1"/>
  <c r="P254" i="38" s="1"/>
  <c r="Q254" i="38" s="1"/>
  <c r="R254" i="38" s="1"/>
  <c r="S254" i="38" s="1"/>
  <c r="T254" i="38" s="1"/>
  <c r="U254" i="38" s="1"/>
  <c r="V254" i="38" s="1"/>
  <c r="W254" i="38" s="1"/>
  <c r="X254" i="38" s="1"/>
  <c r="Y254" i="38" s="1"/>
  <c r="Z254" i="38" s="1"/>
  <c r="F209" i="38"/>
  <c r="G209" i="38" s="1"/>
  <c r="H209" i="38" s="1"/>
  <c r="I209" i="38" s="1"/>
  <c r="J209" i="38" s="1"/>
  <c r="K209" i="38" s="1"/>
  <c r="L209" i="38" s="1"/>
  <c r="M209" i="38" s="1"/>
  <c r="N209" i="38" s="1"/>
  <c r="O209" i="38" s="1"/>
  <c r="P209" i="38" s="1"/>
  <c r="Q209" i="38" s="1"/>
  <c r="R209" i="38" s="1"/>
  <c r="S209" i="38" s="1"/>
  <c r="T209" i="38" s="1"/>
  <c r="U209" i="38" s="1"/>
  <c r="V209" i="38" s="1"/>
  <c r="W209" i="38" s="1"/>
  <c r="X209" i="38" s="1"/>
  <c r="Y209" i="38" s="1"/>
  <c r="Z209" i="38" s="1"/>
  <c r="P82" i="33"/>
  <c r="G124" i="41" s="1"/>
  <c r="H124" i="41" s="1"/>
  <c r="I124" i="41" s="1"/>
  <c r="J124" i="41" s="1"/>
  <c r="K124" i="41" s="1"/>
  <c r="L124" i="41" s="1"/>
  <c r="M124" i="41" s="1"/>
  <c r="N124" i="41" s="1"/>
  <c r="O124" i="41" s="1"/>
  <c r="P124" i="41" s="1"/>
  <c r="Q124" i="41" s="1"/>
  <c r="R124" i="41" s="1"/>
  <c r="S124" i="41" s="1"/>
  <c r="T124" i="41" s="1"/>
  <c r="U124" i="41" s="1"/>
  <c r="V124" i="41" s="1"/>
  <c r="W124" i="41" s="1"/>
  <c r="X124" i="41" s="1"/>
  <c r="Y124" i="41" s="1"/>
  <c r="Z124" i="41" s="1"/>
  <c r="O82" i="33"/>
  <c r="G123" i="40" s="1"/>
  <c r="H123" i="40" s="1"/>
  <c r="I123" i="40" s="1"/>
  <c r="J123" i="40" s="1"/>
  <c r="K123" i="40" s="1"/>
  <c r="L123" i="40" s="1"/>
  <c r="M123" i="40" s="1"/>
  <c r="N123" i="40" s="1"/>
  <c r="O123" i="40" s="1"/>
  <c r="P123" i="40" s="1"/>
  <c r="Q123" i="40" s="1"/>
  <c r="R123" i="40" s="1"/>
  <c r="S123" i="40" s="1"/>
  <c r="T123" i="40" s="1"/>
  <c r="U123" i="40" s="1"/>
  <c r="V123" i="40" s="1"/>
  <c r="W123" i="40" s="1"/>
  <c r="X123" i="40" s="1"/>
  <c r="Y123" i="40" s="1"/>
  <c r="Z123" i="40" s="1"/>
  <c r="P81" i="33"/>
  <c r="O81" i="33"/>
  <c r="G172" i="40" s="1"/>
  <c r="H172" i="40" s="1"/>
  <c r="I172" i="40" s="1"/>
  <c r="J172" i="40" s="1"/>
  <c r="K172" i="40" s="1"/>
  <c r="L172" i="40" s="1"/>
  <c r="M172" i="40" s="1"/>
  <c r="N172" i="40" s="1"/>
  <c r="O172" i="40" s="1"/>
  <c r="P172" i="40" s="1"/>
  <c r="Q172" i="40" s="1"/>
  <c r="R172" i="40" s="1"/>
  <c r="S172" i="40" s="1"/>
  <c r="T172" i="40" s="1"/>
  <c r="U172" i="40" s="1"/>
  <c r="V172" i="40" s="1"/>
  <c r="W172" i="40" s="1"/>
  <c r="X172" i="40" s="1"/>
  <c r="Y172" i="40" s="1"/>
  <c r="Z172" i="40" s="1"/>
  <c r="P80" i="33"/>
  <c r="G101" i="41" s="1"/>
  <c r="H101" i="41" s="1"/>
  <c r="I101" i="41" s="1"/>
  <c r="J101" i="41" s="1"/>
  <c r="K101" i="41" s="1"/>
  <c r="L101" i="41" s="1"/>
  <c r="M101" i="41" s="1"/>
  <c r="N101" i="41" s="1"/>
  <c r="O101" i="41" s="1"/>
  <c r="P101" i="41" s="1"/>
  <c r="Q101" i="41" s="1"/>
  <c r="R101" i="41" s="1"/>
  <c r="S101" i="41" s="1"/>
  <c r="T101" i="41" s="1"/>
  <c r="U101" i="41" s="1"/>
  <c r="V101" i="41" s="1"/>
  <c r="W101" i="41" s="1"/>
  <c r="X101" i="41" s="1"/>
  <c r="Y101" i="41" s="1"/>
  <c r="Z101" i="41" s="1"/>
  <c r="O80" i="33"/>
  <c r="G100" i="40" s="1"/>
  <c r="H100" i="40" s="1"/>
  <c r="I100" i="40" s="1"/>
  <c r="J100" i="40" s="1"/>
  <c r="K100" i="40" s="1"/>
  <c r="L100" i="40" s="1"/>
  <c r="M100" i="40" s="1"/>
  <c r="N100" i="40" s="1"/>
  <c r="O100" i="40" s="1"/>
  <c r="P100" i="40" s="1"/>
  <c r="Q100" i="40" s="1"/>
  <c r="R100" i="40" s="1"/>
  <c r="S100" i="40" s="1"/>
  <c r="T100" i="40" s="1"/>
  <c r="U100" i="40" s="1"/>
  <c r="V100" i="40" s="1"/>
  <c r="W100" i="40" s="1"/>
  <c r="X100" i="40" s="1"/>
  <c r="Y100" i="40" s="1"/>
  <c r="Z100" i="40" s="1"/>
  <c r="N80" i="33"/>
  <c r="P79" i="33"/>
  <c r="G80" i="41" s="1"/>
  <c r="H80" i="41" s="1"/>
  <c r="I80" i="41" s="1"/>
  <c r="J80" i="41" s="1"/>
  <c r="K80" i="41" s="1"/>
  <c r="L80" i="41" s="1"/>
  <c r="M80" i="41" s="1"/>
  <c r="N80" i="41" s="1"/>
  <c r="O80" i="41" s="1"/>
  <c r="P80" i="41" s="1"/>
  <c r="Q80" i="41" s="1"/>
  <c r="R80" i="41" s="1"/>
  <c r="S80" i="41" s="1"/>
  <c r="T80" i="41" s="1"/>
  <c r="U80" i="41" s="1"/>
  <c r="V80" i="41" s="1"/>
  <c r="W80" i="41" s="1"/>
  <c r="X80" i="41" s="1"/>
  <c r="Y80" i="41" s="1"/>
  <c r="Z80" i="41" s="1"/>
  <c r="O79" i="33"/>
  <c r="G79" i="40" s="1"/>
  <c r="H79" i="40" s="1"/>
  <c r="I79" i="40" s="1"/>
  <c r="J79" i="40" s="1"/>
  <c r="K79" i="40" s="1"/>
  <c r="L79" i="40" s="1"/>
  <c r="M79" i="40" s="1"/>
  <c r="N79" i="40" s="1"/>
  <c r="O79" i="40" s="1"/>
  <c r="P79" i="40" s="1"/>
  <c r="Q79" i="40" s="1"/>
  <c r="R79" i="40" s="1"/>
  <c r="S79" i="40" s="1"/>
  <c r="T79" i="40" s="1"/>
  <c r="U79" i="40" s="1"/>
  <c r="V79" i="40" s="1"/>
  <c r="W79" i="40" s="1"/>
  <c r="X79" i="40" s="1"/>
  <c r="Y79" i="40" s="1"/>
  <c r="Z79" i="40" s="1"/>
  <c r="N79" i="33"/>
  <c r="P78" i="33"/>
  <c r="G59" i="41" s="1"/>
  <c r="H59" i="41" s="1"/>
  <c r="I59" i="41" s="1"/>
  <c r="J59" i="41" s="1"/>
  <c r="K59" i="41" s="1"/>
  <c r="L59" i="41" s="1"/>
  <c r="M59" i="41" s="1"/>
  <c r="N59" i="41" s="1"/>
  <c r="O59" i="41" s="1"/>
  <c r="P59" i="41" s="1"/>
  <c r="Q59" i="41" s="1"/>
  <c r="R59" i="41" s="1"/>
  <c r="S59" i="41" s="1"/>
  <c r="T59" i="41" s="1"/>
  <c r="U59" i="41" s="1"/>
  <c r="V59" i="41" s="1"/>
  <c r="W59" i="41" s="1"/>
  <c r="X59" i="41" s="1"/>
  <c r="Y59" i="41" s="1"/>
  <c r="Z59" i="41" s="1"/>
  <c r="O78" i="33"/>
  <c r="G58" i="40" s="1"/>
  <c r="H58" i="40" s="1"/>
  <c r="I58" i="40" s="1"/>
  <c r="J58" i="40" s="1"/>
  <c r="K58" i="40" s="1"/>
  <c r="L58" i="40" s="1"/>
  <c r="M58" i="40" s="1"/>
  <c r="N58" i="40" s="1"/>
  <c r="O58" i="40" s="1"/>
  <c r="P58" i="40" s="1"/>
  <c r="Q58" i="40" s="1"/>
  <c r="R58" i="40" s="1"/>
  <c r="S58" i="40" s="1"/>
  <c r="T58" i="40" s="1"/>
  <c r="U58" i="40" s="1"/>
  <c r="V58" i="40" s="1"/>
  <c r="W58" i="40" s="1"/>
  <c r="X58" i="40" s="1"/>
  <c r="Y58" i="40" s="1"/>
  <c r="Z58" i="40" s="1"/>
  <c r="N78" i="33"/>
  <c r="P77" i="33"/>
  <c r="G38" i="41" s="1"/>
  <c r="H38" i="41" s="1"/>
  <c r="I38" i="41" s="1"/>
  <c r="J38" i="41" s="1"/>
  <c r="K38" i="41" s="1"/>
  <c r="L38" i="41" s="1"/>
  <c r="M38" i="41" s="1"/>
  <c r="N38" i="41" s="1"/>
  <c r="O38" i="41" s="1"/>
  <c r="P38" i="41" s="1"/>
  <c r="Q38" i="41" s="1"/>
  <c r="R38" i="41" s="1"/>
  <c r="S38" i="41" s="1"/>
  <c r="T38" i="41" s="1"/>
  <c r="U38" i="41" s="1"/>
  <c r="V38" i="41" s="1"/>
  <c r="W38" i="41" s="1"/>
  <c r="X38" i="41" s="1"/>
  <c r="Y38" i="41" s="1"/>
  <c r="Z38" i="41" s="1"/>
  <c r="O77" i="33"/>
  <c r="G37" i="40" s="1"/>
  <c r="H37" i="40" s="1"/>
  <c r="I37" i="40" s="1"/>
  <c r="J37" i="40" s="1"/>
  <c r="K37" i="40" s="1"/>
  <c r="L37" i="40" s="1"/>
  <c r="M37" i="40" s="1"/>
  <c r="N37" i="40" s="1"/>
  <c r="O37" i="40" s="1"/>
  <c r="P37" i="40" s="1"/>
  <c r="Q37" i="40" s="1"/>
  <c r="R37" i="40" s="1"/>
  <c r="S37" i="40" s="1"/>
  <c r="T37" i="40" s="1"/>
  <c r="U37" i="40" s="1"/>
  <c r="V37" i="40" s="1"/>
  <c r="W37" i="40" s="1"/>
  <c r="X37" i="40" s="1"/>
  <c r="Y37" i="40" s="1"/>
  <c r="Z37" i="40" s="1"/>
  <c r="N77" i="33"/>
  <c r="P76" i="33"/>
  <c r="G15" i="41" s="1"/>
  <c r="H15" i="41" s="1"/>
  <c r="I15" i="41" s="1"/>
  <c r="J15" i="41" s="1"/>
  <c r="K15" i="41" s="1"/>
  <c r="L15" i="41" s="1"/>
  <c r="M15" i="41" s="1"/>
  <c r="O15" i="41" s="1"/>
  <c r="P15" i="41" s="1"/>
  <c r="Q15" i="41" s="1"/>
  <c r="R15" i="41" s="1"/>
  <c r="S15" i="41" s="1"/>
  <c r="T15" i="41" s="1"/>
  <c r="U15" i="41" s="1"/>
  <c r="V15" i="41" s="1"/>
  <c r="W15" i="41" s="1"/>
  <c r="X15" i="41" s="1"/>
  <c r="Y15" i="41" s="1"/>
  <c r="Z15" i="41" s="1"/>
  <c r="O76" i="33"/>
  <c r="G14" i="40" s="1"/>
  <c r="H14" i="40" s="1"/>
  <c r="I14" i="40" s="1"/>
  <c r="J14" i="40" s="1"/>
  <c r="K14" i="40" s="1"/>
  <c r="L14" i="40" s="1"/>
  <c r="M14" i="40" s="1"/>
  <c r="N14" i="40" s="1"/>
  <c r="O14" i="40" s="1"/>
  <c r="P14" i="40" s="1"/>
  <c r="Q14" i="40" s="1"/>
  <c r="R14" i="40" s="1"/>
  <c r="S14" i="40" s="1"/>
  <c r="T14" i="40" s="1"/>
  <c r="U14" i="40" s="1"/>
  <c r="V14" i="40" s="1"/>
  <c r="W14" i="40" s="1"/>
  <c r="X14" i="40" s="1"/>
  <c r="Y14" i="40" s="1"/>
  <c r="Z14" i="40" s="1"/>
  <c r="D198" i="38"/>
  <c r="D204" i="38"/>
  <c r="D196" i="38"/>
  <c r="D194" i="38"/>
  <c r="D193" i="38"/>
  <c r="D192" i="38"/>
  <c r="D191" i="38"/>
  <c r="D190" i="38"/>
  <c r="D189" i="38"/>
  <c r="D188" i="38"/>
  <c r="D186" i="38"/>
  <c r="D185" i="38"/>
  <c r="F165" i="38"/>
  <c r="G165" i="38" s="1"/>
  <c r="H165" i="38" s="1"/>
  <c r="P67" i="33"/>
  <c r="O67" i="33"/>
  <c r="N67" i="33"/>
  <c r="G171" i="38" s="1"/>
  <c r="H171" i="38" s="1"/>
  <c r="I171" i="38" s="1"/>
  <c r="J171" i="38" s="1"/>
  <c r="K171" i="38" s="1"/>
  <c r="L171" i="38" s="1"/>
  <c r="M171" i="38" s="1"/>
  <c r="N171" i="38" s="1"/>
  <c r="O171" i="38" s="1"/>
  <c r="P171" i="38" s="1"/>
  <c r="Q171" i="38" s="1"/>
  <c r="R171" i="38" s="1"/>
  <c r="S171" i="38" s="1"/>
  <c r="T171" i="38" s="1"/>
  <c r="U171" i="38" s="1"/>
  <c r="V171" i="38" s="1"/>
  <c r="W171" i="38" s="1"/>
  <c r="X171" i="38" s="1"/>
  <c r="Y171" i="38" s="1"/>
  <c r="Z171" i="38" s="1"/>
  <c r="H119" i="33"/>
  <c r="G119" i="33"/>
  <c r="F119" i="33"/>
  <c r="H117" i="33"/>
  <c r="G117" i="33"/>
  <c r="F117" i="33"/>
  <c r="P115" i="33"/>
  <c r="O115" i="33"/>
  <c r="N115" i="33"/>
  <c r="P113" i="33"/>
  <c r="O113" i="33"/>
  <c r="N113" i="33"/>
  <c r="P111" i="33"/>
  <c r="O111" i="33"/>
  <c r="N111" i="33"/>
  <c r="P110" i="33"/>
  <c r="O110" i="33"/>
  <c r="N110" i="33"/>
  <c r="P109" i="33"/>
  <c r="O109" i="33"/>
  <c r="N109" i="33"/>
  <c r="P108" i="33"/>
  <c r="O108" i="33"/>
  <c r="N108" i="33"/>
  <c r="P107" i="33"/>
  <c r="O107" i="33"/>
  <c r="N107" i="33"/>
  <c r="P106" i="33"/>
  <c r="O106" i="33"/>
  <c r="N106" i="33"/>
  <c r="P105" i="33"/>
  <c r="O105" i="33"/>
  <c r="N105" i="33"/>
  <c r="P104" i="33"/>
  <c r="O104" i="33"/>
  <c r="N104" i="33"/>
  <c r="H25" i="39"/>
  <c r="G25" i="39"/>
  <c r="F25" i="39"/>
  <c r="H24" i="39"/>
  <c r="G24" i="39"/>
  <c r="F24" i="39"/>
  <c r="G189" i="33"/>
  <c r="F189" i="33"/>
  <c r="G202" i="33"/>
  <c r="F202" i="33"/>
  <c r="G195" i="33"/>
  <c r="F195" i="33"/>
  <c r="P92" i="33"/>
  <c r="O92" i="33"/>
  <c r="N92" i="33"/>
  <c r="P73" i="33"/>
  <c r="O73" i="33"/>
  <c r="N73" i="33"/>
  <c r="P72" i="33"/>
  <c r="O72" i="33"/>
  <c r="N72" i="33"/>
  <c r="P59" i="33"/>
  <c r="O59" i="33"/>
  <c r="N59" i="33"/>
  <c r="P134" i="33"/>
  <c r="O134" i="33"/>
  <c r="N134" i="33"/>
  <c r="G218" i="33"/>
  <c r="O28" i="33" s="1"/>
  <c r="F218" i="33"/>
  <c r="H216" i="33"/>
  <c r="G216" i="33"/>
  <c r="F216" i="33"/>
  <c r="G212" i="33"/>
  <c r="F212" i="33"/>
  <c r="F217" i="33" s="1"/>
  <c r="H208" i="33"/>
  <c r="G208" i="33"/>
  <c r="F208" i="33"/>
  <c r="O50" i="33"/>
  <c r="N50" i="33"/>
  <c r="H199" i="33"/>
  <c r="G199" i="33"/>
  <c r="F199" i="33"/>
  <c r="F186" i="33"/>
  <c r="G193" i="33"/>
  <c r="P20" i="33"/>
  <c r="O20" i="33"/>
  <c r="N20" i="33"/>
  <c r="P135" i="33"/>
  <c r="O135" i="33"/>
  <c r="N135" i="33"/>
  <c r="P74" i="33"/>
  <c r="G123" i="41" s="1"/>
  <c r="H123" i="41" s="1"/>
  <c r="I123" i="41" s="1"/>
  <c r="J123" i="41" s="1"/>
  <c r="K123" i="41" s="1"/>
  <c r="L123" i="41" s="1"/>
  <c r="M123" i="41" s="1"/>
  <c r="N123" i="41" s="1"/>
  <c r="O123" i="41" s="1"/>
  <c r="P123" i="41" s="1"/>
  <c r="Q123" i="41" s="1"/>
  <c r="R123" i="41" s="1"/>
  <c r="S123" i="41" s="1"/>
  <c r="T123" i="41" s="1"/>
  <c r="U123" i="41" s="1"/>
  <c r="V123" i="41" s="1"/>
  <c r="W123" i="41" s="1"/>
  <c r="X123" i="41" s="1"/>
  <c r="Y123" i="41" s="1"/>
  <c r="Z123" i="41" s="1"/>
  <c r="O74" i="33"/>
  <c r="G122" i="40" s="1"/>
  <c r="H122" i="40" s="1"/>
  <c r="I122" i="40" s="1"/>
  <c r="J122" i="40" s="1"/>
  <c r="K122" i="40" s="1"/>
  <c r="L122" i="40" s="1"/>
  <c r="M122" i="40" s="1"/>
  <c r="N122" i="40" s="1"/>
  <c r="O122" i="40" s="1"/>
  <c r="P122" i="40" s="1"/>
  <c r="Q122" i="40" s="1"/>
  <c r="R122" i="40" s="1"/>
  <c r="S122" i="40" s="1"/>
  <c r="T122" i="40" s="1"/>
  <c r="U122" i="40" s="1"/>
  <c r="V122" i="40" s="1"/>
  <c r="W122" i="40" s="1"/>
  <c r="X122" i="40" s="1"/>
  <c r="Y122" i="40" s="1"/>
  <c r="Z122" i="40" s="1"/>
  <c r="N74" i="33"/>
  <c r="P60" i="33"/>
  <c r="O60" i="33"/>
  <c r="N60" i="33"/>
  <c r="H175" i="33"/>
  <c r="G175" i="33"/>
  <c r="F175" i="33"/>
  <c r="H112" i="33"/>
  <c r="H114" i="33" s="1"/>
  <c r="H115" i="33" s="1"/>
  <c r="H106" i="33"/>
  <c r="G106" i="33"/>
  <c r="F106" i="33"/>
  <c r="H103" i="33"/>
  <c r="G103" i="33"/>
  <c r="F103" i="33"/>
  <c r="J2" i="32"/>
  <c r="J28" i="32" s="1"/>
  <c r="I2" i="32"/>
  <c r="I6" i="32" s="1"/>
  <c r="H2" i="32"/>
  <c r="H28" i="32" s="1"/>
  <c r="P138" i="33"/>
  <c r="O138" i="33"/>
  <c r="N138" i="33"/>
  <c r="P126" i="33"/>
  <c r="O126" i="33"/>
  <c r="N126" i="33"/>
  <c r="P52" i="33"/>
  <c r="O52" i="33"/>
  <c r="N52" i="33"/>
  <c r="H158" i="33"/>
  <c r="G158" i="33"/>
  <c r="F158" i="33"/>
  <c r="H140" i="33"/>
  <c r="G140" i="33"/>
  <c r="F140" i="33"/>
  <c r="H123" i="33"/>
  <c r="G123" i="33"/>
  <c r="F123" i="33"/>
  <c r="H60" i="33"/>
  <c r="G60" i="33"/>
  <c r="F60" i="33"/>
  <c r="H33" i="33"/>
  <c r="G33" i="33"/>
  <c r="F33" i="33"/>
  <c r="E22" i="33"/>
  <c r="P145" i="33"/>
  <c r="O145" i="33"/>
  <c r="N145" i="33"/>
  <c r="H170" i="33"/>
  <c r="G170" i="33"/>
  <c r="F170" i="33"/>
  <c r="H166" i="33"/>
  <c r="G166" i="33"/>
  <c r="F166" i="33"/>
  <c r="G154" i="33"/>
  <c r="O26" i="33" s="1"/>
  <c r="H152" i="33"/>
  <c r="G152" i="33"/>
  <c r="G148" i="33"/>
  <c r="H144" i="33"/>
  <c r="G144" i="33"/>
  <c r="H135" i="33"/>
  <c r="G135" i="33"/>
  <c r="P185" i="33"/>
  <c r="J21" i="32"/>
  <c r="G159" i="39" s="1"/>
  <c r="O185" i="33"/>
  <c r="I21" i="32" s="1"/>
  <c r="N185" i="33"/>
  <c r="H21" i="32" s="1"/>
  <c r="X56" i="32" s="1"/>
  <c r="H131" i="33"/>
  <c r="G131" i="33"/>
  <c r="F131" i="33"/>
  <c r="H96" i="33"/>
  <c r="H95" i="33" s="1"/>
  <c r="H94" i="48" s="1"/>
  <c r="G96" i="33"/>
  <c r="F96" i="33"/>
  <c r="F95" i="33" s="1"/>
  <c r="H94" i="33"/>
  <c r="G94" i="33"/>
  <c r="F94" i="33"/>
  <c r="P136" i="33"/>
  <c r="O136" i="33"/>
  <c r="N136" i="33"/>
  <c r="P133" i="33"/>
  <c r="O133" i="33"/>
  <c r="N133" i="33"/>
  <c r="P132" i="33"/>
  <c r="O132" i="33"/>
  <c r="N132" i="33"/>
  <c r="P131" i="33"/>
  <c r="O131" i="33"/>
  <c r="N131" i="33"/>
  <c r="P130" i="33"/>
  <c r="O130" i="33"/>
  <c r="N130" i="33"/>
  <c r="P129" i="33"/>
  <c r="O129" i="33"/>
  <c r="N129" i="33"/>
  <c r="P128" i="33"/>
  <c r="O128" i="33"/>
  <c r="N128" i="33"/>
  <c r="H74" i="33"/>
  <c r="H47" i="33"/>
  <c r="G74" i="33"/>
  <c r="G47" i="33" s="1"/>
  <c r="F74" i="33"/>
  <c r="F75" i="33" s="1"/>
  <c r="F65" i="48" s="1"/>
  <c r="H70" i="33"/>
  <c r="H43" i="33"/>
  <c r="G70" i="33"/>
  <c r="F70" i="33"/>
  <c r="F71" i="33" s="1"/>
  <c r="F64" i="48" s="1"/>
  <c r="P102" i="33"/>
  <c r="O102" i="33"/>
  <c r="N102" i="33"/>
  <c r="H66" i="33"/>
  <c r="H39" i="33" s="1"/>
  <c r="G66" i="33"/>
  <c r="G39" i="33" s="1"/>
  <c r="P101" i="33"/>
  <c r="O101" i="33"/>
  <c r="N101" i="33"/>
  <c r="P91" i="33"/>
  <c r="O91" i="33"/>
  <c r="N91" i="33"/>
  <c r="P90" i="33"/>
  <c r="O90" i="33"/>
  <c r="N90" i="33"/>
  <c r="P71" i="33"/>
  <c r="O71" i="33"/>
  <c r="N71" i="33"/>
  <c r="P70" i="33"/>
  <c r="O70" i="33"/>
  <c r="N70" i="33"/>
  <c r="P69" i="33"/>
  <c r="O69" i="33"/>
  <c r="N69" i="33"/>
  <c r="O68" i="33"/>
  <c r="P66" i="33"/>
  <c r="O66" i="33"/>
  <c r="N66" i="33"/>
  <c r="P65" i="33"/>
  <c r="O65" i="33"/>
  <c r="N65" i="33"/>
  <c r="P64" i="33"/>
  <c r="G37" i="41" s="1"/>
  <c r="H37" i="41" s="1"/>
  <c r="I37" i="41" s="1"/>
  <c r="J37" i="41" s="1"/>
  <c r="K37" i="41" s="1"/>
  <c r="L37" i="41" s="1"/>
  <c r="M37" i="41" s="1"/>
  <c r="N37" i="41" s="1"/>
  <c r="O37" i="41" s="1"/>
  <c r="P37" i="41" s="1"/>
  <c r="Q37" i="41" s="1"/>
  <c r="R37" i="41" s="1"/>
  <c r="S37" i="41" s="1"/>
  <c r="T37" i="41" s="1"/>
  <c r="U37" i="41" s="1"/>
  <c r="V37" i="41" s="1"/>
  <c r="W37" i="41" s="1"/>
  <c r="X37" i="41" s="1"/>
  <c r="Y37" i="41" s="1"/>
  <c r="Z37" i="41" s="1"/>
  <c r="O64" i="33"/>
  <c r="G36" i="40" s="1"/>
  <c r="H36" i="40" s="1"/>
  <c r="I36" i="40" s="1"/>
  <c r="J36" i="40" s="1"/>
  <c r="K36" i="40" s="1"/>
  <c r="L36" i="40" s="1"/>
  <c r="M36" i="40" s="1"/>
  <c r="N36" i="40" s="1"/>
  <c r="O36" i="40" s="1"/>
  <c r="P36" i="40" s="1"/>
  <c r="Q36" i="40" s="1"/>
  <c r="R36" i="40" s="1"/>
  <c r="S36" i="40" s="1"/>
  <c r="T36" i="40" s="1"/>
  <c r="U36" i="40" s="1"/>
  <c r="V36" i="40" s="1"/>
  <c r="W36" i="40" s="1"/>
  <c r="X36" i="40" s="1"/>
  <c r="Y36" i="40" s="1"/>
  <c r="Z36" i="40" s="1"/>
  <c r="N64" i="33"/>
  <c r="P63" i="33"/>
  <c r="G14" i="41" s="1"/>
  <c r="H14" i="41" s="1"/>
  <c r="I14" i="41" s="1"/>
  <c r="J14" i="41" s="1"/>
  <c r="K14" i="41" s="1"/>
  <c r="L14" i="41" s="1"/>
  <c r="M14" i="41" s="1"/>
  <c r="N14" i="41" s="1"/>
  <c r="O14" i="41" s="1"/>
  <c r="P14" i="41" s="1"/>
  <c r="Q14" i="41" s="1"/>
  <c r="R14" i="41" s="1"/>
  <c r="S14" i="41" s="1"/>
  <c r="T14" i="41" s="1"/>
  <c r="U14" i="41" s="1"/>
  <c r="V14" i="41" s="1"/>
  <c r="W14" i="41" s="1"/>
  <c r="X14" i="41" s="1"/>
  <c r="Y14" i="41" s="1"/>
  <c r="Z14" i="41" s="1"/>
  <c r="O63" i="33"/>
  <c r="G13" i="40" s="1"/>
  <c r="H13" i="40" s="1"/>
  <c r="I13" i="40" s="1"/>
  <c r="J13" i="40" s="1"/>
  <c r="K13" i="40" s="1"/>
  <c r="L13" i="40" s="1"/>
  <c r="M13" i="40" s="1"/>
  <c r="N13" i="40" s="1"/>
  <c r="O13" i="40" s="1"/>
  <c r="P13" i="40" s="1"/>
  <c r="Q13" i="40" s="1"/>
  <c r="R13" i="40" s="1"/>
  <c r="S13" i="40" s="1"/>
  <c r="T13" i="40" s="1"/>
  <c r="U13" i="40" s="1"/>
  <c r="V13" i="40" s="1"/>
  <c r="W13" i="40" s="1"/>
  <c r="X13" i="40" s="1"/>
  <c r="Y13" i="40" s="1"/>
  <c r="Z13" i="40" s="1"/>
  <c r="N63" i="33"/>
  <c r="P58" i="33"/>
  <c r="O58" i="33"/>
  <c r="N58" i="33"/>
  <c r="P57" i="33"/>
  <c r="O57" i="33"/>
  <c r="N57" i="33"/>
  <c r="P56" i="33"/>
  <c r="O56" i="33"/>
  <c r="N56" i="33"/>
  <c r="P55" i="33"/>
  <c r="O55" i="33"/>
  <c r="N55" i="33"/>
  <c r="P54" i="33"/>
  <c r="O54" i="33"/>
  <c r="N54" i="33"/>
  <c r="H29" i="33"/>
  <c r="G29" i="33"/>
  <c r="F29" i="33"/>
  <c r="F221" i="40"/>
  <c r="G63" i="33"/>
  <c r="G28" i="33"/>
  <c r="G12" i="32"/>
  <c r="G11" i="32"/>
  <c r="K25" i="43"/>
  <c r="G76" i="31"/>
  <c r="F76" i="28"/>
  <c r="G76" i="28" s="1"/>
  <c r="H76" i="28" s="1"/>
  <c r="I76" i="28" s="1"/>
  <c r="J76" i="28" s="1"/>
  <c r="K76" i="28" s="1"/>
  <c r="L76" i="28" s="1"/>
  <c r="M76" i="28" s="1"/>
  <c r="N76" i="28" s="1"/>
  <c r="F6" i="28"/>
  <c r="G6" i="28" s="1"/>
  <c r="H6" i="28" s="1"/>
  <c r="I6" i="28" s="1"/>
  <c r="J6" i="28" s="1"/>
  <c r="K6" i="28" s="1"/>
  <c r="L6" i="28" s="1"/>
  <c r="M6" i="28" s="1"/>
  <c r="N6" i="28" s="1"/>
  <c r="K26" i="43"/>
  <c r="AW11" i="43"/>
  <c r="AW12" i="43"/>
  <c r="AW13" i="43"/>
  <c r="AW14" i="43"/>
  <c r="AW15" i="43"/>
  <c r="AW26" i="43" s="1"/>
  <c r="AR11" i="43"/>
  <c r="AR13" i="43"/>
  <c r="AR14" i="43"/>
  <c r="AR24" i="43" s="1"/>
  <c r="AR15" i="43"/>
  <c r="AU11" i="43"/>
  <c r="AU12" i="43"/>
  <c r="AU13" i="43"/>
  <c r="AU14" i="43"/>
  <c r="AU15" i="43"/>
  <c r="D240" i="41"/>
  <c r="W53" i="32"/>
  <c r="F33" i="48"/>
  <c r="E33" i="48" s="1"/>
  <c r="N4" i="43"/>
  <c r="AT26" i="43"/>
  <c r="H160" i="33" s="1"/>
  <c r="AT24" i="43"/>
  <c r="O1" i="43"/>
  <c r="AM37" i="43"/>
  <c r="F69" i="48"/>
  <c r="AS26" i="43"/>
  <c r="H146" i="33" s="1"/>
  <c r="F47" i="33"/>
  <c r="F48" i="33" s="1"/>
  <c r="F72" i="48" s="1"/>
  <c r="H35" i="33"/>
  <c r="H63" i="33"/>
  <c r="N36" i="33"/>
  <c r="H14" i="31" s="1"/>
  <c r="H99" i="39" s="1"/>
  <c r="F62" i="48"/>
  <c r="H53" i="33"/>
  <c r="G370" i="38"/>
  <c r="H358" i="38"/>
  <c r="H370" i="38" s="1"/>
  <c r="AQ25" i="43"/>
  <c r="G125" i="33" s="1"/>
  <c r="G127" i="33" s="1"/>
  <c r="G217" i="33"/>
  <c r="F193" i="33"/>
  <c r="F234" i="41"/>
  <c r="G234" i="41" s="1"/>
  <c r="F224" i="41"/>
  <c r="G190" i="41"/>
  <c r="H190" i="41" s="1"/>
  <c r="F219" i="41"/>
  <c r="H6" i="45"/>
  <c r="J26" i="45"/>
  <c r="Z12" i="43"/>
  <c r="AV12" i="43"/>
  <c r="G226" i="40"/>
  <c r="G249" i="40" s="1"/>
  <c r="F249" i="40"/>
  <c r="G74" i="41"/>
  <c r="F7" i="48"/>
  <c r="J9" i="32"/>
  <c r="T59" i="48" s="1"/>
  <c r="G8" i="48"/>
  <c r="AV10" i="43"/>
  <c r="AB26" i="43"/>
  <c r="I9" i="32"/>
  <c r="F219" i="40" s="1"/>
  <c r="F263" i="40" s="1"/>
  <c r="AB1" i="43"/>
  <c r="AC1" i="43" s="1"/>
  <c r="AD1" i="43" s="1"/>
  <c r="AA4" i="43"/>
  <c r="AQ4" i="43" s="1"/>
  <c r="G7" i="48"/>
  <c r="Z9" i="43"/>
  <c r="AP9" i="43" s="1"/>
  <c r="AV9" i="43"/>
  <c r="Y7" i="43"/>
  <c r="AO7" i="43" s="1"/>
  <c r="T72" i="48"/>
  <c r="AF24" i="43"/>
  <c r="Z8" i="43"/>
  <c r="AP8" i="43" s="1"/>
  <c r="AV8" i="43"/>
  <c r="AV7" i="43"/>
  <c r="Z7" i="43"/>
  <c r="AP7" i="43" s="1"/>
  <c r="F152" i="33"/>
  <c r="AS24" i="43"/>
  <c r="AQ26" i="43"/>
  <c r="H125" i="33" s="1"/>
  <c r="H127" i="33" s="1"/>
  <c r="H136" i="33" s="1"/>
  <c r="AF26" i="43"/>
  <c r="G156" i="39"/>
  <c r="Z57" i="32"/>
  <c r="T24" i="32"/>
  <c r="H7" i="48"/>
  <c r="AG26" i="43"/>
  <c r="AQ24" i="43"/>
  <c r="F125" i="33" s="1"/>
  <c r="AF23" i="43"/>
  <c r="AP14" i="43"/>
  <c r="AV14" i="43"/>
  <c r="AV24" i="43" s="1"/>
  <c r="AF25" i="43"/>
  <c r="Y11" i="43"/>
  <c r="AO11" i="43" s="1"/>
  <c r="AV11" i="43"/>
  <c r="Z11" i="43"/>
  <c r="AP11" i="43" s="1"/>
  <c r="Y15" i="43"/>
  <c r="AO15" i="43" s="1"/>
  <c r="G171" i="39"/>
  <c r="G113" i="39"/>
  <c r="G142" i="39"/>
  <c r="Z15" i="43"/>
  <c r="AP15" i="43" s="1"/>
  <c r="Y9" i="43"/>
  <c r="Y8" i="43"/>
  <c r="AO8" i="43" s="1"/>
  <c r="Y13" i="43"/>
  <c r="AO13" i="43" s="1"/>
  <c r="Y12" i="43"/>
  <c r="AO12" i="43" s="1"/>
  <c r="G166" i="39"/>
  <c r="G137" i="39"/>
  <c r="G53" i="48"/>
  <c r="G139" i="39"/>
  <c r="AX4" i="31"/>
  <c r="AX23" i="31" s="1"/>
  <c r="AY3" i="31"/>
  <c r="AZ3" i="31" s="1"/>
  <c r="F135" i="33"/>
  <c r="AR26" i="43"/>
  <c r="AO44" i="43" s="1"/>
  <c r="H93" i="33" s="1"/>
  <c r="G219" i="33"/>
  <c r="H226" i="40"/>
  <c r="I226" i="40" s="1"/>
  <c r="I249" i="40" s="1"/>
  <c r="F19" i="48"/>
  <c r="H8" i="48" l="1"/>
  <c r="H28" i="33"/>
  <c r="F31" i="41" s="1"/>
  <c r="F32" i="41" s="1"/>
  <c r="V71" i="38"/>
  <c r="T71" i="38"/>
  <c r="P71" i="38"/>
  <c r="W71" i="38"/>
  <c r="Y71" i="38"/>
  <c r="N71" i="38"/>
  <c r="J71" i="38"/>
  <c r="M71" i="38"/>
  <c r="U71" i="38"/>
  <c r="S71" i="38"/>
  <c r="R71" i="38"/>
  <c r="X71" i="38"/>
  <c r="K71" i="38"/>
  <c r="F7" i="39" s="1"/>
  <c r="Q71" i="38"/>
  <c r="Z71" i="38"/>
  <c r="L71" i="38"/>
  <c r="O71" i="38"/>
  <c r="H331" i="40"/>
  <c r="I331" i="40" s="1"/>
  <c r="Z56" i="32"/>
  <c r="F7" i="28"/>
  <c r="G7" i="28" s="1"/>
  <c r="N114" i="41"/>
  <c r="V114" i="41"/>
  <c r="O114" i="41"/>
  <c r="W114" i="41"/>
  <c r="I114" i="41"/>
  <c r="Q114" i="41"/>
  <c r="Y114" i="41"/>
  <c r="J114" i="41"/>
  <c r="R114" i="41"/>
  <c r="Z114" i="41"/>
  <c r="X114" i="41"/>
  <c r="K114" i="41"/>
  <c r="S114" i="41"/>
  <c r="P114" i="41"/>
  <c r="L114" i="41"/>
  <c r="T114" i="41"/>
  <c r="M114" i="41"/>
  <c r="U114" i="41"/>
  <c r="J52" i="40"/>
  <c r="P36" i="33"/>
  <c r="J14" i="31" s="1"/>
  <c r="G303" i="40"/>
  <c r="H410" i="38"/>
  <c r="O130" i="38"/>
  <c r="N131" i="38"/>
  <c r="G75" i="41"/>
  <c r="H27" i="38"/>
  <c r="F27" i="38"/>
  <c r="R27" i="38"/>
  <c r="J27" i="38"/>
  <c r="G27" i="38"/>
  <c r="P27" i="38"/>
  <c r="T27" i="38"/>
  <c r="W27" i="38"/>
  <c r="O27" i="38"/>
  <c r="M27" i="38"/>
  <c r="L27" i="38"/>
  <c r="X27" i="38"/>
  <c r="S27" i="38"/>
  <c r="Z27" i="38"/>
  <c r="Y27" i="38"/>
  <c r="K27" i="38"/>
  <c r="F5" i="39" s="1"/>
  <c r="Q27" i="38"/>
  <c r="I27" i="38"/>
  <c r="V27" i="38"/>
  <c r="T23" i="32"/>
  <c r="T93" i="48" s="1"/>
  <c r="L83" i="38"/>
  <c r="Z83" i="38"/>
  <c r="J83" i="38"/>
  <c r="O83" i="38"/>
  <c r="V83" i="38"/>
  <c r="T83" i="38"/>
  <c r="R83" i="38"/>
  <c r="K83" i="38"/>
  <c r="X83" i="38"/>
  <c r="Q83" i="38"/>
  <c r="W83" i="38"/>
  <c r="S83" i="38"/>
  <c r="Y83" i="38"/>
  <c r="M83" i="38"/>
  <c r="N83" i="38"/>
  <c r="U83" i="38"/>
  <c r="P83" i="38"/>
  <c r="I83" i="38"/>
  <c r="AY4" i="31"/>
  <c r="AY23" i="31" s="1"/>
  <c r="AY48" i="31" s="1"/>
  <c r="F205" i="33"/>
  <c r="N30" i="33" s="1"/>
  <c r="F186" i="41"/>
  <c r="F230" i="41" s="1"/>
  <c r="AB4" i="43"/>
  <c r="AR4" i="43" s="1"/>
  <c r="G153" i="33"/>
  <c r="G155" i="33" s="1"/>
  <c r="T43" i="48"/>
  <c r="H55" i="39"/>
  <c r="H58" i="39" s="1"/>
  <c r="F43" i="33"/>
  <c r="R34" i="48"/>
  <c r="G39" i="39"/>
  <c r="G42" i="39" s="1"/>
  <c r="F160" i="33"/>
  <c r="F162" i="33" s="1"/>
  <c r="F171" i="33" s="1"/>
  <c r="G255" i="40"/>
  <c r="F255" i="40"/>
  <c r="G260" i="40"/>
  <c r="H343" i="40"/>
  <c r="F222" i="40"/>
  <c r="F266" i="40" s="1"/>
  <c r="G410" i="38"/>
  <c r="I358" i="38"/>
  <c r="H28" i="31"/>
  <c r="H19" i="45"/>
  <c r="J398" i="38"/>
  <c r="J6" i="45"/>
  <c r="J17" i="45"/>
  <c r="O3" i="31"/>
  <c r="P72" i="48"/>
  <c r="AA3" i="31"/>
  <c r="G9" i="32"/>
  <c r="AD4" i="43"/>
  <c r="AT4" i="43" s="1"/>
  <c r="Z10" i="43"/>
  <c r="Y10" i="43"/>
  <c r="AO10" i="43" s="1"/>
  <c r="AU26" i="43"/>
  <c r="H210" i="33" s="1"/>
  <c r="H218" i="33" s="1"/>
  <c r="E218" i="33" s="1"/>
  <c r="AU25" i="43"/>
  <c r="N10" i="43"/>
  <c r="AN15" i="43"/>
  <c r="AS23" i="43"/>
  <c r="G32" i="48"/>
  <c r="G34" i="48" s="1"/>
  <c r="AV26" i="43"/>
  <c r="AO51" i="43" s="1"/>
  <c r="H177" i="33" s="1"/>
  <c r="H55" i="48" s="1"/>
  <c r="G137" i="33"/>
  <c r="O24" i="33" s="1"/>
  <c r="H137" i="33"/>
  <c r="H138" i="33" s="1"/>
  <c r="F142" i="33"/>
  <c r="AL7" i="43"/>
  <c r="AE1" i="43"/>
  <c r="AE4" i="43" s="1"/>
  <c r="AU4" i="43" s="1"/>
  <c r="AH15" i="43"/>
  <c r="AS4" i="43"/>
  <c r="AH12" i="43"/>
  <c r="AL15" i="43"/>
  <c r="AH9" i="43"/>
  <c r="AH7" i="43"/>
  <c r="AH11" i="43"/>
  <c r="AN8" i="43"/>
  <c r="AT25" i="43"/>
  <c r="G160" i="33" s="1"/>
  <c r="G172" i="33" s="1"/>
  <c r="O27" i="33" s="1"/>
  <c r="O36" i="33"/>
  <c r="I14" i="31" s="1"/>
  <c r="H128" i="39" s="1"/>
  <c r="H51" i="48"/>
  <c r="E51" i="48" s="1"/>
  <c r="H148" i="33"/>
  <c r="H153" i="33" s="1"/>
  <c r="AN11" i="43"/>
  <c r="Y25" i="43"/>
  <c r="O34" i="33" s="1"/>
  <c r="I12" i="31" s="1"/>
  <c r="I35" i="31" s="1"/>
  <c r="AJ35" i="31" s="1"/>
  <c r="AJ44" i="31" s="1"/>
  <c r="AO9" i="43"/>
  <c r="AN9" i="43" s="1"/>
  <c r="AL11" i="43"/>
  <c r="AN7" i="43"/>
  <c r="AL9" i="43"/>
  <c r="J33" i="45"/>
  <c r="H15" i="45"/>
  <c r="I28" i="31" s="1"/>
  <c r="J13" i="45"/>
  <c r="AL8" i="43"/>
  <c r="R59" i="48"/>
  <c r="H32" i="48"/>
  <c r="H34" i="48" s="1"/>
  <c r="H154" i="33"/>
  <c r="P26" i="33" s="1"/>
  <c r="AE56" i="32"/>
  <c r="G36" i="33"/>
  <c r="F75" i="41"/>
  <c r="F76" i="41" s="1"/>
  <c r="G136" i="33"/>
  <c r="H104" i="33"/>
  <c r="G205" i="33"/>
  <c r="O30" i="33" s="1"/>
  <c r="F219" i="33"/>
  <c r="H37" i="33"/>
  <c r="AW4" i="31"/>
  <c r="AW23" i="31" s="1"/>
  <c r="AW27" i="31" s="1"/>
  <c r="M13" i="43"/>
  <c r="Z33" i="31"/>
  <c r="AV48" i="31"/>
  <c r="F28" i="33"/>
  <c r="F9" i="48" s="1"/>
  <c r="F8" i="48"/>
  <c r="M12" i="43"/>
  <c r="AU27" i="31"/>
  <c r="AU33" i="31"/>
  <c r="G29" i="31"/>
  <c r="Z6" i="43"/>
  <c r="AP6" i="43" s="1"/>
  <c r="Y6" i="43"/>
  <c r="M6" i="43" s="1"/>
  <c r="AO42" i="43"/>
  <c r="F44" i="33"/>
  <c r="F71" i="48" s="1"/>
  <c r="F52" i="33"/>
  <c r="F73" i="48" s="1"/>
  <c r="H36" i="33"/>
  <c r="H41" i="33"/>
  <c r="H40" i="33" s="1"/>
  <c r="G40" i="33"/>
  <c r="H45" i="33"/>
  <c r="H44" i="33" s="1"/>
  <c r="H49" i="33"/>
  <c r="H48" i="33" s="1"/>
  <c r="G48" i="33"/>
  <c r="H67" i="33"/>
  <c r="G67" i="33"/>
  <c r="H72" i="33"/>
  <c r="H71" i="33" s="1"/>
  <c r="G71" i="33"/>
  <c r="H76" i="33"/>
  <c r="H75" i="33" s="1"/>
  <c r="G75" i="33"/>
  <c r="AW37" i="43"/>
  <c r="H50" i="33" s="1"/>
  <c r="H26" i="48" s="1"/>
  <c r="AW36" i="43"/>
  <c r="AW34" i="43"/>
  <c r="AU23" i="43"/>
  <c r="AU24" i="43"/>
  <c r="AR25" i="43"/>
  <c r="AO43" i="43" s="1"/>
  <c r="G93" i="33" s="1"/>
  <c r="G46" i="48" s="1"/>
  <c r="AW24" i="43"/>
  <c r="AQ49" i="43" s="1"/>
  <c r="G95" i="33"/>
  <c r="G94" i="48" s="1"/>
  <c r="G104" i="33"/>
  <c r="G107" i="33"/>
  <c r="H107" i="33"/>
  <c r="E115" i="33"/>
  <c r="J8" i="45"/>
  <c r="D126" i="28" s="1"/>
  <c r="J14" i="45"/>
  <c r="J12" i="45"/>
  <c r="N14" i="43"/>
  <c r="AS25" i="43"/>
  <c r="F155" i="38"/>
  <c r="F174" i="38"/>
  <c r="AM36" i="43"/>
  <c r="AM34" i="43"/>
  <c r="Y14" i="43"/>
  <c r="AU48" i="31"/>
  <c r="AU66" i="31"/>
  <c r="AU73" i="31"/>
  <c r="AV78" i="31"/>
  <c r="Z48" i="31"/>
  <c r="AV27" i="31"/>
  <c r="AV33" i="31"/>
  <c r="Z66" i="31"/>
  <c r="AV73" i="31"/>
  <c r="Z78" i="31"/>
  <c r="Z73" i="31"/>
  <c r="G101" i="39"/>
  <c r="G21" i="32"/>
  <c r="K128" i="28" s="1"/>
  <c r="F253" i="41"/>
  <c r="F293" i="41" s="1"/>
  <c r="R23" i="32"/>
  <c r="G293" i="38"/>
  <c r="F141" i="40"/>
  <c r="F149" i="40" s="1"/>
  <c r="F322" i="38"/>
  <c r="I27" i="31"/>
  <c r="Y56" i="32"/>
  <c r="W56" i="32" s="1"/>
  <c r="I78" i="31"/>
  <c r="F327" i="38"/>
  <c r="G139" i="40"/>
  <c r="G155" i="40" s="1"/>
  <c r="F117" i="41"/>
  <c r="F120" i="41" s="1"/>
  <c r="I66" i="31"/>
  <c r="I73" i="31"/>
  <c r="F289" i="38"/>
  <c r="F333" i="38" s="1"/>
  <c r="R72" i="48"/>
  <c r="F288" i="38"/>
  <c r="S23" i="32"/>
  <c r="R93" i="48" s="1"/>
  <c r="L6" i="31"/>
  <c r="F183" i="41"/>
  <c r="F227" i="41" s="1"/>
  <c r="I33" i="31"/>
  <c r="F185" i="41"/>
  <c r="G180" i="41"/>
  <c r="H180" i="41" s="1"/>
  <c r="I180" i="41" s="1"/>
  <c r="I182" i="41" s="1"/>
  <c r="I226" i="41" s="1"/>
  <c r="F289" i="40"/>
  <c r="G31" i="41"/>
  <c r="G32" i="41" s="1"/>
  <c r="H33" i="31"/>
  <c r="G115" i="39"/>
  <c r="L5" i="31"/>
  <c r="G144" i="39"/>
  <c r="H78" i="31"/>
  <c r="Y57" i="32"/>
  <c r="I217" i="40"/>
  <c r="I261" i="40" s="1"/>
  <c r="J216" i="40"/>
  <c r="I219" i="40"/>
  <c r="I263" i="40" s="1"/>
  <c r="I218" i="40"/>
  <c r="I262" i="40" s="1"/>
  <c r="I222" i="40"/>
  <c r="I266" i="40" s="1"/>
  <c r="I220" i="40"/>
  <c r="I264" i="40" s="1"/>
  <c r="I221" i="40"/>
  <c r="J226" i="40"/>
  <c r="K226" i="40" s="1"/>
  <c r="K255" i="40" s="1"/>
  <c r="F189" i="40"/>
  <c r="F141" i="38"/>
  <c r="F149" i="38" s="1"/>
  <c r="F1" i="40"/>
  <c r="G1" i="40" s="1"/>
  <c r="G130" i="39"/>
  <c r="F211" i="38"/>
  <c r="F213" i="38" s="1"/>
  <c r="F215" i="38" s="1"/>
  <c r="F216" i="38" s="1"/>
  <c r="F256" i="38"/>
  <c r="F264" i="38" s="1"/>
  <c r="G138" i="39"/>
  <c r="I16" i="32"/>
  <c r="G139" i="38"/>
  <c r="G155" i="38" s="1"/>
  <c r="N15" i="43"/>
  <c r="G109" i="39"/>
  <c r="F155" i="40"/>
  <c r="S28" i="32"/>
  <c r="I255" i="40"/>
  <c r="I28" i="32"/>
  <c r="I260" i="40"/>
  <c r="I38" i="32"/>
  <c r="G110" i="39"/>
  <c r="H270" i="40"/>
  <c r="S16" i="32"/>
  <c r="H81" i="48"/>
  <c r="H249" i="40"/>
  <c r="L7" i="31"/>
  <c r="H255" i="40"/>
  <c r="H260" i="40"/>
  <c r="H53" i="48"/>
  <c r="D46" i="48"/>
  <c r="F170" i="38"/>
  <c r="F172" i="38" s="1"/>
  <c r="H234" i="41"/>
  <c r="H253" i="41" s="1"/>
  <c r="H293" i="41" s="1"/>
  <c r="G253" i="41"/>
  <c r="G293" i="41" s="1"/>
  <c r="H6" i="40"/>
  <c r="I6" i="40" s="1"/>
  <c r="G5" i="40"/>
  <c r="S24" i="32"/>
  <c r="H30" i="40"/>
  <c r="F5" i="40"/>
  <c r="F156" i="41"/>
  <c r="H139" i="40"/>
  <c r="H74" i="41"/>
  <c r="G112" i="39"/>
  <c r="G96" i="41"/>
  <c r="G19" i="32"/>
  <c r="F142" i="41"/>
  <c r="F150" i="41" s="1"/>
  <c r="G140" i="41"/>
  <c r="H38" i="32"/>
  <c r="F2" i="41"/>
  <c r="G7" i="41"/>
  <c r="G8" i="41" s="1"/>
  <c r="F3" i="41"/>
  <c r="F6" i="41"/>
  <c r="I115" i="40"/>
  <c r="J115" i="40" s="1"/>
  <c r="K115" i="40" s="1"/>
  <c r="H116" i="40"/>
  <c r="F8" i="41"/>
  <c r="F9" i="41" s="1"/>
  <c r="I289" i="38"/>
  <c r="I333" i="38" s="1"/>
  <c r="D332" i="38" s="1"/>
  <c r="I284" i="38"/>
  <c r="I328" i="38" s="1"/>
  <c r="I288" i="38"/>
  <c r="J283" i="38"/>
  <c r="I285" i="38"/>
  <c r="I329" i="38" s="1"/>
  <c r="I287" i="38"/>
  <c r="I331" i="38" s="1"/>
  <c r="I286" i="38"/>
  <c r="I330" i="38" s="1"/>
  <c r="L29" i="40"/>
  <c r="K30" i="40"/>
  <c r="I165" i="38"/>
  <c r="J165" i="38" s="1"/>
  <c r="H166" i="38"/>
  <c r="J33" i="31"/>
  <c r="J48" i="31"/>
  <c r="J73" i="31"/>
  <c r="J27" i="31"/>
  <c r="J78" i="31"/>
  <c r="J66" i="31"/>
  <c r="I190" i="41"/>
  <c r="I213" i="41" s="1"/>
  <c r="H219" i="41"/>
  <c r="H224" i="41"/>
  <c r="H213" i="41"/>
  <c r="H53" i="41"/>
  <c r="G54" i="41"/>
  <c r="T94" i="48"/>
  <c r="AE57" i="32"/>
  <c r="G233" i="38"/>
  <c r="F234" i="38"/>
  <c r="F235" i="38" s="1"/>
  <c r="H66" i="31"/>
  <c r="H27" i="31"/>
  <c r="H48" i="31"/>
  <c r="AD56" i="32"/>
  <c r="H5" i="40"/>
  <c r="H116" i="41"/>
  <c r="I116" i="41" s="1"/>
  <c r="J116" i="41" s="1"/>
  <c r="G117" i="41"/>
  <c r="J166" i="40"/>
  <c r="I167" i="40"/>
  <c r="H99" i="33"/>
  <c r="P25" i="33" s="1"/>
  <c r="H47" i="48"/>
  <c r="H48" i="48" s="1"/>
  <c r="H98" i="33"/>
  <c r="H100" i="33"/>
  <c r="P48" i="33" s="1"/>
  <c r="H108" i="33"/>
  <c r="G224" i="41"/>
  <c r="G213" i="41"/>
  <c r="G219" i="41"/>
  <c r="L73" i="40"/>
  <c r="M73" i="40" s="1"/>
  <c r="N73" i="40" s="1"/>
  <c r="O73" i="40" s="1"/>
  <c r="K74" i="40"/>
  <c r="K52" i="40"/>
  <c r="L52" i="40" s="1"/>
  <c r="L53" i="40" s="1"/>
  <c r="G140" i="39"/>
  <c r="G111" i="39"/>
  <c r="G169" i="39"/>
  <c r="AQ51" i="43"/>
  <c r="H191" i="33" s="1"/>
  <c r="H193" i="33" s="1"/>
  <c r="H205" i="33" s="1"/>
  <c r="R28" i="32"/>
  <c r="H16" i="32"/>
  <c r="H6" i="32"/>
  <c r="R16" i="32"/>
  <c r="AO49" i="43"/>
  <c r="F177" i="33" s="1"/>
  <c r="N49" i="33" s="1"/>
  <c r="AJ27" i="31"/>
  <c r="AJ48" i="31"/>
  <c r="AJ66" i="31"/>
  <c r="AJ73" i="31"/>
  <c r="AJ33" i="31"/>
  <c r="M27" i="31"/>
  <c r="M48" i="31"/>
  <c r="M78" i="31"/>
  <c r="M33" i="31"/>
  <c r="M66" i="31"/>
  <c r="N7" i="43"/>
  <c r="M7" i="43"/>
  <c r="N11" i="43"/>
  <c r="H37" i="31"/>
  <c r="AA37" i="31" s="1"/>
  <c r="AA44" i="31" s="1"/>
  <c r="M9" i="43"/>
  <c r="N9" i="43"/>
  <c r="N8" i="43"/>
  <c r="M11" i="43"/>
  <c r="M8" i="43"/>
  <c r="J37" i="31"/>
  <c r="AW37" i="31" s="1"/>
  <c r="AW44" i="31" s="1"/>
  <c r="AW14" i="31"/>
  <c r="AX73" i="31"/>
  <c r="AX78" i="31"/>
  <c r="AX66" i="31"/>
  <c r="AX27" i="31"/>
  <c r="AX33" i="31"/>
  <c r="AX48" i="31"/>
  <c r="N73" i="31"/>
  <c r="N33" i="31"/>
  <c r="N48" i="31"/>
  <c r="N27" i="31"/>
  <c r="N66" i="31"/>
  <c r="N78" i="31"/>
  <c r="Y78" i="31"/>
  <c r="Y66" i="31"/>
  <c r="Y48" i="31"/>
  <c r="Y73" i="31"/>
  <c r="Y33" i="31"/>
  <c r="Y27" i="31"/>
  <c r="H157" i="39"/>
  <c r="AA14" i="31"/>
  <c r="BA3" i="31"/>
  <c r="AZ4" i="31"/>
  <c r="AZ23" i="31" s="1"/>
  <c r="K31" i="41"/>
  <c r="M30" i="41"/>
  <c r="L31" i="41"/>
  <c r="P1" i="43"/>
  <c r="O2" i="43"/>
  <c r="O4" i="43"/>
  <c r="AO25" i="43"/>
  <c r="P24" i="33"/>
  <c r="AH8" i="43"/>
  <c r="F36" i="48"/>
  <c r="Z26" i="43"/>
  <c r="P35" i="33" s="1"/>
  <c r="J13" i="31" s="1"/>
  <c r="F329" i="40"/>
  <c r="H162" i="33"/>
  <c r="H171" i="33" s="1"/>
  <c r="H172" i="33"/>
  <c r="P27" i="33" s="1"/>
  <c r="J95" i="41"/>
  <c r="H39" i="48"/>
  <c r="H212" i="33"/>
  <c r="H217" i="33" s="1"/>
  <c r="AP12" i="43"/>
  <c r="N12" i="43"/>
  <c r="Z24" i="43"/>
  <c r="N35" i="33" s="1"/>
  <c r="H36" i="48"/>
  <c r="H37" i="48" s="1"/>
  <c r="AR23" i="43"/>
  <c r="F2" i="42"/>
  <c r="H30" i="33"/>
  <c r="G30" i="33"/>
  <c r="F317" i="40" s="1"/>
  <c r="F30" i="33"/>
  <c r="E14" i="46"/>
  <c r="AW23" i="43"/>
  <c r="AW25" i="43"/>
  <c r="AQ50" i="43" s="1"/>
  <c r="F95" i="40"/>
  <c r="F96" i="40" s="1"/>
  <c r="H74" i="40"/>
  <c r="I74" i="40"/>
  <c r="F74" i="40"/>
  <c r="F75" i="40" s="1"/>
  <c r="G95" i="40"/>
  <c r="F2" i="40"/>
  <c r="G53" i="40"/>
  <c r="G9" i="48"/>
  <c r="H95" i="40"/>
  <c r="L95" i="40"/>
  <c r="K95" i="40"/>
  <c r="J74" i="40"/>
  <c r="H53" i="40"/>
  <c r="G167" i="40"/>
  <c r="F30" i="40"/>
  <c r="F31" i="40" s="1"/>
  <c r="F167" i="40"/>
  <c r="F168" i="40" s="1"/>
  <c r="H167" i="40"/>
  <c r="G116" i="40"/>
  <c r="F53" i="40"/>
  <c r="F54" i="40" s="1"/>
  <c r="M95" i="40"/>
  <c r="G74" i="40"/>
  <c r="F7" i="40"/>
  <c r="F8" i="40" s="1"/>
  <c r="G7" i="40"/>
  <c r="N95" i="40"/>
  <c r="H96" i="41"/>
  <c r="F39" i="33"/>
  <c r="P94" i="40"/>
  <c r="O95" i="40"/>
  <c r="G43" i="33"/>
  <c r="G44" i="33" s="1"/>
  <c r="F107" i="33"/>
  <c r="F104" i="33"/>
  <c r="T28" i="32"/>
  <c r="T16" i="32"/>
  <c r="J38" i="32"/>
  <c r="J6" i="32"/>
  <c r="J16" i="32"/>
  <c r="H9" i="48"/>
  <c r="F97" i="41"/>
  <c r="H31" i="41"/>
  <c r="F54" i="41"/>
  <c r="F55" i="41" s="1"/>
  <c r="G30" i="40"/>
  <c r="F116" i="40"/>
  <c r="F119" i="40" s="1"/>
  <c r="F356" i="38"/>
  <c r="G337" i="38"/>
  <c r="AT23" i="43"/>
  <c r="H255" i="41"/>
  <c r="G267" i="41"/>
  <c r="H7" i="45"/>
  <c r="I7" i="45"/>
  <c r="G7" i="45"/>
  <c r="K24" i="43"/>
  <c r="AL3" i="31"/>
  <c r="AK4" i="31"/>
  <c r="AK23" i="31" s="1"/>
  <c r="I291" i="40"/>
  <c r="H303" i="40"/>
  <c r="AQ23" i="43"/>
  <c r="R24" i="33" s="1"/>
  <c r="Q37" i="33"/>
  <c r="Z13" i="43"/>
  <c r="K23" i="43"/>
  <c r="G19" i="45"/>
  <c r="I15" i="45"/>
  <c r="J28" i="31" s="1"/>
  <c r="H295" i="41"/>
  <c r="AY66" i="31" l="1"/>
  <c r="AY27" i="31"/>
  <c r="AY73" i="31"/>
  <c r="AY78" i="31"/>
  <c r="AY33" i="31"/>
  <c r="F154" i="33"/>
  <c r="F144" i="33"/>
  <c r="F153" i="33" s="1"/>
  <c r="H7" i="28"/>
  <c r="I7" i="28" s="1"/>
  <c r="J7" i="28" s="1"/>
  <c r="K7" i="28" s="1"/>
  <c r="L7" i="28" s="1"/>
  <c r="M7" i="28" s="1"/>
  <c r="N7" i="28" s="1"/>
  <c r="F127" i="28"/>
  <c r="I53" i="40"/>
  <c r="J331" i="40"/>
  <c r="I343" i="40"/>
  <c r="P130" i="38"/>
  <c r="O131" i="38"/>
  <c r="H7" i="41"/>
  <c r="G6" i="41"/>
  <c r="F103" i="41"/>
  <c r="L102" i="38"/>
  <c r="L105" i="38" s="1"/>
  <c r="L111" i="38" s="1"/>
  <c r="P102" i="38"/>
  <c r="P105" i="38" s="1"/>
  <c r="P111" i="38" s="1"/>
  <c r="T102" i="38"/>
  <c r="T105" i="38" s="1"/>
  <c r="T111" i="38" s="1"/>
  <c r="X102" i="38"/>
  <c r="X105" i="38" s="1"/>
  <c r="X111" i="38" s="1"/>
  <c r="M102" i="38"/>
  <c r="M105" i="38" s="1"/>
  <c r="M111" i="38" s="1"/>
  <c r="Q102" i="38"/>
  <c r="Q105" i="38" s="1"/>
  <c r="Q111" i="38" s="1"/>
  <c r="U102" i="38"/>
  <c r="U105" i="38" s="1"/>
  <c r="U111" i="38" s="1"/>
  <c r="Y102" i="38"/>
  <c r="Y105" i="38" s="1"/>
  <c r="Y111" i="38" s="1"/>
  <c r="W102" i="38"/>
  <c r="W105" i="38" s="1"/>
  <c r="W111" i="38" s="1"/>
  <c r="I102" i="38"/>
  <c r="I105" i="38" s="1"/>
  <c r="I111" i="38" s="1"/>
  <c r="J102" i="38"/>
  <c r="J105" i="38" s="1"/>
  <c r="J111" i="38" s="1"/>
  <c r="N102" i="38"/>
  <c r="N105" i="38" s="1"/>
  <c r="N111" i="38" s="1"/>
  <c r="R102" i="38"/>
  <c r="R105" i="38" s="1"/>
  <c r="R111" i="38" s="1"/>
  <c r="V102" i="38"/>
  <c r="V105" i="38" s="1"/>
  <c r="V111" i="38" s="1"/>
  <c r="Z102" i="38"/>
  <c r="Z105" i="38" s="1"/>
  <c r="Z111" i="38" s="1"/>
  <c r="K102" i="38"/>
  <c r="K105" i="38" s="1"/>
  <c r="K111" i="38" s="1"/>
  <c r="O102" i="38"/>
  <c r="O105" i="38" s="1"/>
  <c r="O111" i="38" s="1"/>
  <c r="S102" i="38"/>
  <c r="S105" i="38" s="1"/>
  <c r="S111" i="38" s="1"/>
  <c r="F172" i="33"/>
  <c r="N27" i="33" s="1"/>
  <c r="F87" i="41"/>
  <c r="G2" i="40"/>
  <c r="J358" i="38"/>
  <c r="I370" i="38"/>
  <c r="I19" i="45"/>
  <c r="J19" i="45" s="1"/>
  <c r="J410" i="38"/>
  <c r="K398" i="38"/>
  <c r="G72" i="39"/>
  <c r="O4" i="31"/>
  <c r="O23" i="31" s="1"/>
  <c r="P3" i="31"/>
  <c r="AB3" i="31"/>
  <c r="AA4" i="31"/>
  <c r="AA23" i="31" s="1"/>
  <c r="E153" i="33"/>
  <c r="F93" i="33"/>
  <c r="F100" i="33" s="1"/>
  <c r="N48" i="33" s="1"/>
  <c r="M10" i="43"/>
  <c r="Y26" i="43"/>
  <c r="P34" i="33" s="1"/>
  <c r="AF1" i="43"/>
  <c r="AG1" i="43" s="1"/>
  <c r="AG4" i="43" s="1"/>
  <c r="P28" i="33"/>
  <c r="M28" i="33" s="1"/>
  <c r="AH10" i="43"/>
  <c r="AP10" i="43"/>
  <c r="I95" i="40"/>
  <c r="J95" i="40"/>
  <c r="G162" i="33"/>
  <c r="G171" i="33" s="1"/>
  <c r="G173" i="33" s="1"/>
  <c r="F50" i="48"/>
  <c r="E50" i="48" s="1"/>
  <c r="N6" i="43"/>
  <c r="N26" i="43" s="1"/>
  <c r="G76" i="41"/>
  <c r="G87" i="41" s="1"/>
  <c r="J53" i="40"/>
  <c r="G138" i="33"/>
  <c r="G108" i="33"/>
  <c r="H155" i="33"/>
  <c r="G36" i="48"/>
  <c r="G37" i="48" s="1"/>
  <c r="H126" i="39"/>
  <c r="I37" i="31"/>
  <c r="AL37" i="31" s="1"/>
  <c r="AL44" i="31" s="1"/>
  <c r="G14" i="31"/>
  <c r="O14" i="31" s="1"/>
  <c r="M36" i="33"/>
  <c r="AL14" i="31"/>
  <c r="AP26" i="43"/>
  <c r="F99" i="33"/>
  <c r="N25" i="33" s="1"/>
  <c r="G99" i="33"/>
  <c r="O25" i="33" s="1"/>
  <c r="G100" i="33"/>
  <c r="O48" i="33" s="1"/>
  <c r="AO45" i="43"/>
  <c r="G98" i="33"/>
  <c r="F45" i="48"/>
  <c r="E45" i="48" s="1"/>
  <c r="AJ12" i="31"/>
  <c r="G120" i="41"/>
  <c r="H182" i="33"/>
  <c r="H179" i="33"/>
  <c r="H204" i="33" s="1"/>
  <c r="J117" i="41" s="1"/>
  <c r="P49" i="33"/>
  <c r="AW33" i="31"/>
  <c r="AW78" i="31"/>
  <c r="AW66" i="31"/>
  <c r="AW48" i="31"/>
  <c r="AW73" i="31"/>
  <c r="N26" i="33"/>
  <c r="M26" i="33" s="1"/>
  <c r="E154" i="33"/>
  <c r="G3" i="41"/>
  <c r="H3" i="41" s="1"/>
  <c r="D124" i="28"/>
  <c r="D131" i="28" s="1"/>
  <c r="F166" i="38"/>
  <c r="F167" i="38" s="1"/>
  <c r="G166" i="38"/>
  <c r="F32" i="48"/>
  <c r="E32" i="48" s="1"/>
  <c r="E34" i="48" s="1"/>
  <c r="F127" i="33"/>
  <c r="F136" i="33" s="1"/>
  <c r="F137" i="33"/>
  <c r="AO6" i="43"/>
  <c r="AH6" i="43"/>
  <c r="F40" i="33"/>
  <c r="F70" i="48" s="1"/>
  <c r="I24" i="31"/>
  <c r="H173" i="33"/>
  <c r="F175" i="38"/>
  <c r="Q23" i="32"/>
  <c r="M128" i="28" s="1"/>
  <c r="AO14" i="43"/>
  <c r="M14" i="43"/>
  <c r="Y24" i="43"/>
  <c r="Y23" i="43"/>
  <c r="F37" i="43" s="1"/>
  <c r="AH14" i="43"/>
  <c r="I184" i="41"/>
  <c r="I228" i="41" s="1"/>
  <c r="I183" i="41"/>
  <c r="I227" i="41" s="1"/>
  <c r="I185" i="41"/>
  <c r="I186" i="41"/>
  <c r="I230" i="41" s="1"/>
  <c r="H1" i="40"/>
  <c r="I181" i="41"/>
  <c r="I225" i="41" s="1"/>
  <c r="J180" i="41"/>
  <c r="J186" i="41" s="1"/>
  <c r="J230" i="41" s="1"/>
  <c r="H7" i="40"/>
  <c r="K249" i="40"/>
  <c r="G256" i="38"/>
  <c r="G264" i="38" s="1"/>
  <c r="H2" i="40"/>
  <c r="I2" i="40" s="1"/>
  <c r="G322" i="38"/>
  <c r="G327" i="38"/>
  <c r="G316" i="38"/>
  <c r="H293" i="38"/>
  <c r="G2" i="41"/>
  <c r="G58" i="41" s="1"/>
  <c r="G189" i="40"/>
  <c r="G197" i="40" s="1"/>
  <c r="AC56" i="32"/>
  <c r="AB56" i="32" s="1"/>
  <c r="P93" i="48"/>
  <c r="H139" i="38"/>
  <c r="H211" i="38" s="1"/>
  <c r="H219" i="38" s="1"/>
  <c r="G141" i="40"/>
  <c r="G149" i="40" s="1"/>
  <c r="G211" i="38"/>
  <c r="G219" i="38" s="1"/>
  <c r="G141" i="38"/>
  <c r="G149" i="38" s="1"/>
  <c r="H56" i="48"/>
  <c r="E56" i="48" s="1"/>
  <c r="H195" i="33"/>
  <c r="F258" i="38"/>
  <c r="F260" i="38" s="1"/>
  <c r="F261" i="38" s="1"/>
  <c r="I166" i="38"/>
  <c r="P50" i="33"/>
  <c r="M50" i="33" s="1"/>
  <c r="K53" i="40"/>
  <c r="E47" i="48"/>
  <c r="J249" i="40"/>
  <c r="K260" i="40"/>
  <c r="J217" i="40"/>
  <c r="J261" i="40" s="1"/>
  <c r="J220" i="40"/>
  <c r="J264" i="40" s="1"/>
  <c r="J222" i="40"/>
  <c r="J266" i="40" s="1"/>
  <c r="K216" i="40"/>
  <c r="J218" i="40"/>
  <c r="J262" i="40" s="1"/>
  <c r="J221" i="40"/>
  <c r="J219" i="40"/>
  <c r="J263" i="40" s="1"/>
  <c r="N74" i="40"/>
  <c r="J255" i="40"/>
  <c r="L226" i="40"/>
  <c r="M226" i="40" s="1"/>
  <c r="M255" i="40" s="1"/>
  <c r="G210" i="38"/>
  <c r="J260" i="40"/>
  <c r="M74" i="40"/>
  <c r="L74" i="40"/>
  <c r="F191" i="40"/>
  <c r="F197" i="40"/>
  <c r="F219" i="38"/>
  <c r="I234" i="41"/>
  <c r="J234" i="41" s="1"/>
  <c r="I270" i="40"/>
  <c r="H289" i="40"/>
  <c r="H329" i="40" s="1"/>
  <c r="H117" i="41"/>
  <c r="H32" i="41"/>
  <c r="G99" i="40"/>
  <c r="H99" i="40" s="1"/>
  <c r="G78" i="40"/>
  <c r="H78" i="40" s="1"/>
  <c r="G171" i="40"/>
  <c r="H171" i="40" s="1"/>
  <c r="G57" i="40"/>
  <c r="H57" i="40" s="1"/>
  <c r="I224" i="41"/>
  <c r="G142" i="41"/>
  <c r="G150" i="41" s="1"/>
  <c r="G156" i="41"/>
  <c r="H140" i="41"/>
  <c r="M52" i="40"/>
  <c r="M53" i="40" s="1"/>
  <c r="H101" i="33"/>
  <c r="H141" i="40"/>
  <c r="H149" i="40" s="1"/>
  <c r="H155" i="40"/>
  <c r="H189" i="40"/>
  <c r="H197" i="40" s="1"/>
  <c r="I139" i="40"/>
  <c r="J139" i="40" s="1"/>
  <c r="J157" i="40" s="1"/>
  <c r="H75" i="41"/>
  <c r="I74" i="41"/>
  <c r="R94" i="48"/>
  <c r="AD57" i="32"/>
  <c r="K116" i="41"/>
  <c r="I53" i="41"/>
  <c r="H54" i="41"/>
  <c r="F182" i="33"/>
  <c r="F203" i="33" s="1"/>
  <c r="F55" i="48"/>
  <c r="F57" i="48" s="1"/>
  <c r="F179" i="33"/>
  <c r="F204" i="33" s="1"/>
  <c r="F246" i="38"/>
  <c r="AQ52" i="43"/>
  <c r="J6" i="40"/>
  <c r="I5" i="40"/>
  <c r="I1" i="40"/>
  <c r="G234" i="38"/>
  <c r="G235" i="38" s="1"/>
  <c r="H233" i="38"/>
  <c r="K165" i="38"/>
  <c r="J166" i="38"/>
  <c r="J288" i="38"/>
  <c r="J289" i="38"/>
  <c r="J333" i="38" s="1"/>
  <c r="J287" i="38"/>
  <c r="J331" i="38" s="1"/>
  <c r="K283" i="38"/>
  <c r="J284" i="38"/>
  <c r="J328" i="38" s="1"/>
  <c r="J286" i="38"/>
  <c r="J330" i="38" s="1"/>
  <c r="J285" i="38"/>
  <c r="J329" i="38" s="1"/>
  <c r="P30" i="33"/>
  <c r="M30" i="33" s="1"/>
  <c r="E205" i="33"/>
  <c r="M29" i="40"/>
  <c r="L30" i="40"/>
  <c r="K166" i="40"/>
  <c r="J167" i="40"/>
  <c r="J190" i="41"/>
  <c r="I219" i="41"/>
  <c r="L115" i="40"/>
  <c r="K116" i="40"/>
  <c r="M25" i="43"/>
  <c r="M26" i="43"/>
  <c r="N24" i="43"/>
  <c r="F63" i="48"/>
  <c r="G168" i="40"/>
  <c r="F179" i="40"/>
  <c r="H13" i="31"/>
  <c r="F155" i="33"/>
  <c r="F102" i="48" s="1"/>
  <c r="AO36" i="43"/>
  <c r="G34" i="33" s="1"/>
  <c r="AU36" i="43"/>
  <c r="G46" i="33" s="1"/>
  <c r="G25" i="48" s="1"/>
  <c r="AS36" i="43"/>
  <c r="G42" i="33" s="1"/>
  <c r="G24" i="48" s="1"/>
  <c r="AQ36" i="43"/>
  <c r="G38" i="33" s="1"/>
  <c r="G23" i="48" s="1"/>
  <c r="BB3" i="31"/>
  <c r="BA4" i="31"/>
  <c r="BA23" i="31" s="1"/>
  <c r="I7" i="41"/>
  <c r="H6" i="41"/>
  <c r="H8" i="41"/>
  <c r="AL4" i="31"/>
  <c r="AL23" i="31" s="1"/>
  <c r="AM3" i="31"/>
  <c r="F65" i="40"/>
  <c r="G54" i="40"/>
  <c r="G31" i="40"/>
  <c r="G75" i="40"/>
  <c r="F86" i="40"/>
  <c r="K95" i="41"/>
  <c r="G48" i="48"/>
  <c r="E46" i="48"/>
  <c r="M31" i="41"/>
  <c r="N30" i="41"/>
  <c r="G321" i="41"/>
  <c r="H337" i="38"/>
  <c r="G356" i="38"/>
  <c r="J7" i="45"/>
  <c r="J20" i="45" s="1"/>
  <c r="H30" i="31"/>
  <c r="J15" i="45"/>
  <c r="F129" i="28" s="1"/>
  <c r="G55" i="41"/>
  <c r="F66" i="41"/>
  <c r="F37" i="48"/>
  <c r="I295" i="41"/>
  <c r="H307" i="41"/>
  <c r="G28" i="31"/>
  <c r="J24" i="31"/>
  <c r="AZ23" i="43"/>
  <c r="AZ24" i="43" s="1"/>
  <c r="H24" i="31" s="1"/>
  <c r="AV25" i="43"/>
  <c r="AO50" i="43" s="1"/>
  <c r="AV23" i="43"/>
  <c r="J291" i="40"/>
  <c r="I303" i="40"/>
  <c r="J30" i="31"/>
  <c r="G97" i="41"/>
  <c r="F108" i="41"/>
  <c r="G157" i="38"/>
  <c r="F157" i="38"/>
  <c r="F224" i="38"/>
  <c r="F269" i="38"/>
  <c r="F226" i="38"/>
  <c r="G224" i="38"/>
  <c r="F271" i="38"/>
  <c r="F10" i="48"/>
  <c r="G154" i="38"/>
  <c r="G271" i="38"/>
  <c r="G226" i="38"/>
  <c r="G269" i="38"/>
  <c r="F154" i="38"/>
  <c r="F173" i="33"/>
  <c r="F84" i="48" s="1"/>
  <c r="AH26" i="43"/>
  <c r="AK33" i="31"/>
  <c r="AK66" i="31"/>
  <c r="AK27" i="31"/>
  <c r="AK73" i="31"/>
  <c r="AK78" i="31"/>
  <c r="AK48" i="31"/>
  <c r="H20" i="45"/>
  <c r="H18" i="45"/>
  <c r="I30" i="31"/>
  <c r="I31" i="31" s="1"/>
  <c r="G8" i="40"/>
  <c r="G10" i="48"/>
  <c r="F202" i="40"/>
  <c r="F157" i="40"/>
  <c r="F154" i="40"/>
  <c r="F204" i="40"/>
  <c r="G323" i="40"/>
  <c r="G363" i="40" s="1"/>
  <c r="G306" i="40"/>
  <c r="H306" i="40"/>
  <c r="G347" i="40"/>
  <c r="G204" i="40"/>
  <c r="H323" i="40"/>
  <c r="H363" i="40" s="1"/>
  <c r="F323" i="40"/>
  <c r="G317" i="40"/>
  <c r="H202" i="40"/>
  <c r="F326" i="40"/>
  <c r="G307" i="40"/>
  <c r="F307" i="40"/>
  <c r="G154" i="40"/>
  <c r="G256" i="40" s="1"/>
  <c r="G157" i="40"/>
  <c r="G326" i="40"/>
  <c r="G298" i="40" s="1"/>
  <c r="G311" i="40" s="1"/>
  <c r="G202" i="40"/>
  <c r="H317" i="40"/>
  <c r="G366" i="40"/>
  <c r="G338" i="40" s="1"/>
  <c r="G351" i="40" s="1"/>
  <c r="G346" i="40"/>
  <c r="H154" i="40"/>
  <c r="H256" i="40" s="1"/>
  <c r="G357" i="40"/>
  <c r="H357" i="40"/>
  <c r="H307" i="40"/>
  <c r="H157" i="40"/>
  <c r="I154" i="40"/>
  <c r="I256" i="40" s="1"/>
  <c r="J202" i="40"/>
  <c r="H326" i="40"/>
  <c r="H298" i="40" s="1"/>
  <c r="H311" i="40" s="1"/>
  <c r="H366" i="40"/>
  <c r="H338" i="40" s="1"/>
  <c r="H351" i="40" s="1"/>
  <c r="H204" i="40"/>
  <c r="H346" i="40"/>
  <c r="H347" i="40"/>
  <c r="I202" i="40"/>
  <c r="F306" i="40"/>
  <c r="P73" i="40"/>
  <c r="O74" i="40"/>
  <c r="O12" i="43"/>
  <c r="O13" i="43"/>
  <c r="O10" i="43"/>
  <c r="O7" i="43"/>
  <c r="O8" i="43"/>
  <c r="O6" i="43"/>
  <c r="O14" i="43"/>
  <c r="O9" i="43"/>
  <c r="O11" i="43"/>
  <c r="O15" i="43"/>
  <c r="E172" i="33"/>
  <c r="J204" i="40"/>
  <c r="F107" i="40"/>
  <c r="G96" i="40"/>
  <c r="G166" i="41"/>
  <c r="F155" i="41"/>
  <c r="F166" i="41"/>
  <c r="F158" i="41"/>
  <c r="G155" i="41"/>
  <c r="H168" i="41"/>
  <c r="G168" i="41"/>
  <c r="F168" i="41"/>
  <c r="G158" i="41"/>
  <c r="H10" i="48"/>
  <c r="H158" i="41"/>
  <c r="H155" i="41"/>
  <c r="F287" i="41"/>
  <c r="F270" i="41"/>
  <c r="H166" i="41"/>
  <c r="F290" i="41"/>
  <c r="F310" i="41"/>
  <c r="F271" i="41"/>
  <c r="F281" i="41"/>
  <c r="G270" i="41"/>
  <c r="H281" i="41"/>
  <c r="G287" i="41"/>
  <c r="G327" i="41" s="1"/>
  <c r="F330" i="41"/>
  <c r="G290" i="41"/>
  <c r="G262" i="41" s="1"/>
  <c r="G275" i="41" s="1"/>
  <c r="G271" i="41"/>
  <c r="G330" i="41"/>
  <c r="G302" i="41" s="1"/>
  <c r="F321" i="41"/>
  <c r="F311" i="41"/>
  <c r="H287" i="41"/>
  <c r="H327" i="41" s="1"/>
  <c r="G310" i="41"/>
  <c r="H290" i="41"/>
  <c r="H262" i="41" s="1"/>
  <c r="H275" i="41" s="1"/>
  <c r="G281" i="41"/>
  <c r="H321" i="41"/>
  <c r="AL12" i="43"/>
  <c r="AN12" i="43"/>
  <c r="P59" i="48"/>
  <c r="O59" i="48" s="1"/>
  <c r="F286" i="38"/>
  <c r="P2" i="43"/>
  <c r="P4" i="43"/>
  <c r="Q1" i="43"/>
  <c r="G311" i="41"/>
  <c r="J154" i="40"/>
  <c r="J256" i="40" s="1"/>
  <c r="R25" i="33"/>
  <c r="N37" i="33"/>
  <c r="P37" i="33"/>
  <c r="J15" i="31" s="1"/>
  <c r="O37" i="33"/>
  <c r="I15" i="31" s="1"/>
  <c r="Q38" i="33"/>
  <c r="F396" i="38"/>
  <c r="F373" i="38"/>
  <c r="F374" i="38"/>
  <c r="F390" i="38"/>
  <c r="F393" i="38"/>
  <c r="F384" i="38"/>
  <c r="F94" i="48"/>
  <c r="F98" i="33"/>
  <c r="P95" i="40"/>
  <c r="Q94" i="40"/>
  <c r="F47" i="42"/>
  <c r="G3" i="47"/>
  <c r="F1" i="42"/>
  <c r="G2" i="42"/>
  <c r="E217" i="33"/>
  <c r="E219" i="33" s="1"/>
  <c r="F87" i="48" s="1"/>
  <c r="H219" i="33"/>
  <c r="F366" i="40"/>
  <c r="F346" i="40"/>
  <c r="F347" i="40"/>
  <c r="F357" i="40"/>
  <c r="G9" i="41"/>
  <c r="H330" i="41"/>
  <c r="H302" i="41" s="1"/>
  <c r="H315" i="41" s="1"/>
  <c r="AP13" i="43"/>
  <c r="AP23" i="43" s="1"/>
  <c r="R23" i="33" s="1"/>
  <c r="AH13" i="43"/>
  <c r="Z23" i="43"/>
  <c r="Z25" i="43"/>
  <c r="N13" i="43"/>
  <c r="H25" i="31"/>
  <c r="H7" i="32" s="1"/>
  <c r="H267" i="41"/>
  <c r="I255" i="41"/>
  <c r="G119" i="40"/>
  <c r="F108" i="33"/>
  <c r="H40" i="48"/>
  <c r="E39" i="48"/>
  <c r="E40" i="48" s="1"/>
  <c r="H156" i="39"/>
  <c r="AV13" i="31"/>
  <c r="J36" i="31"/>
  <c r="AV36" i="31" s="1"/>
  <c r="AV44" i="31" s="1"/>
  <c r="M27" i="33"/>
  <c r="AZ73" i="31"/>
  <c r="AZ78" i="31"/>
  <c r="AZ66" i="31"/>
  <c r="AZ33" i="31"/>
  <c r="AZ27" i="31"/>
  <c r="AZ48" i="31"/>
  <c r="G315" i="41" l="1"/>
  <c r="G316" i="41" s="1"/>
  <c r="G303" i="41"/>
  <c r="Q130" i="38"/>
  <c r="P131" i="38"/>
  <c r="M125" i="38"/>
  <c r="U125" i="38"/>
  <c r="N125" i="38"/>
  <c r="V125" i="38"/>
  <c r="O125" i="38"/>
  <c r="W125" i="38"/>
  <c r="L125" i="38"/>
  <c r="P125" i="38"/>
  <c r="X125" i="38"/>
  <c r="Q125" i="38"/>
  <c r="Y125" i="38"/>
  <c r="J125" i="38"/>
  <c r="R125" i="38"/>
  <c r="Z125" i="38"/>
  <c r="K125" i="38"/>
  <c r="S125" i="38"/>
  <c r="I125" i="38"/>
  <c r="I126" i="38" s="1"/>
  <c r="I127" i="38" s="1"/>
  <c r="I133" i="38" s="1"/>
  <c r="T125" i="38"/>
  <c r="L255" i="40"/>
  <c r="N226" i="40"/>
  <c r="N260" i="40" s="1"/>
  <c r="T81" i="38"/>
  <c r="T82" i="38" s="1"/>
  <c r="T84" i="38" s="1"/>
  <c r="T90" i="38" s="1"/>
  <c r="R81" i="38"/>
  <c r="R82" i="38" s="1"/>
  <c r="R84" i="38" s="1"/>
  <c r="R90" i="38" s="1"/>
  <c r="K81" i="38"/>
  <c r="K82" i="38" s="1"/>
  <c r="K84" i="38" s="1"/>
  <c r="K90" i="38" s="1"/>
  <c r="O81" i="38"/>
  <c r="O82" i="38" s="1"/>
  <c r="O84" i="38" s="1"/>
  <c r="O90" i="38" s="1"/>
  <c r="Q81" i="38"/>
  <c r="Q82" i="38" s="1"/>
  <c r="Q84" i="38" s="1"/>
  <c r="Q90" i="38" s="1"/>
  <c r="N81" i="38"/>
  <c r="N82" i="38" s="1"/>
  <c r="N84" i="38" s="1"/>
  <c r="N90" i="38" s="1"/>
  <c r="I81" i="38"/>
  <c r="I82" i="38" s="1"/>
  <c r="I84" i="38" s="1"/>
  <c r="I90" i="38" s="1"/>
  <c r="S81" i="38"/>
  <c r="U81" i="38"/>
  <c r="U82" i="38" s="1"/>
  <c r="U84" i="38" s="1"/>
  <c r="U90" i="38" s="1"/>
  <c r="J81" i="38"/>
  <c r="P81" i="38"/>
  <c r="P82" i="38" s="1"/>
  <c r="P84" i="38" s="1"/>
  <c r="P90" i="38" s="1"/>
  <c r="Z81" i="38"/>
  <c r="Z82" i="38" s="1"/>
  <c r="Z84" i="38" s="1"/>
  <c r="Z90" i="38" s="1"/>
  <c r="Y81" i="38"/>
  <c r="Y82" i="38" s="1"/>
  <c r="Y84" i="38" s="1"/>
  <c r="Y90" i="38" s="1"/>
  <c r="L81" i="38"/>
  <c r="L82" i="38" s="1"/>
  <c r="L84" i="38" s="1"/>
  <c r="L90" i="38" s="1"/>
  <c r="W81" i="38"/>
  <c r="W82" i="38" s="1"/>
  <c r="W84" i="38" s="1"/>
  <c r="W90" i="38" s="1"/>
  <c r="M81" i="38"/>
  <c r="X81" i="38"/>
  <c r="X82" i="38" s="1"/>
  <c r="X84" i="38" s="1"/>
  <c r="X90" i="38" s="1"/>
  <c r="V81" i="38"/>
  <c r="V82" i="38" s="1"/>
  <c r="V84" i="38" s="1"/>
  <c r="V90" i="38" s="1"/>
  <c r="J343" i="40"/>
  <c r="K331" i="40"/>
  <c r="F256" i="40"/>
  <c r="L249" i="40"/>
  <c r="N60" i="38"/>
  <c r="N61" i="38" s="1"/>
  <c r="V60" i="38"/>
  <c r="V61" i="38" s="1"/>
  <c r="W60" i="38"/>
  <c r="W61" i="38" s="1"/>
  <c r="M60" i="38"/>
  <c r="M61" i="38" s="1"/>
  <c r="O60" i="38"/>
  <c r="O61" i="38" s="1"/>
  <c r="P60" i="38"/>
  <c r="P61" i="38" s="1"/>
  <c r="X60" i="38"/>
  <c r="X61" i="38" s="1"/>
  <c r="Q60" i="38"/>
  <c r="Q61" i="38" s="1"/>
  <c r="Y60" i="38"/>
  <c r="Y61" i="38" s="1"/>
  <c r="J60" i="38"/>
  <c r="J61" i="38" s="1"/>
  <c r="R60" i="38"/>
  <c r="R61" i="38" s="1"/>
  <c r="Z60" i="38"/>
  <c r="Z61" i="38" s="1"/>
  <c r="S60" i="38"/>
  <c r="S61" i="38" s="1"/>
  <c r="K60" i="38"/>
  <c r="K61" i="38" s="1"/>
  <c r="I60" i="38"/>
  <c r="I61" i="38" s="1"/>
  <c r="I63" i="38" s="1"/>
  <c r="I69" i="38" s="1"/>
  <c r="U60" i="38"/>
  <c r="U61" i="38" s="1"/>
  <c r="L60" i="38"/>
  <c r="L61" i="38" s="1"/>
  <c r="T60" i="38"/>
  <c r="T61" i="38" s="1"/>
  <c r="S112" i="38"/>
  <c r="S113" i="38"/>
  <c r="V113" i="38"/>
  <c r="V112" i="38"/>
  <c r="I113" i="38"/>
  <c r="I112" i="38"/>
  <c r="Q113" i="38"/>
  <c r="Q112" i="38"/>
  <c r="P112" i="38"/>
  <c r="P113" i="38"/>
  <c r="O113" i="38"/>
  <c r="O112" i="38"/>
  <c r="R113" i="38"/>
  <c r="R112" i="38"/>
  <c r="W113" i="38"/>
  <c r="W112" i="38"/>
  <c r="M113" i="38"/>
  <c r="M112" i="38"/>
  <c r="L112" i="38"/>
  <c r="L113" i="38"/>
  <c r="K113" i="38"/>
  <c r="F9" i="39" s="1"/>
  <c r="K112" i="38"/>
  <c r="N112" i="38"/>
  <c r="N113" i="38"/>
  <c r="Y113" i="38"/>
  <c r="Y112" i="38"/>
  <c r="X112" i="38"/>
  <c r="X113" i="38"/>
  <c r="Z112" i="38"/>
  <c r="Z113" i="38"/>
  <c r="J112" i="38"/>
  <c r="J113" i="38"/>
  <c r="U113" i="38"/>
  <c r="U112" i="38"/>
  <c r="T112" i="38"/>
  <c r="T113" i="38"/>
  <c r="P91" i="38"/>
  <c r="P92" i="38"/>
  <c r="O226" i="40"/>
  <c r="L260" i="40"/>
  <c r="K358" i="38"/>
  <c r="J370" i="38"/>
  <c r="K410" i="38"/>
  <c r="L398" i="38"/>
  <c r="Q3" i="31"/>
  <c r="P4" i="31"/>
  <c r="P23" i="31" s="1"/>
  <c r="O33" i="31"/>
  <c r="O66" i="31"/>
  <c r="O27" i="31"/>
  <c r="O78" i="31"/>
  <c r="O48" i="31"/>
  <c r="O73" i="31"/>
  <c r="AA33" i="31"/>
  <c r="AA66" i="31"/>
  <c r="AA27" i="31"/>
  <c r="AA78" i="31"/>
  <c r="AA48" i="31"/>
  <c r="AA73" i="31"/>
  <c r="AB4" i="31"/>
  <c r="AB23" i="31" s="1"/>
  <c r="AC3" i="31"/>
  <c r="AU33" i="43"/>
  <c r="AO33" i="43"/>
  <c r="H61" i="33" s="1"/>
  <c r="AQ33" i="43"/>
  <c r="H65" i="33" s="1"/>
  <c r="H16" i="48" s="1"/>
  <c r="AS33" i="43"/>
  <c r="H69" i="33" s="1"/>
  <c r="H17" i="48" s="1"/>
  <c r="M48" i="33"/>
  <c r="E171" i="33"/>
  <c r="G101" i="33"/>
  <c r="M23" i="43"/>
  <c r="AF4" i="43"/>
  <c r="AV4" i="43" s="1"/>
  <c r="AP24" i="43"/>
  <c r="AN10" i="43"/>
  <c r="AL10" i="43"/>
  <c r="F53" i="48"/>
  <c r="E53" i="48"/>
  <c r="H70" i="39"/>
  <c r="E70" i="39" s="1"/>
  <c r="H76" i="41"/>
  <c r="H87" i="41" s="1"/>
  <c r="E36" i="48"/>
  <c r="E37" i="48" s="1"/>
  <c r="H203" i="33"/>
  <c r="H206" i="33" s="1"/>
  <c r="F34" i="48"/>
  <c r="AH23" i="43"/>
  <c r="G37" i="31"/>
  <c r="O37" i="31" s="1"/>
  <c r="O44" i="31" s="1"/>
  <c r="M24" i="43"/>
  <c r="G24" i="31"/>
  <c r="F130" i="28" s="1"/>
  <c r="I25" i="31"/>
  <c r="I7" i="32" s="1"/>
  <c r="F48" i="48"/>
  <c r="E99" i="33"/>
  <c r="M25" i="33"/>
  <c r="S25" i="33" s="1"/>
  <c r="E100" i="33"/>
  <c r="I117" i="41"/>
  <c r="P29" i="33"/>
  <c r="E48" i="48"/>
  <c r="F176" i="38"/>
  <c r="F185" i="38" s="1"/>
  <c r="G18" i="45"/>
  <c r="G20" i="45" s="1"/>
  <c r="E155" i="33"/>
  <c r="H120" i="41"/>
  <c r="G167" i="38"/>
  <c r="H167" i="38" s="1"/>
  <c r="I167" i="38" s="1"/>
  <c r="AH1" i="43"/>
  <c r="AW4" i="43"/>
  <c r="E137" i="33"/>
  <c r="N24" i="33"/>
  <c r="M24" i="33" s="1"/>
  <c r="S24" i="33" s="1"/>
  <c r="E136" i="33"/>
  <c r="F138" i="33"/>
  <c r="AO26" i="43"/>
  <c r="AN6" i="43"/>
  <c r="AN26" i="43" s="1"/>
  <c r="AL6" i="43"/>
  <c r="N34" i="33"/>
  <c r="H12" i="31" s="1"/>
  <c r="H35" i="31" s="1"/>
  <c r="AH24" i="43"/>
  <c r="AN14" i="43"/>
  <c r="AL14" i="43"/>
  <c r="AO23" i="43"/>
  <c r="R22" i="33" s="1"/>
  <c r="AO24" i="43"/>
  <c r="AO34" i="43" s="1"/>
  <c r="F34" i="33" s="1"/>
  <c r="G100" i="41"/>
  <c r="G103" i="41" s="1"/>
  <c r="G79" i="41"/>
  <c r="H2" i="41"/>
  <c r="H271" i="38"/>
  <c r="H224" i="38"/>
  <c r="H225" i="38" s="1"/>
  <c r="H157" i="38"/>
  <c r="J183" i="41"/>
  <c r="J227" i="41" s="1"/>
  <c r="K180" i="41"/>
  <c r="H226" i="38"/>
  <c r="N52" i="40"/>
  <c r="N53" i="40" s="1"/>
  <c r="H155" i="38"/>
  <c r="J185" i="41"/>
  <c r="H269" i="38"/>
  <c r="H270" i="38" s="1"/>
  <c r="H141" i="38"/>
  <c r="H149" i="38" s="1"/>
  <c r="J181" i="41"/>
  <c r="J225" i="41" s="1"/>
  <c r="H154" i="38"/>
  <c r="H156" i="38" s="1"/>
  <c r="I139" i="38"/>
  <c r="I211" i="38" s="1"/>
  <c r="J184" i="41"/>
  <c r="J228" i="41" s="1"/>
  <c r="J182" i="41"/>
  <c r="J226" i="41" s="1"/>
  <c r="H57" i="48"/>
  <c r="H256" i="38"/>
  <c r="H264" i="38" s="1"/>
  <c r="I157" i="40"/>
  <c r="H316" i="38"/>
  <c r="H322" i="38"/>
  <c r="H327" i="38"/>
  <c r="I293" i="38"/>
  <c r="I204" i="40"/>
  <c r="J2" i="40"/>
  <c r="I253" i="41"/>
  <c r="I293" i="41" s="1"/>
  <c r="I310" i="41" s="1"/>
  <c r="G255" i="38"/>
  <c r="G258" i="38" s="1"/>
  <c r="H255" i="38" s="1"/>
  <c r="G213" i="38"/>
  <c r="H210" i="38" s="1"/>
  <c r="H213" i="38" s="1"/>
  <c r="N249" i="40"/>
  <c r="M249" i="40"/>
  <c r="M260" i="40"/>
  <c r="I321" i="41"/>
  <c r="K223" i="40"/>
  <c r="K267" i="40" s="1"/>
  <c r="K220" i="40"/>
  <c r="K264" i="40" s="1"/>
  <c r="K219" i="40"/>
  <c r="K263" i="40" s="1"/>
  <c r="K222" i="40"/>
  <c r="K266" i="40" s="1"/>
  <c r="L216" i="40"/>
  <c r="K218" i="40"/>
  <c r="K262" i="40" s="1"/>
  <c r="K217" i="40"/>
  <c r="K221" i="40"/>
  <c r="G188" i="40"/>
  <c r="G191" i="40" s="1"/>
  <c r="H188" i="40" s="1"/>
  <c r="H191" i="40" s="1"/>
  <c r="F193" i="40"/>
  <c r="F194" i="40" s="1"/>
  <c r="I154" i="38"/>
  <c r="I289" i="40"/>
  <c r="J270" i="40"/>
  <c r="N23" i="43"/>
  <c r="G238" i="38"/>
  <c r="G174" i="38"/>
  <c r="G170" i="38"/>
  <c r="G172" i="38" s="1"/>
  <c r="I75" i="41"/>
  <c r="I76" i="41" s="1"/>
  <c r="I87" i="41" s="1"/>
  <c r="J74" i="41"/>
  <c r="J189" i="40"/>
  <c r="J197" i="40" s="1"/>
  <c r="J141" i="40"/>
  <c r="J149" i="40" s="1"/>
  <c r="J155" i="40"/>
  <c r="K139" i="40"/>
  <c r="N255" i="40"/>
  <c r="H142" i="41"/>
  <c r="H150" i="41" s="1"/>
  <c r="H156" i="41"/>
  <c r="I140" i="41"/>
  <c r="I300" i="41" s="1"/>
  <c r="N29" i="40"/>
  <c r="M30" i="40"/>
  <c r="O255" i="40"/>
  <c r="O249" i="40"/>
  <c r="O260" i="40"/>
  <c r="P226" i="40"/>
  <c r="G246" i="38"/>
  <c r="K284" i="38"/>
  <c r="K287" i="38"/>
  <c r="K331" i="38" s="1"/>
  <c r="K286" i="38"/>
  <c r="K330" i="38" s="1"/>
  <c r="K290" i="38"/>
  <c r="K334" i="38" s="1"/>
  <c r="K289" i="38"/>
  <c r="K333" i="38" s="1"/>
  <c r="L283" i="38"/>
  <c r="K285" i="38"/>
  <c r="K329" i="38" s="1"/>
  <c r="K288" i="38"/>
  <c r="H234" i="38"/>
  <c r="H235" i="38" s="1"/>
  <c r="I233" i="38"/>
  <c r="J53" i="41"/>
  <c r="I54" i="41"/>
  <c r="M115" i="40"/>
  <c r="L116" i="40"/>
  <c r="L165" i="38"/>
  <c r="K166" i="38"/>
  <c r="I99" i="40"/>
  <c r="I57" i="40"/>
  <c r="I171" i="40"/>
  <c r="I78" i="40"/>
  <c r="N29" i="33"/>
  <c r="L166" i="40"/>
  <c r="K167" i="40"/>
  <c r="K234" i="41"/>
  <c r="J253" i="41"/>
  <c r="J213" i="41"/>
  <c r="J224" i="41"/>
  <c r="K190" i="41"/>
  <c r="J219" i="41"/>
  <c r="K6" i="40"/>
  <c r="J5" i="40"/>
  <c r="J1" i="40"/>
  <c r="F206" i="33"/>
  <c r="L116" i="41"/>
  <c r="K117" i="41"/>
  <c r="I8" i="32"/>
  <c r="I30" i="32"/>
  <c r="J255" i="41"/>
  <c r="I267" i="41"/>
  <c r="G6" i="47"/>
  <c r="G4" i="47"/>
  <c r="H3" i="47"/>
  <c r="G5" i="47"/>
  <c r="F365" i="38"/>
  <c r="F378" i="38" s="1"/>
  <c r="O38" i="33"/>
  <c r="I16" i="31" s="1"/>
  <c r="Q39" i="33"/>
  <c r="R26" i="33"/>
  <c r="S26" i="33" s="1"/>
  <c r="N38" i="33"/>
  <c r="P38" i="33"/>
  <c r="J16" i="31" s="1"/>
  <c r="F157" i="41"/>
  <c r="F159" i="41" s="1"/>
  <c r="O24" i="43"/>
  <c r="G156" i="40"/>
  <c r="E173" i="33"/>
  <c r="G156" i="38"/>
  <c r="G158" i="38" s="1"/>
  <c r="K96" i="41"/>
  <c r="L95" i="41"/>
  <c r="G65" i="40"/>
  <c r="H54" i="40"/>
  <c r="I54" i="40" s="1"/>
  <c r="H168" i="40"/>
  <c r="G179" i="40"/>
  <c r="H167" i="41"/>
  <c r="H169" i="41" s="1"/>
  <c r="G167" i="41"/>
  <c r="G169" i="41" s="1"/>
  <c r="F156" i="40"/>
  <c r="J25" i="31"/>
  <c r="H58" i="41"/>
  <c r="BA66" i="31"/>
  <c r="BA27" i="31"/>
  <c r="BA48" i="31"/>
  <c r="BA33" i="31"/>
  <c r="BA73" i="31"/>
  <c r="BA78" i="31"/>
  <c r="F430" i="38"/>
  <c r="E108" i="33"/>
  <c r="O35" i="33"/>
  <c r="AH25" i="43"/>
  <c r="R94" i="40"/>
  <c r="Q95" i="40"/>
  <c r="J38" i="31"/>
  <c r="AX38" i="31" s="1"/>
  <c r="AX44" i="31" s="1"/>
  <c r="AX15" i="31"/>
  <c r="H158" i="39"/>
  <c r="O25" i="43"/>
  <c r="Q73" i="40"/>
  <c r="P74" i="40"/>
  <c r="J203" i="40"/>
  <c r="J205" i="40" s="1"/>
  <c r="BC3" i="31"/>
  <c r="BC4" i="31" s="1"/>
  <c r="BC23" i="31" s="1"/>
  <c r="BB4" i="31"/>
  <c r="BB23" i="31" s="1"/>
  <c r="H36" i="31"/>
  <c r="Z13" i="31"/>
  <c r="H98" i="39"/>
  <c r="H31" i="31"/>
  <c r="H129" i="39"/>
  <c r="AM15" i="31"/>
  <c r="I38" i="31"/>
  <c r="AM38" i="31" s="1"/>
  <c r="AM44" i="31" s="1"/>
  <c r="H15" i="31"/>
  <c r="M37" i="33"/>
  <c r="J156" i="40"/>
  <c r="H96" i="40"/>
  <c r="G107" i="40"/>
  <c r="N25" i="43"/>
  <c r="F298" i="40"/>
  <c r="F311" i="40" s="1"/>
  <c r="F203" i="40"/>
  <c r="F205" i="40" s="1"/>
  <c r="G225" i="38"/>
  <c r="G227" i="38" s="1"/>
  <c r="G30" i="31"/>
  <c r="AN3" i="31"/>
  <c r="AM4" i="31"/>
  <c r="AM23" i="31" s="1"/>
  <c r="I6" i="41"/>
  <c r="J7" i="41"/>
  <c r="I3" i="41"/>
  <c r="I2" i="41"/>
  <c r="G22" i="48"/>
  <c r="F101" i="33"/>
  <c r="E98" i="33"/>
  <c r="F424" i="38"/>
  <c r="F433" i="38"/>
  <c r="F413" i="38"/>
  <c r="F414" i="38"/>
  <c r="Q4" i="43"/>
  <c r="Q2" i="43"/>
  <c r="R1" i="43"/>
  <c r="F302" i="41"/>
  <c r="G157" i="41"/>
  <c r="G159" i="41" s="1"/>
  <c r="I156" i="40"/>
  <c r="H203" i="40"/>
  <c r="H205" i="40" s="1"/>
  <c r="F156" i="38"/>
  <c r="F158" i="38" s="1"/>
  <c r="F126" i="28"/>
  <c r="H75" i="40"/>
  <c r="G86" i="40"/>
  <c r="AL66" i="31"/>
  <c r="AL27" i="31"/>
  <c r="AL33" i="31"/>
  <c r="AL78" i="31"/>
  <c r="AL48" i="31"/>
  <c r="AL73" i="31"/>
  <c r="G50" i="33"/>
  <c r="G26" i="48" s="1"/>
  <c r="AX36" i="43"/>
  <c r="AN13" i="43"/>
  <c r="AN25" i="43" s="1"/>
  <c r="AL13" i="43"/>
  <c r="F327" i="41"/>
  <c r="I203" i="40"/>
  <c r="I205" i="40" s="1"/>
  <c r="G203" i="40"/>
  <c r="G270" i="38"/>
  <c r="G272" i="38" s="1"/>
  <c r="G323" i="38"/>
  <c r="F323" i="38"/>
  <c r="F270" i="38"/>
  <c r="F272" i="38" s="1"/>
  <c r="G108" i="41"/>
  <c r="K291" i="40"/>
  <c r="J303" i="40"/>
  <c r="G384" i="38"/>
  <c r="G374" i="38"/>
  <c r="G373" i="38"/>
  <c r="G393" i="38"/>
  <c r="G365" i="38" s="1"/>
  <c r="G378" i="38" s="1"/>
  <c r="G390" i="38"/>
  <c r="G430" i="38" s="1"/>
  <c r="G396" i="38"/>
  <c r="H119" i="40"/>
  <c r="H29" i="32"/>
  <c r="H9" i="41"/>
  <c r="G1" i="42"/>
  <c r="H2" i="42"/>
  <c r="G47" i="42"/>
  <c r="P13" i="43"/>
  <c r="P10" i="43"/>
  <c r="P14" i="43"/>
  <c r="P11" i="43"/>
  <c r="P8" i="43"/>
  <c r="P6" i="43"/>
  <c r="P9" i="43"/>
  <c r="P12" i="43"/>
  <c r="P15" i="43"/>
  <c r="P7" i="43"/>
  <c r="F167" i="41"/>
  <c r="F169" i="41" s="1"/>
  <c r="H156" i="40"/>
  <c r="J12" i="31"/>
  <c r="F225" i="38"/>
  <c r="F227" i="38" s="1"/>
  <c r="H356" i="38"/>
  <c r="I337" i="38"/>
  <c r="H31" i="40"/>
  <c r="F330" i="38"/>
  <c r="F338" i="40"/>
  <c r="F351" i="40" s="1"/>
  <c r="H77" i="33"/>
  <c r="AP25" i="43"/>
  <c r="F262" i="41"/>
  <c r="F275" i="41" s="1"/>
  <c r="H157" i="41"/>
  <c r="O26" i="43"/>
  <c r="O23" i="43"/>
  <c r="F363" i="40"/>
  <c r="H8" i="40"/>
  <c r="G177" i="33"/>
  <c r="AO52" i="43"/>
  <c r="I307" i="41"/>
  <c r="J295" i="41"/>
  <c r="H55" i="41"/>
  <c r="G66" i="41"/>
  <c r="O30" i="41"/>
  <c r="N31" i="41"/>
  <c r="F315" i="41" l="1"/>
  <c r="F316" i="41" s="1"/>
  <c r="F303" i="41"/>
  <c r="I257" i="40"/>
  <c r="I258" i="40" s="1"/>
  <c r="I65" i="40"/>
  <c r="M82" i="38"/>
  <c r="M84" i="38"/>
  <c r="M90" i="38" s="1"/>
  <c r="S82" i="38"/>
  <c r="S84" i="38" s="1"/>
  <c r="S90" i="38" s="1"/>
  <c r="R126" i="38"/>
  <c r="R127" i="38" s="1"/>
  <c r="O126" i="38"/>
  <c r="O127" i="38" s="1"/>
  <c r="O133" i="38" s="1"/>
  <c r="W91" i="38"/>
  <c r="W92" i="38"/>
  <c r="I92" i="38"/>
  <c r="I91" i="38"/>
  <c r="J127" i="38"/>
  <c r="J133" i="38" s="1"/>
  <c r="J126" i="38"/>
  <c r="V126" i="38"/>
  <c r="V127" i="38" s="1"/>
  <c r="J257" i="40"/>
  <c r="J258" i="40" s="1"/>
  <c r="J297" i="40" s="1"/>
  <c r="L91" i="38"/>
  <c r="L92" i="38"/>
  <c r="N91" i="38"/>
  <c r="N92" i="38"/>
  <c r="Y126" i="38"/>
  <c r="Y127" i="38" s="1"/>
  <c r="N126" i="38"/>
  <c r="N127" i="38"/>
  <c r="N133" i="38" s="1"/>
  <c r="I70" i="38"/>
  <c r="I71" i="38"/>
  <c r="Y91" i="38"/>
  <c r="Y92" i="38"/>
  <c r="Q91" i="38"/>
  <c r="Q92" i="38"/>
  <c r="T126" i="38"/>
  <c r="T127" i="38" s="1"/>
  <c r="Q126" i="38"/>
  <c r="Q127" i="38" s="1"/>
  <c r="U126" i="38"/>
  <c r="U127" i="38" s="1"/>
  <c r="K343" i="40"/>
  <c r="L331" i="40"/>
  <c r="Z91" i="38"/>
  <c r="Z92" i="38"/>
  <c r="O91" i="38"/>
  <c r="O92" i="38"/>
  <c r="I134" i="38"/>
  <c r="I135" i="38"/>
  <c r="X126" i="38"/>
  <c r="X127" i="38" s="1"/>
  <c r="M126" i="38"/>
  <c r="M127" i="38"/>
  <c r="M133" i="38" s="1"/>
  <c r="K91" i="38"/>
  <c r="K92" i="38"/>
  <c r="S126" i="38"/>
  <c r="S127" i="38" s="1"/>
  <c r="P126" i="38"/>
  <c r="P127" i="38" s="1"/>
  <c r="P133" i="38" s="1"/>
  <c r="V91" i="38"/>
  <c r="V92" i="38"/>
  <c r="J82" i="38"/>
  <c r="J84" i="38"/>
  <c r="J90" i="38" s="1"/>
  <c r="R91" i="38"/>
  <c r="R92" i="38"/>
  <c r="K126" i="38"/>
  <c r="K127" i="38" s="1"/>
  <c r="K133" i="38" s="1"/>
  <c r="L127" i="38"/>
  <c r="L133" i="38" s="1"/>
  <c r="L126" i="38"/>
  <c r="R130" i="38"/>
  <c r="Q131" i="38"/>
  <c r="X91" i="38"/>
  <c r="X92" i="38"/>
  <c r="U91" i="38"/>
  <c r="U92" i="38"/>
  <c r="T91" i="38"/>
  <c r="T92" i="38"/>
  <c r="Z126" i="38"/>
  <c r="Z127" i="38" s="1"/>
  <c r="W127" i="38"/>
  <c r="W126" i="38"/>
  <c r="F158" i="40"/>
  <c r="F257" i="40"/>
  <c r="F258" i="40" s="1"/>
  <c r="G158" i="40"/>
  <c r="G257" i="40"/>
  <c r="G258" i="40" s="1"/>
  <c r="H158" i="40"/>
  <c r="H365" i="40" s="1"/>
  <c r="H257" i="40"/>
  <c r="H258" i="40" s="1"/>
  <c r="J139" i="38"/>
  <c r="I156" i="38"/>
  <c r="J155" i="38"/>
  <c r="J154" i="38"/>
  <c r="J156" i="38" s="1"/>
  <c r="J211" i="38"/>
  <c r="J219" i="38" s="1"/>
  <c r="I224" i="38"/>
  <c r="I225" i="38" s="1"/>
  <c r="L358" i="38"/>
  <c r="K370" i="38"/>
  <c r="H272" i="38"/>
  <c r="I157" i="38"/>
  <c r="K139" i="38"/>
  <c r="K211" i="38" s="1"/>
  <c r="K219" i="38" s="1"/>
  <c r="J271" i="38"/>
  <c r="L410" i="38"/>
  <c r="M398" i="38"/>
  <c r="P73" i="31"/>
  <c r="P78" i="31"/>
  <c r="P33" i="31"/>
  <c r="P66" i="31"/>
  <c r="P48" i="31"/>
  <c r="P27" i="31"/>
  <c r="R3" i="31"/>
  <c r="Q4" i="31"/>
  <c r="Q23" i="31" s="1"/>
  <c r="AD3" i="31"/>
  <c r="AC4" i="31"/>
  <c r="AC23" i="31" s="1"/>
  <c r="AB78" i="31"/>
  <c r="AB48" i="31"/>
  <c r="AB33" i="31"/>
  <c r="AB27" i="31"/>
  <c r="AB73" i="31"/>
  <c r="AB66" i="31"/>
  <c r="AX33" i="43"/>
  <c r="H73" i="33"/>
  <c r="H18" i="48" s="1"/>
  <c r="AN24" i="43"/>
  <c r="AQ30" i="43"/>
  <c r="F65" i="33" s="1"/>
  <c r="F16" i="48" s="1"/>
  <c r="AS30" i="43"/>
  <c r="F69" i="33" s="1"/>
  <c r="F17" i="48" s="1"/>
  <c r="AU30" i="43"/>
  <c r="AO30" i="43"/>
  <c r="F61" i="33" s="1"/>
  <c r="F15" i="48" s="1"/>
  <c r="E101" i="33"/>
  <c r="AN23" i="43"/>
  <c r="H82" i="33"/>
  <c r="H15" i="48"/>
  <c r="G25" i="31"/>
  <c r="H79" i="41"/>
  <c r="I79" i="41" s="1"/>
  <c r="H100" i="41"/>
  <c r="H103" i="41" s="1"/>
  <c r="I29" i="32"/>
  <c r="I39" i="32" s="1"/>
  <c r="I120" i="41"/>
  <c r="J120" i="41" s="1"/>
  <c r="E138" i="33"/>
  <c r="F81" i="48" s="1"/>
  <c r="G81" i="48" s="1"/>
  <c r="I269" i="38"/>
  <c r="I270" i="38" s="1"/>
  <c r="J226" i="38"/>
  <c r="J157" i="38"/>
  <c r="I226" i="38"/>
  <c r="J224" i="38"/>
  <c r="J225" i="38" s="1"/>
  <c r="M34" i="33"/>
  <c r="AO37" i="43"/>
  <c r="H34" i="33" s="1"/>
  <c r="AS37" i="43"/>
  <c r="H42" i="33" s="1"/>
  <c r="H24" i="48" s="1"/>
  <c r="AU37" i="43"/>
  <c r="AQ37" i="43"/>
  <c r="H38" i="33" s="1"/>
  <c r="H23" i="48" s="1"/>
  <c r="H19" i="48"/>
  <c r="H227" i="38"/>
  <c r="AU34" i="43"/>
  <c r="AS34" i="43"/>
  <c r="AQ34" i="43"/>
  <c r="Y12" i="31"/>
  <c r="H97" i="39"/>
  <c r="H258" i="38"/>
  <c r="G215" i="38"/>
  <c r="G216" i="38" s="1"/>
  <c r="H158" i="38"/>
  <c r="O52" i="40"/>
  <c r="K184" i="41"/>
  <c r="K228" i="41" s="1"/>
  <c r="K186" i="41"/>
  <c r="K230" i="41" s="1"/>
  <c r="K187" i="41"/>
  <c r="K231" i="41" s="1"/>
  <c r="K182" i="41"/>
  <c r="K226" i="41" s="1"/>
  <c r="L180" i="41"/>
  <c r="K183" i="41"/>
  <c r="K227" i="41" s="1"/>
  <c r="K181" i="41"/>
  <c r="K185" i="41"/>
  <c r="I270" i="41"/>
  <c r="I290" i="41"/>
  <c r="I262" i="41" s="1"/>
  <c r="I275" i="41" s="1"/>
  <c r="I271" i="38"/>
  <c r="G260" i="38"/>
  <c r="G261" i="38" s="1"/>
  <c r="I281" i="41"/>
  <c r="I287" i="41"/>
  <c r="I327" i="41" s="1"/>
  <c r="I271" i="41"/>
  <c r="J293" i="38"/>
  <c r="I327" i="38"/>
  <c r="I316" i="38"/>
  <c r="I322" i="38"/>
  <c r="G193" i="40"/>
  <c r="G194" i="40" s="1"/>
  <c r="J158" i="40"/>
  <c r="I311" i="41"/>
  <c r="I330" i="41"/>
  <c r="I302" i="41" s="1"/>
  <c r="I315" i="41" s="1"/>
  <c r="G297" i="40"/>
  <c r="M216" i="40"/>
  <c r="L222" i="40"/>
  <c r="L266" i="40" s="1"/>
  <c r="L223" i="40"/>
  <c r="L267" i="40" s="1"/>
  <c r="L221" i="40"/>
  <c r="L219" i="40"/>
  <c r="L263" i="40" s="1"/>
  <c r="L220" i="40"/>
  <c r="L264" i="40" s="1"/>
  <c r="L218" i="40"/>
  <c r="L262" i="40" s="1"/>
  <c r="L217" i="40"/>
  <c r="K261" i="40"/>
  <c r="K268" i="40" s="1"/>
  <c r="K224" i="40"/>
  <c r="H159" i="41"/>
  <c r="K270" i="40"/>
  <c r="J289" i="40"/>
  <c r="I329" i="40"/>
  <c r="I326" i="40"/>
  <c r="I298" i="40" s="1"/>
  <c r="I311" i="40" s="1"/>
  <c r="I307" i="40"/>
  <c r="I306" i="40"/>
  <c r="I317" i="40"/>
  <c r="I323" i="40"/>
  <c r="I363" i="40" s="1"/>
  <c r="J140" i="41"/>
  <c r="I158" i="41"/>
  <c r="I166" i="41"/>
  <c r="I168" i="41"/>
  <c r="I155" i="41"/>
  <c r="I157" i="41" s="1"/>
  <c r="H174" i="38"/>
  <c r="H238" i="38"/>
  <c r="H170" i="38"/>
  <c r="H172" i="38" s="1"/>
  <c r="G175" i="38"/>
  <c r="G176" i="38" s="1"/>
  <c r="G185" i="38" s="1"/>
  <c r="L139" i="38"/>
  <c r="K224" i="38"/>
  <c r="K226" i="38"/>
  <c r="K74" i="41"/>
  <c r="J75" i="41"/>
  <c r="J76" i="41" s="1"/>
  <c r="H84" i="33"/>
  <c r="P47" i="33" s="1"/>
  <c r="H215" i="38"/>
  <c r="H216" i="38" s="1"/>
  <c r="I210" i="38"/>
  <c r="L139" i="40"/>
  <c r="K202" i="40"/>
  <c r="K157" i="40"/>
  <c r="K141" i="40"/>
  <c r="K149" i="40" s="1"/>
  <c r="K154" i="40"/>
  <c r="K256" i="40" s="1"/>
  <c r="K189" i="40"/>
  <c r="K197" i="40" s="1"/>
  <c r="K204" i="40"/>
  <c r="K155" i="40"/>
  <c r="H193" i="40"/>
  <c r="H194" i="40" s="1"/>
  <c r="I188" i="40"/>
  <c r="H246" i="38"/>
  <c r="K53" i="41"/>
  <c r="J54" i="41"/>
  <c r="J78" i="40"/>
  <c r="J99" i="40"/>
  <c r="J57" i="40"/>
  <c r="J171" i="40"/>
  <c r="J233" i="38"/>
  <c r="I234" i="38"/>
  <c r="I235" i="38" s="1"/>
  <c r="I243" i="38" s="1"/>
  <c r="L167" i="40"/>
  <c r="M166" i="40"/>
  <c r="M165" i="38"/>
  <c r="L166" i="38"/>
  <c r="K7" i="40"/>
  <c r="L6" i="40"/>
  <c r="K5" i="40"/>
  <c r="K1" i="40"/>
  <c r="N30" i="40"/>
  <c r="O29" i="40"/>
  <c r="G56" i="33"/>
  <c r="O176" i="33" s="1"/>
  <c r="I20" i="32" s="1"/>
  <c r="J167" i="38"/>
  <c r="K291" i="38"/>
  <c r="K328" i="38"/>
  <c r="K335" i="38" s="1"/>
  <c r="K2" i="40"/>
  <c r="L234" i="41"/>
  <c r="K253" i="41"/>
  <c r="K219" i="41"/>
  <c r="K213" i="41"/>
  <c r="K224" i="41"/>
  <c r="L190" i="41"/>
  <c r="N115" i="40"/>
  <c r="M116" i="40"/>
  <c r="G205" i="40"/>
  <c r="G350" i="40" s="1"/>
  <c r="P260" i="40"/>
  <c r="P255" i="40"/>
  <c r="P249" i="40"/>
  <c r="Q226" i="40"/>
  <c r="H297" i="40"/>
  <c r="M116" i="41"/>
  <c r="L117" i="41"/>
  <c r="J293" i="41"/>
  <c r="J290" i="41"/>
  <c r="J262" i="41" s="1"/>
  <c r="J275" i="41" s="1"/>
  <c r="J270" i="41"/>
  <c r="J271" i="41"/>
  <c r="J281" i="41"/>
  <c r="L289" i="38"/>
  <c r="L333" i="38" s="1"/>
  <c r="L288" i="38"/>
  <c r="L290" i="38"/>
  <c r="L334" i="38" s="1"/>
  <c r="L286" i="38"/>
  <c r="L330" i="38" s="1"/>
  <c r="M283" i="38"/>
  <c r="L285" i="38"/>
  <c r="L329" i="38" s="1"/>
  <c r="L284" i="38"/>
  <c r="L287" i="38"/>
  <c r="L331" i="38" s="1"/>
  <c r="P25" i="43"/>
  <c r="G301" i="41"/>
  <c r="F417" i="38"/>
  <c r="F432" i="38"/>
  <c r="G432" i="38"/>
  <c r="G404" i="38" s="1"/>
  <c r="G417" i="38" s="1"/>
  <c r="Z36" i="31"/>
  <c r="Z44" i="31" s="1"/>
  <c r="F217" i="40"/>
  <c r="O31" i="41"/>
  <c r="P30" i="41"/>
  <c r="F261" i="41"/>
  <c r="Q11" i="43"/>
  <c r="Q6" i="43"/>
  <c r="Q8" i="43"/>
  <c r="Q9" i="43"/>
  <c r="Q10" i="43"/>
  <c r="Q12" i="43"/>
  <c r="Q7" i="43"/>
  <c r="Q13" i="43"/>
  <c r="Q14" i="43"/>
  <c r="Q15" i="43"/>
  <c r="I58" i="41"/>
  <c r="I96" i="40"/>
  <c r="H107" i="40"/>
  <c r="H38" i="31"/>
  <c r="AB15" i="31"/>
  <c r="G15" i="31"/>
  <c r="H100" i="39"/>
  <c r="BB66" i="31"/>
  <c r="BB33" i="31"/>
  <c r="BB73" i="31"/>
  <c r="BB78" i="31"/>
  <c r="BB48" i="31"/>
  <c r="BB27" i="31"/>
  <c r="R73" i="40"/>
  <c r="Q74" i="40"/>
  <c r="J29" i="32"/>
  <c r="J7" i="32"/>
  <c r="G7" i="32" s="1"/>
  <c r="H16" i="31"/>
  <c r="M38" i="33"/>
  <c r="S30" i="32"/>
  <c r="R99" i="48" s="1"/>
  <c r="I40" i="32"/>
  <c r="AJ52" i="32"/>
  <c r="R78" i="48"/>
  <c r="H350" i="40"/>
  <c r="BC33" i="31"/>
  <c r="BC73" i="31"/>
  <c r="BC78" i="31"/>
  <c r="BC66" i="31"/>
  <c r="BC48" i="31"/>
  <c r="BC27" i="31"/>
  <c r="H261" i="41"/>
  <c r="K255" i="41"/>
  <c r="J267" i="41"/>
  <c r="R58" i="48"/>
  <c r="F218" i="40"/>
  <c r="K295" i="41"/>
  <c r="J307" i="41"/>
  <c r="F324" i="38"/>
  <c r="F325" i="38" s="1"/>
  <c r="F364" i="38" s="1"/>
  <c r="AQ31" i="43"/>
  <c r="AO31" i="43"/>
  <c r="AS31" i="43"/>
  <c r="AU31" i="43"/>
  <c r="I18" i="45"/>
  <c r="J18" i="45" s="1"/>
  <c r="I20" i="45"/>
  <c r="H396" i="38"/>
  <c r="H373" i="38"/>
  <c r="H374" i="38"/>
  <c r="H390" i="38"/>
  <c r="H430" i="38" s="1"/>
  <c r="H384" i="38"/>
  <c r="H393" i="38"/>
  <c r="H365" i="38" s="1"/>
  <c r="H378" i="38" s="1"/>
  <c r="L291" i="40"/>
  <c r="K303" i="40"/>
  <c r="G54" i="33"/>
  <c r="K7" i="41"/>
  <c r="J6" i="41"/>
  <c r="J2" i="41"/>
  <c r="J3" i="41"/>
  <c r="H30" i="32"/>
  <c r="H8" i="32"/>
  <c r="H260" i="38"/>
  <c r="H261" i="38" s="1"/>
  <c r="I255" i="38"/>
  <c r="H179" i="40"/>
  <c r="I168" i="40"/>
  <c r="N39" i="33"/>
  <c r="O39" i="33"/>
  <c r="I17" i="31" s="1"/>
  <c r="Q40" i="33"/>
  <c r="P39" i="33"/>
  <c r="J17" i="31" s="1"/>
  <c r="R27" i="33"/>
  <c r="S27" i="33" s="1"/>
  <c r="H5" i="47"/>
  <c r="I3" i="47"/>
  <c r="H6" i="47"/>
  <c r="H4" i="47"/>
  <c r="G179" i="33"/>
  <c r="G204" i="33" s="1"/>
  <c r="G55" i="48"/>
  <c r="G182" i="33"/>
  <c r="G203" i="33" s="1"/>
  <c r="O49" i="33"/>
  <c r="M49" i="33" s="1"/>
  <c r="P23" i="43"/>
  <c r="P26" i="43"/>
  <c r="F284" i="38"/>
  <c r="P57" i="48"/>
  <c r="G413" i="38"/>
  <c r="G424" i="38"/>
  <c r="G433" i="38"/>
  <c r="G405" i="38" s="1"/>
  <c r="G418" i="38" s="1"/>
  <c r="G414" i="38"/>
  <c r="H86" i="40"/>
  <c r="I75" i="40"/>
  <c r="G55" i="33"/>
  <c r="S94" i="40"/>
  <c r="R95" i="40"/>
  <c r="H65" i="40"/>
  <c r="I39" i="31"/>
  <c r="AN39" i="31" s="1"/>
  <c r="AN44" i="31" s="1"/>
  <c r="H130" i="39"/>
  <c r="AN16" i="31"/>
  <c r="H66" i="41"/>
  <c r="I55" i="41"/>
  <c r="P24" i="43"/>
  <c r="H1" i="42"/>
  <c r="I2" i="42"/>
  <c r="H47" i="42"/>
  <c r="R29" i="32"/>
  <c r="P77" i="48"/>
  <c r="AI51" i="32"/>
  <c r="H39" i="32"/>
  <c r="H108" i="41"/>
  <c r="G27" i="48"/>
  <c r="AY16" i="31"/>
  <c r="J39" i="31"/>
  <c r="AY39" i="31" s="1"/>
  <c r="AY44" i="31" s="1"/>
  <c r="H159" i="39"/>
  <c r="G324" i="38"/>
  <c r="G325" i="38" s="1"/>
  <c r="G364" i="38" s="1"/>
  <c r="P52" i="40"/>
  <c r="O53" i="40"/>
  <c r="F405" i="38"/>
  <c r="F418" i="38" s="1"/>
  <c r="AM27" i="31"/>
  <c r="AM78" i="31"/>
  <c r="AM73" i="31"/>
  <c r="AM66" i="31"/>
  <c r="AM48" i="31"/>
  <c r="AM33" i="31"/>
  <c r="H83" i="33"/>
  <c r="G261" i="41"/>
  <c r="S1" i="43"/>
  <c r="R4" i="43"/>
  <c r="R2" i="43"/>
  <c r="I356" i="38"/>
  <c r="J337" i="38"/>
  <c r="J35" i="31"/>
  <c r="H155" i="39"/>
  <c r="AU12" i="31"/>
  <c r="G12" i="31"/>
  <c r="AN4" i="31"/>
  <c r="AN23" i="31" s="1"/>
  <c r="AO3" i="31"/>
  <c r="F297" i="40"/>
  <c r="I13" i="31"/>
  <c r="M35" i="33"/>
  <c r="L96" i="41"/>
  <c r="M95" i="41"/>
  <c r="I272" i="38"/>
  <c r="O134" i="38" l="1"/>
  <c r="O135" i="38"/>
  <c r="P134" i="38"/>
  <c r="P135" i="38"/>
  <c r="K135" i="38"/>
  <c r="F10" i="39" s="1"/>
  <c r="K134" i="38"/>
  <c r="S91" i="38"/>
  <c r="S92" i="38"/>
  <c r="S130" i="38"/>
  <c r="R131" i="38"/>
  <c r="R133" i="38" s="1"/>
  <c r="G365" i="40"/>
  <c r="L135" i="38"/>
  <c r="L134" i="38"/>
  <c r="M135" i="38"/>
  <c r="M134" i="38"/>
  <c r="N134" i="38"/>
  <c r="N135" i="38"/>
  <c r="M91" i="38"/>
  <c r="M92" i="38"/>
  <c r="L343" i="40"/>
  <c r="M331" i="40"/>
  <c r="J135" i="38"/>
  <c r="J134" i="38"/>
  <c r="Q133" i="38"/>
  <c r="J91" i="38"/>
  <c r="J92" i="38"/>
  <c r="H329" i="41"/>
  <c r="H301" i="41" s="1"/>
  <c r="I100" i="41"/>
  <c r="F365" i="40"/>
  <c r="F350" i="40"/>
  <c r="J350" i="40"/>
  <c r="J365" i="40"/>
  <c r="J158" i="38"/>
  <c r="I324" i="38"/>
  <c r="J269" i="38"/>
  <c r="J256" i="38"/>
  <c r="J264" i="38" s="1"/>
  <c r="J141" i="38"/>
  <c r="J149" i="38" s="1"/>
  <c r="K271" i="38"/>
  <c r="K155" i="38"/>
  <c r="K154" i="38"/>
  <c r="K156" i="38" s="1"/>
  <c r="K269" i="38"/>
  <c r="K256" i="38"/>
  <c r="K264" i="38" s="1"/>
  <c r="K157" i="38"/>
  <c r="K141" i="38"/>
  <c r="K149" i="38" s="1"/>
  <c r="I227" i="38"/>
  <c r="L370" i="38"/>
  <c r="M358" i="38"/>
  <c r="J227" i="38"/>
  <c r="J323" i="38"/>
  <c r="I323" i="38"/>
  <c r="I325" i="38" s="1"/>
  <c r="I364" i="38" s="1"/>
  <c r="I392" i="38" s="1"/>
  <c r="M410" i="38"/>
  <c r="N398" i="38"/>
  <c r="Q48" i="31"/>
  <c r="Q66" i="31"/>
  <c r="Q33" i="31"/>
  <c r="Q73" i="31"/>
  <c r="Q78" i="31"/>
  <c r="Q27" i="31"/>
  <c r="S3" i="31"/>
  <c r="R4" i="31"/>
  <c r="R23" i="31" s="1"/>
  <c r="AC27" i="31"/>
  <c r="AC66" i="31"/>
  <c r="AC33" i="31"/>
  <c r="AC73" i="31"/>
  <c r="AC48" i="31"/>
  <c r="AC78" i="31"/>
  <c r="AE3" i="31"/>
  <c r="AD4" i="31"/>
  <c r="AD23" i="31" s="1"/>
  <c r="F73" i="33"/>
  <c r="AX30" i="43"/>
  <c r="I297" i="40"/>
  <c r="I325" i="40" s="1"/>
  <c r="H432" i="38"/>
  <c r="H404" i="38" s="1"/>
  <c r="H417" i="38" s="1"/>
  <c r="H364" i="38"/>
  <c r="H392" i="38" s="1"/>
  <c r="H20" i="48"/>
  <c r="G29" i="32"/>
  <c r="AH51" i="32" s="1"/>
  <c r="R77" i="48"/>
  <c r="S29" i="32"/>
  <c r="R98" i="48" s="1"/>
  <c r="AJ51" i="32"/>
  <c r="H46" i="33"/>
  <c r="H25" i="48" s="1"/>
  <c r="AX37" i="43"/>
  <c r="H22" i="48"/>
  <c r="Y35" i="31"/>
  <c r="Y44" i="31" s="1"/>
  <c r="G35" i="31"/>
  <c r="F38" i="33"/>
  <c r="AQ38" i="43"/>
  <c r="AS38" i="43"/>
  <c r="F42" i="33"/>
  <c r="F24" i="48" s="1"/>
  <c r="E24" i="48" s="1"/>
  <c r="F46" i="33"/>
  <c r="F25" i="48" s="1"/>
  <c r="AU38" i="43"/>
  <c r="AW38" i="43"/>
  <c r="AX34" i="43"/>
  <c r="F50" i="33"/>
  <c r="F26" i="48" s="1"/>
  <c r="E26" i="48" s="1"/>
  <c r="AO38" i="43"/>
  <c r="L184" i="41"/>
  <c r="L228" i="41" s="1"/>
  <c r="L183" i="41"/>
  <c r="L227" i="41" s="1"/>
  <c r="L182" i="41"/>
  <c r="L226" i="41" s="1"/>
  <c r="L187" i="41"/>
  <c r="L231" i="41" s="1"/>
  <c r="L186" i="41"/>
  <c r="L230" i="41" s="1"/>
  <c r="M180" i="41"/>
  <c r="L185" i="41"/>
  <c r="L181" i="41"/>
  <c r="K225" i="41"/>
  <c r="K232" i="41" s="1"/>
  <c r="K188" i="41"/>
  <c r="J327" i="38"/>
  <c r="K293" i="38"/>
  <c r="J316" i="38"/>
  <c r="J322" i="38"/>
  <c r="G325" i="40"/>
  <c r="G310" i="40"/>
  <c r="L261" i="40"/>
  <c r="L268" i="40" s="1"/>
  <c r="L224" i="40"/>
  <c r="H175" i="38"/>
  <c r="H176" i="38" s="1"/>
  <c r="H185" i="38" s="1"/>
  <c r="N216" i="40"/>
  <c r="M223" i="40"/>
  <c r="M267" i="40" s="1"/>
  <c r="M217" i="40"/>
  <c r="M218" i="40"/>
  <c r="M262" i="40" s="1"/>
  <c r="M221" i="40"/>
  <c r="M222" i="40"/>
  <c r="M266" i="40" s="1"/>
  <c r="M219" i="40"/>
  <c r="M263" i="40" s="1"/>
  <c r="M220" i="40"/>
  <c r="M264" i="40" s="1"/>
  <c r="I347" i="40"/>
  <c r="I366" i="40"/>
  <c r="I338" i="40" s="1"/>
  <c r="I351" i="40" s="1"/>
  <c r="I346" i="40"/>
  <c r="I357" i="40"/>
  <c r="J326" i="40"/>
  <c r="J298" i="40" s="1"/>
  <c r="J311" i="40" s="1"/>
  <c r="J329" i="40"/>
  <c r="J317" i="40"/>
  <c r="L270" i="40"/>
  <c r="K289" i="40"/>
  <c r="I238" i="38"/>
  <c r="I174" i="38"/>
  <c r="I170" i="38"/>
  <c r="I172" i="38" s="1"/>
  <c r="L157" i="40"/>
  <c r="L154" i="40"/>
  <c r="L202" i="40"/>
  <c r="L204" i="40"/>
  <c r="L189" i="40"/>
  <c r="L197" i="40" s="1"/>
  <c r="L155" i="40"/>
  <c r="M139" i="40"/>
  <c r="L141" i="40"/>
  <c r="L149" i="40" s="1"/>
  <c r="J87" i="41"/>
  <c r="I167" i="41"/>
  <c r="K75" i="41"/>
  <c r="K76" i="41" s="1"/>
  <c r="L74" i="41"/>
  <c r="K156" i="40"/>
  <c r="L157" i="38"/>
  <c r="L155" i="38"/>
  <c r="L154" i="38"/>
  <c r="L211" i="38"/>
  <c r="L219" i="38" s="1"/>
  <c r="M139" i="38"/>
  <c r="L141" i="38"/>
  <c r="L149" i="38" s="1"/>
  <c r="L256" i="38"/>
  <c r="L264" i="38" s="1"/>
  <c r="L271" i="38"/>
  <c r="L269" i="38"/>
  <c r="L224" i="38"/>
  <c r="L225" i="38" s="1"/>
  <c r="L226" i="38"/>
  <c r="J142" i="41"/>
  <c r="J150" i="41" s="1"/>
  <c r="J156" i="41"/>
  <c r="K140" i="41"/>
  <c r="J166" i="41"/>
  <c r="J155" i="41"/>
  <c r="J158" i="41"/>
  <c r="J168" i="41"/>
  <c r="K270" i="38"/>
  <c r="K272" i="38" s="1"/>
  <c r="K203" i="40"/>
  <c r="K225" i="38"/>
  <c r="I246" i="38"/>
  <c r="O115" i="40"/>
  <c r="N116" i="40"/>
  <c r="M234" i="41"/>
  <c r="L253" i="41"/>
  <c r="L7" i="40"/>
  <c r="L2" i="40"/>
  <c r="L5" i="40"/>
  <c r="M6" i="40"/>
  <c r="L1" i="40"/>
  <c r="L219" i="41"/>
  <c r="L224" i="41"/>
  <c r="L213" i="41"/>
  <c r="M190" i="41"/>
  <c r="L291" i="38"/>
  <c r="L328" i="38"/>
  <c r="L335" i="38" s="1"/>
  <c r="N165" i="38"/>
  <c r="M166" i="38"/>
  <c r="M287" i="38"/>
  <c r="M331" i="38" s="1"/>
  <c r="M290" i="38"/>
  <c r="M334" i="38" s="1"/>
  <c r="M286" i="38"/>
  <c r="M330" i="38" s="1"/>
  <c r="M285" i="38"/>
  <c r="M329" i="38" s="1"/>
  <c r="M284" i="38"/>
  <c r="M289" i="38"/>
  <c r="M333" i="38" s="1"/>
  <c r="M288" i="38"/>
  <c r="N283" i="38"/>
  <c r="R226" i="40"/>
  <c r="Q249" i="40"/>
  <c r="Q260" i="40"/>
  <c r="Q255" i="40"/>
  <c r="K167" i="38"/>
  <c r="P29" i="40"/>
  <c r="O30" i="40"/>
  <c r="N166" i="40"/>
  <c r="M167" i="40"/>
  <c r="O46" i="33"/>
  <c r="J330" i="41"/>
  <c r="J302" i="41" s="1"/>
  <c r="J315" i="41" s="1"/>
  <c r="J311" i="41"/>
  <c r="J310" i="41"/>
  <c r="J321" i="41"/>
  <c r="K57" i="40"/>
  <c r="K99" i="40"/>
  <c r="K171" i="40"/>
  <c r="K78" i="40"/>
  <c r="L53" i="41"/>
  <c r="K54" i="41"/>
  <c r="N116" i="41"/>
  <c r="M117" i="41"/>
  <c r="K293" i="41"/>
  <c r="K271" i="41"/>
  <c r="K290" i="41"/>
  <c r="K262" i="41" s="1"/>
  <c r="K275" i="41" s="1"/>
  <c r="K270" i="41"/>
  <c r="J234" i="38"/>
  <c r="J235" i="38" s="1"/>
  <c r="J243" i="38" s="1"/>
  <c r="K233" i="38"/>
  <c r="F325" i="40"/>
  <c r="F310" i="40"/>
  <c r="J310" i="40"/>
  <c r="J325" i="40"/>
  <c r="G274" i="41"/>
  <c r="G289" i="41"/>
  <c r="G377" i="38"/>
  <c r="G392" i="38"/>
  <c r="J79" i="41"/>
  <c r="J58" i="41"/>
  <c r="J100" i="41"/>
  <c r="L255" i="41"/>
  <c r="K267" i="41"/>
  <c r="Y55" i="32"/>
  <c r="G126" i="39"/>
  <c r="G134" i="39" s="1"/>
  <c r="S22" i="32"/>
  <c r="R71" i="48"/>
  <c r="G218" i="40"/>
  <c r="G262" i="40" s="1"/>
  <c r="H218" i="40"/>
  <c r="H262" i="40" s="1"/>
  <c r="H39" i="31"/>
  <c r="G39" i="31" s="1"/>
  <c r="AC16" i="31"/>
  <c r="H101" i="39"/>
  <c r="G16" i="31"/>
  <c r="AB38" i="31"/>
  <c r="AB44" i="31" s="1"/>
  <c r="G38" i="31"/>
  <c r="H325" i="40"/>
  <c r="H310" i="40"/>
  <c r="J356" i="38"/>
  <c r="K337" i="38"/>
  <c r="P23" i="33"/>
  <c r="J31" i="41"/>
  <c r="I31" i="41"/>
  <c r="P98" i="48"/>
  <c r="J55" i="41"/>
  <c r="I66" i="41"/>
  <c r="T94" i="40"/>
  <c r="S95" i="40"/>
  <c r="H131" i="39"/>
  <c r="I40" i="31"/>
  <c r="AO40" i="31" s="1"/>
  <c r="AO44" i="31" s="1"/>
  <c r="AO17" i="31"/>
  <c r="I179" i="40"/>
  <c r="J168" i="40"/>
  <c r="F285" i="38"/>
  <c r="P58" i="48"/>
  <c r="F131" i="28"/>
  <c r="I396" i="38"/>
  <c r="I390" i="38"/>
  <c r="I393" i="38"/>
  <c r="I373" i="38"/>
  <c r="I374" i="38"/>
  <c r="I384" i="38"/>
  <c r="O22" i="33"/>
  <c r="I7" i="40"/>
  <c r="J7" i="40"/>
  <c r="F301" i="41"/>
  <c r="M39" i="33"/>
  <c r="H17" i="31"/>
  <c r="H40" i="32"/>
  <c r="P78" i="48"/>
  <c r="R30" i="32"/>
  <c r="AI52" i="32"/>
  <c r="K6" i="41"/>
  <c r="K3" i="41"/>
  <c r="K8" i="41"/>
  <c r="K2" i="41"/>
  <c r="L7" i="41"/>
  <c r="J31" i="31"/>
  <c r="R74" i="40"/>
  <c r="S73" i="40"/>
  <c r="Q24" i="43"/>
  <c r="H85" i="33"/>
  <c r="H86" i="33"/>
  <c r="AK13" i="31"/>
  <c r="H127" i="39"/>
  <c r="I36" i="31"/>
  <c r="G13" i="31"/>
  <c r="AO4" i="31"/>
  <c r="AO23" i="31" s="1"/>
  <c r="AP3" i="31"/>
  <c r="M96" i="41"/>
  <c r="N95" i="41"/>
  <c r="AN33" i="31"/>
  <c r="AN73" i="31"/>
  <c r="AN66" i="31"/>
  <c r="AN48" i="31"/>
  <c r="AN78" i="31"/>
  <c r="AN27" i="31"/>
  <c r="R7" i="43"/>
  <c r="R10" i="43"/>
  <c r="R14" i="43"/>
  <c r="R15" i="43"/>
  <c r="R8" i="43"/>
  <c r="R6" i="43"/>
  <c r="R13" i="43"/>
  <c r="R11" i="43"/>
  <c r="R12" i="43"/>
  <c r="R9" i="43"/>
  <c r="Q52" i="40"/>
  <c r="P53" i="40"/>
  <c r="H274" i="41"/>
  <c r="H289" i="41"/>
  <c r="G57" i="33"/>
  <c r="G58" i="33"/>
  <c r="G73" i="33"/>
  <c r="G18" i="48" s="1"/>
  <c r="K307" i="41"/>
  <c r="L295" i="41"/>
  <c r="J96" i="40"/>
  <c r="I107" i="40"/>
  <c r="Q26" i="43"/>
  <c r="Q23" i="43"/>
  <c r="F404" i="38"/>
  <c r="J54" i="40"/>
  <c r="F328" i="38"/>
  <c r="I4" i="47"/>
  <c r="I5" i="47"/>
  <c r="J3" i="47"/>
  <c r="I6" i="47"/>
  <c r="G69" i="33"/>
  <c r="G17" i="48" s="1"/>
  <c r="E17" i="48" s="1"/>
  <c r="F262" i="40"/>
  <c r="AU35" i="31"/>
  <c r="AU44" i="31" s="1"/>
  <c r="S2" i="43"/>
  <c r="S4" i="43"/>
  <c r="T1" i="43"/>
  <c r="F274" i="41"/>
  <c r="F289" i="41"/>
  <c r="J75" i="40"/>
  <c r="I86" i="40"/>
  <c r="K120" i="41"/>
  <c r="L303" i="40"/>
  <c r="M291" i="40"/>
  <c r="G61" i="33"/>
  <c r="Q25" i="43"/>
  <c r="G217" i="40"/>
  <c r="H217" i="40"/>
  <c r="H284" i="38"/>
  <c r="G284" i="38"/>
  <c r="G206" i="33"/>
  <c r="E203" i="33"/>
  <c r="AX31" i="43"/>
  <c r="G77" i="33"/>
  <c r="G19" i="48" s="1"/>
  <c r="E19" i="48" s="1"/>
  <c r="F181" i="41"/>
  <c r="T57" i="48"/>
  <c r="O57" i="48" s="1"/>
  <c r="H71" i="39"/>
  <c r="P15" i="31"/>
  <c r="H68" i="39"/>
  <c r="M12" i="31"/>
  <c r="O29" i="33"/>
  <c r="M29" i="33" s="1"/>
  <c r="J116" i="40"/>
  <c r="I116" i="40"/>
  <c r="E204" i="33"/>
  <c r="N40" i="33"/>
  <c r="R28" i="33"/>
  <c r="S28" i="33" s="1"/>
  <c r="P40" i="33"/>
  <c r="O40" i="33"/>
  <c r="Q41" i="33"/>
  <c r="I47" i="42"/>
  <c r="I1" i="42"/>
  <c r="J2" i="42"/>
  <c r="G57" i="48"/>
  <c r="E55" i="48"/>
  <c r="E57" i="48" s="1"/>
  <c r="H160" i="39"/>
  <c r="J40" i="31"/>
  <c r="AZ40" i="31" s="1"/>
  <c r="AZ44" i="31" s="1"/>
  <c r="AZ17" i="31"/>
  <c r="H424" i="38"/>
  <c r="H433" i="38"/>
  <c r="H413" i="38"/>
  <c r="H414" i="38"/>
  <c r="G65" i="33"/>
  <c r="G16" i="48" s="1"/>
  <c r="E16" i="48" s="1"/>
  <c r="F392" i="38"/>
  <c r="F377" i="38"/>
  <c r="T29" i="32"/>
  <c r="AK51" i="32"/>
  <c r="T77" i="48"/>
  <c r="J39" i="32"/>
  <c r="G39" i="32" s="1"/>
  <c r="Q30" i="41"/>
  <c r="P31" i="41"/>
  <c r="F261" i="40"/>
  <c r="K323" i="38" l="1"/>
  <c r="N331" i="40"/>
  <c r="M343" i="40"/>
  <c r="Q134" i="38"/>
  <c r="Q135" i="38"/>
  <c r="R135" i="38"/>
  <c r="R134" i="38"/>
  <c r="K158" i="38"/>
  <c r="T130" i="38"/>
  <c r="S131" i="38"/>
  <c r="S133" i="38" s="1"/>
  <c r="K158" i="40"/>
  <c r="K257" i="40"/>
  <c r="K258" i="40" s="1"/>
  <c r="L156" i="40"/>
  <c r="L256" i="40"/>
  <c r="J270" i="38"/>
  <c r="J324" i="38" s="1"/>
  <c r="J325" i="38" s="1"/>
  <c r="J364" i="38" s="1"/>
  <c r="J377" i="38" s="1"/>
  <c r="I310" i="40"/>
  <c r="H377" i="38"/>
  <c r="N358" i="38"/>
  <c r="M370" i="38"/>
  <c r="N410" i="38"/>
  <c r="O398" i="38"/>
  <c r="R78" i="31"/>
  <c r="R33" i="31"/>
  <c r="R73" i="31"/>
  <c r="R48" i="31"/>
  <c r="R27" i="31"/>
  <c r="R66" i="31"/>
  <c r="T3" i="31"/>
  <c r="S4" i="31"/>
  <c r="S23" i="31" s="1"/>
  <c r="AD33" i="31"/>
  <c r="AD27" i="31"/>
  <c r="AD66" i="31"/>
  <c r="AD48" i="31"/>
  <c r="AD78" i="31"/>
  <c r="AD73" i="31"/>
  <c r="AF3" i="31"/>
  <c r="AE4" i="31"/>
  <c r="AE23" i="31" s="1"/>
  <c r="F18" i="48"/>
  <c r="F20" i="48" s="1"/>
  <c r="F84" i="33"/>
  <c r="N47" i="33" s="1"/>
  <c r="F83" i="33"/>
  <c r="F82" i="33"/>
  <c r="F55" i="33"/>
  <c r="I377" i="38"/>
  <c r="AX38" i="43"/>
  <c r="H55" i="33"/>
  <c r="P22" i="33" s="1"/>
  <c r="P31" i="33" s="1"/>
  <c r="E25" i="48"/>
  <c r="H54" i="33"/>
  <c r="H27" i="48"/>
  <c r="H56" i="33"/>
  <c r="P46" i="33" s="1"/>
  <c r="F23" i="48"/>
  <c r="E23" i="48" s="1"/>
  <c r="F54" i="33"/>
  <c r="G82" i="33"/>
  <c r="F22" i="48"/>
  <c r="F56" i="33"/>
  <c r="N46" i="33" s="1"/>
  <c r="M185" i="41"/>
  <c r="M186" i="41"/>
  <c r="M230" i="41" s="1"/>
  <c r="M184" i="41"/>
  <c r="M228" i="41" s="1"/>
  <c r="M181" i="41"/>
  <c r="M182" i="41"/>
  <c r="M226" i="41" s="1"/>
  <c r="M183" i="41"/>
  <c r="M227" i="41" s="1"/>
  <c r="M187" i="41"/>
  <c r="M231" i="41" s="1"/>
  <c r="N180" i="41"/>
  <c r="L188" i="41"/>
  <c r="L225" i="41"/>
  <c r="L232" i="41" s="1"/>
  <c r="K322" i="38"/>
  <c r="K327" i="38"/>
  <c r="K316" i="38"/>
  <c r="L293" i="38"/>
  <c r="L158" i="40"/>
  <c r="M224" i="40"/>
  <c r="M261" i="40"/>
  <c r="M268" i="40" s="1"/>
  <c r="N223" i="40"/>
  <c r="N267" i="40" s="1"/>
  <c r="N220" i="40"/>
  <c r="N264" i="40" s="1"/>
  <c r="N219" i="40"/>
  <c r="N263" i="40" s="1"/>
  <c r="N222" i="40"/>
  <c r="N266" i="40" s="1"/>
  <c r="N221" i="40"/>
  <c r="N218" i="40"/>
  <c r="N262" i="40" s="1"/>
  <c r="N217" i="40"/>
  <c r="O216" i="40"/>
  <c r="K324" i="38"/>
  <c r="K325" i="38" s="1"/>
  <c r="K364" i="38" s="1"/>
  <c r="K326" i="40"/>
  <c r="K298" i="40" s="1"/>
  <c r="K311" i="40" s="1"/>
  <c r="K329" i="40"/>
  <c r="K307" i="40"/>
  <c r="K306" i="40"/>
  <c r="K297" i="40"/>
  <c r="M270" i="40"/>
  <c r="L289" i="40"/>
  <c r="J357" i="40"/>
  <c r="J366" i="40"/>
  <c r="J338" i="40" s="1"/>
  <c r="J351" i="40" s="1"/>
  <c r="K87" i="41"/>
  <c r="M155" i="38"/>
  <c r="M154" i="38"/>
  <c r="M156" i="38" s="1"/>
  <c r="M269" i="38"/>
  <c r="M141" i="38"/>
  <c r="M149" i="38" s="1"/>
  <c r="M271" i="38"/>
  <c r="M157" i="38"/>
  <c r="M256" i="38"/>
  <c r="M264" i="38" s="1"/>
  <c r="N139" i="38"/>
  <c r="M211" i="38"/>
  <c r="M219" i="38" s="1"/>
  <c r="M226" i="38"/>
  <c r="M224" i="38"/>
  <c r="J238" i="38"/>
  <c r="J170" i="38"/>
  <c r="J172" i="38" s="1"/>
  <c r="J174" i="38"/>
  <c r="K205" i="40"/>
  <c r="K350" i="40" s="1"/>
  <c r="L156" i="38"/>
  <c r="L158" i="38" s="1"/>
  <c r="I169" i="41"/>
  <c r="I261" i="41"/>
  <c r="K227" i="38"/>
  <c r="J157" i="41"/>
  <c r="J159" i="41" s="1"/>
  <c r="L227" i="38"/>
  <c r="N139" i="40"/>
  <c r="M189" i="40"/>
  <c r="M197" i="40" s="1"/>
  <c r="M204" i="40"/>
  <c r="M154" i="40"/>
  <c r="M141" i="40"/>
  <c r="M149" i="40" s="1"/>
  <c r="M157" i="40"/>
  <c r="M155" i="40"/>
  <c r="M202" i="40"/>
  <c r="J167" i="41"/>
  <c r="L270" i="38"/>
  <c r="L272" i="38" s="1"/>
  <c r="L323" i="38"/>
  <c r="L75" i="41"/>
  <c r="L76" i="41" s="1"/>
  <c r="L87" i="41" s="1"/>
  <c r="M74" i="41"/>
  <c r="I175" i="38"/>
  <c r="L140" i="41"/>
  <c r="K155" i="41"/>
  <c r="K156" i="41"/>
  <c r="K142" i="41"/>
  <c r="K150" i="41" s="1"/>
  <c r="K166" i="41"/>
  <c r="K158" i="41"/>
  <c r="K168" i="41"/>
  <c r="L203" i="40"/>
  <c r="J246" i="38"/>
  <c r="M2" i="40"/>
  <c r="M5" i="40"/>
  <c r="N6" i="40"/>
  <c r="M7" i="40"/>
  <c r="M1" i="40"/>
  <c r="L167" i="38"/>
  <c r="N287" i="38"/>
  <c r="N331" i="38" s="1"/>
  <c r="N290" i="38"/>
  <c r="N334" i="38" s="1"/>
  <c r="N288" i="38"/>
  <c r="N286" i="38"/>
  <c r="N330" i="38" s="1"/>
  <c r="N289" i="38"/>
  <c r="N333" i="38" s="1"/>
  <c r="N285" i="38"/>
  <c r="N329" i="38" s="1"/>
  <c r="N284" i="38"/>
  <c r="O283" i="38"/>
  <c r="E206" i="33"/>
  <c r="K330" i="41"/>
  <c r="K302" i="41" s="1"/>
  <c r="K315" i="41" s="1"/>
  <c r="K310" i="41"/>
  <c r="K311" i="41"/>
  <c r="M213" i="41"/>
  <c r="M224" i="41"/>
  <c r="M219" i="41"/>
  <c r="N190" i="41"/>
  <c r="O166" i="40"/>
  <c r="N167" i="40"/>
  <c r="M328" i="38"/>
  <c r="M335" i="38" s="1"/>
  <c r="M291" i="38"/>
  <c r="L293" i="41"/>
  <c r="L271" i="41"/>
  <c r="L270" i="41"/>
  <c r="O116" i="40"/>
  <c r="P115" i="40"/>
  <c r="L233" i="38"/>
  <c r="K234" i="38"/>
  <c r="K235" i="38" s="1"/>
  <c r="K243" i="38" s="1"/>
  <c r="O116" i="41"/>
  <c r="N117" i="41"/>
  <c r="M253" i="41"/>
  <c r="N234" i="41"/>
  <c r="M53" i="41"/>
  <c r="L54" i="41"/>
  <c r="Q29" i="40"/>
  <c r="P30" i="40"/>
  <c r="R260" i="40"/>
  <c r="R249" i="40"/>
  <c r="R255" i="40"/>
  <c r="S226" i="40"/>
  <c r="O165" i="38"/>
  <c r="N166" i="38"/>
  <c r="L57" i="40"/>
  <c r="L99" i="40"/>
  <c r="L78" i="40"/>
  <c r="L171" i="40"/>
  <c r="S14" i="43"/>
  <c r="W14" i="43" s="1"/>
  <c r="S9" i="43"/>
  <c r="W9" i="43" s="1"/>
  <c r="S6" i="43"/>
  <c r="S13" i="43"/>
  <c r="S11" i="43"/>
  <c r="W11" i="43" s="1"/>
  <c r="S8" i="43"/>
  <c r="S7" i="43"/>
  <c r="W7" i="43" s="1"/>
  <c r="S10" i="43"/>
  <c r="W10" i="43" s="1"/>
  <c r="S12" i="43"/>
  <c r="W12" i="43" s="1"/>
  <c r="S15" i="43"/>
  <c r="W15" i="43" s="1"/>
  <c r="R25" i="43"/>
  <c r="I365" i="38"/>
  <c r="I378" i="38" s="1"/>
  <c r="T95" i="40"/>
  <c r="U94" i="40"/>
  <c r="O41" i="33"/>
  <c r="I19" i="31" s="1"/>
  <c r="R29" i="33"/>
  <c r="S29" i="33" s="1"/>
  <c r="N41" i="33"/>
  <c r="P41" i="33"/>
  <c r="J19" i="31" s="1"/>
  <c r="Q42" i="33"/>
  <c r="H405" i="38"/>
  <c r="H418" i="38" s="1"/>
  <c r="H18" i="31"/>
  <c r="M40" i="33"/>
  <c r="L120" i="41"/>
  <c r="J65" i="40"/>
  <c r="J67" i="40" s="1"/>
  <c r="K54" i="40"/>
  <c r="AK36" i="31"/>
  <c r="AK44" i="31" s="1"/>
  <c r="G36" i="31"/>
  <c r="I430" i="38"/>
  <c r="F329" i="38"/>
  <c r="Q16" i="31"/>
  <c r="H72" i="39"/>
  <c r="J18" i="31"/>
  <c r="H328" i="38"/>
  <c r="K96" i="40"/>
  <c r="J107" i="40"/>
  <c r="J109" i="40" s="1"/>
  <c r="R24" i="43"/>
  <c r="M255" i="41"/>
  <c r="L267" i="41"/>
  <c r="H181" i="41"/>
  <c r="G181" i="41"/>
  <c r="H261" i="40"/>
  <c r="I8" i="40"/>
  <c r="I424" i="38"/>
  <c r="I414" i="38"/>
  <c r="I413" i="38"/>
  <c r="I433" i="38"/>
  <c r="I405" i="38" s="1"/>
  <c r="I418" i="38" s="1"/>
  <c r="R92" i="48"/>
  <c r="AD55" i="32"/>
  <c r="F225" i="41"/>
  <c r="K79" i="41"/>
  <c r="K58" i="41"/>
  <c r="K100" i="41"/>
  <c r="R30" i="41"/>
  <c r="Q31" i="41"/>
  <c r="T98" i="48"/>
  <c r="I119" i="40"/>
  <c r="G261" i="40"/>
  <c r="G84" i="33"/>
  <c r="G15" i="48"/>
  <c r="G83" i="33"/>
  <c r="R52" i="40"/>
  <c r="Q53" i="40"/>
  <c r="N96" i="41"/>
  <c r="O95" i="41"/>
  <c r="G17" i="31"/>
  <c r="AD17" i="31"/>
  <c r="H40" i="31"/>
  <c r="H102" i="39"/>
  <c r="J66" i="41"/>
  <c r="J68" i="41" s="1"/>
  <c r="K55" i="41"/>
  <c r="K356" i="38"/>
  <c r="L337" i="38"/>
  <c r="G285" i="38"/>
  <c r="H285" i="38"/>
  <c r="R26" i="43"/>
  <c r="R23" i="43"/>
  <c r="AQ3" i="31"/>
  <c r="AP4" i="31"/>
  <c r="AP23" i="31" s="1"/>
  <c r="J374" i="38"/>
  <c r="J396" i="38"/>
  <c r="J384" i="38"/>
  <c r="J373" i="38"/>
  <c r="J393" i="38"/>
  <c r="J365" i="38" s="1"/>
  <c r="J378" i="38" s="1"/>
  <c r="AC39" i="31"/>
  <c r="AC44" i="31" s="1"/>
  <c r="AO27" i="31"/>
  <c r="AO66" i="31"/>
  <c r="AO33" i="31"/>
  <c r="AO48" i="31"/>
  <c r="AO73" i="31"/>
  <c r="AO78" i="31"/>
  <c r="T73" i="40"/>
  <c r="S74" i="40"/>
  <c r="J8" i="32"/>
  <c r="J30" i="32"/>
  <c r="G31" i="31"/>
  <c r="P99" i="48"/>
  <c r="Q29" i="32"/>
  <c r="J86" i="40"/>
  <c r="K75" i="40"/>
  <c r="M35" i="31"/>
  <c r="M44" i="31" s="1"/>
  <c r="L307" i="41"/>
  <c r="M295" i="41"/>
  <c r="K2" i="42"/>
  <c r="J1" i="42"/>
  <c r="J47" i="42"/>
  <c r="I18" i="31"/>
  <c r="G328" i="38"/>
  <c r="N291" i="40"/>
  <c r="M303" i="40"/>
  <c r="T2" i="43"/>
  <c r="U1" i="43"/>
  <c r="T4" i="43"/>
  <c r="J5" i="47"/>
  <c r="J4" i="47"/>
  <c r="K3" i="47"/>
  <c r="J6" i="47"/>
  <c r="N13" i="31"/>
  <c r="H69" i="39"/>
  <c r="L3" i="41"/>
  <c r="L6" i="41"/>
  <c r="L8" i="41"/>
  <c r="L2" i="41"/>
  <c r="M7" i="41"/>
  <c r="J179" i="40"/>
  <c r="K168" i="40"/>
  <c r="I32" i="41"/>
  <c r="P38" i="31"/>
  <c r="P44" i="31" s="1"/>
  <c r="K432" i="38" l="1"/>
  <c r="K404" i="38" s="1"/>
  <c r="K417" i="38" s="1"/>
  <c r="L257" i="40"/>
  <c r="K365" i="40"/>
  <c r="S135" i="38"/>
  <c r="S134" i="38"/>
  <c r="O331" i="40"/>
  <c r="N343" i="40"/>
  <c r="J272" i="38"/>
  <c r="J432" i="38" s="1"/>
  <c r="J404" i="38" s="1"/>
  <c r="J417" i="38" s="1"/>
  <c r="U130" i="38"/>
  <c r="T131" i="38"/>
  <c r="T133" i="38" s="1"/>
  <c r="N39" i="38"/>
  <c r="N42" i="38" s="1"/>
  <c r="N48" i="38" s="1"/>
  <c r="R39" i="38"/>
  <c r="R42" i="38" s="1"/>
  <c r="R48" i="38" s="1"/>
  <c r="V39" i="38"/>
  <c r="V42" i="38" s="1"/>
  <c r="V48" i="38" s="1"/>
  <c r="Z39" i="38"/>
  <c r="Z42" i="38" s="1"/>
  <c r="Z48" i="38" s="1"/>
  <c r="K39" i="38"/>
  <c r="K42" i="38" s="1"/>
  <c r="K48" i="38" s="1"/>
  <c r="S39" i="38"/>
  <c r="S42" i="38" s="1"/>
  <c r="S48" i="38" s="1"/>
  <c r="Q39" i="38"/>
  <c r="Q42" i="38" s="1"/>
  <c r="Q48" i="38" s="1"/>
  <c r="U39" i="38"/>
  <c r="U42" i="38" s="1"/>
  <c r="U48" i="38" s="1"/>
  <c r="O39" i="38"/>
  <c r="O42" i="38" s="1"/>
  <c r="O48" i="38" s="1"/>
  <c r="W39" i="38"/>
  <c r="W42" i="38" s="1"/>
  <c r="W48" i="38" s="1"/>
  <c r="J39" i="38"/>
  <c r="J42" i="38" s="1"/>
  <c r="J48" i="38" s="1"/>
  <c r="L39" i="38"/>
  <c r="L42" i="38" s="1"/>
  <c r="L48" i="38" s="1"/>
  <c r="P39" i="38"/>
  <c r="P42" i="38" s="1"/>
  <c r="P48" i="38" s="1"/>
  <c r="T39" i="38"/>
  <c r="T42" i="38" s="1"/>
  <c r="T48" i="38" s="1"/>
  <c r="X39" i="38"/>
  <c r="X42" i="38" s="1"/>
  <c r="X48" i="38" s="1"/>
  <c r="I39" i="38"/>
  <c r="I42" i="38" s="1"/>
  <c r="I48" i="38" s="1"/>
  <c r="M39" i="38"/>
  <c r="M42" i="38" s="1"/>
  <c r="M48" i="38" s="1"/>
  <c r="Y39" i="38"/>
  <c r="Y42" i="38" s="1"/>
  <c r="Y48" i="38" s="1"/>
  <c r="N20" i="38"/>
  <c r="N25" i="38" s="1"/>
  <c r="U20" i="38"/>
  <c r="U25" i="38" s="1"/>
  <c r="L258" i="40"/>
  <c r="M156" i="40"/>
  <c r="M158" i="40" s="1"/>
  <c r="M256" i="40"/>
  <c r="J392" i="38"/>
  <c r="I176" i="38"/>
  <c r="I185" i="38" s="1"/>
  <c r="N370" i="38"/>
  <c r="O358" i="38"/>
  <c r="P398" i="38"/>
  <c r="O410" i="38"/>
  <c r="S66" i="31"/>
  <c r="S48" i="31"/>
  <c r="S73" i="31"/>
  <c r="S78" i="31"/>
  <c r="S33" i="31"/>
  <c r="S27" i="31"/>
  <c r="U3" i="31"/>
  <c r="U4" i="31" s="1"/>
  <c r="U23" i="31" s="1"/>
  <c r="T4" i="31"/>
  <c r="T23" i="31" s="1"/>
  <c r="AE27" i="31"/>
  <c r="AE48" i="31"/>
  <c r="AE66" i="31"/>
  <c r="AE73" i="31"/>
  <c r="AE78" i="31"/>
  <c r="AE33" i="31"/>
  <c r="AF4" i="31"/>
  <c r="AF23" i="31" s="1"/>
  <c r="AG3" i="31"/>
  <c r="AG4" i="31" s="1"/>
  <c r="AG23" i="31" s="1"/>
  <c r="E18" i="48"/>
  <c r="N23" i="33"/>
  <c r="F85" i="33"/>
  <c r="F67" i="48" s="1"/>
  <c r="F86" i="33"/>
  <c r="E67" i="48" s="1"/>
  <c r="P176" i="33"/>
  <c r="J20" i="32" s="1"/>
  <c r="Z55" i="32" s="1"/>
  <c r="H57" i="33"/>
  <c r="J8" i="41"/>
  <c r="I8" i="41"/>
  <c r="I9" i="41" s="1"/>
  <c r="H58" i="33"/>
  <c r="E54" i="33"/>
  <c r="E56" i="33"/>
  <c r="N176" i="33"/>
  <c r="H20" i="32" s="1"/>
  <c r="M46" i="33"/>
  <c r="F58" i="33"/>
  <c r="E74" i="48" s="1"/>
  <c r="F57" i="33"/>
  <c r="F74" i="48" s="1"/>
  <c r="N22" i="33"/>
  <c r="E55" i="33"/>
  <c r="E22" i="48"/>
  <c r="E27" i="48" s="1"/>
  <c r="F27" i="48"/>
  <c r="N184" i="41"/>
  <c r="N228" i="41" s="1"/>
  <c r="N183" i="41"/>
  <c r="N227" i="41" s="1"/>
  <c r="N186" i="41"/>
  <c r="N230" i="41" s="1"/>
  <c r="N182" i="41"/>
  <c r="N226" i="41" s="1"/>
  <c r="N185" i="41"/>
  <c r="O180" i="41"/>
  <c r="N187" i="41"/>
  <c r="N231" i="41" s="1"/>
  <c r="N181" i="41"/>
  <c r="M225" i="41"/>
  <c r="M232" i="41" s="1"/>
  <c r="M188" i="41"/>
  <c r="L322" i="38"/>
  <c r="L327" i="38"/>
  <c r="M293" i="38"/>
  <c r="L316" i="38"/>
  <c r="O221" i="40"/>
  <c r="O217" i="40"/>
  <c r="O223" i="40"/>
  <c r="O267" i="40" s="1"/>
  <c r="P216" i="40"/>
  <c r="O222" i="40"/>
  <c r="O266" i="40" s="1"/>
  <c r="O220" i="40"/>
  <c r="O264" i="40" s="1"/>
  <c r="O218" i="40"/>
  <c r="O262" i="40" s="1"/>
  <c r="O219" i="40"/>
  <c r="O263" i="40" s="1"/>
  <c r="N261" i="40"/>
  <c r="N268" i="40" s="1"/>
  <c r="N224" i="40"/>
  <c r="K377" i="38"/>
  <c r="K392" i="38"/>
  <c r="K347" i="40"/>
  <c r="K346" i="40"/>
  <c r="K366" i="40"/>
  <c r="K338" i="40" s="1"/>
  <c r="K351" i="40" s="1"/>
  <c r="L324" i="38"/>
  <c r="L325" i="38" s="1"/>
  <c r="L364" i="38" s="1"/>
  <c r="L392" i="38" s="1"/>
  <c r="L307" i="40"/>
  <c r="L329" i="40"/>
  <c r="L306" i="40"/>
  <c r="L326" i="40"/>
  <c r="L298" i="40" s="1"/>
  <c r="L311" i="40" s="1"/>
  <c r="M289" i="40"/>
  <c r="N270" i="40"/>
  <c r="L432" i="38"/>
  <c r="L404" i="38" s="1"/>
  <c r="L417" i="38" s="1"/>
  <c r="K170" i="38"/>
  <c r="K172" i="38" s="1"/>
  <c r="K238" i="38"/>
  <c r="K174" i="38"/>
  <c r="M225" i="38"/>
  <c r="M227" i="38" s="1"/>
  <c r="M323" i="38"/>
  <c r="M270" i="38"/>
  <c r="M272" i="38" s="1"/>
  <c r="M203" i="40"/>
  <c r="M158" i="38"/>
  <c r="K157" i="41"/>
  <c r="K159" i="41" s="1"/>
  <c r="J169" i="41"/>
  <c r="J261" i="41"/>
  <c r="N141" i="40"/>
  <c r="N149" i="40" s="1"/>
  <c r="N155" i="40"/>
  <c r="N189" i="40"/>
  <c r="N197" i="40" s="1"/>
  <c r="O139" i="40"/>
  <c r="N211" i="38"/>
  <c r="N219" i="38" s="1"/>
  <c r="N271" i="38"/>
  <c r="N226" i="38"/>
  <c r="O139" i="38"/>
  <c r="N269" i="38"/>
  <c r="N224" i="38"/>
  <c r="N256" i="38"/>
  <c r="N264" i="38" s="1"/>
  <c r="N141" i="38"/>
  <c r="N149" i="38" s="1"/>
  <c r="N155" i="38"/>
  <c r="N157" i="38"/>
  <c r="N154" i="38"/>
  <c r="N156" i="38" s="1"/>
  <c r="L156" i="41"/>
  <c r="L142" i="41"/>
  <c r="L150" i="41" s="1"/>
  <c r="M140" i="41"/>
  <c r="I274" i="41"/>
  <c r="I289" i="41"/>
  <c r="K325" i="40"/>
  <c r="K310" i="40"/>
  <c r="K167" i="41"/>
  <c r="J175" i="38"/>
  <c r="J176" i="38" s="1"/>
  <c r="J185" i="38" s="1"/>
  <c r="L205" i="40"/>
  <c r="L350" i="40" s="1"/>
  <c r="L297" i="40"/>
  <c r="M75" i="41"/>
  <c r="M76" i="41" s="1"/>
  <c r="M87" i="41" s="1"/>
  <c r="N74" i="41"/>
  <c r="O234" i="41"/>
  <c r="N253" i="41"/>
  <c r="P116" i="41"/>
  <c r="O117" i="41"/>
  <c r="L311" i="41"/>
  <c r="L310" i="41"/>
  <c r="P166" i="40"/>
  <c r="O167" i="40"/>
  <c r="N53" i="41"/>
  <c r="M54" i="41"/>
  <c r="R29" i="40"/>
  <c r="Q30" i="40"/>
  <c r="M293" i="41"/>
  <c r="M270" i="41"/>
  <c r="M271" i="41"/>
  <c r="L234" i="38"/>
  <c r="L235" i="38" s="1"/>
  <c r="L243" i="38" s="1"/>
  <c r="M233" i="38"/>
  <c r="N213" i="41"/>
  <c r="O190" i="41"/>
  <c r="N219" i="41"/>
  <c r="N224" i="41"/>
  <c r="P165" i="38"/>
  <c r="O166" i="38"/>
  <c r="S255" i="40"/>
  <c r="T226" i="40"/>
  <c r="S249" i="40"/>
  <c r="S260" i="40"/>
  <c r="Q115" i="40"/>
  <c r="P116" i="40"/>
  <c r="O288" i="38"/>
  <c r="O287" i="38"/>
  <c r="O331" i="38" s="1"/>
  <c r="P283" i="38"/>
  <c r="O289" i="38"/>
  <c r="O333" i="38" s="1"/>
  <c r="O285" i="38"/>
  <c r="O329" i="38" s="1"/>
  <c r="O284" i="38"/>
  <c r="O290" i="38"/>
  <c r="O334" i="38" s="1"/>
  <c r="O286" i="38"/>
  <c r="O330" i="38" s="1"/>
  <c r="N1" i="40"/>
  <c r="N5" i="40"/>
  <c r="O6" i="40"/>
  <c r="N2" i="40"/>
  <c r="N7" i="40"/>
  <c r="N328" i="38"/>
  <c r="N335" i="38" s="1"/>
  <c r="N291" i="38"/>
  <c r="M167" i="38"/>
  <c r="M171" i="40"/>
  <c r="M99" i="40"/>
  <c r="M57" i="40"/>
  <c r="M78" i="40"/>
  <c r="K246" i="38"/>
  <c r="O291" i="40"/>
  <c r="N303" i="40"/>
  <c r="S52" i="40"/>
  <c r="R53" i="40"/>
  <c r="L58" i="41"/>
  <c r="L79" i="41"/>
  <c r="L100" i="41"/>
  <c r="Q39" i="31"/>
  <c r="Q44" i="31" s="1"/>
  <c r="L55" i="41"/>
  <c r="K66" i="41"/>
  <c r="K68" i="41" s="1"/>
  <c r="K63" i="41" s="1"/>
  <c r="AD40" i="31"/>
  <c r="AD44" i="31" s="1"/>
  <c r="G40" i="31"/>
  <c r="G20" i="48"/>
  <c r="E15" i="48"/>
  <c r="S30" i="41"/>
  <c r="R31" i="41"/>
  <c r="L96" i="40"/>
  <c r="K107" i="40"/>
  <c r="K109" i="40" s="1"/>
  <c r="S26" i="43"/>
  <c r="S23" i="43"/>
  <c r="W6" i="43"/>
  <c r="J424" i="38"/>
  <c r="J433" i="38"/>
  <c r="J405" i="38" s="1"/>
  <c r="J418" i="38" s="1"/>
  <c r="J414" i="38"/>
  <c r="J413" i="38"/>
  <c r="O23" i="33"/>
  <c r="J30" i="40"/>
  <c r="I30" i="40"/>
  <c r="E83" i="33"/>
  <c r="U73" i="40"/>
  <c r="T74" i="40"/>
  <c r="P95" i="41"/>
  <c r="O96" i="41"/>
  <c r="O47" i="33"/>
  <c r="M47" i="33" s="1"/>
  <c r="E84" i="33"/>
  <c r="G225" i="41"/>
  <c r="K65" i="40"/>
  <c r="K67" i="40" s="1"/>
  <c r="L54" i="40"/>
  <c r="M120" i="41"/>
  <c r="G18" i="31"/>
  <c r="H41" i="31"/>
  <c r="AE18" i="31"/>
  <c r="H103" i="39"/>
  <c r="L75" i="40"/>
  <c r="K86" i="40"/>
  <c r="M3" i="41"/>
  <c r="N7" i="41"/>
  <c r="M8" i="41"/>
  <c r="M2" i="41"/>
  <c r="M6" i="41"/>
  <c r="W13" i="43"/>
  <c r="T10" i="43"/>
  <c r="T6" i="43"/>
  <c r="T8" i="43"/>
  <c r="T12" i="43"/>
  <c r="T11" i="43"/>
  <c r="T13" i="43"/>
  <c r="T15" i="43"/>
  <c r="T14" i="43"/>
  <c r="T9" i="43"/>
  <c r="T7" i="43"/>
  <c r="AP66" i="31"/>
  <c r="AP33" i="31"/>
  <c r="AP78" i="31"/>
  <c r="AP73" i="31"/>
  <c r="AP27" i="31"/>
  <c r="AP48" i="31"/>
  <c r="H329" i="38"/>
  <c r="H73" i="39"/>
  <c r="R17" i="31"/>
  <c r="J119" i="40"/>
  <c r="J8" i="40"/>
  <c r="H225" i="41"/>
  <c r="P42" i="33"/>
  <c r="O42" i="33"/>
  <c r="I20" i="31" s="1"/>
  <c r="I10" i="31" s="1"/>
  <c r="N42" i="33"/>
  <c r="R30" i="33"/>
  <c r="S30" i="33" s="1"/>
  <c r="U95" i="40"/>
  <c r="V94" i="40"/>
  <c r="T58" i="48"/>
  <c r="F182" i="41"/>
  <c r="G8" i="32"/>
  <c r="AQ19" i="31"/>
  <c r="I42" i="31"/>
  <c r="AQ42" i="31" s="1"/>
  <c r="AQ44" i="31" s="1"/>
  <c r="K1" i="42"/>
  <c r="K47" i="42"/>
  <c r="L2" i="42"/>
  <c r="G85" i="33"/>
  <c r="G86" i="33"/>
  <c r="E82" i="33"/>
  <c r="U4" i="43"/>
  <c r="U2" i="43"/>
  <c r="K179" i="40"/>
  <c r="L168" i="40"/>
  <c r="M307" i="41"/>
  <c r="N295" i="41"/>
  <c r="AQ4" i="31"/>
  <c r="AQ23" i="31" s="1"/>
  <c r="AR3" i="31"/>
  <c r="AR4" i="31" s="1"/>
  <c r="AR23" i="31" s="1"/>
  <c r="G329" i="38"/>
  <c r="L356" i="38"/>
  <c r="M337" i="38"/>
  <c r="J42" i="31"/>
  <c r="BB42" i="31" s="1"/>
  <c r="BB44" i="31" s="1"/>
  <c r="BB19" i="31"/>
  <c r="K4" i="47"/>
  <c r="L3" i="47"/>
  <c r="K5" i="47"/>
  <c r="K6" i="47"/>
  <c r="H132" i="39"/>
  <c r="AP18" i="31"/>
  <c r="I41" i="31"/>
  <c r="J32" i="41"/>
  <c r="T30" i="32"/>
  <c r="J40" i="32"/>
  <c r="T78" i="48"/>
  <c r="AK52" i="32"/>
  <c r="G30" i="32"/>
  <c r="K396" i="38"/>
  <c r="K393" i="38"/>
  <c r="M41" i="33"/>
  <c r="H19" i="31"/>
  <c r="S24" i="43"/>
  <c r="W8" i="43"/>
  <c r="M267" i="41"/>
  <c r="N255" i="41"/>
  <c r="J41" i="31"/>
  <c r="H161" i="39"/>
  <c r="BA18" i="31"/>
  <c r="N36" i="31"/>
  <c r="N44" i="31" s="1"/>
  <c r="S25" i="43"/>
  <c r="P331" i="40" l="1"/>
  <c r="O343" i="40"/>
  <c r="O58" i="48"/>
  <c r="T135" i="38"/>
  <c r="T134" i="38"/>
  <c r="J329" i="41"/>
  <c r="J301" i="41" s="1"/>
  <c r="J314" i="41" s="1"/>
  <c r="V130" i="38"/>
  <c r="U131" i="38"/>
  <c r="U133" i="38" s="1"/>
  <c r="M257" i="40"/>
  <c r="L365" i="40"/>
  <c r="M158" i="41"/>
  <c r="U26" i="38"/>
  <c r="U27" i="38"/>
  <c r="I49" i="38"/>
  <c r="I50" i="38"/>
  <c r="I137" i="38"/>
  <c r="L49" i="38"/>
  <c r="L50" i="38"/>
  <c r="L137" i="38"/>
  <c r="U50" i="38"/>
  <c r="U49" i="38"/>
  <c r="Z50" i="38"/>
  <c r="Z49" i="38"/>
  <c r="N27" i="38"/>
  <c r="N26" i="38"/>
  <c r="X49" i="38"/>
  <c r="X50" i="38"/>
  <c r="J50" i="38"/>
  <c r="J49" i="38"/>
  <c r="J137" i="38"/>
  <c r="Q50" i="38"/>
  <c r="Q49" i="38"/>
  <c r="Q137" i="38"/>
  <c r="V50" i="38"/>
  <c r="V49" i="38"/>
  <c r="Y50" i="38"/>
  <c r="Y49" i="38"/>
  <c r="T50" i="38"/>
  <c r="T49" i="38"/>
  <c r="T137" i="38"/>
  <c r="W49" i="38"/>
  <c r="W50" i="38"/>
  <c r="S49" i="38"/>
  <c r="S50" i="38"/>
  <c r="S137" i="38"/>
  <c r="R50" i="38"/>
  <c r="R49" i="38"/>
  <c r="R137" i="38"/>
  <c r="M50" i="38"/>
  <c r="M49" i="38"/>
  <c r="M137" i="38"/>
  <c r="P49" i="38"/>
  <c r="P50" i="38"/>
  <c r="P137" i="38"/>
  <c r="O49" i="38"/>
  <c r="O50" i="38"/>
  <c r="O137" i="38"/>
  <c r="F16" i="39"/>
  <c r="K50" i="38"/>
  <c r="F6" i="39" s="1"/>
  <c r="K49" i="38"/>
  <c r="K137" i="38"/>
  <c r="N50" i="38"/>
  <c r="N49" i="38"/>
  <c r="N137" i="38"/>
  <c r="M258" i="40"/>
  <c r="O370" i="38"/>
  <c r="P358" i="38"/>
  <c r="P418" i="38"/>
  <c r="Q398" i="38"/>
  <c r="P410" i="38"/>
  <c r="T48" i="31"/>
  <c r="T78" i="31"/>
  <c r="T33" i="31"/>
  <c r="T73" i="31"/>
  <c r="T66" i="31"/>
  <c r="T27" i="31"/>
  <c r="U73" i="31"/>
  <c r="U78" i="31"/>
  <c r="U48" i="31"/>
  <c r="U33" i="31"/>
  <c r="U66" i="31"/>
  <c r="U27" i="31"/>
  <c r="AG27" i="31"/>
  <c r="AG73" i="31"/>
  <c r="AG78" i="31"/>
  <c r="AG33" i="31"/>
  <c r="AG48" i="31"/>
  <c r="AG66" i="31"/>
  <c r="AF78" i="31"/>
  <c r="AF48" i="31"/>
  <c r="AF27" i="31"/>
  <c r="AF33" i="31"/>
  <c r="AF73" i="31"/>
  <c r="AF66" i="31"/>
  <c r="E20" i="48"/>
  <c r="G155" i="39"/>
  <c r="G163" i="39" s="1"/>
  <c r="T22" i="32"/>
  <c r="AE55" i="32" s="1"/>
  <c r="T71" i="48"/>
  <c r="J9" i="41"/>
  <c r="K9" i="41" s="1"/>
  <c r="L9" i="41" s="1"/>
  <c r="M9" i="41" s="1"/>
  <c r="G69" i="39"/>
  <c r="G98" i="39"/>
  <c r="R24" i="32"/>
  <c r="Q24" i="32" s="1"/>
  <c r="X57" i="32"/>
  <c r="W57" i="32" s="1"/>
  <c r="N31" i="33"/>
  <c r="M22" i="33"/>
  <c r="S22" i="33" s="1"/>
  <c r="E58" i="33"/>
  <c r="E57" i="33"/>
  <c r="X55" i="32"/>
  <c r="W55" i="32" s="1"/>
  <c r="G97" i="39"/>
  <c r="R22" i="32"/>
  <c r="P71" i="48"/>
  <c r="G20" i="32"/>
  <c r="N120" i="33"/>
  <c r="P119" i="33"/>
  <c r="N119" i="33"/>
  <c r="P120" i="33"/>
  <c r="O119" i="33"/>
  <c r="O120" i="33"/>
  <c r="O182" i="41"/>
  <c r="O226" i="41" s="1"/>
  <c r="O184" i="41"/>
  <c r="O228" i="41" s="1"/>
  <c r="O186" i="41"/>
  <c r="O230" i="41" s="1"/>
  <c r="O185" i="41"/>
  <c r="P180" i="41"/>
  <c r="O183" i="41"/>
  <c r="O227" i="41" s="1"/>
  <c r="O187" i="41"/>
  <c r="O231" i="41" s="1"/>
  <c r="O181" i="41"/>
  <c r="N225" i="41"/>
  <c r="N232" i="41" s="1"/>
  <c r="N188" i="41"/>
  <c r="N293" i="38"/>
  <c r="M316" i="38"/>
  <c r="M327" i="38"/>
  <c r="M322" i="38"/>
  <c r="P220" i="40"/>
  <c r="P264" i="40" s="1"/>
  <c r="P218" i="40"/>
  <c r="P262" i="40" s="1"/>
  <c r="P217" i="40"/>
  <c r="P221" i="40"/>
  <c r="P223" i="40"/>
  <c r="P267" i="40" s="1"/>
  <c r="P219" i="40"/>
  <c r="P263" i="40" s="1"/>
  <c r="P222" i="40"/>
  <c r="P266" i="40" s="1"/>
  <c r="Q216" i="40"/>
  <c r="O224" i="40"/>
  <c r="O261" i="40"/>
  <c r="O268" i="40" s="1"/>
  <c r="K261" i="41"/>
  <c r="K289" i="41" s="1"/>
  <c r="M326" i="40"/>
  <c r="M298" i="40" s="1"/>
  <c r="M311" i="40" s="1"/>
  <c r="M307" i="40"/>
  <c r="M329" i="40"/>
  <c r="M306" i="40"/>
  <c r="O270" i="40"/>
  <c r="N289" i="40"/>
  <c r="N158" i="38"/>
  <c r="L377" i="38"/>
  <c r="L347" i="40"/>
  <c r="L366" i="40"/>
  <c r="L338" i="40" s="1"/>
  <c r="L351" i="40" s="1"/>
  <c r="L346" i="40"/>
  <c r="O224" i="38"/>
  <c r="O225" i="38" s="1"/>
  <c r="O269" i="38"/>
  <c r="O141" i="38"/>
  <c r="O149" i="38" s="1"/>
  <c r="O157" i="38"/>
  <c r="O154" i="38"/>
  <c r="O156" i="38" s="1"/>
  <c r="P139" i="38"/>
  <c r="O256" i="38"/>
  <c r="O264" i="38" s="1"/>
  <c r="O226" i="38"/>
  <c r="O211" i="38"/>
  <c r="O219" i="38" s="1"/>
  <c r="O271" i="38"/>
  <c r="O155" i="38"/>
  <c r="L238" i="38"/>
  <c r="L170" i="38"/>
  <c r="L172" i="38" s="1"/>
  <c r="L174" i="38"/>
  <c r="M205" i="40"/>
  <c r="M350" i="40" s="1"/>
  <c r="M297" i="40"/>
  <c r="J289" i="41"/>
  <c r="J274" i="41"/>
  <c r="M432" i="38"/>
  <c r="M404" i="38" s="1"/>
  <c r="M417" i="38" s="1"/>
  <c r="M324" i="38"/>
  <c r="M325" i="38" s="1"/>
  <c r="M364" i="38" s="1"/>
  <c r="N323" i="38"/>
  <c r="N270" i="38"/>
  <c r="O74" i="41"/>
  <c r="N75" i="41"/>
  <c r="N76" i="41" s="1"/>
  <c r="N87" i="41" s="1"/>
  <c r="M142" i="41"/>
  <c r="M150" i="41" s="1"/>
  <c r="M156" i="41"/>
  <c r="N140" i="41"/>
  <c r="K175" i="38"/>
  <c r="K176" i="38" s="1"/>
  <c r="K185" i="38" s="1"/>
  <c r="O155" i="40"/>
  <c r="O189" i="40"/>
  <c r="O197" i="40" s="1"/>
  <c r="P139" i="40"/>
  <c r="O141" i="40"/>
  <c r="O149" i="40" s="1"/>
  <c r="L310" i="40"/>
  <c r="L325" i="40"/>
  <c r="K169" i="41"/>
  <c r="K329" i="41" s="1"/>
  <c r="N225" i="38"/>
  <c r="N227" i="38" s="1"/>
  <c r="L246" i="38"/>
  <c r="N233" i="38"/>
  <c r="M234" i="38"/>
  <c r="M235" i="38" s="1"/>
  <c r="M243" i="38" s="1"/>
  <c r="S29" i="40"/>
  <c r="R30" i="40"/>
  <c r="Q116" i="41"/>
  <c r="P117" i="41"/>
  <c r="N293" i="41"/>
  <c r="N287" i="41"/>
  <c r="N327" i="41" s="1"/>
  <c r="N270" i="41"/>
  <c r="N290" i="41"/>
  <c r="N286" i="41"/>
  <c r="N271" i="41"/>
  <c r="N281" i="41"/>
  <c r="P234" i="41"/>
  <c r="O253" i="41"/>
  <c r="P289" i="38"/>
  <c r="P333" i="38" s="1"/>
  <c r="P288" i="38"/>
  <c r="P285" i="38"/>
  <c r="P329" i="38" s="1"/>
  <c r="P290" i="38"/>
  <c r="P334" i="38" s="1"/>
  <c r="P287" i="38"/>
  <c r="P331" i="38" s="1"/>
  <c r="P284" i="38"/>
  <c r="P286" i="38"/>
  <c r="P330" i="38" s="1"/>
  <c r="Q283" i="38"/>
  <c r="P6" i="40"/>
  <c r="O5" i="40"/>
  <c r="O2" i="40"/>
  <c r="O1" i="40"/>
  <c r="O7" i="40"/>
  <c r="O328" i="38"/>
  <c r="O335" i="38" s="1"/>
  <c r="O291" i="38"/>
  <c r="R115" i="40"/>
  <c r="Q116" i="40"/>
  <c r="Q165" i="38"/>
  <c r="P166" i="38"/>
  <c r="P190" i="41"/>
  <c r="O219" i="41"/>
  <c r="O224" i="41"/>
  <c r="O213" i="41"/>
  <c r="P167" i="40"/>
  <c r="Q166" i="40"/>
  <c r="N167" i="38"/>
  <c r="N99" i="40"/>
  <c r="N171" i="40"/>
  <c r="N78" i="40"/>
  <c r="N57" i="40"/>
  <c r="T255" i="40"/>
  <c r="T249" i="40"/>
  <c r="T260" i="40"/>
  <c r="U226" i="40"/>
  <c r="M311" i="41"/>
  <c r="M310" i="41"/>
  <c r="O53" i="41"/>
  <c r="N54" i="41"/>
  <c r="O6" i="31"/>
  <c r="AL6" i="31" s="1"/>
  <c r="AL55" i="31" s="1"/>
  <c r="M6" i="31"/>
  <c r="P6" i="31"/>
  <c r="AM6" i="31" s="1"/>
  <c r="AM55" i="31" s="1"/>
  <c r="Q6" i="31"/>
  <c r="AN6" i="31" s="1"/>
  <c r="AN55" i="31" s="1"/>
  <c r="N6" i="31"/>
  <c r="AK6" i="31" s="1"/>
  <c r="AK55" i="31" s="1"/>
  <c r="R6" i="31"/>
  <c r="AO6" i="31" s="1"/>
  <c r="AO55" i="31" s="1"/>
  <c r="T6" i="31"/>
  <c r="AQ6" i="31" s="1"/>
  <c r="AQ55" i="31" s="1"/>
  <c r="S6" i="31"/>
  <c r="AP6" i="31" s="1"/>
  <c r="AP55" i="31" s="1"/>
  <c r="H74" i="39"/>
  <c r="S18" i="31"/>
  <c r="J20" i="31"/>
  <c r="P43" i="33"/>
  <c r="M58" i="41"/>
  <c r="M100" i="41"/>
  <c r="M79" i="41"/>
  <c r="O43" i="33"/>
  <c r="I43" i="31"/>
  <c r="AR43" i="31" s="1"/>
  <c r="AR44" i="31" s="1"/>
  <c r="AR20" i="31"/>
  <c r="U6" i="31"/>
  <c r="AR6" i="31" s="1"/>
  <c r="AR55" i="31" s="1"/>
  <c r="G19" i="31"/>
  <c r="AF19" i="31"/>
  <c r="H42" i="31"/>
  <c r="K433" i="38"/>
  <c r="AP41" i="31"/>
  <c r="AP44" i="31" s="1"/>
  <c r="L6" i="47"/>
  <c r="M3" i="47"/>
  <c r="L4" i="47"/>
  <c r="L5" i="47"/>
  <c r="L396" i="38"/>
  <c r="L393" i="38"/>
  <c r="L365" i="38" s="1"/>
  <c r="L378" i="38" s="1"/>
  <c r="L47" i="42"/>
  <c r="M2" i="42"/>
  <c r="L1" i="42"/>
  <c r="V95" i="40"/>
  <c r="W94" i="40"/>
  <c r="T26" i="43"/>
  <c r="T23" i="43"/>
  <c r="N2" i="41"/>
  <c r="O7" i="41"/>
  <c r="N6" i="41"/>
  <c r="N8" i="41"/>
  <c r="N3" i="41"/>
  <c r="N120" i="41"/>
  <c r="I31" i="40"/>
  <c r="R40" i="31"/>
  <c r="R44" i="31" s="1"/>
  <c r="T24" i="43"/>
  <c r="BA41" i="31"/>
  <c r="BA44" i="31" s="1"/>
  <c r="E85" i="33"/>
  <c r="E86" i="33"/>
  <c r="K119" i="40"/>
  <c r="P96" i="41"/>
  <c r="Q95" i="41"/>
  <c r="M96" i="40"/>
  <c r="L107" i="40"/>
  <c r="L109" i="40" s="1"/>
  <c r="T30" i="41"/>
  <c r="S31" i="41"/>
  <c r="P291" i="40"/>
  <c r="O303" i="40"/>
  <c r="K365" i="38"/>
  <c r="K378" i="38" s="1"/>
  <c r="O295" i="41"/>
  <c r="N307" i="41"/>
  <c r="H182" i="41"/>
  <c r="G182" i="41"/>
  <c r="G40" i="32"/>
  <c r="AR78" i="31"/>
  <c r="AR66" i="31"/>
  <c r="AR48" i="31"/>
  <c r="AR33" i="31"/>
  <c r="AR27" i="31"/>
  <c r="AR73" i="31"/>
  <c r="H133" i="39"/>
  <c r="M23" i="33"/>
  <c r="S23" i="33" s="1"/>
  <c r="O31" i="33"/>
  <c r="S53" i="40"/>
  <c r="T52" i="40"/>
  <c r="N267" i="41"/>
  <c r="O255" i="41"/>
  <c r="K32" i="41"/>
  <c r="M356" i="38"/>
  <c r="N337" i="38"/>
  <c r="AQ73" i="31"/>
  <c r="AQ48" i="31"/>
  <c r="AQ78" i="31"/>
  <c r="AQ66" i="31"/>
  <c r="AQ33" i="31"/>
  <c r="AQ27" i="31"/>
  <c r="F226" i="41"/>
  <c r="K8" i="40"/>
  <c r="T25" i="43"/>
  <c r="U74" i="40"/>
  <c r="V73" i="40"/>
  <c r="AH52" i="32"/>
  <c r="M54" i="40"/>
  <c r="L65" i="40"/>
  <c r="L67" i="40" s="1"/>
  <c r="T99" i="48"/>
  <c r="Q30" i="32"/>
  <c r="M168" i="40"/>
  <c r="L179" i="40"/>
  <c r="U9" i="43"/>
  <c r="V9" i="43" s="1"/>
  <c r="U14" i="43"/>
  <c r="V14" i="43" s="1"/>
  <c r="U6" i="43"/>
  <c r="U8" i="43"/>
  <c r="V8" i="43" s="1"/>
  <c r="U12" i="43"/>
  <c r="V12" i="43" s="1"/>
  <c r="U15" i="43"/>
  <c r="V15" i="43" s="1"/>
  <c r="U7" i="43"/>
  <c r="V7" i="43" s="1"/>
  <c r="U10" i="43"/>
  <c r="V10" i="43" s="1"/>
  <c r="U13" i="43"/>
  <c r="V13" i="43" s="1"/>
  <c r="U11" i="43"/>
  <c r="V11" i="43" s="1"/>
  <c r="H20" i="31"/>
  <c r="H10" i="31" s="1"/>
  <c r="M42" i="33"/>
  <c r="N43" i="33"/>
  <c r="M75" i="40"/>
  <c r="L86" i="40"/>
  <c r="G41" i="31"/>
  <c r="AE41" i="31"/>
  <c r="AE44" i="31" s="1"/>
  <c r="L66" i="41"/>
  <c r="L68" i="41" s="1"/>
  <c r="M55" i="41"/>
  <c r="N262" i="41" l="1"/>
  <c r="N275" i="41" s="1"/>
  <c r="M365" i="40"/>
  <c r="U134" i="38"/>
  <c r="U135" i="38"/>
  <c r="W130" i="38"/>
  <c r="V131" i="38"/>
  <c r="V133" i="38" s="1"/>
  <c r="Q58" i="48"/>
  <c r="S58" i="48"/>
  <c r="K301" i="41"/>
  <c r="K314" i="41" s="1"/>
  <c r="U137" i="38"/>
  <c r="U58" i="48"/>
  <c r="P351" i="40"/>
  <c r="Q331" i="40"/>
  <c r="P343" i="40"/>
  <c r="P378" i="38"/>
  <c r="P370" i="38"/>
  <c r="Q358" i="38"/>
  <c r="R398" i="38"/>
  <c r="Q410" i="38"/>
  <c r="Q418" i="38"/>
  <c r="T92" i="48"/>
  <c r="P94" i="48"/>
  <c r="AC57" i="32"/>
  <c r="AB57" i="32" s="1"/>
  <c r="M31" i="33"/>
  <c r="K129" i="28"/>
  <c r="G105" i="39"/>
  <c r="S31" i="33"/>
  <c r="G68" i="39"/>
  <c r="G76" i="39" s="1"/>
  <c r="K127" i="28"/>
  <c r="AC55" i="32"/>
  <c r="AB55" i="32" s="1"/>
  <c r="Q22" i="32"/>
  <c r="M127" i="28" s="1"/>
  <c r="P92" i="48"/>
  <c r="O225" i="41"/>
  <c r="O232" i="41" s="1"/>
  <c r="O188" i="41"/>
  <c r="P186" i="41"/>
  <c r="P230" i="41" s="1"/>
  <c r="Q180" i="41"/>
  <c r="P181" i="41"/>
  <c r="P182" i="41"/>
  <c r="P226" i="41" s="1"/>
  <c r="P183" i="41"/>
  <c r="P227" i="41" s="1"/>
  <c r="P187" i="41"/>
  <c r="P231" i="41" s="1"/>
  <c r="P184" i="41"/>
  <c r="P228" i="41" s="1"/>
  <c r="P185" i="41"/>
  <c r="K274" i="41"/>
  <c r="N322" i="38"/>
  <c r="O293" i="38"/>
  <c r="N316" i="38"/>
  <c r="N327" i="38"/>
  <c r="N259" i="41"/>
  <c r="N272" i="41" s="1"/>
  <c r="P224" i="40"/>
  <c r="P261" i="40"/>
  <c r="P268" i="40" s="1"/>
  <c r="Q222" i="40"/>
  <c r="Q266" i="40" s="1"/>
  <c r="Q221" i="40"/>
  <c r="Q223" i="40"/>
  <c r="Q267" i="40" s="1"/>
  <c r="Q218" i="40"/>
  <c r="Q262" i="40" s="1"/>
  <c r="Q219" i="40"/>
  <c r="Q263" i="40" s="1"/>
  <c r="Q217" i="40"/>
  <c r="Q220" i="40"/>
  <c r="Q264" i="40" s="1"/>
  <c r="R216" i="40"/>
  <c r="N324" i="38"/>
  <c r="N325" i="38" s="1"/>
  <c r="N364" i="38" s="1"/>
  <c r="N377" i="38" s="1"/>
  <c r="O289" i="40"/>
  <c r="P270" i="40"/>
  <c r="M347" i="40"/>
  <c r="M366" i="40"/>
  <c r="M338" i="40" s="1"/>
  <c r="M351" i="40" s="1"/>
  <c r="M346" i="40"/>
  <c r="N329" i="40"/>
  <c r="N306" i="40"/>
  <c r="N307" i="40"/>
  <c r="M170" i="38"/>
  <c r="M172" i="38" s="1"/>
  <c r="M174" i="38"/>
  <c r="M238" i="38"/>
  <c r="P141" i="38"/>
  <c r="P149" i="38" s="1"/>
  <c r="P256" i="38"/>
  <c r="P264" i="38" s="1"/>
  <c r="P211" i="38"/>
  <c r="P219" i="38" s="1"/>
  <c r="Q139" i="38"/>
  <c r="P155" i="38"/>
  <c r="O158" i="38"/>
  <c r="Q139" i="40"/>
  <c r="P202" i="40"/>
  <c r="P161" i="40"/>
  <c r="P282" i="40"/>
  <c r="P141" i="40"/>
  <c r="P149" i="40" s="1"/>
  <c r="P204" i="40"/>
  <c r="P157" i="40"/>
  <c r="P189" i="40"/>
  <c r="P197" i="40" s="1"/>
  <c r="P207" i="40"/>
  <c r="P155" i="40"/>
  <c r="P154" i="40"/>
  <c r="P297" i="40"/>
  <c r="P337" i="40"/>
  <c r="P350" i="40" s="1"/>
  <c r="P336" i="40"/>
  <c r="P296" i="40"/>
  <c r="N260" i="41"/>
  <c r="N301" i="41"/>
  <c r="N314" i="41" s="1"/>
  <c r="N156" i="41"/>
  <c r="N261" i="41"/>
  <c r="N155" i="41"/>
  <c r="O140" i="41"/>
  <c r="N162" i="41"/>
  <c r="N173" i="41" s="1"/>
  <c r="N171" i="41"/>
  <c r="N142" i="41"/>
  <c r="N150" i="41" s="1"/>
  <c r="N158" i="41"/>
  <c r="N168" i="41"/>
  <c r="N246" i="41"/>
  <c r="N300" i="41"/>
  <c r="N166" i="41"/>
  <c r="M377" i="38"/>
  <c r="M392" i="38"/>
  <c r="M325" i="40"/>
  <c r="M310" i="40"/>
  <c r="O270" i="38"/>
  <c r="O324" i="38" s="1"/>
  <c r="O323" i="38"/>
  <c r="O227" i="38"/>
  <c r="O75" i="41"/>
  <c r="O76" i="41" s="1"/>
  <c r="O87" i="41" s="1"/>
  <c r="P74" i="41"/>
  <c r="N272" i="38"/>
  <c r="N432" i="38" s="1"/>
  <c r="N404" i="38" s="1"/>
  <c r="N417" i="38" s="1"/>
  <c r="L175" i="38"/>
  <c r="L176" i="38" s="1"/>
  <c r="L185" i="38" s="1"/>
  <c r="R116" i="41"/>
  <c r="Q117" i="41"/>
  <c r="N310" i="41"/>
  <c r="N321" i="41"/>
  <c r="N311" i="41"/>
  <c r="N326" i="41"/>
  <c r="N299" i="41" s="1"/>
  <c r="N312" i="41" s="1"/>
  <c r="N330" i="41"/>
  <c r="M246" i="38"/>
  <c r="P53" i="41"/>
  <c r="O54" i="41"/>
  <c r="T29" i="40"/>
  <c r="S30" i="40"/>
  <c r="U249" i="40"/>
  <c r="U260" i="40"/>
  <c r="V226" i="40"/>
  <c r="U255" i="40"/>
  <c r="P219" i="41"/>
  <c r="P224" i="41"/>
  <c r="Q190" i="41"/>
  <c r="P213" i="41"/>
  <c r="R116" i="40"/>
  <c r="S115" i="40"/>
  <c r="O99" i="40"/>
  <c r="O78" i="40"/>
  <c r="O171" i="40"/>
  <c r="O57" i="40"/>
  <c r="R166" i="40"/>
  <c r="Q167" i="40"/>
  <c r="Q286" i="38"/>
  <c r="Q330" i="38" s="1"/>
  <c r="Q287" i="38"/>
  <c r="Q331" i="38" s="1"/>
  <c r="R283" i="38"/>
  <c r="Q285" i="38"/>
  <c r="Q329" i="38" s="1"/>
  <c r="Q289" i="38"/>
  <c r="Q333" i="38" s="1"/>
  <c r="Q288" i="38"/>
  <c r="Q284" i="38"/>
  <c r="Q290" i="38"/>
  <c r="Q334" i="38" s="1"/>
  <c r="O293" i="41"/>
  <c r="O271" i="41"/>
  <c r="O290" i="41"/>
  <c r="O286" i="41"/>
  <c r="O287" i="41"/>
  <c r="O327" i="41" s="1"/>
  <c r="O281" i="41"/>
  <c r="O270" i="41"/>
  <c r="P253" i="41"/>
  <c r="Q234" i="41"/>
  <c r="P1" i="40"/>
  <c r="Q6" i="40"/>
  <c r="P5" i="40"/>
  <c r="P2" i="40"/>
  <c r="P7" i="40"/>
  <c r="P328" i="38"/>
  <c r="P335" i="38" s="1"/>
  <c r="P291" i="38"/>
  <c r="R165" i="38"/>
  <c r="Q166" i="38"/>
  <c r="O167" i="38"/>
  <c r="O233" i="38"/>
  <c r="N234" i="38"/>
  <c r="N235" i="38" s="1"/>
  <c r="N243" i="38" s="1"/>
  <c r="O5" i="31"/>
  <c r="M5" i="31"/>
  <c r="N5" i="31"/>
  <c r="P5" i="31"/>
  <c r="Q5" i="31"/>
  <c r="R5" i="31"/>
  <c r="S5" i="31"/>
  <c r="T5" i="31"/>
  <c r="N54" i="40"/>
  <c r="M65" i="40"/>
  <c r="M67" i="40" s="1"/>
  <c r="AL34" i="31"/>
  <c r="AL45" i="31" s="1"/>
  <c r="AL28" i="31"/>
  <c r="AL29" i="31"/>
  <c r="AL24" i="31"/>
  <c r="AL25" i="31" s="1"/>
  <c r="AL30" i="31"/>
  <c r="AQ28" i="31"/>
  <c r="AQ29" i="31"/>
  <c r="AQ34" i="31"/>
  <c r="AQ45" i="31" s="1"/>
  <c r="AQ24" i="31"/>
  <c r="AQ25" i="31" s="1"/>
  <c r="AQ30" i="31"/>
  <c r="N2" i="42"/>
  <c r="M47" i="42"/>
  <c r="M1" i="42"/>
  <c r="I44" i="31"/>
  <c r="I45" i="31" s="1"/>
  <c r="AO29" i="31"/>
  <c r="AO28" i="31"/>
  <c r="AO34" i="31"/>
  <c r="AO45" i="31" s="1"/>
  <c r="AO24" i="31"/>
  <c r="AO25" i="31" s="1"/>
  <c r="AO30" i="31"/>
  <c r="O120" i="41"/>
  <c r="U30" i="41"/>
  <c r="T31" i="41"/>
  <c r="W73" i="40"/>
  <c r="V74" i="40"/>
  <c r="L8" i="40"/>
  <c r="O267" i="41"/>
  <c r="P255" i="41"/>
  <c r="N9" i="41"/>
  <c r="J31" i="40"/>
  <c r="O3" i="41"/>
  <c r="O6" i="41"/>
  <c r="P7" i="41"/>
  <c r="O8" i="41"/>
  <c r="O2" i="41"/>
  <c r="L433" i="38"/>
  <c r="L405" i="38" s="1"/>
  <c r="L418" i="38" s="1"/>
  <c r="G42" i="31"/>
  <c r="AF42" i="31"/>
  <c r="AF44" i="31" s="1"/>
  <c r="AK34" i="31"/>
  <c r="AK45" i="31" s="1"/>
  <c r="AK28" i="31"/>
  <c r="AK29" i="31"/>
  <c r="AK24" i="31"/>
  <c r="AK25" i="31" s="1"/>
  <c r="AK30" i="31"/>
  <c r="L32" i="41"/>
  <c r="G226" i="41"/>
  <c r="K405" i="38"/>
  <c r="K418" i="38" s="1"/>
  <c r="P295" i="41"/>
  <c r="O307" i="41"/>
  <c r="U5" i="31"/>
  <c r="G20" i="31"/>
  <c r="U20" i="31" s="1"/>
  <c r="AG20" i="31"/>
  <c r="H43" i="31"/>
  <c r="U52" i="40"/>
  <c r="T53" i="40"/>
  <c r="R95" i="41"/>
  <c r="Q96" i="41"/>
  <c r="N79" i="41"/>
  <c r="N100" i="41"/>
  <c r="N58" i="41"/>
  <c r="W95" i="40"/>
  <c r="X94" i="40"/>
  <c r="H104" i="39"/>
  <c r="AR28" i="31"/>
  <c r="AR34" i="31"/>
  <c r="AR45" i="31" s="1"/>
  <c r="AR29" i="31"/>
  <c r="AR24" i="31"/>
  <c r="AR25" i="31" s="1"/>
  <c r="AR30" i="31"/>
  <c r="AN29" i="31"/>
  <c r="AN28" i="31"/>
  <c r="AN34" i="31"/>
  <c r="AN45" i="31" s="1"/>
  <c r="AN24" i="31"/>
  <c r="AN25" i="31" s="1"/>
  <c r="AN30" i="31"/>
  <c r="U26" i="43"/>
  <c r="U23" i="43"/>
  <c r="M43" i="33"/>
  <c r="M129" i="28"/>
  <c r="N356" i="38"/>
  <c r="O337" i="38"/>
  <c r="AM34" i="31"/>
  <c r="AM45" i="31" s="1"/>
  <c r="AM28" i="31"/>
  <c r="AM29" i="31"/>
  <c r="AM24" i="31"/>
  <c r="AM25" i="31" s="1"/>
  <c r="AM30" i="31"/>
  <c r="AP34" i="31"/>
  <c r="AP45" i="31" s="1"/>
  <c r="AP28" i="31"/>
  <c r="AP29" i="31"/>
  <c r="AP24" i="31"/>
  <c r="AP25" i="31" s="1"/>
  <c r="AP30" i="31"/>
  <c r="S41" i="31"/>
  <c r="S44" i="31" s="1"/>
  <c r="H226" i="41"/>
  <c r="N55" i="41"/>
  <c r="M66" i="41"/>
  <c r="M68" i="41" s="1"/>
  <c r="M396" i="38"/>
  <c r="M374" i="38"/>
  <c r="M393" i="38"/>
  <c r="M373" i="38"/>
  <c r="Q291" i="40"/>
  <c r="P311" i="40"/>
  <c r="P303" i="40"/>
  <c r="N96" i="40"/>
  <c r="M107" i="40"/>
  <c r="M109" i="40" s="1"/>
  <c r="L119" i="40"/>
  <c r="M179" i="40"/>
  <c r="N168" i="40"/>
  <c r="M86" i="40"/>
  <c r="N75" i="40"/>
  <c r="U25" i="43"/>
  <c r="U24" i="43"/>
  <c r="V6" i="43"/>
  <c r="M6" i="47"/>
  <c r="M5" i="47"/>
  <c r="M4" i="47"/>
  <c r="N3" i="47"/>
  <c r="T19" i="31"/>
  <c r="J43" i="31"/>
  <c r="BC20" i="31"/>
  <c r="H162" i="39"/>
  <c r="J10" i="31"/>
  <c r="G10" i="31" s="1"/>
  <c r="AJ6" i="31"/>
  <c r="AJ55" i="31" s="1"/>
  <c r="V6" i="31"/>
  <c r="O262" i="41" l="1"/>
  <c r="O275" i="41" s="1"/>
  <c r="V135" i="38"/>
  <c r="V134" i="38"/>
  <c r="V137" i="38"/>
  <c r="Q343" i="40"/>
  <c r="R331" i="40"/>
  <c r="Q351" i="40"/>
  <c r="X130" i="38"/>
  <c r="W131" i="38"/>
  <c r="W133" i="38" s="1"/>
  <c r="N302" i="41"/>
  <c r="N315" i="41" s="1"/>
  <c r="P156" i="40"/>
  <c r="P256" i="40"/>
  <c r="F18" i="32"/>
  <c r="P32" i="32"/>
  <c r="F55" i="31"/>
  <c r="P18" i="32"/>
  <c r="R358" i="38"/>
  <c r="Q378" i="38"/>
  <c r="Q370" i="38"/>
  <c r="R410" i="38"/>
  <c r="R418" i="38"/>
  <c r="S398" i="38"/>
  <c r="N392" i="38"/>
  <c r="F40" i="32"/>
  <c r="F24" i="31"/>
  <c r="P188" i="41"/>
  <c r="P225" i="41"/>
  <c r="P232" i="41" s="1"/>
  <c r="Q186" i="41"/>
  <c r="Q230" i="41" s="1"/>
  <c r="Q184" i="41"/>
  <c r="Q228" i="41" s="1"/>
  <c r="Q181" i="41"/>
  <c r="R180" i="41"/>
  <c r="Q185" i="41"/>
  <c r="Q182" i="41"/>
  <c r="Q226" i="41" s="1"/>
  <c r="Q187" i="41"/>
  <c r="Q231" i="41" s="1"/>
  <c r="Q183" i="41"/>
  <c r="Q227" i="41" s="1"/>
  <c r="P293" i="38"/>
  <c r="O327" i="38"/>
  <c r="O316" i="38"/>
  <c r="O322" i="38"/>
  <c r="R221" i="40"/>
  <c r="S216" i="40"/>
  <c r="R219" i="40"/>
  <c r="R263" i="40" s="1"/>
  <c r="R223" i="40"/>
  <c r="R267" i="40" s="1"/>
  <c r="R218" i="40"/>
  <c r="R262" i="40" s="1"/>
  <c r="R222" i="40"/>
  <c r="R266" i="40" s="1"/>
  <c r="R220" i="40"/>
  <c r="R264" i="40" s="1"/>
  <c r="R217" i="40"/>
  <c r="Q261" i="40"/>
  <c r="Q268" i="40" s="1"/>
  <c r="Q224" i="40"/>
  <c r="P289" i="40"/>
  <c r="Q270" i="40"/>
  <c r="O306" i="40"/>
  <c r="O329" i="40"/>
  <c r="O307" i="40"/>
  <c r="N347" i="40"/>
  <c r="N346" i="40"/>
  <c r="O272" i="38"/>
  <c r="O432" i="38" s="1"/>
  <c r="O404" i="38" s="1"/>
  <c r="O417" i="38" s="1"/>
  <c r="P325" i="40"/>
  <c r="P310" i="40"/>
  <c r="N167" i="41"/>
  <c r="O168" i="41"/>
  <c r="O260" i="41"/>
  <c r="O246" i="41"/>
  <c r="O156" i="41"/>
  <c r="O171" i="41"/>
  <c r="P140" i="41"/>
  <c r="O155" i="41"/>
  <c r="O157" i="41" s="1"/>
  <c r="O162" i="41"/>
  <c r="O173" i="41" s="1"/>
  <c r="O301" i="41"/>
  <c r="O314" i="41" s="1"/>
  <c r="O300" i="41"/>
  <c r="O158" i="41"/>
  <c r="O261" i="41"/>
  <c r="O166" i="41"/>
  <c r="O142" i="41"/>
  <c r="O150" i="41" s="1"/>
  <c r="P158" i="40"/>
  <c r="N170" i="38"/>
  <c r="N172" i="38" s="1"/>
  <c r="N238" i="38"/>
  <c r="N174" i="38"/>
  <c r="N313" i="41"/>
  <c r="N328" i="41"/>
  <c r="N273" i="41"/>
  <c r="N288" i="41"/>
  <c r="N291" i="41" s="1"/>
  <c r="O325" i="38"/>
  <c r="O364" i="38" s="1"/>
  <c r="P240" i="40"/>
  <c r="Q224" i="38"/>
  <c r="Q225" i="38" s="1"/>
  <c r="Q155" i="38"/>
  <c r="Q226" i="38"/>
  <c r="Q154" i="38"/>
  <c r="Q156" i="38" s="1"/>
  <c r="Q274" i="38"/>
  <c r="Q269" i="38"/>
  <c r="Q363" i="38"/>
  <c r="Q404" i="38"/>
  <c r="Q417" i="38" s="1"/>
  <c r="Q403" i="38"/>
  <c r="R139" i="38"/>
  <c r="Q349" i="38"/>
  <c r="Q141" i="38"/>
  <c r="Q149" i="38" s="1"/>
  <c r="Q256" i="38"/>
  <c r="Q264" i="38" s="1"/>
  <c r="Q161" i="38"/>
  <c r="Q271" i="38"/>
  <c r="Q157" i="38"/>
  <c r="Q364" i="38"/>
  <c r="Q211" i="38"/>
  <c r="Q219" i="38" s="1"/>
  <c r="Q229" i="38"/>
  <c r="P75" i="41"/>
  <c r="P76" i="41" s="1"/>
  <c r="P87" i="41" s="1"/>
  <c r="Q74" i="41"/>
  <c r="P324" i="40"/>
  <c r="P309" i="40"/>
  <c r="N157" i="41"/>
  <c r="N159" i="41" s="1"/>
  <c r="P364" i="40"/>
  <c r="P349" i="40"/>
  <c r="P203" i="40"/>
  <c r="M175" i="38"/>
  <c r="M176" i="38" s="1"/>
  <c r="M185" i="38" s="1"/>
  <c r="N274" i="41"/>
  <c r="N289" i="41"/>
  <c r="Q336" i="40"/>
  <c r="Q154" i="40"/>
  <c r="Q337" i="40"/>
  <c r="Q350" i="40" s="1"/>
  <c r="Q282" i="40"/>
  <c r="R139" i="40"/>
  <c r="Q161" i="40"/>
  <c r="Q204" i="40"/>
  <c r="Q141" i="40"/>
  <c r="Q149" i="40" s="1"/>
  <c r="Q296" i="40"/>
  <c r="Q207" i="40"/>
  <c r="Q189" i="40"/>
  <c r="Q197" i="40" s="1"/>
  <c r="Q297" i="40"/>
  <c r="Q202" i="40"/>
  <c r="Q155" i="40"/>
  <c r="Q157" i="40"/>
  <c r="N246" i="38"/>
  <c r="S165" i="38"/>
  <c r="R166" i="38"/>
  <c r="O234" i="38"/>
  <c r="O235" i="38" s="1"/>
  <c r="O243" i="38" s="1"/>
  <c r="P233" i="38"/>
  <c r="R234" i="41"/>
  <c r="Q253" i="41"/>
  <c r="O259" i="41"/>
  <c r="O272" i="41" s="1"/>
  <c r="S116" i="41"/>
  <c r="R117" i="41"/>
  <c r="P167" i="38"/>
  <c r="P293" i="41"/>
  <c r="P270" i="41"/>
  <c r="P271" i="41"/>
  <c r="P287" i="41"/>
  <c r="P327" i="41" s="1"/>
  <c r="P290" i="41"/>
  <c r="P286" i="41"/>
  <c r="P281" i="41"/>
  <c r="R290" i="38"/>
  <c r="R334" i="38" s="1"/>
  <c r="R286" i="38"/>
  <c r="R330" i="38" s="1"/>
  <c r="S283" i="38"/>
  <c r="R289" i="38"/>
  <c r="R333" i="38" s="1"/>
  <c r="R287" i="38"/>
  <c r="R331" i="38" s="1"/>
  <c r="R284" i="38"/>
  <c r="R288" i="38"/>
  <c r="R285" i="38"/>
  <c r="R329" i="38" s="1"/>
  <c r="W226" i="40"/>
  <c r="V249" i="40"/>
  <c r="V260" i="40"/>
  <c r="V255" i="40"/>
  <c r="U29" i="40"/>
  <c r="T30" i="40"/>
  <c r="R167" i="40"/>
  <c r="S166" i="40"/>
  <c r="Q5" i="40"/>
  <c r="R6" i="40"/>
  <c r="Q2" i="40"/>
  <c r="Q1" i="40"/>
  <c r="Q7" i="40"/>
  <c r="O326" i="41"/>
  <c r="O299" i="41" s="1"/>
  <c r="O312" i="41" s="1"/>
  <c r="O330" i="41"/>
  <c r="O302" i="41" s="1"/>
  <c r="O315" i="41" s="1"/>
  <c r="O311" i="41"/>
  <c r="O321" i="41"/>
  <c r="O310" i="41"/>
  <c r="T115" i="40"/>
  <c r="S116" i="40"/>
  <c r="P57" i="40"/>
  <c r="P78" i="40"/>
  <c r="P99" i="40"/>
  <c r="P171" i="40"/>
  <c r="Q328" i="38"/>
  <c r="Q335" i="38" s="1"/>
  <c r="Q291" i="38"/>
  <c r="Q219" i="41"/>
  <c r="R190" i="41"/>
  <c r="Q224" i="41"/>
  <c r="Q213" i="41"/>
  <c r="Q53" i="41"/>
  <c r="P54" i="41"/>
  <c r="U7" i="31"/>
  <c r="BC7" i="31" s="1"/>
  <c r="H75" i="39"/>
  <c r="AQ31" i="31"/>
  <c r="AM31" i="31"/>
  <c r="AP31" i="31"/>
  <c r="BC43" i="31"/>
  <c r="BC44" i="31" s="1"/>
  <c r="J44" i="31"/>
  <c r="J45" i="31" s="1"/>
  <c r="O96" i="40"/>
  <c r="N107" i="40"/>
  <c r="N109" i="40" s="1"/>
  <c r="AE5" i="31"/>
  <c r="AE55" i="31" s="1"/>
  <c r="S95" i="41"/>
  <c r="R96" i="41"/>
  <c r="M8" i="40"/>
  <c r="P30" i="32"/>
  <c r="N179" i="40"/>
  <c r="O168" i="40"/>
  <c r="F41" i="31"/>
  <c r="M32" i="41"/>
  <c r="O9" i="41"/>
  <c r="AC5" i="31"/>
  <c r="AC55" i="31" s="1"/>
  <c r="P24" i="32"/>
  <c r="AK31" i="31"/>
  <c r="AD5" i="31"/>
  <c r="AD55" i="31" s="1"/>
  <c r="Q303" i="40"/>
  <c r="Q311" i="40"/>
  <c r="R291" i="40"/>
  <c r="P315" i="41"/>
  <c r="P307" i="41"/>
  <c r="Q295" i="41"/>
  <c r="K31" i="40"/>
  <c r="P120" i="41"/>
  <c r="AB5" i="31"/>
  <c r="AB55" i="31" s="1"/>
  <c r="T42" i="31"/>
  <c r="T44" i="31" s="1"/>
  <c r="F42" i="31"/>
  <c r="J21" i="31"/>
  <c r="O7" i="31"/>
  <c r="AW7" i="31" s="1"/>
  <c r="AW55" i="31" s="1"/>
  <c r="N7" i="31"/>
  <c r="AV7" i="31" s="1"/>
  <c r="AV55" i="31" s="1"/>
  <c r="P7" i="31"/>
  <c r="AX7" i="31" s="1"/>
  <c r="AX55" i="31" s="1"/>
  <c r="Q7" i="31"/>
  <c r="AY7" i="31" s="1"/>
  <c r="AY55" i="31" s="1"/>
  <c r="M7" i="31"/>
  <c r="M34" i="31" s="1"/>
  <c r="M45" i="31" s="1"/>
  <c r="R7" i="31"/>
  <c r="AZ7" i="31" s="1"/>
  <c r="AZ55" i="31" s="1"/>
  <c r="T7" i="31"/>
  <c r="BB7" i="31" s="1"/>
  <c r="BB55" i="31" s="1"/>
  <c r="S7" i="31"/>
  <c r="BA7" i="31" s="1"/>
  <c r="BA55" i="31" s="1"/>
  <c r="M119" i="40"/>
  <c r="N66" i="41"/>
  <c r="N68" i="41" s="1"/>
  <c r="O55" i="41"/>
  <c r="P337" i="38"/>
  <c r="O356" i="38"/>
  <c r="AR31" i="31"/>
  <c r="AG43" i="31"/>
  <c r="AG44" i="31" s="1"/>
  <c r="G43" i="31"/>
  <c r="G49" i="31" s="1"/>
  <c r="H44" i="31"/>
  <c r="O58" i="41"/>
  <c r="O79" i="41"/>
  <c r="O100" i="41"/>
  <c r="W74" i="40"/>
  <c r="X73" i="40"/>
  <c r="AO31" i="31"/>
  <c r="N65" i="40"/>
  <c r="N67" i="40" s="1"/>
  <c r="O54" i="40"/>
  <c r="Z5" i="31"/>
  <c r="Z55" i="31" s="1"/>
  <c r="F61" i="31"/>
  <c r="F57" i="31"/>
  <c r="F12" i="32"/>
  <c r="F75" i="31"/>
  <c r="F54" i="31"/>
  <c r="F29" i="31"/>
  <c r="F59" i="31"/>
  <c r="P21" i="32"/>
  <c r="F76" i="31"/>
  <c r="F60" i="31"/>
  <c r="F11" i="32"/>
  <c r="F21" i="32"/>
  <c r="F19" i="32"/>
  <c r="F37" i="31"/>
  <c r="F74" i="31"/>
  <c r="G62" i="31"/>
  <c r="F51" i="31"/>
  <c r="P23" i="32"/>
  <c r="F53" i="31"/>
  <c r="F52" i="31"/>
  <c r="F34" i="31"/>
  <c r="F28" i="31"/>
  <c r="F9" i="32"/>
  <c r="F30" i="31"/>
  <c r="F25" i="31"/>
  <c r="F7" i="32"/>
  <c r="F29" i="32"/>
  <c r="F35" i="31"/>
  <c r="F39" i="32"/>
  <c r="F38" i="31"/>
  <c r="F31" i="31"/>
  <c r="F36" i="31"/>
  <c r="F20" i="32"/>
  <c r="F39" i="31"/>
  <c r="P29" i="32"/>
  <c r="I21" i="31"/>
  <c r="F40" i="31"/>
  <c r="F30" i="32"/>
  <c r="F8" i="32"/>
  <c r="F22" i="32"/>
  <c r="P22" i="32"/>
  <c r="N86" i="40"/>
  <c r="O75" i="40"/>
  <c r="M365" i="38"/>
  <c r="M378" i="38" s="1"/>
  <c r="N373" i="38"/>
  <c r="N374" i="38"/>
  <c r="N396" i="38"/>
  <c r="N393" i="38"/>
  <c r="N365" i="38" s="1"/>
  <c r="N378" i="38" s="1"/>
  <c r="AN31" i="31"/>
  <c r="Q255" i="41"/>
  <c r="P275" i="41"/>
  <c r="P267" i="41"/>
  <c r="AL31" i="31"/>
  <c r="V5" i="31"/>
  <c r="Y5" i="31"/>
  <c r="Y55" i="31" s="1"/>
  <c r="V52" i="40"/>
  <c r="U53" i="40"/>
  <c r="P3" i="41"/>
  <c r="P2" i="41"/>
  <c r="P6" i="41"/>
  <c r="P8" i="41"/>
  <c r="Q7" i="41"/>
  <c r="V30" i="41"/>
  <c r="U31" i="41"/>
  <c r="H21" i="31"/>
  <c r="N1" i="42"/>
  <c r="O2" i="42"/>
  <c r="N47" i="42"/>
  <c r="AJ29" i="31"/>
  <c r="AJ28" i="31"/>
  <c r="AJ34" i="31"/>
  <c r="AJ45" i="31" s="1"/>
  <c r="AI45" i="31" s="1"/>
  <c r="AJ24" i="31"/>
  <c r="AJ25" i="31" s="1"/>
  <c r="AJ30" i="31"/>
  <c r="N5" i="47"/>
  <c r="N6" i="47"/>
  <c r="N4" i="47"/>
  <c r="O3" i="47"/>
  <c r="M414" i="38"/>
  <c r="M433" i="38"/>
  <c r="M413" i="38"/>
  <c r="Y94" i="40"/>
  <c r="X95" i="40"/>
  <c r="AG5" i="31"/>
  <c r="AG55" i="31" s="1"/>
  <c r="I31" i="32"/>
  <c r="AF5" i="31"/>
  <c r="AF55" i="31" s="1"/>
  <c r="AA5" i="31"/>
  <c r="AA55" i="31" s="1"/>
  <c r="P262" i="41" l="1"/>
  <c r="W135" i="38"/>
  <c r="W134" i="38"/>
  <c r="W137" i="38"/>
  <c r="Y130" i="38"/>
  <c r="X131" i="38"/>
  <c r="X133" i="38" s="1"/>
  <c r="S331" i="40"/>
  <c r="R343" i="40"/>
  <c r="R351" i="40"/>
  <c r="P257" i="40"/>
  <c r="BC28" i="31"/>
  <c r="BC55" i="31"/>
  <c r="Q55" i="31"/>
  <c r="U55" i="31"/>
  <c r="T55" i="31"/>
  <c r="N55" i="31"/>
  <c r="P55" i="31"/>
  <c r="S55" i="31"/>
  <c r="M55" i="31"/>
  <c r="O55" i="31"/>
  <c r="R55" i="31"/>
  <c r="P258" i="40"/>
  <c r="Q156" i="40"/>
  <c r="Q256" i="40"/>
  <c r="R378" i="38"/>
  <c r="S358" i="38"/>
  <c r="R370" i="38"/>
  <c r="T398" i="38"/>
  <c r="S418" i="38"/>
  <c r="S410" i="38"/>
  <c r="R186" i="41"/>
  <c r="R230" i="41" s="1"/>
  <c r="S180" i="41"/>
  <c r="R184" i="41"/>
  <c r="R228" i="41" s="1"/>
  <c r="R182" i="41"/>
  <c r="R226" i="41" s="1"/>
  <c r="R181" i="41"/>
  <c r="R185" i="41"/>
  <c r="R187" i="41"/>
  <c r="R231" i="41" s="1"/>
  <c r="R183" i="41"/>
  <c r="R227" i="41" s="1"/>
  <c r="Q225" i="41"/>
  <c r="Q232" i="41" s="1"/>
  <c r="Q188" i="41"/>
  <c r="P322" i="38"/>
  <c r="P316" i="38"/>
  <c r="Q293" i="38"/>
  <c r="P327" i="38"/>
  <c r="Q240" i="40"/>
  <c r="O159" i="41"/>
  <c r="N175" i="38"/>
  <c r="N176" i="38" s="1"/>
  <c r="N185" i="38" s="1"/>
  <c r="S218" i="40"/>
  <c r="S262" i="40" s="1"/>
  <c r="S220" i="40"/>
  <c r="S264" i="40" s="1"/>
  <c r="S221" i="40"/>
  <c r="S219" i="40"/>
  <c r="S263" i="40" s="1"/>
  <c r="S222" i="40"/>
  <c r="S266" i="40" s="1"/>
  <c r="S217" i="40"/>
  <c r="S223" i="40"/>
  <c r="S267" i="40" s="1"/>
  <c r="T216" i="40"/>
  <c r="R224" i="40"/>
  <c r="R261" i="40"/>
  <c r="R268" i="40" s="1"/>
  <c r="P259" i="41"/>
  <c r="P272" i="41" s="1"/>
  <c r="O347" i="40"/>
  <c r="O346" i="40"/>
  <c r="Q289" i="40"/>
  <c r="R270" i="40"/>
  <c r="P326" i="40"/>
  <c r="P298" i="40" s="1"/>
  <c r="P306" i="40"/>
  <c r="P322" i="40"/>
  <c r="P317" i="40"/>
  <c r="P329" i="40"/>
  <c r="P323" i="40"/>
  <c r="P363" i="40" s="1"/>
  <c r="P307" i="40"/>
  <c r="U28" i="31"/>
  <c r="P205" i="40"/>
  <c r="P365" i="40" s="1"/>
  <c r="R404" i="38"/>
  <c r="R417" i="38" s="1"/>
  <c r="R363" i="38"/>
  <c r="R403" i="38"/>
  <c r="R364" i="38"/>
  <c r="S139" i="38"/>
  <c r="R271" i="38"/>
  <c r="R226" i="38"/>
  <c r="R269" i="38"/>
  <c r="R274" i="38"/>
  <c r="R229" i="38"/>
  <c r="R154" i="38"/>
  <c r="R156" i="38" s="1"/>
  <c r="R211" i="38"/>
  <c r="R219" i="38" s="1"/>
  <c r="R155" i="38"/>
  <c r="R157" i="38"/>
  <c r="R141" i="38"/>
  <c r="R149" i="38" s="1"/>
  <c r="R256" i="38"/>
  <c r="R264" i="38" s="1"/>
  <c r="R349" i="38"/>
  <c r="R161" i="38"/>
  <c r="R224" i="38"/>
  <c r="R225" i="38" s="1"/>
  <c r="O289" i="41"/>
  <c r="O274" i="41"/>
  <c r="P246" i="41"/>
  <c r="P166" i="41"/>
  <c r="P158" i="41"/>
  <c r="P156" i="41"/>
  <c r="P155" i="41"/>
  <c r="P157" i="41" s="1"/>
  <c r="P261" i="41"/>
  <c r="P142" i="41"/>
  <c r="P150" i="41" s="1"/>
  <c r="P260" i="41"/>
  <c r="Q140" i="41"/>
  <c r="P301" i="41"/>
  <c r="P314" i="41" s="1"/>
  <c r="P162" i="41"/>
  <c r="P300" i="41"/>
  <c r="P168" i="41"/>
  <c r="P171" i="41"/>
  <c r="Q158" i="40"/>
  <c r="Q392" i="38"/>
  <c r="Q377" i="38"/>
  <c r="Q431" i="38"/>
  <c r="Q416" i="38"/>
  <c r="Q227" i="38"/>
  <c r="Q325" i="40"/>
  <c r="Q310" i="40"/>
  <c r="Q324" i="40"/>
  <c r="Q309" i="40"/>
  <c r="Q349" i="40"/>
  <c r="Q364" i="40"/>
  <c r="O328" i="41"/>
  <c r="O313" i="41"/>
  <c r="N169" i="41"/>
  <c r="BC29" i="31"/>
  <c r="O170" i="38"/>
  <c r="O172" i="38" s="1"/>
  <c r="O174" i="38"/>
  <c r="O238" i="38"/>
  <c r="Q376" i="38"/>
  <c r="Q391" i="38"/>
  <c r="Q270" i="38"/>
  <c r="Q323" i="38"/>
  <c r="Q75" i="41"/>
  <c r="Q76" i="41" s="1"/>
  <c r="Q87" i="41" s="1"/>
  <c r="R74" i="41"/>
  <c r="Q276" i="38"/>
  <c r="Q307" i="38" s="1"/>
  <c r="O167" i="41"/>
  <c r="U29" i="31"/>
  <c r="Q203" i="40"/>
  <c r="R155" i="40"/>
  <c r="R157" i="40"/>
  <c r="R161" i="40"/>
  <c r="R141" i="40"/>
  <c r="R149" i="40" s="1"/>
  <c r="R202" i="40"/>
  <c r="R297" i="40"/>
  <c r="S139" i="40"/>
  <c r="R336" i="40"/>
  <c r="R282" i="40"/>
  <c r="R189" i="40"/>
  <c r="R197" i="40" s="1"/>
  <c r="R154" i="40"/>
  <c r="R256" i="40" s="1"/>
  <c r="R296" i="40"/>
  <c r="R207" i="40"/>
  <c r="R204" i="40"/>
  <c r="R337" i="40"/>
  <c r="R350" i="40" s="1"/>
  <c r="Q158" i="38"/>
  <c r="O377" i="38"/>
  <c r="O392" i="38"/>
  <c r="O288" i="41"/>
  <c r="O291" i="41" s="1"/>
  <c r="O273" i="41"/>
  <c r="O246" i="38"/>
  <c r="Q99" i="40"/>
  <c r="Q171" i="40"/>
  <c r="Q78" i="40"/>
  <c r="Q57" i="40"/>
  <c r="R7" i="40"/>
  <c r="R1" i="40"/>
  <c r="R2" i="40"/>
  <c r="S6" i="40"/>
  <c r="R5" i="40"/>
  <c r="V29" i="40"/>
  <c r="U30" i="40"/>
  <c r="R53" i="41"/>
  <c r="Q54" i="41"/>
  <c r="Q167" i="38"/>
  <c r="T116" i="41"/>
  <c r="S117" i="41"/>
  <c r="S167" i="40"/>
  <c r="T166" i="40"/>
  <c r="S289" i="38"/>
  <c r="S333" i="38" s="1"/>
  <c r="S286" i="38"/>
  <c r="S330" i="38" s="1"/>
  <c r="S284" i="38"/>
  <c r="T283" i="38"/>
  <c r="S288" i="38"/>
  <c r="S285" i="38"/>
  <c r="S329" i="38" s="1"/>
  <c r="S290" i="38"/>
  <c r="S334" i="38" s="1"/>
  <c r="S287" i="38"/>
  <c r="S331" i="38" s="1"/>
  <c r="R328" i="38"/>
  <c r="R335" i="38" s="1"/>
  <c r="R291" i="38"/>
  <c r="P234" i="38"/>
  <c r="Q233" i="38"/>
  <c r="T165" i="38"/>
  <c r="S166" i="38"/>
  <c r="S190" i="41"/>
  <c r="R219" i="41"/>
  <c r="R213" i="41"/>
  <c r="R224" i="41"/>
  <c r="T116" i="40"/>
  <c r="U115" i="40"/>
  <c r="X226" i="40"/>
  <c r="W249" i="40"/>
  <c r="W255" i="40"/>
  <c r="W260" i="40"/>
  <c r="Q293" i="41"/>
  <c r="Q281" i="41"/>
  <c r="Q271" i="41"/>
  <c r="Q270" i="41"/>
  <c r="Q287" i="41"/>
  <c r="Q327" i="41" s="1"/>
  <c r="Q286" i="41"/>
  <c r="Q290" i="41"/>
  <c r="P321" i="41"/>
  <c r="P330" i="41"/>
  <c r="P302" i="41" s="1"/>
  <c r="P311" i="41"/>
  <c r="P310" i="41"/>
  <c r="P326" i="41"/>
  <c r="P299" i="41" s="1"/>
  <c r="P312" i="41" s="1"/>
  <c r="R253" i="41"/>
  <c r="S234" i="41"/>
  <c r="BC24" i="31"/>
  <c r="BC25" i="31" s="1"/>
  <c r="M28" i="31"/>
  <c r="M24" i="31"/>
  <c r="M25" i="31" s="1"/>
  <c r="T24" i="31"/>
  <c r="T25" i="31" s="1"/>
  <c r="O30" i="31"/>
  <c r="BC34" i="31"/>
  <c r="BC45" i="31" s="1"/>
  <c r="U34" i="31"/>
  <c r="T29" i="31"/>
  <c r="T34" i="31"/>
  <c r="T45" i="31" s="1"/>
  <c r="U30" i="31"/>
  <c r="BC30" i="31"/>
  <c r="U24" i="31"/>
  <c r="U25" i="31" s="1"/>
  <c r="R30" i="31"/>
  <c r="T28" i="31"/>
  <c r="T30" i="31"/>
  <c r="P24" i="31"/>
  <c r="P25" i="31" s="1"/>
  <c r="Q24" i="31"/>
  <c r="Q25" i="31" s="1"/>
  <c r="P28" i="31"/>
  <c r="Q34" i="31"/>
  <c r="Q45" i="31" s="1"/>
  <c r="Q86" i="31" s="1"/>
  <c r="P30" i="31"/>
  <c r="J49" i="31"/>
  <c r="H49" i="31"/>
  <c r="F49" i="31"/>
  <c r="I49" i="31"/>
  <c r="V31" i="41"/>
  <c r="W30" i="41"/>
  <c r="W52" i="40"/>
  <c r="V53" i="40"/>
  <c r="N29" i="31"/>
  <c r="O4" i="47"/>
  <c r="P3" i="47"/>
  <c r="O5" i="47"/>
  <c r="O6" i="47"/>
  <c r="AJ31" i="31"/>
  <c r="AI31" i="31" s="1"/>
  <c r="Y29" i="31"/>
  <c r="Y28" i="31"/>
  <c r="Y34" i="31"/>
  <c r="Y45" i="31" s="1"/>
  <c r="Y24" i="31"/>
  <c r="Y25" i="31" s="1"/>
  <c r="Y30" i="31"/>
  <c r="I62" i="31"/>
  <c r="H62" i="31"/>
  <c r="F62" i="31"/>
  <c r="J62" i="31"/>
  <c r="Z28" i="31"/>
  <c r="Z29" i="31"/>
  <c r="Z34" i="31"/>
  <c r="Z45" i="31" s="1"/>
  <c r="Z24" i="31"/>
  <c r="Z25" i="31" s="1"/>
  <c r="Z30" i="31"/>
  <c r="BA29" i="31"/>
  <c r="BA34" i="31"/>
  <c r="BA45" i="31" s="1"/>
  <c r="BA28" i="31"/>
  <c r="BA24" i="31"/>
  <c r="BA25" i="31" s="1"/>
  <c r="BA30" i="31"/>
  <c r="J51" i="31"/>
  <c r="J74" i="31"/>
  <c r="J57" i="31"/>
  <c r="J75" i="31"/>
  <c r="J59" i="31"/>
  <c r="J52" i="31"/>
  <c r="J61" i="31"/>
  <c r="J54" i="31"/>
  <c r="J60" i="31"/>
  <c r="J53" i="31"/>
  <c r="Q29" i="31"/>
  <c r="T95" i="41"/>
  <c r="S96" i="41"/>
  <c r="S30" i="31"/>
  <c r="N32" i="41"/>
  <c r="O47" i="42"/>
  <c r="O1" i="42"/>
  <c r="P2" i="42"/>
  <c r="O24" i="31"/>
  <c r="O25" i="31" s="1"/>
  <c r="S31" i="32"/>
  <c r="AJ53" i="32"/>
  <c r="R79" i="48"/>
  <c r="I41" i="32"/>
  <c r="M405" i="38"/>
  <c r="M418" i="38" s="1"/>
  <c r="M88" i="31"/>
  <c r="M86" i="31"/>
  <c r="N34" i="31"/>
  <c r="N45" i="31" s="1"/>
  <c r="N119" i="40"/>
  <c r="BB34" i="31"/>
  <c r="BB45" i="31" s="1"/>
  <c r="BB29" i="31"/>
  <c r="BB24" i="31"/>
  <c r="BB25" i="31" s="1"/>
  <c r="BB28" i="31"/>
  <c r="BB30" i="31"/>
  <c r="Q120" i="41"/>
  <c r="R24" i="31"/>
  <c r="R25" i="31" s="1"/>
  <c r="Q28" i="31"/>
  <c r="P58" i="41"/>
  <c r="P79" i="41"/>
  <c r="P100" i="41"/>
  <c r="P356" i="38"/>
  <c r="Q337" i="38"/>
  <c r="R311" i="40"/>
  <c r="R303" i="40"/>
  <c r="S291" i="40"/>
  <c r="O29" i="31"/>
  <c r="AG29" i="31"/>
  <c r="AG28" i="31"/>
  <c r="AG34" i="31"/>
  <c r="AG45" i="31" s="1"/>
  <c r="AG24" i="31"/>
  <c r="AG25" i="31" s="1"/>
  <c r="AG30" i="31"/>
  <c r="H75" i="31"/>
  <c r="H61" i="31"/>
  <c r="H51" i="31"/>
  <c r="H60" i="31"/>
  <c r="H57" i="31"/>
  <c r="H52" i="31"/>
  <c r="H59" i="31"/>
  <c r="H74" i="31"/>
  <c r="G21" i="31"/>
  <c r="H54" i="31"/>
  <c r="H53" i="31"/>
  <c r="I52" i="31"/>
  <c r="I60" i="31"/>
  <c r="I75" i="31"/>
  <c r="I53" i="31"/>
  <c r="I54" i="31"/>
  <c r="I57" i="31"/>
  <c r="I61" i="31"/>
  <c r="I51" i="31"/>
  <c r="I74" i="31"/>
  <c r="I59" i="31"/>
  <c r="X74" i="40"/>
  <c r="Y73" i="40"/>
  <c r="AZ34" i="31"/>
  <c r="AZ45" i="31" s="1"/>
  <c r="AZ29" i="31"/>
  <c r="AZ24" i="31"/>
  <c r="AZ25" i="31" s="1"/>
  <c r="AZ28" i="31"/>
  <c r="AZ30" i="31"/>
  <c r="AD28" i="31"/>
  <c r="AD34" i="31"/>
  <c r="AD45" i="31" s="1"/>
  <c r="AD29" i="31"/>
  <c r="AD24" i="31"/>
  <c r="AD25" i="31" s="1"/>
  <c r="AD30" i="31"/>
  <c r="AC28" i="31"/>
  <c r="AC29" i="31"/>
  <c r="AC34" i="31"/>
  <c r="AC45" i="31" s="1"/>
  <c r="AC24" i="31"/>
  <c r="AC25" i="31" s="1"/>
  <c r="AC30" i="31"/>
  <c r="P9" i="41"/>
  <c r="S24" i="31"/>
  <c r="S25" i="31" s="1"/>
  <c r="AV34" i="31"/>
  <c r="AV45" i="31" s="1"/>
  <c r="AV29" i="31"/>
  <c r="AV28" i="31"/>
  <c r="AV24" i="31"/>
  <c r="AV25" i="31" s="1"/>
  <c r="AV30" i="31"/>
  <c r="AB29" i="31"/>
  <c r="AB28" i="31"/>
  <c r="AB34" i="31"/>
  <c r="AB45" i="31" s="1"/>
  <c r="AB24" i="31"/>
  <c r="AB25" i="31" s="1"/>
  <c r="AB30" i="31"/>
  <c r="AW29" i="31"/>
  <c r="AW34" i="31"/>
  <c r="AW45" i="31" s="1"/>
  <c r="AW28" i="31"/>
  <c r="AW24" i="31"/>
  <c r="AW25" i="31" s="1"/>
  <c r="AW30" i="31"/>
  <c r="O28" i="31"/>
  <c r="N413" i="38"/>
  <c r="N414" i="38"/>
  <c r="N433" i="38"/>
  <c r="N405" i="38" s="1"/>
  <c r="N418" i="38" s="1"/>
  <c r="O65" i="40"/>
  <c r="O67" i="40" s="1"/>
  <c r="P54" i="40"/>
  <c r="AU7" i="31"/>
  <c r="AU55" i="31" s="1"/>
  <c r="V7" i="31"/>
  <c r="Q307" i="41"/>
  <c r="R295" i="41"/>
  <c r="Q315" i="41"/>
  <c r="R34" i="31"/>
  <c r="R45" i="31" s="1"/>
  <c r="R86" i="31" s="1"/>
  <c r="C115" i="28" s="1"/>
  <c r="O179" i="40"/>
  <c r="P168" i="40"/>
  <c r="S34" i="31"/>
  <c r="S45" i="31" s="1"/>
  <c r="S86" i="31" s="1"/>
  <c r="C120" i="28" s="1"/>
  <c r="O393" i="38"/>
  <c r="O365" i="38" s="1"/>
  <c r="O378" i="38" s="1"/>
  <c r="O373" i="38"/>
  <c r="O396" i="38"/>
  <c r="O374" i="38"/>
  <c r="J31" i="32"/>
  <c r="AF29" i="31"/>
  <c r="AF28" i="31"/>
  <c r="AF34" i="31"/>
  <c r="AF45" i="31" s="1"/>
  <c r="AF24" i="31"/>
  <c r="AF25" i="31" s="1"/>
  <c r="AF30" i="31"/>
  <c r="AA34" i="31"/>
  <c r="AA45" i="31" s="1"/>
  <c r="AA28" i="31"/>
  <c r="AA29" i="31"/>
  <c r="AA24" i="31"/>
  <c r="AA25" i="31" s="1"/>
  <c r="AA30" i="31"/>
  <c r="Y95" i="40"/>
  <c r="Z94" i="40"/>
  <c r="Z95" i="40" s="1"/>
  <c r="M29" i="31"/>
  <c r="O86" i="40"/>
  <c r="P75" i="40"/>
  <c r="N30" i="31"/>
  <c r="AY29" i="31"/>
  <c r="AY34" i="31"/>
  <c r="AY45" i="31" s="1"/>
  <c r="AY28" i="31"/>
  <c r="AY24" i="31"/>
  <c r="AY25" i="31" s="1"/>
  <c r="AY30" i="31"/>
  <c r="P34" i="31"/>
  <c r="P45" i="31" s="1"/>
  <c r="R28" i="31"/>
  <c r="Q30" i="31"/>
  <c r="N8" i="40"/>
  <c r="S28" i="31"/>
  <c r="P96" i="40"/>
  <c r="O107" i="40"/>
  <c r="O109" i="40" s="1"/>
  <c r="Q275" i="41"/>
  <c r="Q267" i="41"/>
  <c r="R255" i="41"/>
  <c r="F43" i="31"/>
  <c r="U43" i="31"/>
  <c r="U44" i="31" s="1"/>
  <c r="G56" i="31"/>
  <c r="L31" i="40"/>
  <c r="AE28" i="31"/>
  <c r="AE34" i="31"/>
  <c r="AE45" i="31" s="1"/>
  <c r="AE29" i="31"/>
  <c r="AE24" i="31"/>
  <c r="AE25" i="31" s="1"/>
  <c r="AE30" i="31"/>
  <c r="N28" i="31"/>
  <c r="Q3" i="41"/>
  <c r="Q2" i="41"/>
  <c r="Q6" i="41"/>
  <c r="R7" i="41"/>
  <c r="Q8" i="41"/>
  <c r="O34" i="31"/>
  <c r="O45" i="31" s="1"/>
  <c r="M30" i="31"/>
  <c r="N24" i="31"/>
  <c r="N25" i="31" s="1"/>
  <c r="G44" i="31"/>
  <c r="H45" i="31"/>
  <c r="O66" i="41"/>
  <c r="O68" i="41" s="1"/>
  <c r="P55" i="41"/>
  <c r="AX34" i="31"/>
  <c r="AX45" i="31" s="1"/>
  <c r="AX29" i="31"/>
  <c r="AX28" i="31"/>
  <c r="AX24" i="31"/>
  <c r="AX25" i="31" s="1"/>
  <c r="AX30" i="31"/>
  <c r="P29" i="31"/>
  <c r="R29" i="31"/>
  <c r="S29" i="31"/>
  <c r="Q262" i="41" l="1"/>
  <c r="Q257" i="40"/>
  <c r="S343" i="40"/>
  <c r="T331" i="40"/>
  <c r="S351" i="40"/>
  <c r="X135" i="38"/>
  <c r="X134" i="38"/>
  <c r="X137" i="38"/>
  <c r="Z130" i="38"/>
  <c r="Z131" i="38" s="1"/>
  <c r="Z133" i="38" s="1"/>
  <c r="Y131" i="38"/>
  <c r="Y133" i="38" s="1"/>
  <c r="P173" i="41"/>
  <c r="Q258" i="40"/>
  <c r="R240" i="40"/>
  <c r="S378" i="38"/>
  <c r="T358" i="38"/>
  <c r="S370" i="38"/>
  <c r="U398" i="38"/>
  <c r="T410" i="38"/>
  <c r="T418" i="38"/>
  <c r="R188" i="41"/>
  <c r="R225" i="41"/>
  <c r="R232" i="41" s="1"/>
  <c r="S183" i="41"/>
  <c r="S227" i="41" s="1"/>
  <c r="T180" i="41"/>
  <c r="S186" i="41"/>
  <c r="S230" i="41" s="1"/>
  <c r="S184" i="41"/>
  <c r="S228" i="41" s="1"/>
  <c r="S185" i="41"/>
  <c r="S187" i="41"/>
  <c r="S231" i="41" s="1"/>
  <c r="S182" i="41"/>
  <c r="S226" i="41" s="1"/>
  <c r="S181" i="41"/>
  <c r="O175" i="38"/>
  <c r="O176" i="38" s="1"/>
  <c r="O185" i="38" s="1"/>
  <c r="R293" i="38"/>
  <c r="Q327" i="38"/>
  <c r="Q316" i="38"/>
  <c r="Q322" i="38"/>
  <c r="P295" i="40"/>
  <c r="P308" i="40" s="1"/>
  <c r="T223" i="40"/>
  <c r="T267" i="40" s="1"/>
  <c r="U216" i="40"/>
  <c r="T221" i="40"/>
  <c r="T219" i="40"/>
  <c r="T263" i="40" s="1"/>
  <c r="T220" i="40"/>
  <c r="T264" i="40" s="1"/>
  <c r="T217" i="40"/>
  <c r="T222" i="40"/>
  <c r="T266" i="40" s="1"/>
  <c r="T218" i="40"/>
  <c r="T262" i="40" s="1"/>
  <c r="J97" i="40"/>
  <c r="J102" i="40" s="1"/>
  <c r="J103" i="40" s="1"/>
  <c r="S261" i="40"/>
  <c r="S268" i="40" s="1"/>
  <c r="S224" i="40"/>
  <c r="S270" i="40"/>
  <c r="R289" i="40"/>
  <c r="Q329" i="40"/>
  <c r="Q323" i="40"/>
  <c r="Q363" i="40" s="1"/>
  <c r="Q306" i="40"/>
  <c r="Q317" i="40"/>
  <c r="Q322" i="40"/>
  <c r="Q326" i="40"/>
  <c r="Q298" i="40" s="1"/>
  <c r="Q307" i="40"/>
  <c r="P159" i="41"/>
  <c r="P366" i="40"/>
  <c r="P338" i="40" s="1"/>
  <c r="P346" i="40"/>
  <c r="P347" i="40"/>
  <c r="P357" i="40"/>
  <c r="P362" i="40"/>
  <c r="P335" i="40" s="1"/>
  <c r="P348" i="40" s="1"/>
  <c r="R227" i="38"/>
  <c r="Q259" i="41"/>
  <c r="Q272" i="41" s="1"/>
  <c r="R310" i="40"/>
  <c r="R325" i="40"/>
  <c r="P289" i="41"/>
  <c r="P274" i="41"/>
  <c r="P167" i="41"/>
  <c r="P169" i="41" s="1"/>
  <c r="R324" i="40"/>
  <c r="R309" i="40"/>
  <c r="R203" i="40"/>
  <c r="P328" i="41"/>
  <c r="P313" i="41"/>
  <c r="P170" i="38"/>
  <c r="P172" i="38" s="1"/>
  <c r="P238" i="38"/>
  <c r="P174" i="38"/>
  <c r="T139" i="38"/>
  <c r="S403" i="38"/>
  <c r="S155" i="38"/>
  <c r="S141" i="38"/>
  <c r="S149" i="38" s="1"/>
  <c r="S271" i="38"/>
  <c r="S157" i="38"/>
  <c r="S224" i="38"/>
  <c r="S225" i="38" s="1"/>
  <c r="S226" i="38"/>
  <c r="S211" i="38"/>
  <c r="S219" i="38" s="1"/>
  <c r="S364" i="38"/>
  <c r="S349" i="38"/>
  <c r="S274" i="38"/>
  <c r="S404" i="38"/>
  <c r="S417" i="38" s="1"/>
  <c r="S269" i="38"/>
  <c r="S256" i="38"/>
  <c r="S264" i="38" s="1"/>
  <c r="S154" i="38"/>
  <c r="S156" i="38" s="1"/>
  <c r="S229" i="38"/>
  <c r="S161" i="38"/>
  <c r="S363" i="38"/>
  <c r="N97" i="40"/>
  <c r="N102" i="40" s="1"/>
  <c r="N103" i="40" s="1"/>
  <c r="R156" i="40"/>
  <c r="O169" i="41"/>
  <c r="R392" i="38"/>
  <c r="R377" i="38"/>
  <c r="K97" i="40"/>
  <c r="K102" i="40" s="1"/>
  <c r="K103" i="40" s="1"/>
  <c r="Q142" i="41"/>
  <c r="Q150" i="41" s="1"/>
  <c r="Q156" i="41"/>
  <c r="R140" i="41"/>
  <c r="Q300" i="41"/>
  <c r="Q246" i="41"/>
  <c r="Q155" i="41"/>
  <c r="Q301" i="41"/>
  <c r="Q314" i="41" s="1"/>
  <c r="Q162" i="41"/>
  <c r="Q173" i="41" s="1"/>
  <c r="Q171" i="41"/>
  <c r="Q260" i="41"/>
  <c r="Q261" i="41"/>
  <c r="Q158" i="41"/>
  <c r="Q166" i="41"/>
  <c r="Q168" i="41"/>
  <c r="R158" i="38"/>
  <c r="R416" i="38"/>
  <c r="R431" i="38"/>
  <c r="R75" i="41"/>
  <c r="R76" i="41" s="1"/>
  <c r="R87" i="41" s="1"/>
  <c r="S74" i="41"/>
  <c r="Q272" i="38"/>
  <c r="Q432" i="38" s="1"/>
  <c r="Q324" i="38"/>
  <c r="Q325" i="38" s="1"/>
  <c r="R391" i="38"/>
  <c r="R376" i="38"/>
  <c r="R364" i="40"/>
  <c r="R349" i="40"/>
  <c r="P273" i="41"/>
  <c r="P288" i="41"/>
  <c r="P291" i="41" s="1"/>
  <c r="R276" i="38"/>
  <c r="R307" i="38" s="1"/>
  <c r="S204" i="40"/>
  <c r="S296" i="40"/>
  <c r="S202" i="40"/>
  <c r="S155" i="40"/>
  <c r="S282" i="40"/>
  <c r="T139" i="40"/>
  <c r="S161" i="40"/>
  <c r="S157" i="40"/>
  <c r="S336" i="40"/>
  <c r="S189" i="40"/>
  <c r="S197" i="40" s="1"/>
  <c r="S297" i="40"/>
  <c r="S337" i="40"/>
  <c r="S350" i="40" s="1"/>
  <c r="S154" i="40"/>
  <c r="S141" i="40"/>
  <c r="S149" i="40" s="1"/>
  <c r="S207" i="40"/>
  <c r="S209" i="40" s="1"/>
  <c r="Q205" i="40"/>
  <c r="Q365" i="40" s="1"/>
  <c r="R323" i="38"/>
  <c r="R270" i="38"/>
  <c r="R324" i="38" s="1"/>
  <c r="T190" i="41"/>
  <c r="S219" i="41"/>
  <c r="S224" i="41"/>
  <c r="S213" i="41"/>
  <c r="U116" i="41"/>
  <c r="T117" i="41"/>
  <c r="R171" i="40"/>
  <c r="R78" i="40"/>
  <c r="R99" i="40"/>
  <c r="R57" i="40"/>
  <c r="L97" i="40"/>
  <c r="L102" i="40" s="1"/>
  <c r="L103" i="40" s="1"/>
  <c r="S53" i="41"/>
  <c r="R54" i="41"/>
  <c r="W29" i="40"/>
  <c r="V30" i="40"/>
  <c r="U165" i="38"/>
  <c r="T166" i="38"/>
  <c r="R167" i="38"/>
  <c r="S253" i="41"/>
  <c r="T234" i="41"/>
  <c r="R233" i="38"/>
  <c r="Q234" i="38"/>
  <c r="T285" i="38"/>
  <c r="T329" i="38" s="1"/>
  <c r="T289" i="38"/>
  <c r="T333" i="38" s="1"/>
  <c r="T287" i="38"/>
  <c r="T331" i="38" s="1"/>
  <c r="T284" i="38"/>
  <c r="T290" i="38"/>
  <c r="T334" i="38" s="1"/>
  <c r="T288" i="38"/>
  <c r="T286" i="38"/>
  <c r="T330" i="38" s="1"/>
  <c r="U283" i="38"/>
  <c r="R293" i="41"/>
  <c r="R290" i="41"/>
  <c r="R262" i="41" s="1"/>
  <c r="R270" i="41"/>
  <c r="R287" i="41"/>
  <c r="R327" i="41" s="1"/>
  <c r="R271" i="41"/>
  <c r="R281" i="41"/>
  <c r="R286" i="41"/>
  <c r="S291" i="38"/>
  <c r="S328" i="38"/>
  <c r="S335" i="38" s="1"/>
  <c r="O97" i="40"/>
  <c r="O102" i="40" s="1"/>
  <c r="O103" i="40" s="1"/>
  <c r="X260" i="40"/>
  <c r="Y226" i="40"/>
  <c r="X255" i="40"/>
  <c r="X249" i="40"/>
  <c r="P235" i="38"/>
  <c r="P243" i="38" s="1"/>
  <c r="T6" i="40"/>
  <c r="S2" i="40"/>
  <c r="S1" i="40"/>
  <c r="S5" i="40"/>
  <c r="S7" i="40"/>
  <c r="Q310" i="41"/>
  <c r="Q311" i="41"/>
  <c r="Q321" i="41"/>
  <c r="Q330" i="41"/>
  <c r="Q302" i="41" s="1"/>
  <c r="Q326" i="41"/>
  <c r="Q299" i="41" s="1"/>
  <c r="Q312" i="41" s="1"/>
  <c r="U116" i="40"/>
  <c r="V115" i="40"/>
  <c r="U166" i="40"/>
  <c r="T167" i="40"/>
  <c r="BC31" i="31"/>
  <c r="P31" i="31"/>
  <c r="T86" i="31"/>
  <c r="T88" i="31"/>
  <c r="U31" i="31"/>
  <c r="C113" i="28"/>
  <c r="T31" i="31"/>
  <c r="I76" i="31"/>
  <c r="I34" i="32" s="1"/>
  <c r="S31" i="31"/>
  <c r="BA31" i="31"/>
  <c r="M31" i="31"/>
  <c r="U45" i="31"/>
  <c r="N31" i="31"/>
  <c r="AB31" i="31"/>
  <c r="Q55" i="41"/>
  <c r="P66" i="41"/>
  <c r="P68" i="41" s="1"/>
  <c r="R120" i="41"/>
  <c r="N86" i="31"/>
  <c r="N88" i="31"/>
  <c r="P4" i="47"/>
  <c r="Q3" i="47"/>
  <c r="P5" i="47"/>
  <c r="P6" i="47"/>
  <c r="X30" i="41"/>
  <c r="W31" i="41"/>
  <c r="H31" i="32"/>
  <c r="O8" i="40"/>
  <c r="AW31" i="31"/>
  <c r="AC31" i="31"/>
  <c r="AD31" i="31"/>
  <c r="AN57" i="31"/>
  <c r="AE57" i="31"/>
  <c r="U57" i="31"/>
  <c r="AL57" i="31"/>
  <c r="AZ57" i="31"/>
  <c r="M57" i="31"/>
  <c r="AC57" i="31"/>
  <c r="BA57" i="31"/>
  <c r="AA57" i="31"/>
  <c r="AX57" i="31"/>
  <c r="AY57" i="31"/>
  <c r="Z57" i="31"/>
  <c r="AU57" i="31"/>
  <c r="AG57" i="31"/>
  <c r="O57" i="31"/>
  <c r="Q57" i="31"/>
  <c r="P57" i="31"/>
  <c r="BB57" i="31"/>
  <c r="AD57" i="31"/>
  <c r="S57" i="31"/>
  <c r="T57" i="31"/>
  <c r="AQ57" i="31"/>
  <c r="AJ57" i="31"/>
  <c r="BC57" i="31"/>
  <c r="AP57" i="31"/>
  <c r="N57" i="31"/>
  <c r="AK57" i="31"/>
  <c r="AO57" i="31"/>
  <c r="AF57" i="31"/>
  <c r="AB57" i="31"/>
  <c r="Y57" i="31"/>
  <c r="AV57" i="31"/>
  <c r="R57" i="31"/>
  <c r="AW57" i="31"/>
  <c r="AR57" i="31"/>
  <c r="AM57" i="31"/>
  <c r="Q31" i="31"/>
  <c r="R100" i="48"/>
  <c r="AZ52" i="31"/>
  <c r="AJ52" i="31"/>
  <c r="AG52" i="31"/>
  <c r="O52" i="31"/>
  <c r="BB52" i="31"/>
  <c r="AD52" i="31"/>
  <c r="AC52" i="31"/>
  <c r="AN52" i="31"/>
  <c r="AK52" i="31"/>
  <c r="Y52" i="31"/>
  <c r="AX52" i="31"/>
  <c r="AP52" i="31"/>
  <c r="AR52" i="31"/>
  <c r="AM52" i="31"/>
  <c r="AE52" i="31"/>
  <c r="M52" i="31"/>
  <c r="AW52" i="31"/>
  <c r="AY52" i="31"/>
  <c r="AO52" i="31"/>
  <c r="S52" i="31"/>
  <c r="Q52" i="31"/>
  <c r="AL52" i="31"/>
  <c r="AB52" i="31"/>
  <c r="AA52" i="31"/>
  <c r="AV52" i="31"/>
  <c r="AF52" i="31"/>
  <c r="AQ52" i="31"/>
  <c r="U52" i="31"/>
  <c r="Z52" i="31"/>
  <c r="T52" i="31"/>
  <c r="AU52" i="31"/>
  <c r="N52" i="31"/>
  <c r="R52" i="31"/>
  <c r="BC52" i="31"/>
  <c r="P52" i="31"/>
  <c r="BA52" i="31"/>
  <c r="F44" i="31"/>
  <c r="G45" i="31"/>
  <c r="AA60" i="31"/>
  <c r="AB60" i="31"/>
  <c r="Y60" i="31"/>
  <c r="N60" i="31"/>
  <c r="AC60" i="31"/>
  <c r="T60" i="31"/>
  <c r="AX60" i="31"/>
  <c r="AK60" i="31"/>
  <c r="Q60" i="31"/>
  <c r="AQ60" i="31"/>
  <c r="S60" i="31"/>
  <c r="AN60" i="31"/>
  <c r="AM60" i="31"/>
  <c r="AY60" i="31"/>
  <c r="AJ60" i="31"/>
  <c r="BB60" i="31"/>
  <c r="AV60" i="31"/>
  <c r="AP60" i="31"/>
  <c r="R60" i="31"/>
  <c r="AF60" i="31"/>
  <c r="AE60" i="31"/>
  <c r="AL60" i="31"/>
  <c r="AD60" i="31"/>
  <c r="AG60" i="31"/>
  <c r="Z60" i="31"/>
  <c r="O60" i="31"/>
  <c r="BA60" i="31"/>
  <c r="M60" i="31"/>
  <c r="P60" i="31"/>
  <c r="U60" i="31"/>
  <c r="AR60" i="31"/>
  <c r="AZ60" i="31"/>
  <c r="AW60" i="31"/>
  <c r="BC60" i="31"/>
  <c r="AU60" i="31"/>
  <c r="AO60" i="31"/>
  <c r="U95" i="41"/>
  <c r="T96" i="41"/>
  <c r="AZ49" i="31"/>
  <c r="R49" i="31"/>
  <c r="AO49" i="31"/>
  <c r="AL49" i="31"/>
  <c r="AW49" i="31"/>
  <c r="AU49" i="31"/>
  <c r="U49" i="31"/>
  <c r="AJ49" i="31"/>
  <c r="AP49" i="31"/>
  <c r="Z49" i="31"/>
  <c r="Q49" i="31"/>
  <c r="M49" i="31"/>
  <c r="AK49" i="31"/>
  <c r="AQ49" i="31"/>
  <c r="AD49" i="31"/>
  <c r="BC49" i="31"/>
  <c r="AB49" i="31"/>
  <c r="BB49" i="31"/>
  <c r="AY49" i="31"/>
  <c r="Y49" i="31"/>
  <c r="AC49" i="31"/>
  <c r="AF49" i="31"/>
  <c r="N49" i="31"/>
  <c r="AA49" i="31"/>
  <c r="AR49" i="31"/>
  <c r="P49" i="31"/>
  <c r="S49" i="31"/>
  <c r="T49" i="31"/>
  <c r="AV49" i="31"/>
  <c r="AM49" i="31"/>
  <c r="AE49" i="31"/>
  <c r="O49" i="31"/>
  <c r="AG49" i="31"/>
  <c r="BA49" i="31"/>
  <c r="AN49" i="31"/>
  <c r="AX49" i="31"/>
  <c r="AX31" i="31"/>
  <c r="M31" i="40"/>
  <c r="AY31" i="31"/>
  <c r="AF31" i="31"/>
  <c r="O413" i="38"/>
  <c r="O433" i="38"/>
  <c r="O405" i="38" s="1"/>
  <c r="O418" i="38" s="1"/>
  <c r="O414" i="38"/>
  <c r="P179" i="40"/>
  <c r="Q168" i="40"/>
  <c r="AU34" i="31"/>
  <c r="AU45" i="31" s="1"/>
  <c r="AT45" i="31" s="1"/>
  <c r="AU29" i="31"/>
  <c r="AU24" i="31"/>
  <c r="AU25" i="31" s="1"/>
  <c r="AU28" i="31"/>
  <c r="AU30" i="31"/>
  <c r="Q9" i="41"/>
  <c r="Y74" i="40"/>
  <c r="Z73" i="40"/>
  <c r="Z74" i="40" s="1"/>
  <c r="AO53" i="31"/>
  <c r="AA53" i="31"/>
  <c r="AL53" i="31"/>
  <c r="AM53" i="31"/>
  <c r="AG53" i="31"/>
  <c r="BB53" i="31"/>
  <c r="AV53" i="31"/>
  <c r="M53" i="31"/>
  <c r="AE53" i="31"/>
  <c r="AJ53" i="31"/>
  <c r="AC53" i="31"/>
  <c r="AR53" i="31"/>
  <c r="AZ53" i="31"/>
  <c r="R53" i="31"/>
  <c r="AY53" i="31"/>
  <c r="AB53" i="31"/>
  <c r="U53" i="31"/>
  <c r="S53" i="31"/>
  <c r="AN53" i="31"/>
  <c r="BC53" i="31"/>
  <c r="AW53" i="31"/>
  <c r="Q53" i="31"/>
  <c r="AF53" i="31"/>
  <c r="AK53" i="31"/>
  <c r="AD53" i="31"/>
  <c r="P53" i="31"/>
  <c r="Z53" i="31"/>
  <c r="AQ53" i="31"/>
  <c r="BA53" i="31"/>
  <c r="Y53" i="31"/>
  <c r="N53" i="31"/>
  <c r="AU53" i="31"/>
  <c r="O53" i="31"/>
  <c r="AP53" i="31"/>
  <c r="T53" i="31"/>
  <c r="AX53" i="31"/>
  <c r="AE51" i="31"/>
  <c r="AQ51" i="31"/>
  <c r="T51" i="31"/>
  <c r="AY51" i="31"/>
  <c r="AR51" i="31"/>
  <c r="AJ51" i="31"/>
  <c r="Q51" i="31"/>
  <c r="BB51" i="31"/>
  <c r="AF51" i="31"/>
  <c r="AG51" i="31"/>
  <c r="U51" i="31"/>
  <c r="AO51" i="31"/>
  <c r="AC51" i="31"/>
  <c r="BC51" i="31"/>
  <c r="Z51" i="31"/>
  <c r="AD51" i="31"/>
  <c r="BA51" i="31"/>
  <c r="AZ51" i="31"/>
  <c r="AL51" i="31"/>
  <c r="AM51" i="31"/>
  <c r="AA51" i="31"/>
  <c r="AX51" i="31"/>
  <c r="AV51" i="31"/>
  <c r="R51" i="31"/>
  <c r="M51" i="31"/>
  <c r="O51" i="31"/>
  <c r="AK51" i="31"/>
  <c r="AN51" i="31"/>
  <c r="Y51" i="31"/>
  <c r="AW51" i="31"/>
  <c r="S51" i="31"/>
  <c r="AU51" i="31"/>
  <c r="AB51" i="31"/>
  <c r="N51" i="31"/>
  <c r="P51" i="31"/>
  <c r="AP51" i="31"/>
  <c r="AG31" i="31"/>
  <c r="T291" i="40"/>
  <c r="S303" i="40"/>
  <c r="S311" i="40"/>
  <c r="O119" i="40"/>
  <c r="O32" i="41"/>
  <c r="Z31" i="31"/>
  <c r="N59" i="31"/>
  <c r="T59" i="31"/>
  <c r="AP59" i="31"/>
  <c r="M59" i="31"/>
  <c r="AA59" i="31"/>
  <c r="AD59" i="31"/>
  <c r="BA59" i="31"/>
  <c r="AJ59" i="31"/>
  <c r="AL59" i="31"/>
  <c r="AB59" i="31"/>
  <c r="AR59" i="31"/>
  <c r="Y59" i="31"/>
  <c r="U59" i="31"/>
  <c r="AX59" i="31"/>
  <c r="Q59" i="31"/>
  <c r="AO59" i="31"/>
  <c r="O59" i="31"/>
  <c r="AN59" i="31"/>
  <c r="BC59" i="31"/>
  <c r="AF59" i="31"/>
  <c r="AG59" i="31"/>
  <c r="AQ59" i="31"/>
  <c r="P59" i="31"/>
  <c r="AV59" i="31"/>
  <c r="AM59" i="31"/>
  <c r="AC59" i="31"/>
  <c r="Z59" i="31"/>
  <c r="AZ59" i="31"/>
  <c r="AW59" i="31"/>
  <c r="AU59" i="31"/>
  <c r="S59" i="31"/>
  <c r="BB59" i="31"/>
  <c r="AE59" i="31"/>
  <c r="R59" i="31"/>
  <c r="AK59" i="31"/>
  <c r="AY59" i="31"/>
  <c r="P373" i="38"/>
  <c r="P396" i="38"/>
  <c r="P374" i="38"/>
  <c r="R267" i="41"/>
  <c r="S255" i="41"/>
  <c r="R275" i="41"/>
  <c r="R6" i="41"/>
  <c r="R8" i="41"/>
  <c r="S7" i="41"/>
  <c r="R3" i="41"/>
  <c r="R2" i="41"/>
  <c r="F56" i="31"/>
  <c r="H56" i="31"/>
  <c r="J56" i="31"/>
  <c r="I56" i="31"/>
  <c r="AA31" i="31"/>
  <c r="P65" i="40"/>
  <c r="P67" i="40" s="1"/>
  <c r="Q54" i="40"/>
  <c r="AZ54" i="31"/>
  <c r="AJ54" i="31"/>
  <c r="AL54" i="31"/>
  <c r="O54" i="31"/>
  <c r="AA54" i="31"/>
  <c r="Z54" i="31"/>
  <c r="BA54" i="31"/>
  <c r="AN54" i="31"/>
  <c r="BB54" i="31"/>
  <c r="AU54" i="31"/>
  <c r="AM54" i="31"/>
  <c r="AY54" i="31"/>
  <c r="AX54" i="31"/>
  <c r="U54" i="31"/>
  <c r="R54" i="31"/>
  <c r="AQ54" i="31"/>
  <c r="S54" i="31"/>
  <c r="AR54" i="31"/>
  <c r="T54" i="31"/>
  <c r="Q54" i="31"/>
  <c r="P54" i="31"/>
  <c r="AK54" i="31"/>
  <c r="BC54" i="31"/>
  <c r="AB54" i="31"/>
  <c r="AW54" i="31"/>
  <c r="AG54" i="31"/>
  <c r="AV54" i="31"/>
  <c r="AD54" i="31"/>
  <c r="AO54" i="31"/>
  <c r="N54" i="31"/>
  <c r="AP54" i="31"/>
  <c r="AC54" i="31"/>
  <c r="M54" i="31"/>
  <c r="Y54" i="31"/>
  <c r="AF54" i="31"/>
  <c r="AE54" i="31"/>
  <c r="U61" i="31"/>
  <c r="AU61" i="31"/>
  <c r="AB61" i="31"/>
  <c r="M61" i="31"/>
  <c r="O61" i="31"/>
  <c r="AJ61" i="31"/>
  <c r="AO61" i="31"/>
  <c r="AY61" i="31"/>
  <c r="AR61" i="31"/>
  <c r="AM61" i="31"/>
  <c r="AK61" i="31"/>
  <c r="BC61" i="31"/>
  <c r="N61" i="31"/>
  <c r="P61" i="31"/>
  <c r="AL61" i="31"/>
  <c r="AD61" i="31"/>
  <c r="AW61" i="31"/>
  <c r="BA61" i="31"/>
  <c r="T61" i="31"/>
  <c r="Z61" i="31"/>
  <c r="AA61" i="31"/>
  <c r="AV61" i="31"/>
  <c r="Q61" i="31"/>
  <c r="R61" i="31"/>
  <c r="AG61" i="31"/>
  <c r="AP61" i="31"/>
  <c r="AN61" i="31"/>
  <c r="AQ61" i="31"/>
  <c r="AC61" i="31"/>
  <c r="Y61" i="31"/>
  <c r="AZ61" i="31"/>
  <c r="AE61" i="31"/>
  <c r="S61" i="31"/>
  <c r="AF61" i="31"/>
  <c r="BB61" i="31"/>
  <c r="AX61" i="31"/>
  <c r="G219" i="40"/>
  <c r="H219" i="40"/>
  <c r="W53" i="40"/>
  <c r="X52" i="40"/>
  <c r="O86" i="31"/>
  <c r="C116" i="28"/>
  <c r="J76" i="31"/>
  <c r="AE31" i="31"/>
  <c r="P88" i="31"/>
  <c r="P86" i="31"/>
  <c r="C117" i="28" s="1"/>
  <c r="F97" i="40"/>
  <c r="F102" i="40" s="1"/>
  <c r="I97" i="40"/>
  <c r="G97" i="40"/>
  <c r="G102" i="40" s="1"/>
  <c r="H97" i="40"/>
  <c r="H102" i="40" s="1"/>
  <c r="M97" i="40"/>
  <c r="M102" i="40" s="1"/>
  <c r="O31" i="31"/>
  <c r="AV31" i="31"/>
  <c r="AZ31" i="31"/>
  <c r="BB75" i="31"/>
  <c r="AD75" i="31"/>
  <c r="AX75" i="31"/>
  <c r="AZ75" i="31"/>
  <c r="U75" i="31"/>
  <c r="AV75" i="31"/>
  <c r="Z75" i="31"/>
  <c r="P75" i="31"/>
  <c r="AE75" i="31"/>
  <c r="AK75" i="31"/>
  <c r="AR75" i="31"/>
  <c r="AN75" i="31"/>
  <c r="AP75" i="31"/>
  <c r="AB75" i="31"/>
  <c r="R75" i="31"/>
  <c r="Q75" i="31"/>
  <c r="N75" i="31"/>
  <c r="AA75" i="31"/>
  <c r="AC75" i="31"/>
  <c r="AW75" i="31"/>
  <c r="AU75" i="31"/>
  <c r="M75" i="31"/>
  <c r="AQ75" i="31"/>
  <c r="AY75" i="31"/>
  <c r="BA75" i="31"/>
  <c r="Y75" i="31"/>
  <c r="AL75" i="31"/>
  <c r="AG75" i="31"/>
  <c r="S75" i="31"/>
  <c r="O75" i="31"/>
  <c r="AO75" i="31"/>
  <c r="AM75" i="31"/>
  <c r="T75" i="31"/>
  <c r="AF75" i="31"/>
  <c r="BC75" i="31"/>
  <c r="AJ75" i="31"/>
  <c r="X45" i="31"/>
  <c r="P86" i="40"/>
  <c r="Q75" i="40"/>
  <c r="R307" i="41"/>
  <c r="R315" i="41"/>
  <c r="S295" i="41"/>
  <c r="T31" i="32"/>
  <c r="J41" i="32"/>
  <c r="AK53" i="32"/>
  <c r="T79" i="48"/>
  <c r="Q100" i="41"/>
  <c r="Q58" i="41"/>
  <c r="Q79" i="41"/>
  <c r="P97" i="40"/>
  <c r="P102" i="40" s="1"/>
  <c r="Q96" i="40"/>
  <c r="P107" i="40"/>
  <c r="P109" i="40" s="1"/>
  <c r="R31" i="31"/>
  <c r="Q74" i="31"/>
  <c r="H76" i="31"/>
  <c r="AJ74" i="31"/>
  <c r="AR74" i="31"/>
  <c r="N74" i="31"/>
  <c r="T74" i="31"/>
  <c r="AK74" i="31"/>
  <c r="AB74" i="31"/>
  <c r="AG74" i="31"/>
  <c r="AL74" i="31"/>
  <c r="AX74" i="31"/>
  <c r="Z74" i="31"/>
  <c r="AE74" i="31"/>
  <c r="AN74" i="31"/>
  <c r="AD74" i="31"/>
  <c r="AM74" i="31"/>
  <c r="AZ74" i="31"/>
  <c r="AF74" i="31"/>
  <c r="BA74" i="31"/>
  <c r="P74" i="31"/>
  <c r="U74" i="31"/>
  <c r="AW74" i="31"/>
  <c r="BC74" i="31"/>
  <c r="O74" i="31"/>
  <c r="AA74" i="31"/>
  <c r="R74" i="31"/>
  <c r="Y74" i="31"/>
  <c r="AV74" i="31"/>
  <c r="M74" i="31"/>
  <c r="AP74" i="31"/>
  <c r="AC74" i="31"/>
  <c r="BB74" i="31"/>
  <c r="AO74" i="31"/>
  <c r="AQ74" i="31"/>
  <c r="AY74" i="31"/>
  <c r="S74" i="31"/>
  <c r="AU74" i="31"/>
  <c r="Q356" i="38"/>
  <c r="R337" i="38"/>
  <c r="BB31" i="31"/>
  <c r="P47" i="42"/>
  <c r="P1" i="42"/>
  <c r="Q2" i="42"/>
  <c r="BC62" i="31"/>
  <c r="AD62" i="31"/>
  <c r="AV62" i="31"/>
  <c r="AX62" i="31"/>
  <c r="Z62" i="31"/>
  <c r="T62" i="31"/>
  <c r="AZ62" i="31"/>
  <c r="AU62" i="31"/>
  <c r="AE62" i="31"/>
  <c r="P62" i="31"/>
  <c r="AQ62" i="31"/>
  <c r="BB62" i="31"/>
  <c r="AF62" i="31"/>
  <c r="BA62" i="31"/>
  <c r="U62" i="31"/>
  <c r="S62" i="31"/>
  <c r="Y62" i="31"/>
  <c r="AW62" i="31"/>
  <c r="AY62" i="31"/>
  <c r="R62" i="31"/>
  <c r="AJ62" i="31"/>
  <c r="AK62" i="31"/>
  <c r="M62" i="31"/>
  <c r="AR62" i="31"/>
  <c r="AA62" i="31"/>
  <c r="AP62" i="31"/>
  <c r="AB62" i="31"/>
  <c r="AL62" i="31"/>
  <c r="Q62" i="31"/>
  <c r="AM62" i="31"/>
  <c r="N62" i="31"/>
  <c r="O62" i="31"/>
  <c r="AC62" i="31"/>
  <c r="AO62" i="31"/>
  <c r="AN62" i="31"/>
  <c r="AG62" i="31"/>
  <c r="Y31" i="31"/>
  <c r="T351" i="40" l="1"/>
  <c r="U331" i="40"/>
  <c r="T343" i="40"/>
  <c r="Y135" i="38"/>
  <c r="Y134" i="38"/>
  <c r="Y137" i="38"/>
  <c r="S256" i="40"/>
  <c r="Z135" i="38"/>
  <c r="Z134" i="38"/>
  <c r="Z137" i="38"/>
  <c r="I102" i="40"/>
  <c r="I108" i="40"/>
  <c r="I109" i="40" s="1"/>
  <c r="R158" i="40"/>
  <c r="R257" i="40"/>
  <c r="R258" i="40" s="1"/>
  <c r="T370" i="38"/>
  <c r="T378" i="38"/>
  <c r="U358" i="38"/>
  <c r="U418" i="38"/>
  <c r="U410" i="38"/>
  <c r="V398" i="38"/>
  <c r="C118" i="28"/>
  <c r="T187" i="41"/>
  <c r="T231" i="41" s="1"/>
  <c r="T182" i="41"/>
  <c r="T226" i="41" s="1"/>
  <c r="U180" i="41"/>
  <c r="T185" i="41"/>
  <c r="T183" i="41"/>
  <c r="T227" i="41" s="1"/>
  <c r="T186" i="41"/>
  <c r="T230" i="41" s="1"/>
  <c r="T184" i="41"/>
  <c r="T228" i="41" s="1"/>
  <c r="T181" i="41"/>
  <c r="S225" i="41"/>
  <c r="S232" i="41" s="1"/>
  <c r="S188" i="41"/>
  <c r="Q76" i="31"/>
  <c r="P175" i="38"/>
  <c r="P176" i="38" s="1"/>
  <c r="P185" i="38" s="1"/>
  <c r="R316" i="38"/>
  <c r="R322" i="38"/>
  <c r="R327" i="38"/>
  <c r="S293" i="38"/>
  <c r="Y76" i="31"/>
  <c r="R272" i="38"/>
  <c r="R432" i="38" s="1"/>
  <c r="Q295" i="40"/>
  <c r="Q308" i="40" s="1"/>
  <c r="T261" i="40"/>
  <c r="T268" i="40" s="1"/>
  <c r="T224" i="40"/>
  <c r="R259" i="41"/>
  <c r="R272" i="41" s="1"/>
  <c r="V216" i="40"/>
  <c r="U219" i="40"/>
  <c r="U263" i="40" s="1"/>
  <c r="U220" i="40"/>
  <c r="U264" i="40" s="1"/>
  <c r="U222" i="40"/>
  <c r="U266" i="40" s="1"/>
  <c r="U223" i="40"/>
  <c r="U267" i="40" s="1"/>
  <c r="U218" i="40"/>
  <c r="U262" i="40" s="1"/>
  <c r="U217" i="40"/>
  <c r="U221" i="40"/>
  <c r="S227" i="38"/>
  <c r="AR76" i="31"/>
  <c r="Q346" i="40"/>
  <c r="Q357" i="40"/>
  <c r="Q366" i="40"/>
  <c r="Q338" i="40" s="1"/>
  <c r="Q347" i="40"/>
  <c r="Q362" i="40"/>
  <c r="Q335" i="40" s="1"/>
  <c r="Q348" i="40" s="1"/>
  <c r="R307" i="40"/>
  <c r="R329" i="40"/>
  <c r="R306" i="40"/>
  <c r="R323" i="40"/>
  <c r="R363" i="40" s="1"/>
  <c r="R326" i="40"/>
  <c r="R298" i="40" s="1"/>
  <c r="R317" i="40"/>
  <c r="R322" i="40"/>
  <c r="T270" i="40"/>
  <c r="S289" i="40"/>
  <c r="S240" i="40"/>
  <c r="Q274" i="41"/>
  <c r="Q289" i="41"/>
  <c r="Q313" i="41"/>
  <c r="Q328" i="41"/>
  <c r="S376" i="38"/>
  <c r="S391" i="38"/>
  <c r="R205" i="40"/>
  <c r="S324" i="40"/>
  <c r="S309" i="40"/>
  <c r="Q288" i="41"/>
  <c r="Q291" i="41" s="1"/>
  <c r="Q273" i="41"/>
  <c r="R261" i="41"/>
  <c r="R168" i="41"/>
  <c r="R260" i="41"/>
  <c r="R156" i="41"/>
  <c r="R301" i="41"/>
  <c r="R314" i="41" s="1"/>
  <c r="R142" i="41"/>
  <c r="R150" i="41" s="1"/>
  <c r="R171" i="41"/>
  <c r="R300" i="41"/>
  <c r="R155" i="41"/>
  <c r="R157" i="41" s="1"/>
  <c r="R246" i="41"/>
  <c r="S140" i="41"/>
  <c r="R166" i="41"/>
  <c r="R162" i="41"/>
  <c r="R173" i="41" s="1"/>
  <c r="R158" i="41"/>
  <c r="S392" i="38"/>
  <c r="S377" i="38"/>
  <c r="S416" i="38"/>
  <c r="S431" i="38"/>
  <c r="N76" i="40"/>
  <c r="N81" i="40" s="1"/>
  <c r="R325" i="38"/>
  <c r="S156" i="40"/>
  <c r="T337" i="40"/>
  <c r="T350" i="40" s="1"/>
  <c r="T336" i="40"/>
  <c r="T155" i="40"/>
  <c r="T204" i="40"/>
  <c r="T202" i="40"/>
  <c r="T154" i="40"/>
  <c r="T141" i="40"/>
  <c r="T149" i="40" s="1"/>
  <c r="T297" i="40"/>
  <c r="T207" i="40"/>
  <c r="U139" i="40"/>
  <c r="T157" i="40"/>
  <c r="T282" i="40"/>
  <c r="T296" i="40"/>
  <c r="T189" i="40"/>
  <c r="T197" i="40" s="1"/>
  <c r="T161" i="40"/>
  <c r="T157" i="38"/>
  <c r="T274" i="38"/>
  <c r="T364" i="38"/>
  <c r="T155" i="38"/>
  <c r="T211" i="38"/>
  <c r="T219" i="38" s="1"/>
  <c r="T256" i="38"/>
  <c r="T264" i="38" s="1"/>
  <c r="U139" i="38"/>
  <c r="T403" i="38"/>
  <c r="T363" i="38"/>
  <c r="T154" i="38"/>
  <c r="T156" i="38" s="1"/>
  <c r="T226" i="38"/>
  <c r="T161" i="38"/>
  <c r="T349" i="38"/>
  <c r="T404" i="38"/>
  <c r="T417" i="38" s="1"/>
  <c r="T271" i="38"/>
  <c r="T269" i="38"/>
  <c r="T141" i="38"/>
  <c r="T149" i="38" s="1"/>
  <c r="T229" i="38"/>
  <c r="T224" i="38"/>
  <c r="T225" i="38" s="1"/>
  <c r="T227" i="38" s="1"/>
  <c r="S158" i="38"/>
  <c r="S310" i="40"/>
  <c r="S325" i="40"/>
  <c r="Q167" i="41"/>
  <c r="Q169" i="41" s="1"/>
  <c r="T74" i="41"/>
  <c r="S75" i="41"/>
  <c r="S76" i="41" s="1"/>
  <c r="S87" i="41" s="1"/>
  <c r="Q157" i="41"/>
  <c r="Q159" i="41" s="1"/>
  <c r="S323" i="38"/>
  <c r="S270" i="38"/>
  <c r="S324" i="38" s="1"/>
  <c r="S203" i="40"/>
  <c r="Q238" i="38"/>
  <c r="Q170" i="38"/>
  <c r="Q172" i="38" s="1"/>
  <c r="Q174" i="38"/>
  <c r="S349" i="40"/>
  <c r="S364" i="40"/>
  <c r="S276" i="38"/>
  <c r="S307" i="38" s="1"/>
  <c r="R330" i="41"/>
  <c r="R302" i="41" s="1"/>
  <c r="R326" i="41"/>
  <c r="R299" i="41" s="1"/>
  <c r="R312" i="41" s="1"/>
  <c r="R310" i="41"/>
  <c r="R311" i="41"/>
  <c r="R321" i="41"/>
  <c r="U286" i="38"/>
  <c r="U330" i="38" s="1"/>
  <c r="U289" i="38"/>
  <c r="U333" i="38" s="1"/>
  <c r="U284" i="38"/>
  <c r="U290" i="38"/>
  <c r="U334" i="38" s="1"/>
  <c r="V283" i="38"/>
  <c r="U288" i="38"/>
  <c r="U287" i="38"/>
  <c r="U331" i="38" s="1"/>
  <c r="U285" i="38"/>
  <c r="U329" i="38" s="1"/>
  <c r="S167" i="38"/>
  <c r="V166" i="40"/>
  <c r="U167" i="40"/>
  <c r="T219" i="41"/>
  <c r="T224" i="41"/>
  <c r="U190" i="41"/>
  <c r="T213" i="41"/>
  <c r="V116" i="40"/>
  <c r="W115" i="40"/>
  <c r="S78" i="40"/>
  <c r="S171" i="40"/>
  <c r="S99" i="40"/>
  <c r="S57" i="40"/>
  <c r="P246" i="38"/>
  <c r="Q235" i="38"/>
  <c r="Q243" i="38" s="1"/>
  <c r="R234" i="38"/>
  <c r="S233" i="38"/>
  <c r="Y260" i="40"/>
  <c r="Y255" i="40"/>
  <c r="Z226" i="40"/>
  <c r="Y249" i="40"/>
  <c r="T253" i="41"/>
  <c r="U234" i="41"/>
  <c r="T1" i="40"/>
  <c r="T5" i="40"/>
  <c r="U6" i="40"/>
  <c r="T2" i="40"/>
  <c r="T7" i="40"/>
  <c r="T328" i="38"/>
  <c r="T335" i="38" s="1"/>
  <c r="T291" i="38"/>
  <c r="S293" i="41"/>
  <c r="S286" i="41"/>
  <c r="S271" i="41"/>
  <c r="S270" i="41"/>
  <c r="S287" i="41"/>
  <c r="S327" i="41" s="1"/>
  <c r="S290" i="41"/>
  <c r="S262" i="41" s="1"/>
  <c r="S281" i="41"/>
  <c r="X29" i="40"/>
  <c r="W30" i="40"/>
  <c r="V165" i="38"/>
  <c r="U166" i="38"/>
  <c r="U117" i="41"/>
  <c r="V116" i="41"/>
  <c r="T53" i="41"/>
  <c r="S54" i="41"/>
  <c r="BB76" i="31"/>
  <c r="BA76" i="31"/>
  <c r="AE76" i="31"/>
  <c r="N76" i="31"/>
  <c r="Z76" i="31"/>
  <c r="AQ76" i="31"/>
  <c r="R76" i="31"/>
  <c r="AX76" i="31"/>
  <c r="AO76" i="31"/>
  <c r="AD76" i="31"/>
  <c r="AK76" i="31"/>
  <c r="T76" i="31"/>
  <c r="S76" i="31"/>
  <c r="AL76" i="31"/>
  <c r="AA76" i="31"/>
  <c r="O76" i="31"/>
  <c r="AM76" i="31"/>
  <c r="AB76" i="31"/>
  <c r="AV76" i="31"/>
  <c r="P76" i="31"/>
  <c r="M76" i="31"/>
  <c r="AY76" i="31"/>
  <c r="AJ76" i="31"/>
  <c r="AF76" i="31"/>
  <c r="N82" i="40"/>
  <c r="AU31" i="31"/>
  <c r="AT31" i="31" s="1"/>
  <c r="N31" i="40"/>
  <c r="V95" i="41"/>
  <c r="U96" i="41"/>
  <c r="P8" i="40"/>
  <c r="R55" i="41"/>
  <c r="Q66" i="41"/>
  <c r="Q68" i="41" s="1"/>
  <c r="Q107" i="40"/>
  <c r="Q109" i="40" s="1"/>
  <c r="Q97" i="40"/>
  <c r="Q102" i="40" s="1"/>
  <c r="R96" i="40"/>
  <c r="S315" i="41"/>
  <c r="T295" i="41"/>
  <c r="S307" i="41"/>
  <c r="H34" i="32"/>
  <c r="G263" i="40"/>
  <c r="S275" i="41"/>
  <c r="T255" i="41"/>
  <c r="S267" i="41"/>
  <c r="P119" i="40"/>
  <c r="S120" i="41"/>
  <c r="S3" i="41"/>
  <c r="T7" i="41"/>
  <c r="S6" i="41"/>
  <c r="S8" i="41"/>
  <c r="S2" i="41"/>
  <c r="I44" i="32"/>
  <c r="AJ56" i="32"/>
  <c r="R82" i="48"/>
  <c r="S34" i="32"/>
  <c r="R103" i="48" s="1"/>
  <c r="G50" i="31"/>
  <c r="F45" i="31"/>
  <c r="G103" i="40"/>
  <c r="H263" i="40"/>
  <c r="R58" i="41"/>
  <c r="R79" i="41"/>
  <c r="R100" i="41"/>
  <c r="P103" i="40"/>
  <c r="AG76" i="31"/>
  <c r="G183" i="41"/>
  <c r="G227" i="41" s="1"/>
  <c r="H183" i="41"/>
  <c r="P76" i="40"/>
  <c r="P81" i="40" s="1"/>
  <c r="P414" i="38"/>
  <c r="P413" i="38"/>
  <c r="U291" i="40"/>
  <c r="T311" i="40"/>
  <c r="T303" i="40"/>
  <c r="Y52" i="40"/>
  <c r="X53" i="40"/>
  <c r="F103" i="40"/>
  <c r="X31" i="31"/>
  <c r="S337" i="38"/>
  <c r="R356" i="38"/>
  <c r="AC76" i="31"/>
  <c r="BC76" i="31"/>
  <c r="T100" i="48"/>
  <c r="Q86" i="40"/>
  <c r="R75" i="40"/>
  <c r="Q76" i="40"/>
  <c r="Q81" i="40" s="1"/>
  <c r="Q65" i="40"/>
  <c r="Q67" i="40" s="1"/>
  <c r="R54" i="40"/>
  <c r="R9" i="41"/>
  <c r="O76" i="40"/>
  <c r="O81" i="40" s="1"/>
  <c r="L76" i="40"/>
  <c r="L81" i="40" s="1"/>
  <c r="K76" i="40"/>
  <c r="K81" i="40" s="1"/>
  <c r="J76" i="40"/>
  <c r="J81" i="40" s="1"/>
  <c r="M76" i="40"/>
  <c r="M81" i="40" s="1"/>
  <c r="J34" i="32"/>
  <c r="AZ76" i="31"/>
  <c r="Q384" i="38"/>
  <c r="Q389" i="38"/>
  <c r="Q396" i="38"/>
  <c r="Q390" i="38"/>
  <c r="Q430" i="38" s="1"/>
  <c r="Q393" i="38"/>
  <c r="Q365" i="38" s="1"/>
  <c r="Q374" i="38"/>
  <c r="Q373" i="38"/>
  <c r="AP76" i="31"/>
  <c r="AW76" i="31"/>
  <c r="AN76" i="31"/>
  <c r="M103" i="40"/>
  <c r="AU56" i="31"/>
  <c r="AL56" i="31"/>
  <c r="AR56" i="31"/>
  <c r="AJ56" i="31"/>
  <c r="U56" i="31"/>
  <c r="AZ56" i="31"/>
  <c r="AA56" i="31"/>
  <c r="AC56" i="31"/>
  <c r="AO56" i="31"/>
  <c r="AV56" i="31"/>
  <c r="Y56" i="31"/>
  <c r="O56" i="31"/>
  <c r="P56" i="31"/>
  <c r="AF56" i="31"/>
  <c r="AE56" i="31"/>
  <c r="T56" i="31"/>
  <c r="AB56" i="31"/>
  <c r="AX56" i="31"/>
  <c r="BB56" i="31"/>
  <c r="R56" i="31"/>
  <c r="Q56" i="31"/>
  <c r="AG56" i="31"/>
  <c r="AP56" i="31"/>
  <c r="Z56" i="31"/>
  <c r="AM56" i="31"/>
  <c r="S56" i="31"/>
  <c r="M56" i="31"/>
  <c r="BC56" i="31"/>
  <c r="AQ56" i="31"/>
  <c r="AW56" i="31"/>
  <c r="AY56" i="31"/>
  <c r="BA56" i="31"/>
  <c r="AN56" i="31"/>
  <c r="N56" i="31"/>
  <c r="AD56" i="31"/>
  <c r="AK56" i="31"/>
  <c r="R168" i="40"/>
  <c r="Q179" i="40"/>
  <c r="R3" i="47"/>
  <c r="Q5" i="47"/>
  <c r="Q4" i="47"/>
  <c r="Q6" i="47"/>
  <c r="I103" i="40"/>
  <c r="Q47" i="42"/>
  <c r="R2" i="42"/>
  <c r="Q1" i="42"/>
  <c r="AU76" i="31"/>
  <c r="U76" i="31"/>
  <c r="H103" i="40"/>
  <c r="P32" i="41"/>
  <c r="F76" i="40"/>
  <c r="F81" i="40" s="1"/>
  <c r="H76" i="40"/>
  <c r="H81" i="40" s="1"/>
  <c r="G76" i="40"/>
  <c r="G81" i="40" s="1"/>
  <c r="I76" i="40"/>
  <c r="I81" i="40" s="1"/>
  <c r="H41" i="32"/>
  <c r="R31" i="32"/>
  <c r="G31" i="32"/>
  <c r="P79" i="48"/>
  <c r="AI53" i="32"/>
  <c r="Y30" i="41"/>
  <c r="X31" i="41"/>
  <c r="C110" i="28"/>
  <c r="T256" i="40" l="1"/>
  <c r="R365" i="40"/>
  <c r="V331" i="40"/>
  <c r="U351" i="40"/>
  <c r="U343" i="40"/>
  <c r="S158" i="40"/>
  <c r="S257" i="40"/>
  <c r="S258" i="40" s="1"/>
  <c r="T209" i="40"/>
  <c r="T240" i="40" s="1"/>
  <c r="U378" i="38"/>
  <c r="U370" i="38"/>
  <c r="V358" i="38"/>
  <c r="V410" i="38"/>
  <c r="W398" i="38"/>
  <c r="V418" i="38"/>
  <c r="T188" i="41"/>
  <c r="T225" i="41"/>
  <c r="T232" i="41" s="1"/>
  <c r="V180" i="41"/>
  <c r="U184" i="41"/>
  <c r="U228" i="41" s="1"/>
  <c r="U186" i="41"/>
  <c r="U230" i="41" s="1"/>
  <c r="U181" i="41"/>
  <c r="U182" i="41"/>
  <c r="U226" i="41" s="1"/>
  <c r="U185" i="41"/>
  <c r="U187" i="41"/>
  <c r="U231" i="41" s="1"/>
  <c r="U183" i="41"/>
  <c r="U227" i="41" s="1"/>
  <c r="S316" i="38"/>
  <c r="T293" i="38"/>
  <c r="S322" i="38"/>
  <c r="S327" i="38"/>
  <c r="S272" i="38"/>
  <c r="S432" i="38" s="1"/>
  <c r="V220" i="40"/>
  <c r="V264" i="40" s="1"/>
  <c r="V223" i="40"/>
  <c r="V267" i="40" s="1"/>
  <c r="V222" i="40"/>
  <c r="V266" i="40" s="1"/>
  <c r="V221" i="40"/>
  <c r="W216" i="40"/>
  <c r="V218" i="40"/>
  <c r="V262" i="40" s="1"/>
  <c r="V219" i="40"/>
  <c r="V263" i="40" s="1"/>
  <c r="V217" i="40"/>
  <c r="U261" i="40"/>
  <c r="U268" i="40" s="1"/>
  <c r="U224" i="40"/>
  <c r="Q175" i="38"/>
  <c r="Q176" i="38" s="1"/>
  <c r="Q185" i="38" s="1"/>
  <c r="R362" i="40"/>
  <c r="R335" i="40" s="1"/>
  <c r="R348" i="40" s="1"/>
  <c r="R346" i="40"/>
  <c r="R357" i="40"/>
  <c r="R366" i="40"/>
  <c r="R338" i="40" s="1"/>
  <c r="R347" i="40"/>
  <c r="S306" i="40"/>
  <c r="S307" i="40"/>
  <c r="S323" i="40"/>
  <c r="S363" i="40" s="1"/>
  <c r="S317" i="40"/>
  <c r="S329" i="40"/>
  <c r="S326" i="40"/>
  <c r="S298" i="40" s="1"/>
  <c r="S322" i="40"/>
  <c r="U270" i="40"/>
  <c r="T289" i="40"/>
  <c r="R295" i="40"/>
  <c r="R308" i="40" s="1"/>
  <c r="S205" i="40"/>
  <c r="U74" i="41"/>
  <c r="T75" i="41"/>
  <c r="T76" i="41" s="1"/>
  <c r="T87" i="41" s="1"/>
  <c r="T158" i="38"/>
  <c r="T276" i="38"/>
  <c r="T307" i="38" s="1"/>
  <c r="R159" i="41"/>
  <c r="R174" i="38"/>
  <c r="R170" i="38"/>
  <c r="R172" i="38" s="1"/>
  <c r="R238" i="38"/>
  <c r="T391" i="38"/>
  <c r="T376" i="38"/>
  <c r="R328" i="41"/>
  <c r="R313" i="41"/>
  <c r="R289" i="41"/>
  <c r="R274" i="41"/>
  <c r="T323" i="38"/>
  <c r="T270" i="38"/>
  <c r="T324" i="38" s="1"/>
  <c r="T416" i="38"/>
  <c r="T431" i="38"/>
  <c r="U154" i="40"/>
  <c r="U282" i="40"/>
  <c r="U296" i="40"/>
  <c r="U204" i="40"/>
  <c r="V139" i="40"/>
  <c r="U336" i="40"/>
  <c r="U337" i="40"/>
  <c r="U350" i="40" s="1"/>
  <c r="U155" i="40"/>
  <c r="U161" i="40"/>
  <c r="U189" i="40"/>
  <c r="U197" i="40" s="1"/>
  <c r="U141" i="40"/>
  <c r="U149" i="40" s="1"/>
  <c r="U297" i="40"/>
  <c r="U202" i="40"/>
  <c r="U207" i="40"/>
  <c r="U157" i="40"/>
  <c r="Q362" i="38"/>
  <c r="Q375" i="38" s="1"/>
  <c r="S325" i="38"/>
  <c r="U256" i="38"/>
  <c r="U264" i="38" s="1"/>
  <c r="U224" i="38"/>
  <c r="U225" i="38" s="1"/>
  <c r="U155" i="38"/>
  <c r="U349" i="38"/>
  <c r="U403" i="38"/>
  <c r="U226" i="38"/>
  <c r="U404" i="38"/>
  <c r="U417" i="38" s="1"/>
  <c r="U364" i="38"/>
  <c r="U271" i="38"/>
  <c r="U154" i="38"/>
  <c r="U156" i="38" s="1"/>
  <c r="U157" i="38"/>
  <c r="U229" i="38"/>
  <c r="U274" i="38"/>
  <c r="U269" i="38"/>
  <c r="U211" i="38"/>
  <c r="U219" i="38" s="1"/>
  <c r="U161" i="38"/>
  <c r="U363" i="38"/>
  <c r="U141" i="38"/>
  <c r="U149" i="38" s="1"/>
  <c r="V139" i="38"/>
  <c r="T364" i="40"/>
  <c r="T349" i="40"/>
  <c r="R167" i="41"/>
  <c r="T309" i="40"/>
  <c r="T324" i="40"/>
  <c r="T325" i="40"/>
  <c r="T310" i="40"/>
  <c r="T156" i="40"/>
  <c r="S156" i="41"/>
  <c r="S301" i="41"/>
  <c r="S314" i="41" s="1"/>
  <c r="S300" i="41"/>
  <c r="S246" i="41"/>
  <c r="S171" i="41"/>
  <c r="S158" i="41"/>
  <c r="S166" i="41"/>
  <c r="S155" i="41"/>
  <c r="T140" i="41"/>
  <c r="S168" i="41"/>
  <c r="S162" i="41"/>
  <c r="S260" i="41"/>
  <c r="S261" i="41"/>
  <c r="S142" i="41"/>
  <c r="S150" i="41" s="1"/>
  <c r="S259" i="41"/>
  <c r="S272" i="41" s="1"/>
  <c r="T392" i="38"/>
  <c r="T377" i="38"/>
  <c r="T203" i="40"/>
  <c r="R273" i="41"/>
  <c r="R288" i="41"/>
  <c r="V166" i="38"/>
  <c r="W165" i="38"/>
  <c r="T57" i="40"/>
  <c r="T99" i="40"/>
  <c r="T78" i="40"/>
  <c r="T171" i="40"/>
  <c r="T293" i="41"/>
  <c r="T286" i="41"/>
  <c r="T271" i="41"/>
  <c r="T290" i="41"/>
  <c r="T262" i="41" s="1"/>
  <c r="T281" i="41"/>
  <c r="T287" i="41"/>
  <c r="T327" i="41" s="1"/>
  <c r="T270" i="41"/>
  <c r="V289" i="38"/>
  <c r="V333" i="38" s="1"/>
  <c r="V288" i="38"/>
  <c r="V286" i="38"/>
  <c r="V330" i="38" s="1"/>
  <c r="W283" i="38"/>
  <c r="V285" i="38"/>
  <c r="V329" i="38" s="1"/>
  <c r="V287" i="38"/>
  <c r="V331" i="38" s="1"/>
  <c r="V284" i="38"/>
  <c r="V290" i="38"/>
  <c r="V334" i="38" s="1"/>
  <c r="T54" i="41"/>
  <c r="U53" i="41"/>
  <c r="U224" i="41"/>
  <c r="U219" i="41"/>
  <c r="U213" i="41"/>
  <c r="V190" i="41"/>
  <c r="U328" i="38"/>
  <c r="U335" i="38" s="1"/>
  <c r="U291" i="38"/>
  <c r="Z249" i="40"/>
  <c r="Z260" i="40"/>
  <c r="Z255" i="40"/>
  <c r="Q246" i="38"/>
  <c r="R235" i="38"/>
  <c r="R243" i="38" s="1"/>
  <c r="T167" i="38"/>
  <c r="V117" i="41"/>
  <c r="W116" i="41"/>
  <c r="S234" i="38"/>
  <c r="T233" i="38"/>
  <c r="Y29" i="40"/>
  <c r="X30" i="40"/>
  <c r="U5" i="40"/>
  <c r="U7" i="40"/>
  <c r="U2" i="40"/>
  <c r="V6" i="40"/>
  <c r="U1" i="40"/>
  <c r="X115" i="40"/>
  <c r="W116" i="40"/>
  <c r="V167" i="40"/>
  <c r="W166" i="40"/>
  <c r="S321" i="41"/>
  <c r="S326" i="41"/>
  <c r="S299" i="41" s="1"/>
  <c r="S312" i="41" s="1"/>
  <c r="S311" i="41"/>
  <c r="S330" i="41"/>
  <c r="S302" i="41" s="1"/>
  <c r="S310" i="41"/>
  <c r="U253" i="41"/>
  <c r="V234" i="41"/>
  <c r="X76" i="31"/>
  <c r="AT76" i="31"/>
  <c r="AI76" i="31"/>
  <c r="W95" i="41"/>
  <c r="V96" i="41"/>
  <c r="K82" i="40"/>
  <c r="AI56" i="32"/>
  <c r="G34" i="32"/>
  <c r="R34" i="32"/>
  <c r="P82" i="48"/>
  <c r="H44" i="32"/>
  <c r="H82" i="40"/>
  <c r="J82" i="40"/>
  <c r="L82" i="40"/>
  <c r="G41" i="32"/>
  <c r="Q17" i="32" s="1"/>
  <c r="G286" i="38"/>
  <c r="H286" i="38"/>
  <c r="O82" i="40"/>
  <c r="S9" i="41"/>
  <c r="T6" i="41"/>
  <c r="T2" i="41"/>
  <c r="U7" i="41"/>
  <c r="T3" i="41"/>
  <c r="T8" i="41"/>
  <c r="T275" i="41"/>
  <c r="U255" i="41"/>
  <c r="T267" i="41"/>
  <c r="Y53" i="40"/>
  <c r="Z52" i="40"/>
  <c r="Z53" i="40" s="1"/>
  <c r="F82" i="40"/>
  <c r="S356" i="38"/>
  <c r="T337" i="38"/>
  <c r="Q103" i="40"/>
  <c r="Q31" i="32"/>
  <c r="P100" i="48"/>
  <c r="R179" i="40"/>
  <c r="S168" i="40"/>
  <c r="T120" i="41"/>
  <c r="S55" i="41"/>
  <c r="R66" i="41"/>
  <c r="R68" i="41" s="1"/>
  <c r="H227" i="41"/>
  <c r="T82" i="48"/>
  <c r="J44" i="32"/>
  <c r="T34" i="32"/>
  <c r="T103" i="48" s="1"/>
  <c r="AK56" i="32"/>
  <c r="Z30" i="41"/>
  <c r="Z31" i="41" s="1"/>
  <c r="Y31" i="41"/>
  <c r="R6" i="47"/>
  <c r="R5" i="47"/>
  <c r="R4" i="47"/>
  <c r="S3" i="47"/>
  <c r="Q82" i="40"/>
  <c r="U311" i="40"/>
  <c r="U303" i="40"/>
  <c r="V291" i="40"/>
  <c r="Q119" i="40"/>
  <c r="S79" i="41"/>
  <c r="S58" i="41"/>
  <c r="S100" i="41"/>
  <c r="S96" i="40"/>
  <c r="R107" i="40"/>
  <c r="R109" i="40" s="1"/>
  <c r="R97" i="40"/>
  <c r="R102" i="40" s="1"/>
  <c r="F31" i="32"/>
  <c r="AH53" i="32"/>
  <c r="Q32" i="41"/>
  <c r="I82" i="40"/>
  <c r="R47" i="42"/>
  <c r="S2" i="42"/>
  <c r="R1" i="42"/>
  <c r="R65" i="40"/>
  <c r="R67" i="40" s="1"/>
  <c r="S54" i="40"/>
  <c r="R86" i="40"/>
  <c r="S75" i="40"/>
  <c r="R76" i="40"/>
  <c r="R81" i="40" s="1"/>
  <c r="T307" i="41"/>
  <c r="T315" i="41"/>
  <c r="U295" i="41"/>
  <c r="R396" i="38"/>
  <c r="R389" i="38"/>
  <c r="R390" i="38"/>
  <c r="R430" i="38" s="1"/>
  <c r="R384" i="38"/>
  <c r="R393" i="38"/>
  <c r="R365" i="38" s="1"/>
  <c r="R374" i="38"/>
  <c r="R373" i="38"/>
  <c r="F50" i="31"/>
  <c r="J50" i="31"/>
  <c r="I50" i="31"/>
  <c r="H50" i="31"/>
  <c r="G82" i="40"/>
  <c r="Q429" i="38"/>
  <c r="Q402" i="38" s="1"/>
  <c r="Q415" i="38" s="1"/>
  <c r="Q414" i="38"/>
  <c r="Q424" i="38"/>
  <c r="Q433" i="38"/>
  <c r="Q405" i="38" s="1"/>
  <c r="Q413" i="38"/>
  <c r="M82" i="40"/>
  <c r="P82" i="40"/>
  <c r="H222" i="40"/>
  <c r="H266" i="40" s="1"/>
  <c r="G222" i="40"/>
  <c r="Q8" i="40"/>
  <c r="O31" i="40"/>
  <c r="U256" i="40" l="1"/>
  <c r="S365" i="40"/>
  <c r="S173" i="41"/>
  <c r="I55" i="40"/>
  <c r="W331" i="40"/>
  <c r="V343" i="40"/>
  <c r="V351" i="40"/>
  <c r="T158" i="40"/>
  <c r="T257" i="40"/>
  <c r="T258" i="40" s="1"/>
  <c r="U209" i="40"/>
  <c r="V370" i="38"/>
  <c r="W358" i="38"/>
  <c r="V378" i="38"/>
  <c r="W418" i="38"/>
  <c r="X398" i="38"/>
  <c r="W410" i="38"/>
  <c r="S295" i="40"/>
  <c r="S308" i="40" s="1"/>
  <c r="U188" i="41"/>
  <c r="U225" i="41"/>
  <c r="U232" i="41" s="1"/>
  <c r="V181" i="41"/>
  <c r="V182" i="41"/>
  <c r="V226" i="41" s="1"/>
  <c r="V183" i="41"/>
  <c r="V227" i="41" s="1"/>
  <c r="V187" i="41"/>
  <c r="V231" i="41" s="1"/>
  <c r="V185" i="41"/>
  <c r="W180" i="41"/>
  <c r="V184" i="41"/>
  <c r="V228" i="41" s="1"/>
  <c r="V186" i="41"/>
  <c r="V230" i="41" s="1"/>
  <c r="T322" i="38"/>
  <c r="T327" i="38"/>
  <c r="U293" i="38"/>
  <c r="T316" i="38"/>
  <c r="R55" i="40"/>
  <c r="R60" i="40" s="1"/>
  <c r="R61" i="40" s="1"/>
  <c r="V224" i="40"/>
  <c r="V261" i="40"/>
  <c r="V268" i="40" s="1"/>
  <c r="X216" i="40"/>
  <c r="W220" i="40"/>
  <c r="W264" i="40" s="1"/>
  <c r="W219" i="40"/>
  <c r="W263" i="40" s="1"/>
  <c r="W222" i="40"/>
  <c r="W266" i="40" s="1"/>
  <c r="W221" i="40"/>
  <c r="W217" i="40"/>
  <c r="W218" i="40"/>
  <c r="W262" i="40" s="1"/>
  <c r="W223" i="40"/>
  <c r="W267" i="40" s="1"/>
  <c r="U227" i="38"/>
  <c r="T272" i="38"/>
  <c r="T432" i="38" s="1"/>
  <c r="V270" i="40"/>
  <c r="U289" i="40"/>
  <c r="S346" i="40"/>
  <c r="S362" i="40"/>
  <c r="S335" i="40" s="1"/>
  <c r="S348" i="40" s="1"/>
  <c r="S366" i="40"/>
  <c r="S338" i="40" s="1"/>
  <c r="S357" i="40"/>
  <c r="S347" i="40"/>
  <c r="U240" i="40"/>
  <c r="T323" i="40"/>
  <c r="T363" i="40" s="1"/>
  <c r="T306" i="40"/>
  <c r="T307" i="40"/>
  <c r="T329" i="40"/>
  <c r="T317" i="40"/>
  <c r="T322" i="40"/>
  <c r="T326" i="40"/>
  <c r="T298" i="40" s="1"/>
  <c r="S288" i="41"/>
  <c r="S273" i="41"/>
  <c r="U276" i="38"/>
  <c r="U307" i="38" s="1"/>
  <c r="U431" i="38"/>
  <c r="U416" i="38"/>
  <c r="S174" i="38"/>
  <c r="S170" i="38"/>
  <c r="S172" i="38" s="1"/>
  <c r="S238" i="38"/>
  <c r="U156" i="40"/>
  <c r="L35" i="41"/>
  <c r="L34" i="41" s="1"/>
  <c r="T205" i="40"/>
  <c r="V403" i="38"/>
  <c r="V229" i="38"/>
  <c r="V224" i="38"/>
  <c r="V225" i="38" s="1"/>
  <c r="V271" i="38"/>
  <c r="V404" i="38"/>
  <c r="V417" i="38" s="1"/>
  <c r="V269" i="38"/>
  <c r="V274" i="38"/>
  <c r="V155" i="38"/>
  <c r="V161" i="38"/>
  <c r="V154" i="38"/>
  <c r="V156" i="38" s="1"/>
  <c r="V211" i="38"/>
  <c r="V219" i="38" s="1"/>
  <c r="V256" i="38"/>
  <c r="V264" i="38" s="1"/>
  <c r="V364" i="38"/>
  <c r="W139" i="38"/>
  <c r="V141" i="38"/>
  <c r="V149" i="38" s="1"/>
  <c r="V157" i="38"/>
  <c r="V349" i="38"/>
  <c r="V363" i="38"/>
  <c r="V226" i="38"/>
  <c r="U203" i="40"/>
  <c r="R175" i="38"/>
  <c r="R176" i="38" s="1"/>
  <c r="R185" i="38" s="1"/>
  <c r="T156" i="41"/>
  <c r="T301" i="41"/>
  <c r="T314" i="41" s="1"/>
  <c r="T166" i="41"/>
  <c r="U140" i="41"/>
  <c r="T246" i="41"/>
  <c r="T155" i="41"/>
  <c r="T157" i="41" s="1"/>
  <c r="T168" i="41"/>
  <c r="T162" i="41"/>
  <c r="T300" i="41"/>
  <c r="T158" i="41"/>
  <c r="T142" i="41"/>
  <c r="T150" i="41" s="1"/>
  <c r="T261" i="41"/>
  <c r="T171" i="41"/>
  <c r="T260" i="41"/>
  <c r="U158" i="38"/>
  <c r="U310" i="40"/>
  <c r="U325" i="40"/>
  <c r="U349" i="40"/>
  <c r="U364" i="40"/>
  <c r="R169" i="41"/>
  <c r="U376" i="38"/>
  <c r="U391" i="38"/>
  <c r="V296" i="40"/>
  <c r="V282" i="40"/>
  <c r="V141" i="40"/>
  <c r="V149" i="40" s="1"/>
  <c r="V155" i="40"/>
  <c r="V337" i="40"/>
  <c r="V350" i="40" s="1"/>
  <c r="W139" i="40"/>
  <c r="V204" i="40"/>
  <c r="V157" i="40"/>
  <c r="V207" i="40"/>
  <c r="V297" i="40"/>
  <c r="V161" i="40"/>
  <c r="V154" i="40"/>
  <c r="V256" i="40" s="1"/>
  <c r="V189" i="40"/>
  <c r="V197" i="40" s="1"/>
  <c r="V202" i="40"/>
  <c r="V336" i="40"/>
  <c r="U75" i="41"/>
  <c r="U76" i="41" s="1"/>
  <c r="U87" i="41" s="1"/>
  <c r="V74" i="41"/>
  <c r="S313" i="41"/>
  <c r="S328" i="41"/>
  <c r="U377" i="38"/>
  <c r="U392" i="38"/>
  <c r="S157" i="41"/>
  <c r="S159" i="41" s="1"/>
  <c r="T325" i="38"/>
  <c r="Q55" i="40"/>
  <c r="Q60" i="40" s="1"/>
  <c r="Q61" i="40" s="1"/>
  <c r="S289" i="41"/>
  <c r="S274" i="41"/>
  <c r="S167" i="41"/>
  <c r="U323" i="38"/>
  <c r="U270" i="38"/>
  <c r="U324" i="38" s="1"/>
  <c r="U309" i="40"/>
  <c r="U324" i="40"/>
  <c r="P35" i="41"/>
  <c r="P40" i="41" s="1"/>
  <c r="T234" i="38"/>
  <c r="U233" i="38"/>
  <c r="V328" i="38"/>
  <c r="V335" i="38" s="1"/>
  <c r="V291" i="38"/>
  <c r="W117" i="41"/>
  <c r="X116" i="41"/>
  <c r="U171" i="40"/>
  <c r="U57" i="40"/>
  <c r="U78" i="40"/>
  <c r="U99" i="40"/>
  <c r="V53" i="41"/>
  <c r="U54" i="41"/>
  <c r="R362" i="38"/>
  <c r="R375" i="38" s="1"/>
  <c r="W234" i="41"/>
  <c r="V253" i="41"/>
  <c r="X166" i="40"/>
  <c r="W167" i="40"/>
  <c r="V5" i="40"/>
  <c r="V1" i="40"/>
  <c r="W6" i="40"/>
  <c r="V2" i="40"/>
  <c r="V7" i="40"/>
  <c r="V224" i="41"/>
  <c r="W190" i="41"/>
  <c r="V213" i="41"/>
  <c r="V219" i="41"/>
  <c r="W286" i="38"/>
  <c r="W330" i="38" s="1"/>
  <c r="W290" i="38"/>
  <c r="W334" i="38" s="1"/>
  <c r="W287" i="38"/>
  <c r="W331" i="38" s="1"/>
  <c r="X283" i="38"/>
  <c r="W284" i="38"/>
  <c r="W285" i="38"/>
  <c r="W288" i="38"/>
  <c r="W289" i="38"/>
  <c r="W333" i="38" s="1"/>
  <c r="N35" i="41"/>
  <c r="N34" i="41" s="1"/>
  <c r="U293" i="41"/>
  <c r="U281" i="41"/>
  <c r="U286" i="41"/>
  <c r="U287" i="41"/>
  <c r="U327" i="41" s="1"/>
  <c r="U290" i="41"/>
  <c r="U262" i="41" s="1"/>
  <c r="U271" i="41"/>
  <c r="U270" i="41"/>
  <c r="U167" i="38"/>
  <c r="Z29" i="40"/>
  <c r="Z30" i="40" s="1"/>
  <c r="Y30" i="40"/>
  <c r="M35" i="41"/>
  <c r="M34" i="41" s="1"/>
  <c r="Y115" i="40"/>
  <c r="X116" i="40"/>
  <c r="T259" i="41"/>
  <c r="T272" i="41" s="1"/>
  <c r="X165" i="38"/>
  <c r="W166" i="38"/>
  <c r="R246" i="38"/>
  <c r="S235" i="38"/>
  <c r="S243" i="38" s="1"/>
  <c r="T311" i="41"/>
  <c r="T326" i="41"/>
  <c r="T299" i="41" s="1"/>
  <c r="T312" i="41" s="1"/>
  <c r="T330" i="41"/>
  <c r="T302" i="41" s="1"/>
  <c r="T321" i="41"/>
  <c r="T310" i="41"/>
  <c r="F41" i="32"/>
  <c r="P103" i="48"/>
  <c r="Q34" i="32"/>
  <c r="P34" i="32" s="1"/>
  <c r="T75" i="40"/>
  <c r="S86" i="40"/>
  <c r="S76" i="40"/>
  <c r="S81" i="40" s="1"/>
  <c r="R103" i="40"/>
  <c r="T3" i="47"/>
  <c r="S6" i="47"/>
  <c r="S4" i="47"/>
  <c r="S5" i="47"/>
  <c r="F34" i="32"/>
  <c r="AH56" i="32"/>
  <c r="G330" i="38"/>
  <c r="R433" i="38"/>
  <c r="R405" i="38" s="1"/>
  <c r="R413" i="38"/>
  <c r="R424" i="38"/>
  <c r="R414" i="38"/>
  <c r="R429" i="38"/>
  <c r="R402" i="38" s="1"/>
  <c r="R415" i="38" s="1"/>
  <c r="R82" i="40"/>
  <c r="P31" i="32"/>
  <c r="T2" i="42"/>
  <c r="S47" i="42"/>
  <c r="S1" i="42"/>
  <c r="T96" i="40"/>
  <c r="S97" i="40"/>
  <c r="S102" i="40" s="1"/>
  <c r="S107" i="40"/>
  <c r="S109" i="40" s="1"/>
  <c r="T356" i="38"/>
  <c r="U337" i="38"/>
  <c r="T9" i="41"/>
  <c r="S66" i="41"/>
  <c r="S68" i="41" s="1"/>
  <c r="T55" i="41"/>
  <c r="G186" i="41"/>
  <c r="H186" i="41"/>
  <c r="H230" i="41" s="1"/>
  <c r="G266" i="40"/>
  <c r="T54" i="40"/>
  <c r="S65" i="40"/>
  <c r="S67" i="40" s="1"/>
  <c r="S55" i="40"/>
  <c r="S60" i="40" s="1"/>
  <c r="J35" i="41"/>
  <c r="I35" i="41"/>
  <c r="K35" i="41"/>
  <c r="S373" i="38"/>
  <c r="S374" i="38"/>
  <c r="S396" i="38"/>
  <c r="S389" i="38"/>
  <c r="S393" i="38"/>
  <c r="S365" i="38" s="1"/>
  <c r="S390" i="38"/>
  <c r="S430" i="38" s="1"/>
  <c r="S384" i="38"/>
  <c r="F55" i="40"/>
  <c r="F60" i="40" s="1"/>
  <c r="G55" i="40"/>
  <c r="G60" i="40" s="1"/>
  <c r="H55" i="40"/>
  <c r="H60" i="40" s="1"/>
  <c r="M55" i="40"/>
  <c r="M60" i="40" s="1"/>
  <c r="J55" i="40"/>
  <c r="J60" i="40" s="1"/>
  <c r="L55" i="40"/>
  <c r="L60" i="40" s="1"/>
  <c r="P55" i="40"/>
  <c r="P60" i="40" s="1"/>
  <c r="P31" i="40"/>
  <c r="V295" i="41"/>
  <c r="U315" i="41"/>
  <c r="U307" i="41"/>
  <c r="V311" i="40"/>
  <c r="W291" i="40"/>
  <c r="V303" i="40"/>
  <c r="H35" i="41"/>
  <c r="F35" i="41"/>
  <c r="G35" i="41"/>
  <c r="K55" i="40"/>
  <c r="K60" i="40" s="1"/>
  <c r="O55" i="40"/>
  <c r="O60" i="40" s="1"/>
  <c r="U275" i="41"/>
  <c r="U267" i="41"/>
  <c r="V255" i="41"/>
  <c r="U3" i="41"/>
  <c r="U6" i="41"/>
  <c r="V7" i="41"/>
  <c r="U8" i="41"/>
  <c r="U2" i="41"/>
  <c r="N55" i="40"/>
  <c r="N60" i="40" s="1"/>
  <c r="X95" i="41"/>
  <c r="W96" i="41"/>
  <c r="U120" i="41"/>
  <c r="T168" i="40"/>
  <c r="S179" i="40"/>
  <c r="R8" i="40"/>
  <c r="AX50" i="31"/>
  <c r="AP50" i="31"/>
  <c r="AD50" i="31"/>
  <c r="R50" i="31"/>
  <c r="U50" i="31"/>
  <c r="BB50" i="31"/>
  <c r="AN50" i="31"/>
  <c r="Y50" i="31"/>
  <c r="AL50" i="31"/>
  <c r="AO50" i="31"/>
  <c r="AV50" i="31"/>
  <c r="AC50" i="31"/>
  <c r="O50" i="31"/>
  <c r="AM50" i="31"/>
  <c r="AK50" i="31"/>
  <c r="S50" i="31"/>
  <c r="Q50" i="31"/>
  <c r="AY50" i="31"/>
  <c r="AE50" i="31"/>
  <c r="AR50" i="31"/>
  <c r="Z50" i="31"/>
  <c r="BA50" i="31"/>
  <c r="AU50" i="31"/>
  <c r="AB50" i="31"/>
  <c r="P50" i="31"/>
  <c r="T50" i="31"/>
  <c r="AW50" i="31"/>
  <c r="AJ50" i="31"/>
  <c r="AZ50" i="31"/>
  <c r="AA50" i="31"/>
  <c r="AG50" i="31"/>
  <c r="AQ50" i="31"/>
  <c r="BC50" i="31"/>
  <c r="AF50" i="31"/>
  <c r="M50" i="31"/>
  <c r="N50" i="31"/>
  <c r="Q35" i="41"/>
  <c r="R32" i="41"/>
  <c r="R119" i="40"/>
  <c r="T79" i="41"/>
  <c r="T100" i="41"/>
  <c r="T58" i="41"/>
  <c r="H330" i="38"/>
  <c r="H289" i="38"/>
  <c r="H333" i="38" s="1"/>
  <c r="G44" i="32"/>
  <c r="F44" i="32" s="1"/>
  <c r="G289" i="38"/>
  <c r="O35" i="41"/>
  <c r="T173" i="41" l="1"/>
  <c r="W351" i="40"/>
  <c r="X331" i="40"/>
  <c r="W343" i="40"/>
  <c r="I60" i="40"/>
  <c r="I61" i="40" s="1"/>
  <c r="I66" i="40"/>
  <c r="I67" i="40" s="1"/>
  <c r="I62" i="40" s="1"/>
  <c r="I63" i="40" s="1"/>
  <c r="T365" i="40"/>
  <c r="I40" i="41"/>
  <c r="I46" i="41"/>
  <c r="U158" i="40"/>
  <c r="U257" i="40"/>
  <c r="U258" i="40" s="1"/>
  <c r="V209" i="40"/>
  <c r="X358" i="38"/>
  <c r="W378" i="38"/>
  <c r="W370" i="38"/>
  <c r="Y398" i="38"/>
  <c r="X410" i="38"/>
  <c r="X418" i="38"/>
  <c r="M40" i="41"/>
  <c r="L40" i="41"/>
  <c r="W184" i="41"/>
  <c r="W228" i="41" s="1"/>
  <c r="X180" i="41"/>
  <c r="W183" i="41"/>
  <c r="W227" i="41" s="1"/>
  <c r="W182" i="41"/>
  <c r="W226" i="41" s="1"/>
  <c r="W186" i="41"/>
  <c r="W230" i="41" s="1"/>
  <c r="W185" i="41"/>
  <c r="W181" i="41"/>
  <c r="W187" i="41"/>
  <c r="W231" i="41" s="1"/>
  <c r="V225" i="41"/>
  <c r="V232" i="41" s="1"/>
  <c r="V188" i="41"/>
  <c r="N40" i="41"/>
  <c r="N41" i="41" s="1"/>
  <c r="U327" i="38"/>
  <c r="U322" i="38"/>
  <c r="U316" i="38"/>
  <c r="V293" i="38"/>
  <c r="O34" i="40"/>
  <c r="O39" i="40" s="1"/>
  <c r="P34" i="41"/>
  <c r="P42" i="41" s="1"/>
  <c r="S175" i="38"/>
  <c r="S176" i="38" s="1"/>
  <c r="S185" i="38" s="1"/>
  <c r="U325" i="38"/>
  <c r="W224" i="40"/>
  <c r="W261" i="40"/>
  <c r="W268" i="40" s="1"/>
  <c r="X217" i="40"/>
  <c r="Y216" i="40"/>
  <c r="X222" i="40"/>
  <c r="X266" i="40" s="1"/>
  <c r="X221" i="40"/>
  <c r="X220" i="40"/>
  <c r="X264" i="40" s="1"/>
  <c r="X218" i="40"/>
  <c r="X262" i="40" s="1"/>
  <c r="X219" i="40"/>
  <c r="X263" i="40" s="1"/>
  <c r="X223" i="40"/>
  <c r="X267" i="40" s="1"/>
  <c r="V158" i="38"/>
  <c r="M34" i="40"/>
  <c r="M39" i="40" s="1"/>
  <c r="M40" i="40" s="1"/>
  <c r="U307" i="40"/>
  <c r="U329" i="40"/>
  <c r="U306" i="40"/>
  <c r="U323" i="40"/>
  <c r="U363" i="40" s="1"/>
  <c r="U317" i="40"/>
  <c r="U322" i="40"/>
  <c r="U326" i="40"/>
  <c r="U298" i="40" s="1"/>
  <c r="T366" i="40"/>
  <c r="T338" i="40" s="1"/>
  <c r="T357" i="40"/>
  <c r="T346" i="40"/>
  <c r="T347" i="40"/>
  <c r="T362" i="40"/>
  <c r="T335" i="40" s="1"/>
  <c r="T348" i="40" s="1"/>
  <c r="T295" i="40"/>
  <c r="T308" i="40" s="1"/>
  <c r="V289" i="40"/>
  <c r="W270" i="40"/>
  <c r="V156" i="40"/>
  <c r="T328" i="41"/>
  <c r="T313" i="41"/>
  <c r="U260" i="41"/>
  <c r="U162" i="41"/>
  <c r="U166" i="41"/>
  <c r="U168" i="41"/>
  <c r="U142" i="41"/>
  <c r="U150" i="41" s="1"/>
  <c r="V140" i="41"/>
  <c r="U156" i="41"/>
  <c r="U301" i="41"/>
  <c r="U314" i="41" s="1"/>
  <c r="U155" i="41"/>
  <c r="U171" i="41"/>
  <c r="U300" i="41"/>
  <c r="U261" i="41"/>
  <c r="U158" i="41"/>
  <c r="U246" i="41"/>
  <c r="W154" i="38"/>
  <c r="W403" i="38"/>
  <c r="W155" i="38"/>
  <c r="W364" i="38"/>
  <c r="W274" i="38"/>
  <c r="W157" i="38"/>
  <c r="W269" i="38"/>
  <c r="W271" i="38"/>
  <c r="W404" i="38"/>
  <c r="W417" i="38" s="1"/>
  <c r="W349" i="38"/>
  <c r="W224" i="38"/>
  <c r="W225" i="38" s="1"/>
  <c r="W363" i="38"/>
  <c r="W211" i="38"/>
  <c r="W219" i="38" s="1"/>
  <c r="W161" i="38"/>
  <c r="X139" i="38"/>
  <c r="W226" i="38"/>
  <c r="W229" i="38"/>
  <c r="W141" i="38"/>
  <c r="W149" i="38" s="1"/>
  <c r="W256" i="38"/>
  <c r="W264" i="38" s="1"/>
  <c r="V270" i="38"/>
  <c r="V324" i="38" s="1"/>
  <c r="V323" i="38"/>
  <c r="W337" i="40"/>
  <c r="W350" i="40" s="1"/>
  <c r="W154" i="40"/>
  <c r="W256" i="40" s="1"/>
  <c r="W157" i="40"/>
  <c r="W297" i="40"/>
  <c r="W296" i="40"/>
  <c r="W204" i="40"/>
  <c r="W207" i="40"/>
  <c r="W155" i="40"/>
  <c r="W141" i="40"/>
  <c r="W149" i="40" s="1"/>
  <c r="X139" i="40"/>
  <c r="W161" i="40"/>
  <c r="W202" i="40"/>
  <c r="W336" i="40"/>
  <c r="W282" i="40"/>
  <c r="W189" i="40"/>
  <c r="W197" i="40" s="1"/>
  <c r="T288" i="41"/>
  <c r="T273" i="41"/>
  <c r="T167" i="41"/>
  <c r="T169" i="41" s="1"/>
  <c r="V377" i="38"/>
  <c r="V392" i="38"/>
  <c r="S169" i="41"/>
  <c r="T238" i="38"/>
  <c r="T174" i="38"/>
  <c r="T170" i="38"/>
  <c r="T172" i="38" s="1"/>
  <c r="U205" i="40"/>
  <c r="V75" i="41"/>
  <c r="V76" i="41" s="1"/>
  <c r="V87" i="41" s="1"/>
  <c r="W74" i="41"/>
  <c r="V325" i="40"/>
  <c r="V310" i="40"/>
  <c r="T274" i="41"/>
  <c r="T289" i="41"/>
  <c r="V227" i="38"/>
  <c r="V240" i="40"/>
  <c r="V376" i="38"/>
  <c r="V391" i="38"/>
  <c r="V349" i="40"/>
  <c r="V364" i="40"/>
  <c r="V416" i="38"/>
  <c r="V431" i="38"/>
  <c r="I34" i="40"/>
  <c r="V203" i="40"/>
  <c r="T159" i="41"/>
  <c r="U272" i="38"/>
  <c r="U432" i="38" s="1"/>
  <c r="V324" i="40"/>
  <c r="V309" i="40"/>
  <c r="V276" i="38"/>
  <c r="V307" i="38" s="1"/>
  <c r="V167" i="38"/>
  <c r="W1" i="40"/>
  <c r="W2" i="40"/>
  <c r="X6" i="40"/>
  <c r="W7" i="40"/>
  <c r="W5" i="40"/>
  <c r="L34" i="40"/>
  <c r="U326" i="41"/>
  <c r="U299" i="41" s="1"/>
  <c r="U312" i="41" s="1"/>
  <c r="U330" i="41"/>
  <c r="U302" i="41" s="1"/>
  <c r="U310" i="41"/>
  <c r="U311" i="41"/>
  <c r="U321" i="41"/>
  <c r="V99" i="40"/>
  <c r="V57" i="40"/>
  <c r="V78" i="40"/>
  <c r="V171" i="40"/>
  <c r="M33" i="40"/>
  <c r="X117" i="41"/>
  <c r="Y116" i="41"/>
  <c r="Y116" i="40"/>
  <c r="Z115" i="40"/>
  <c r="Z116" i="40" s="1"/>
  <c r="F34" i="40"/>
  <c r="N34" i="40"/>
  <c r="J34" i="40"/>
  <c r="H34" i="40"/>
  <c r="K34" i="40"/>
  <c r="G34" i="40"/>
  <c r="W329" i="38"/>
  <c r="Y166" i="40"/>
  <c r="X167" i="40"/>
  <c r="W53" i="41"/>
  <c r="V54" i="41"/>
  <c r="U234" i="38"/>
  <c r="V233" i="38"/>
  <c r="W291" i="38"/>
  <c r="W328" i="38"/>
  <c r="W224" i="41"/>
  <c r="W219" i="41"/>
  <c r="W213" i="41"/>
  <c r="X190" i="41"/>
  <c r="V293" i="41"/>
  <c r="V290" i="41"/>
  <c r="V262" i="41" s="1"/>
  <c r="V281" i="41"/>
  <c r="V286" i="41"/>
  <c r="V271" i="41"/>
  <c r="V270" i="41"/>
  <c r="V287" i="41"/>
  <c r="V327" i="41" s="1"/>
  <c r="T235" i="38"/>
  <c r="T243" i="38" s="1"/>
  <c r="S246" i="38"/>
  <c r="X166" i="38"/>
  <c r="Y165" i="38"/>
  <c r="X290" i="38"/>
  <c r="X334" i="38" s="1"/>
  <c r="X289" i="38"/>
  <c r="X333" i="38" s="1"/>
  <c r="X286" i="38"/>
  <c r="X330" i="38" s="1"/>
  <c r="X287" i="38"/>
  <c r="X331" i="38" s="1"/>
  <c r="X285" i="38"/>
  <c r="X329" i="38" s="1"/>
  <c r="X284" i="38"/>
  <c r="Y283" i="38"/>
  <c r="X288" i="38"/>
  <c r="W253" i="41"/>
  <c r="X234" i="41"/>
  <c r="U259" i="41"/>
  <c r="U272" i="41" s="1"/>
  <c r="F40" i="41"/>
  <c r="F34" i="41"/>
  <c r="U96" i="40"/>
  <c r="T107" i="40"/>
  <c r="T109" i="40" s="1"/>
  <c r="T97" i="40"/>
  <c r="T102" i="40" s="1"/>
  <c r="H40" i="41"/>
  <c r="H34" i="41"/>
  <c r="S362" i="38"/>
  <c r="S375" i="38" s="1"/>
  <c r="U54" i="40"/>
  <c r="T65" i="40"/>
  <c r="T67" i="40" s="1"/>
  <c r="T55" i="40"/>
  <c r="T60" i="40" s="1"/>
  <c r="S82" i="40"/>
  <c r="K61" i="40"/>
  <c r="J61" i="40"/>
  <c r="O34" i="41"/>
  <c r="O40" i="41"/>
  <c r="G333" i="38"/>
  <c r="U58" i="41"/>
  <c r="U79" i="41"/>
  <c r="U100" i="41"/>
  <c r="M61" i="40"/>
  <c r="S433" i="38"/>
  <c r="S405" i="38" s="1"/>
  <c r="S414" i="38"/>
  <c r="S424" i="38"/>
  <c r="S413" i="38"/>
  <c r="S429" i="38"/>
  <c r="S402" i="38" s="1"/>
  <c r="S415" i="38" s="1"/>
  <c r="U9" i="41"/>
  <c r="V337" i="38"/>
  <c r="U356" i="38"/>
  <c r="M41" i="41"/>
  <c r="L42" i="41"/>
  <c r="L45" i="41"/>
  <c r="L47" i="41" s="1"/>
  <c r="N61" i="40"/>
  <c r="R35" i="41"/>
  <c r="S32" i="41"/>
  <c r="W311" i="40"/>
  <c r="W303" i="40"/>
  <c r="X291" i="40"/>
  <c r="H61" i="40"/>
  <c r="K34" i="41"/>
  <c r="L33" i="41" s="1"/>
  <c r="K40" i="41"/>
  <c r="T373" i="38"/>
  <c r="T396" i="38"/>
  <c r="T384" i="38"/>
  <c r="T374" i="38"/>
  <c r="T389" i="38"/>
  <c r="T390" i="38"/>
  <c r="T430" i="38" s="1"/>
  <c r="T393" i="38"/>
  <c r="T365" i="38" s="1"/>
  <c r="T4" i="47"/>
  <c r="U3" i="47"/>
  <c r="T6" i="47"/>
  <c r="T5" i="47"/>
  <c r="T76" i="40"/>
  <c r="T81" i="40" s="1"/>
  <c r="T86" i="40"/>
  <c r="U75" i="40"/>
  <c r="L61" i="40"/>
  <c r="V120" i="41"/>
  <c r="Q40" i="41"/>
  <c r="Q34" i="41"/>
  <c r="S8" i="40"/>
  <c r="V6" i="41"/>
  <c r="V8" i="41"/>
  <c r="V3" i="41"/>
  <c r="W7" i="41"/>
  <c r="V2" i="41"/>
  <c r="P41" i="41"/>
  <c r="W295" i="41"/>
  <c r="V315" i="41"/>
  <c r="V307" i="41"/>
  <c r="Q31" i="40"/>
  <c r="P34" i="40"/>
  <c r="N42" i="41"/>
  <c r="N45" i="41"/>
  <c r="N47" i="41" s="1"/>
  <c r="N33" i="41"/>
  <c r="G61" i="40"/>
  <c r="I34" i="41"/>
  <c r="T66" i="41"/>
  <c r="T68" i="41" s="1"/>
  <c r="U55" i="41"/>
  <c r="T179" i="40"/>
  <c r="U168" i="40"/>
  <c r="V275" i="41"/>
  <c r="V267" i="41"/>
  <c r="W255" i="41"/>
  <c r="S61" i="40"/>
  <c r="M33" i="41"/>
  <c r="M45" i="41"/>
  <c r="M47" i="41" s="1"/>
  <c r="M42" i="41"/>
  <c r="Y95" i="41"/>
  <c r="X96" i="41"/>
  <c r="F61" i="40"/>
  <c r="J34" i="41"/>
  <c r="J40" i="41"/>
  <c r="S119" i="40"/>
  <c r="G230" i="41"/>
  <c r="O61" i="40"/>
  <c r="G34" i="41"/>
  <c r="G40" i="41"/>
  <c r="P61" i="40"/>
  <c r="S103" i="40"/>
  <c r="T47" i="42"/>
  <c r="U2" i="42"/>
  <c r="T1" i="42"/>
  <c r="L41" i="41"/>
  <c r="U173" i="41" l="1"/>
  <c r="U365" i="40"/>
  <c r="X351" i="40"/>
  <c r="X343" i="40"/>
  <c r="Y331" i="40"/>
  <c r="I39" i="40"/>
  <c r="I40" i="40" s="1"/>
  <c r="I45" i="40"/>
  <c r="V158" i="40"/>
  <c r="V257" i="40"/>
  <c r="V258" i="40" s="1"/>
  <c r="W209" i="40"/>
  <c r="X378" i="38"/>
  <c r="Y358" i="38"/>
  <c r="X370" i="38"/>
  <c r="Y410" i="38"/>
  <c r="Y418" i="38"/>
  <c r="Z398" i="38"/>
  <c r="P45" i="41"/>
  <c r="P47" i="41" s="1"/>
  <c r="P33" i="41"/>
  <c r="I33" i="40"/>
  <c r="I44" i="40" s="1"/>
  <c r="L120" i="40"/>
  <c r="L118" i="40" s="1"/>
  <c r="O33" i="40"/>
  <c r="O41" i="40" s="1"/>
  <c r="W225" i="41"/>
  <c r="W232" i="41" s="1"/>
  <c r="W188" i="41"/>
  <c r="R120" i="40"/>
  <c r="R118" i="40" s="1"/>
  <c r="V272" i="38"/>
  <c r="V432" i="38" s="1"/>
  <c r="X182" i="41"/>
  <c r="X226" i="41" s="1"/>
  <c r="Y180" i="41"/>
  <c r="X187" i="41"/>
  <c r="X231" i="41" s="1"/>
  <c r="X181" i="41"/>
  <c r="X186" i="41"/>
  <c r="X230" i="41" s="1"/>
  <c r="X184" i="41"/>
  <c r="X228" i="41" s="1"/>
  <c r="X185" i="41"/>
  <c r="X183" i="41"/>
  <c r="X227" i="41" s="1"/>
  <c r="V322" i="38"/>
  <c r="W293" i="38"/>
  <c r="V327" i="38"/>
  <c r="V316" i="38"/>
  <c r="L43" i="41"/>
  <c r="L49" i="41" s="1"/>
  <c r="T175" i="38"/>
  <c r="T176" i="38" s="1"/>
  <c r="T185" i="38" s="1"/>
  <c r="Y222" i="40"/>
  <c r="Y220" i="40"/>
  <c r="Y264" i="40" s="1"/>
  <c r="Y217" i="40"/>
  <c r="Y221" i="40"/>
  <c r="Z216" i="40"/>
  <c r="F4" i="42" s="1"/>
  <c r="Y219" i="40"/>
  <c r="Y223" i="40"/>
  <c r="Y267" i="40" s="1"/>
  <c r="Y218" i="40"/>
  <c r="F13" i="42"/>
  <c r="X224" i="40"/>
  <c r="X261" i="40"/>
  <c r="X268" i="40" s="1"/>
  <c r="X270" i="40"/>
  <c r="W289" i="40"/>
  <c r="J120" i="40"/>
  <c r="J125" i="40" s="1"/>
  <c r="U346" i="40"/>
  <c r="U362" i="40"/>
  <c r="U335" i="40" s="1"/>
  <c r="U348" i="40" s="1"/>
  <c r="U357" i="40"/>
  <c r="U347" i="40"/>
  <c r="U366" i="40"/>
  <c r="U338" i="40" s="1"/>
  <c r="V322" i="40"/>
  <c r="V326" i="40"/>
  <c r="V298" i="40" s="1"/>
  <c r="V307" i="40"/>
  <c r="V317" i="40"/>
  <c r="V329" i="40"/>
  <c r="V306" i="40"/>
  <c r="V323" i="40"/>
  <c r="V363" i="40" s="1"/>
  <c r="U295" i="40"/>
  <c r="U308" i="40" s="1"/>
  <c r="M43" i="41"/>
  <c r="M49" i="41" s="1"/>
  <c r="V259" i="41"/>
  <c r="V272" i="41" s="1"/>
  <c r="V205" i="40"/>
  <c r="W364" i="40"/>
  <c r="W349" i="40"/>
  <c r="W156" i="38"/>
  <c r="W158" i="38" s="1"/>
  <c r="U157" i="41"/>
  <c r="U159" i="41" s="1"/>
  <c r="W203" i="40"/>
  <c r="W309" i="40"/>
  <c r="W324" i="40"/>
  <c r="W325" i="40"/>
  <c r="W310" i="40"/>
  <c r="X229" i="38"/>
  <c r="Y139" i="38"/>
  <c r="X363" i="38"/>
  <c r="X274" i="38"/>
  <c r="X141" i="38"/>
  <c r="X149" i="38" s="1"/>
  <c r="X349" i="38"/>
  <c r="X404" i="38"/>
  <c r="X417" i="38" s="1"/>
  <c r="X269" i="38"/>
  <c r="X154" i="38"/>
  <c r="X156" i="38" s="1"/>
  <c r="X224" i="38"/>
  <c r="X225" i="38" s="1"/>
  <c r="X226" i="38"/>
  <c r="X161" i="38"/>
  <c r="X403" i="38"/>
  <c r="X155" i="38"/>
  <c r="X256" i="38"/>
  <c r="X264" i="38" s="1"/>
  <c r="X157" i="38"/>
  <c r="X211" i="38"/>
  <c r="X219" i="38" s="1"/>
  <c r="X271" i="38"/>
  <c r="X364" i="38"/>
  <c r="W323" i="38"/>
  <c r="W270" i="38"/>
  <c r="W272" i="38" s="1"/>
  <c r="U288" i="41"/>
  <c r="U273" i="41"/>
  <c r="W75" i="41"/>
  <c r="W76" i="41" s="1"/>
  <c r="W87" i="41" s="1"/>
  <c r="X74" i="41"/>
  <c r="X141" i="40"/>
  <c r="X149" i="40" s="1"/>
  <c r="Y139" i="40"/>
  <c r="X296" i="40"/>
  <c r="X154" i="40"/>
  <c r="X256" i="40" s="1"/>
  <c r="X336" i="40"/>
  <c r="X204" i="40"/>
  <c r="X155" i="40"/>
  <c r="X297" i="40"/>
  <c r="X282" i="40"/>
  <c r="X161" i="40"/>
  <c r="X337" i="40"/>
  <c r="X350" i="40" s="1"/>
  <c r="X189" i="40"/>
  <c r="X197" i="40" s="1"/>
  <c r="X202" i="40"/>
  <c r="X207" i="40"/>
  <c r="X157" i="40"/>
  <c r="V325" i="38"/>
  <c r="U274" i="41"/>
  <c r="U289" i="41"/>
  <c r="V158" i="41"/>
  <c r="V168" i="41"/>
  <c r="V142" i="41"/>
  <c r="V150" i="41" s="1"/>
  <c r="V261" i="41"/>
  <c r="V260" i="41"/>
  <c r="W140" i="41"/>
  <c r="V246" i="41"/>
  <c r="V300" i="41"/>
  <c r="V171" i="41"/>
  <c r="V301" i="41"/>
  <c r="V314" i="41" s="1"/>
  <c r="V155" i="41"/>
  <c r="V166" i="41"/>
  <c r="V162" i="41"/>
  <c r="V173" i="41" s="1"/>
  <c r="V156" i="41"/>
  <c r="P43" i="41"/>
  <c r="W276" i="38"/>
  <c r="W307" i="38" s="1"/>
  <c r="U328" i="41"/>
  <c r="U313" i="41"/>
  <c r="W376" i="38"/>
  <c r="W391" i="38"/>
  <c r="W392" i="38"/>
  <c r="W377" i="38"/>
  <c r="W156" i="40"/>
  <c r="W227" i="38"/>
  <c r="U238" i="38"/>
  <c r="U174" i="38"/>
  <c r="U170" i="38"/>
  <c r="U172" i="38" s="1"/>
  <c r="W240" i="40"/>
  <c r="W431" i="38"/>
  <c r="W416" i="38"/>
  <c r="U167" i="41"/>
  <c r="N43" i="41"/>
  <c r="N49" i="41" s="1"/>
  <c r="W271" i="41"/>
  <c r="W270" i="41"/>
  <c r="W286" i="41"/>
  <c r="W281" i="41"/>
  <c r="W290" i="41"/>
  <c r="W262" i="41" s="1"/>
  <c r="W293" i="41"/>
  <c r="W287" i="41"/>
  <c r="W327" i="41" s="1"/>
  <c r="J33" i="40"/>
  <c r="J39" i="40"/>
  <c r="J40" i="40" s="1"/>
  <c r="L39" i="40"/>
  <c r="L40" i="40" s="1"/>
  <c r="L33" i="40"/>
  <c r="M32" i="40" s="1"/>
  <c r="W335" i="38"/>
  <c r="N39" i="40"/>
  <c r="N40" i="40" s="1"/>
  <c r="N33" i="40"/>
  <c r="Y117" i="41"/>
  <c r="Z116" i="41"/>
  <c r="Z117" i="41" s="1"/>
  <c r="M44" i="40"/>
  <c r="M46" i="40" s="1"/>
  <c r="M41" i="40"/>
  <c r="M42" i="40" s="1"/>
  <c r="Y6" i="40"/>
  <c r="X5" i="40"/>
  <c r="X7" i="40"/>
  <c r="X1" i="40"/>
  <c r="X2" i="40"/>
  <c r="Y285" i="38"/>
  <c r="Y329" i="38" s="1"/>
  <c r="Y286" i="38"/>
  <c r="Y330" i="38" s="1"/>
  <c r="Y290" i="38"/>
  <c r="Y334" i="38" s="1"/>
  <c r="Y288" i="38"/>
  <c r="Y284" i="38"/>
  <c r="Y287" i="38"/>
  <c r="Y331" i="38" s="1"/>
  <c r="Z283" i="38"/>
  <c r="Y289" i="38"/>
  <c r="V311" i="41"/>
  <c r="V310" i="41"/>
  <c r="V321" i="41"/>
  <c r="V326" i="41"/>
  <c r="V299" i="41" s="1"/>
  <c r="V312" i="41" s="1"/>
  <c r="V330" i="41"/>
  <c r="V302" i="41" s="1"/>
  <c r="F39" i="40"/>
  <c r="F40" i="40" s="1"/>
  <c r="F33" i="40"/>
  <c r="X328" i="38"/>
  <c r="X335" i="38" s="1"/>
  <c r="X291" i="38"/>
  <c r="H120" i="40"/>
  <c r="F120" i="40"/>
  <c r="G120" i="40"/>
  <c r="K120" i="40"/>
  <c r="I120" i="40"/>
  <c r="I130" i="40" s="1"/>
  <c r="N120" i="40"/>
  <c r="W99" i="40"/>
  <c r="W171" i="40"/>
  <c r="W57" i="40"/>
  <c r="W78" i="40"/>
  <c r="U235" i="38"/>
  <c r="U243" i="38" s="1"/>
  <c r="T246" i="38"/>
  <c r="X219" i="41"/>
  <c r="Y190" i="41"/>
  <c r="X224" i="41"/>
  <c r="X213" i="41"/>
  <c r="O120" i="40"/>
  <c r="M120" i="40"/>
  <c r="Q120" i="40"/>
  <c r="P120" i="40"/>
  <c r="W54" i="41"/>
  <c r="X53" i="41"/>
  <c r="G39" i="40"/>
  <c r="G40" i="40" s="1"/>
  <c r="G33" i="40"/>
  <c r="W167" i="38"/>
  <c r="K39" i="40"/>
  <c r="K40" i="40" s="1"/>
  <c r="K33" i="40"/>
  <c r="T362" i="38"/>
  <c r="T375" i="38" s="1"/>
  <c r="Y234" i="41"/>
  <c r="X253" i="41"/>
  <c r="Z165" i="38"/>
  <c r="Z166" i="38" s="1"/>
  <c r="Y166" i="38"/>
  <c r="V234" i="38"/>
  <c r="W233" i="38"/>
  <c r="Z166" i="40"/>
  <c r="Z167" i="40" s="1"/>
  <c r="Y167" i="40"/>
  <c r="H39" i="40"/>
  <c r="H33" i="40"/>
  <c r="H41" i="41"/>
  <c r="V96" i="40"/>
  <c r="U107" i="40"/>
  <c r="U109" i="40" s="1"/>
  <c r="U97" i="40"/>
  <c r="U102" i="40" s="1"/>
  <c r="G41" i="41"/>
  <c r="P33" i="40"/>
  <c r="P39" i="40"/>
  <c r="T82" i="40"/>
  <c r="G42" i="41"/>
  <c r="G45" i="41"/>
  <c r="G33" i="41"/>
  <c r="R31" i="40"/>
  <c r="Q34" i="40"/>
  <c r="V100" i="41"/>
  <c r="V58" i="41"/>
  <c r="V79" i="41"/>
  <c r="Q42" i="41"/>
  <c r="Q45" i="41"/>
  <c r="Q47" i="41" s="1"/>
  <c r="Q33" i="41"/>
  <c r="T414" i="38"/>
  <c r="T424" i="38"/>
  <c r="T433" i="38"/>
  <c r="T405" i="38" s="1"/>
  <c r="T413" i="38"/>
  <c r="T429" i="38"/>
  <c r="T402" i="38" s="1"/>
  <c r="T415" i="38" s="1"/>
  <c r="K41" i="41"/>
  <c r="U65" i="40"/>
  <c r="U67" i="40" s="1"/>
  <c r="V54" i="40"/>
  <c r="U55" i="40"/>
  <c r="U60" i="40" s="1"/>
  <c r="T61" i="40"/>
  <c r="Z95" i="41"/>
  <c r="Z96" i="41" s="1"/>
  <c r="Y96" i="41"/>
  <c r="X7" i="41"/>
  <c r="W3" i="41"/>
  <c r="W6" i="41"/>
  <c r="W8" i="41"/>
  <c r="W2" i="41"/>
  <c r="T8" i="40"/>
  <c r="Q41" i="41"/>
  <c r="K42" i="41"/>
  <c r="K33" i="41"/>
  <c r="K45" i="41"/>
  <c r="K47" i="41" s="1"/>
  <c r="S35" i="41"/>
  <c r="T32" i="41"/>
  <c r="O41" i="41"/>
  <c r="V9" i="41"/>
  <c r="R40" i="41"/>
  <c r="R34" i="41"/>
  <c r="O33" i="41"/>
  <c r="O42" i="41"/>
  <c r="O45" i="41"/>
  <c r="O47" i="41" s="1"/>
  <c r="U66" i="41"/>
  <c r="U68" i="41" s="1"/>
  <c r="V55" i="41"/>
  <c r="U4" i="47"/>
  <c r="U6" i="47"/>
  <c r="U5" i="47"/>
  <c r="V3" i="47"/>
  <c r="X295" i="41"/>
  <c r="W307" i="41"/>
  <c r="W315" i="41"/>
  <c r="W120" i="41"/>
  <c r="O40" i="40"/>
  <c r="F42" i="41"/>
  <c r="F45" i="41"/>
  <c r="F33" i="41"/>
  <c r="S120" i="40"/>
  <c r="T119" i="40"/>
  <c r="X255" i="41"/>
  <c r="W275" i="41"/>
  <c r="W267" i="41"/>
  <c r="I41" i="41"/>
  <c r="U76" i="40"/>
  <c r="U81" i="40" s="1"/>
  <c r="U86" i="40"/>
  <c r="V75" i="40"/>
  <c r="V356" i="38"/>
  <c r="W337" i="38"/>
  <c r="I42" i="41"/>
  <c r="I33" i="41"/>
  <c r="I45" i="41"/>
  <c r="I47" i="41" s="1"/>
  <c r="V2" i="42"/>
  <c r="U47" i="42"/>
  <c r="U1" i="42"/>
  <c r="J41" i="41"/>
  <c r="V168" i="40"/>
  <c r="U179" i="40"/>
  <c r="R125" i="40"/>
  <c r="J33" i="41"/>
  <c r="J42" i="41"/>
  <c r="J45" i="41"/>
  <c r="J47" i="41" s="1"/>
  <c r="X303" i="40"/>
  <c r="Y291" i="40"/>
  <c r="X311" i="40"/>
  <c r="U393" i="38"/>
  <c r="U365" i="38" s="1"/>
  <c r="U396" i="38"/>
  <c r="U384" i="38"/>
  <c r="U374" i="38"/>
  <c r="U389" i="38"/>
  <c r="U390" i="38"/>
  <c r="U430" i="38" s="1"/>
  <c r="U373" i="38"/>
  <c r="H45" i="41"/>
  <c r="H42" i="41"/>
  <c r="H33" i="41"/>
  <c r="T103" i="40"/>
  <c r="F41" i="41"/>
  <c r="Q43" i="41" l="1"/>
  <c r="Y343" i="40"/>
  <c r="Z331" i="40"/>
  <c r="Y351" i="40"/>
  <c r="F22" i="42"/>
  <c r="J130" i="40"/>
  <c r="X209" i="40"/>
  <c r="V365" i="40"/>
  <c r="P49" i="41"/>
  <c r="P51" i="41" s="1"/>
  <c r="N51" i="41"/>
  <c r="N50" i="41"/>
  <c r="L50" i="41"/>
  <c r="L51" i="41"/>
  <c r="M50" i="41"/>
  <c r="M51" i="41"/>
  <c r="Q49" i="41"/>
  <c r="M48" i="40"/>
  <c r="I46" i="40"/>
  <c r="W158" i="40"/>
  <c r="W257" i="40"/>
  <c r="W258" i="40" s="1"/>
  <c r="Y378" i="38"/>
  <c r="Y370" i="38"/>
  <c r="Z358" i="38"/>
  <c r="Z410" i="38"/>
  <c r="Z418" i="38"/>
  <c r="O44" i="40"/>
  <c r="O46" i="40" s="1"/>
  <c r="V121" i="41"/>
  <c r="V126" i="41" s="1"/>
  <c r="I32" i="40"/>
  <c r="J118" i="40"/>
  <c r="L125" i="40"/>
  <c r="L126" i="40" s="1"/>
  <c r="L127" i="40" s="1"/>
  <c r="I41" i="40"/>
  <c r="I42" i="40" s="1"/>
  <c r="O32" i="40"/>
  <c r="R121" i="41"/>
  <c r="R126" i="41" s="1"/>
  <c r="Y186" i="41"/>
  <c r="Y230" i="41" s="1"/>
  <c r="Y184" i="41"/>
  <c r="Y228" i="41" s="1"/>
  <c r="Y182" i="41"/>
  <c r="Y226" i="41" s="1"/>
  <c r="Z180" i="41"/>
  <c r="H14" i="42" s="1"/>
  <c r="Y181" i="41"/>
  <c r="Y185" i="41"/>
  <c r="Y183" i="41"/>
  <c r="Y227" i="41" s="1"/>
  <c r="Y187" i="41"/>
  <c r="Y231" i="41" s="1"/>
  <c r="G5" i="42"/>
  <c r="G43" i="42" s="1"/>
  <c r="X188" i="41"/>
  <c r="X225" i="41"/>
  <c r="X232" i="41" s="1"/>
  <c r="X293" i="38"/>
  <c r="W327" i="38"/>
  <c r="W322" i="38"/>
  <c r="W316" i="38"/>
  <c r="Y263" i="40"/>
  <c r="Z223" i="40"/>
  <c r="Z267" i="40" s="1"/>
  <c r="Z222" i="40"/>
  <c r="Z266" i="40" s="1"/>
  <c r="Z221" i="40"/>
  <c r="Z218" i="40"/>
  <c r="Z262" i="40" s="1"/>
  <c r="Z219" i="40"/>
  <c r="Z263" i="40" s="1"/>
  <c r="Z217" i="40"/>
  <c r="Z220" i="40"/>
  <c r="Z264" i="40" s="1"/>
  <c r="F41" i="42"/>
  <c r="F42" i="42"/>
  <c r="N169" i="40"/>
  <c r="N174" i="40" s="1"/>
  <c r="N175" i="40" s="1"/>
  <c r="V168" i="38"/>
  <c r="V181" i="38" s="1"/>
  <c r="V198" i="38" s="1"/>
  <c r="Y261" i="40"/>
  <c r="Y224" i="40"/>
  <c r="F31" i="42"/>
  <c r="Y266" i="40"/>
  <c r="Y262" i="40"/>
  <c r="O121" i="41"/>
  <c r="O126" i="41" s="1"/>
  <c r="O127" i="41" s="1"/>
  <c r="O128" i="41" s="1"/>
  <c r="J43" i="41"/>
  <c r="J49" i="41" s="1"/>
  <c r="V295" i="40"/>
  <c r="V308" i="40" s="1"/>
  <c r="R103" i="41"/>
  <c r="R104" i="41" s="1"/>
  <c r="P121" i="41"/>
  <c r="P119" i="41" s="1"/>
  <c r="W329" i="40"/>
  <c r="W307" i="40"/>
  <c r="W323" i="40"/>
  <c r="W363" i="40" s="1"/>
  <c r="W322" i="40"/>
  <c r="W326" i="40"/>
  <c r="W298" i="40" s="1"/>
  <c r="W306" i="40"/>
  <c r="W317" i="40"/>
  <c r="T121" i="41"/>
  <c r="T119" i="41" s="1"/>
  <c r="V347" i="40"/>
  <c r="V366" i="40"/>
  <c r="V338" i="40" s="1"/>
  <c r="V357" i="40"/>
  <c r="V346" i="40"/>
  <c r="V362" i="40"/>
  <c r="V335" i="40" s="1"/>
  <c r="V348" i="40" s="1"/>
  <c r="X289" i="40"/>
  <c r="Y270" i="40"/>
  <c r="X276" i="38"/>
  <c r="X307" i="38" s="1"/>
  <c r="R169" i="40"/>
  <c r="R174" i="40" s="1"/>
  <c r="R175" i="40" s="1"/>
  <c r="V167" i="41"/>
  <c r="W171" i="41"/>
  <c r="W155" i="41"/>
  <c r="W157" i="41" s="1"/>
  <c r="X140" i="41"/>
  <c r="W246" i="41"/>
  <c r="W300" i="41"/>
  <c r="W166" i="41"/>
  <c r="W260" i="41"/>
  <c r="W162" i="41"/>
  <c r="W173" i="41" s="1"/>
  <c r="W142" i="41"/>
  <c r="W150" i="41" s="1"/>
  <c r="W168" i="41"/>
  <c r="W156" i="41"/>
  <c r="W158" i="41"/>
  <c r="W301" i="41"/>
  <c r="W314" i="41" s="1"/>
  <c r="W261" i="41"/>
  <c r="X156" i="40"/>
  <c r="X392" i="38"/>
  <c r="X377" i="38"/>
  <c r="X391" i="38"/>
  <c r="X376" i="38"/>
  <c r="V157" i="41"/>
  <c r="V159" i="41" s="1"/>
  <c r="V273" i="41"/>
  <c r="V288" i="41"/>
  <c r="X309" i="40"/>
  <c r="X324" i="40"/>
  <c r="Y74" i="41"/>
  <c r="X75" i="41"/>
  <c r="X76" i="41" s="1"/>
  <c r="X87" i="41" s="1"/>
  <c r="X227" i="38"/>
  <c r="Y274" i="38"/>
  <c r="Z139" i="38"/>
  <c r="Y161" i="38"/>
  <c r="Y349" i="38"/>
  <c r="Y269" i="38"/>
  <c r="Y155" i="38"/>
  <c r="Y154" i="38"/>
  <c r="Y156" i="38" s="1"/>
  <c r="Y271" i="38"/>
  <c r="Y211" i="38"/>
  <c r="Y219" i="38" s="1"/>
  <c r="Y224" i="38"/>
  <c r="Y225" i="38" s="1"/>
  <c r="Y403" i="38"/>
  <c r="Y226" i="38"/>
  <c r="Y229" i="38"/>
  <c r="Y141" i="38"/>
  <c r="Y149" i="38" s="1"/>
  <c r="Y256" i="38"/>
  <c r="Y264" i="38" s="1"/>
  <c r="Y157" i="38"/>
  <c r="Y404" i="38"/>
  <c r="Y417" i="38" s="1"/>
  <c r="Y364" i="38"/>
  <c r="Y363" i="38"/>
  <c r="W205" i="40"/>
  <c r="O43" i="41"/>
  <c r="O49" i="41" s="1"/>
  <c r="X158" i="38"/>
  <c r="Q121" i="41"/>
  <c r="Q126" i="41" s="1"/>
  <c r="V289" i="41"/>
  <c r="V274" i="41"/>
  <c r="X310" i="40"/>
  <c r="X325" i="40"/>
  <c r="Y202" i="40"/>
  <c r="Y336" i="40"/>
  <c r="Y282" i="40"/>
  <c r="Y141" i="40"/>
  <c r="Y149" i="40" s="1"/>
  <c r="Y297" i="40"/>
  <c r="Y337" i="40"/>
  <c r="Y350" i="40" s="1"/>
  <c r="Y154" i="40"/>
  <c r="Y207" i="40"/>
  <c r="Y296" i="40"/>
  <c r="Y161" i="40"/>
  <c r="Y204" i="40"/>
  <c r="Z139" i="40"/>
  <c r="Y189" i="40"/>
  <c r="Y197" i="40" s="1"/>
  <c r="Y155" i="40"/>
  <c r="Y157" i="40"/>
  <c r="V174" i="38"/>
  <c r="V238" i="38"/>
  <c r="V170" i="38"/>
  <c r="V172" i="38" s="1"/>
  <c r="X323" i="38"/>
  <c r="X270" i="38"/>
  <c r="U103" i="41"/>
  <c r="U104" i="41" s="1"/>
  <c r="U169" i="41"/>
  <c r="V313" i="41"/>
  <c r="V328" i="41"/>
  <c r="X240" i="40"/>
  <c r="W432" i="38"/>
  <c r="M169" i="40"/>
  <c r="M174" i="40" s="1"/>
  <c r="M175" i="40" s="1"/>
  <c r="U175" i="38"/>
  <c r="U176" i="38" s="1"/>
  <c r="U185" i="38" s="1"/>
  <c r="X203" i="40"/>
  <c r="X364" i="40"/>
  <c r="X349" i="40"/>
  <c r="W324" i="38"/>
  <c r="W325" i="38" s="1"/>
  <c r="X431" i="38"/>
  <c r="X416" i="38"/>
  <c r="T169" i="40"/>
  <c r="T174" i="40" s="1"/>
  <c r="T175" i="40" s="1"/>
  <c r="O125" i="40"/>
  <c r="O126" i="40" s="1"/>
  <c r="O127" i="40" s="1"/>
  <c r="O118" i="40"/>
  <c r="Y2" i="40"/>
  <c r="Y7" i="40"/>
  <c r="Y5" i="40"/>
  <c r="Y1" i="40"/>
  <c r="Z6" i="40"/>
  <c r="W321" i="41"/>
  <c r="W330" i="41"/>
  <c r="W302" i="41" s="1"/>
  <c r="W311" i="41"/>
  <c r="W310" i="41"/>
  <c r="W326" i="41"/>
  <c r="W299" i="41" s="1"/>
  <c r="W312" i="41" s="1"/>
  <c r="G169" i="40"/>
  <c r="G174" i="40" s="1"/>
  <c r="G175" i="40" s="1"/>
  <c r="F169" i="40"/>
  <c r="F174" i="40" s="1"/>
  <c r="F175" i="40" s="1"/>
  <c r="L169" i="40"/>
  <c r="L174" i="40" s="1"/>
  <c r="L175" i="40" s="1"/>
  <c r="H169" i="40"/>
  <c r="H174" i="40" s="1"/>
  <c r="H175" i="40" s="1"/>
  <c r="J169" i="40"/>
  <c r="J174" i="40" s="1"/>
  <c r="J175" i="40" s="1"/>
  <c r="I169" i="40"/>
  <c r="I174" i="40" s="1"/>
  <c r="I175" i="40" s="1"/>
  <c r="O169" i="40"/>
  <c r="O174" i="40" s="1"/>
  <c r="O175" i="40" s="1"/>
  <c r="K169" i="40"/>
  <c r="K174" i="40" s="1"/>
  <c r="K175" i="40" s="1"/>
  <c r="P169" i="40"/>
  <c r="P174" i="40" s="1"/>
  <c r="P175" i="40" s="1"/>
  <c r="V178" i="38"/>
  <c r="V235" i="38"/>
  <c r="V243" i="38" s="1"/>
  <c r="U246" i="38"/>
  <c r="I118" i="40"/>
  <c r="J117" i="40" s="1"/>
  <c r="I125" i="40"/>
  <c r="X233" i="38"/>
  <c r="W234" i="38"/>
  <c r="W168" i="38"/>
  <c r="X167" i="38"/>
  <c r="G44" i="40"/>
  <c r="G32" i="40"/>
  <c r="G41" i="40"/>
  <c r="G42" i="40" s="1"/>
  <c r="P125" i="40"/>
  <c r="P118" i="40"/>
  <c r="N118" i="40"/>
  <c r="N125" i="40"/>
  <c r="K125" i="40"/>
  <c r="K118" i="40"/>
  <c r="L117" i="40" s="1"/>
  <c r="H43" i="41"/>
  <c r="U168" i="38"/>
  <c r="S168" i="38"/>
  <c r="R168" i="38"/>
  <c r="T168" i="38"/>
  <c r="K44" i="40"/>
  <c r="K46" i="40" s="1"/>
  <c r="K48" i="40" s="1"/>
  <c r="K41" i="40"/>
  <c r="K42" i="40" s="1"/>
  <c r="K32" i="40"/>
  <c r="Z190" i="41"/>
  <c r="Y213" i="41"/>
  <c r="Y219" i="41"/>
  <c r="Y224" i="41"/>
  <c r="G125" i="40"/>
  <c r="G118" i="40"/>
  <c r="Y333" i="38"/>
  <c r="W259" i="41"/>
  <c r="W272" i="41" s="1"/>
  <c r="O42" i="40"/>
  <c r="F43" i="41"/>
  <c r="U169" i="40"/>
  <c r="U174" i="40" s="1"/>
  <c r="U175" i="40" s="1"/>
  <c r="G168" i="38"/>
  <c r="F168" i="38"/>
  <c r="H168" i="38"/>
  <c r="I168" i="38"/>
  <c r="K168" i="38"/>
  <c r="J168" i="38"/>
  <c r="L168" i="38"/>
  <c r="M168" i="38"/>
  <c r="O168" i="38"/>
  <c r="N168" i="38"/>
  <c r="Q168" i="38"/>
  <c r="P168" i="38"/>
  <c r="Y53" i="41"/>
  <c r="X54" i="41"/>
  <c r="F118" i="40"/>
  <c r="F125" i="40"/>
  <c r="Z289" i="38"/>
  <c r="Z333" i="38" s="1"/>
  <c r="Z284" i="38"/>
  <c r="Z285" i="38"/>
  <c r="Z329" i="38" s="1"/>
  <c r="D329" i="38" s="1"/>
  <c r="Z288" i="38"/>
  <c r="Z286" i="38"/>
  <c r="Z287" i="38"/>
  <c r="Z331" i="38" s="1"/>
  <c r="Z290" i="38"/>
  <c r="Z334" i="38" s="1"/>
  <c r="X270" i="41"/>
  <c r="X281" i="41"/>
  <c r="X271" i="41"/>
  <c r="X287" i="41"/>
  <c r="X327" i="41" s="1"/>
  <c r="X290" i="41"/>
  <c r="X262" i="41" s="1"/>
  <c r="X286" i="41"/>
  <c r="X293" i="41"/>
  <c r="H125" i="40"/>
  <c r="H118" i="40"/>
  <c r="X99" i="40"/>
  <c r="X78" i="40"/>
  <c r="X57" i="40"/>
  <c r="X171" i="40"/>
  <c r="N32" i="40"/>
  <c r="N44" i="40"/>
  <c r="N46" i="40" s="1"/>
  <c r="N41" i="40"/>
  <c r="N42" i="40" s="1"/>
  <c r="J41" i="40"/>
  <c r="J42" i="40" s="1"/>
  <c r="J32" i="40"/>
  <c r="J44" i="40"/>
  <c r="J46" i="40" s="1"/>
  <c r="H44" i="40"/>
  <c r="H41" i="40"/>
  <c r="H32" i="40"/>
  <c r="Z234" i="41"/>
  <c r="Z253" i="41" s="1"/>
  <c r="Y253" i="41"/>
  <c r="Q169" i="40"/>
  <c r="Q174" i="40" s="1"/>
  <c r="Q175" i="40" s="1"/>
  <c r="J129" i="40"/>
  <c r="Q118" i="40"/>
  <c r="Q125" i="40"/>
  <c r="F41" i="40"/>
  <c r="F42" i="40" s="1"/>
  <c r="F32" i="40"/>
  <c r="F44" i="40"/>
  <c r="Y291" i="38"/>
  <c r="Y328" i="38"/>
  <c r="H121" i="41"/>
  <c r="G121" i="41"/>
  <c r="F121" i="41"/>
  <c r="I121" i="41"/>
  <c r="I131" i="41" s="1"/>
  <c r="J121" i="41"/>
  <c r="L121" i="41"/>
  <c r="K121" i="41"/>
  <c r="M121" i="41"/>
  <c r="N121" i="41"/>
  <c r="L44" i="40"/>
  <c r="L46" i="40" s="1"/>
  <c r="L41" i="40"/>
  <c r="L42" i="40" s="1"/>
  <c r="L32" i="40"/>
  <c r="L129" i="40"/>
  <c r="G43" i="41"/>
  <c r="H40" i="40"/>
  <c r="S169" i="40"/>
  <c r="S174" i="40" s="1"/>
  <c r="S175" i="40" s="1"/>
  <c r="J126" i="40"/>
  <c r="J127" i="40" s="1"/>
  <c r="M118" i="40"/>
  <c r="M125" i="40"/>
  <c r="U121" i="41"/>
  <c r="S121" i="41"/>
  <c r="K43" i="41"/>
  <c r="K49" i="41" s="1"/>
  <c r="I43" i="41"/>
  <c r="I49" i="41" s="1"/>
  <c r="W75" i="40"/>
  <c r="V86" i="40"/>
  <c r="V76" i="40"/>
  <c r="V81" i="40" s="1"/>
  <c r="R41" i="41"/>
  <c r="U8" i="40"/>
  <c r="V55" i="40"/>
  <c r="V60" i="40" s="1"/>
  <c r="V65" i="40"/>
  <c r="V67" i="40" s="1"/>
  <c r="W54" i="40"/>
  <c r="Y295" i="41"/>
  <c r="X307" i="41"/>
  <c r="X315" i="41"/>
  <c r="U82" i="40"/>
  <c r="U119" i="40"/>
  <c r="T120" i="40"/>
  <c r="V103" i="41"/>
  <c r="W9" i="41"/>
  <c r="W79" i="41"/>
  <c r="W58" i="41"/>
  <c r="W100" i="41"/>
  <c r="S103" i="41"/>
  <c r="T103" i="41"/>
  <c r="V47" i="42"/>
  <c r="V1" i="42"/>
  <c r="W2" i="42"/>
  <c r="V5" i="47"/>
  <c r="W3" i="47"/>
  <c r="V4" i="47"/>
  <c r="V6" i="47"/>
  <c r="J103" i="41"/>
  <c r="N103" i="41"/>
  <c r="K103" i="41"/>
  <c r="M103" i="41"/>
  <c r="P103" i="41"/>
  <c r="L103" i="41"/>
  <c r="O103" i="41"/>
  <c r="U103" i="40"/>
  <c r="V66" i="41"/>
  <c r="V68" i="41" s="1"/>
  <c r="W55" i="41"/>
  <c r="S40" i="41"/>
  <c r="S34" i="41"/>
  <c r="P44" i="40"/>
  <c r="P46" i="40" s="1"/>
  <c r="P32" i="40"/>
  <c r="P41" i="40"/>
  <c r="W356" i="38"/>
  <c r="X337" i="38"/>
  <c r="V389" i="38"/>
  <c r="V396" i="38"/>
  <c r="V384" i="38"/>
  <c r="V374" i="38"/>
  <c r="V373" i="38"/>
  <c r="V393" i="38"/>
  <c r="V365" i="38" s="1"/>
  <c r="V390" i="38"/>
  <c r="V430" i="38" s="1"/>
  <c r="V119" i="41"/>
  <c r="Q33" i="40"/>
  <c r="Q39" i="40"/>
  <c r="U61" i="40"/>
  <c r="V179" i="40"/>
  <c r="W168" i="40"/>
  <c r="V169" i="40"/>
  <c r="V174" i="40" s="1"/>
  <c r="R126" i="40"/>
  <c r="R127" i="40" s="1"/>
  <c r="S118" i="40"/>
  <c r="S125" i="40"/>
  <c r="U362" i="38"/>
  <c r="U375" i="38" s="1"/>
  <c r="R117" i="40"/>
  <c r="R129" i="40"/>
  <c r="Z291" i="40"/>
  <c r="Y311" i="40"/>
  <c r="Y303" i="40"/>
  <c r="X120" i="41"/>
  <c r="W121" i="41"/>
  <c r="S31" i="40"/>
  <c r="R34" i="40"/>
  <c r="V107" i="40"/>
  <c r="V109" i="40" s="1"/>
  <c r="V97" i="40"/>
  <c r="V102" i="40" s="1"/>
  <c r="W96" i="40"/>
  <c r="X8" i="41"/>
  <c r="X3" i="41"/>
  <c r="Y7" i="41"/>
  <c r="X6" i="41"/>
  <c r="X2" i="41"/>
  <c r="U413" i="38"/>
  <c r="U424" i="38"/>
  <c r="U429" i="38"/>
  <c r="U402" i="38" s="1"/>
  <c r="U415" i="38" s="1"/>
  <c r="U414" i="38"/>
  <c r="U433" i="38"/>
  <c r="U405" i="38" s="1"/>
  <c r="Y255" i="41"/>
  <c r="X267" i="41"/>
  <c r="X275" i="41"/>
  <c r="R42" i="41"/>
  <c r="R33" i="41"/>
  <c r="R45" i="41"/>
  <c r="R47" i="41" s="1"/>
  <c r="T35" i="41"/>
  <c r="U32" i="41"/>
  <c r="Q103" i="41"/>
  <c r="P40" i="40"/>
  <c r="W365" i="40" l="1"/>
  <c r="J131" i="40"/>
  <c r="J133" i="40" s="1"/>
  <c r="K130" i="40"/>
  <c r="F32" i="42"/>
  <c r="O48" i="40"/>
  <c r="O50" i="40" s="1"/>
  <c r="P50" i="41"/>
  <c r="I48" i="40"/>
  <c r="I50" i="40" s="1"/>
  <c r="Z351" i="40"/>
  <c r="Z343" i="40"/>
  <c r="Y256" i="40"/>
  <c r="J131" i="41"/>
  <c r="K131" i="41" s="1"/>
  <c r="L131" i="41" s="1"/>
  <c r="M131" i="41" s="1"/>
  <c r="N131" i="41" s="1"/>
  <c r="O131" i="41" s="1"/>
  <c r="P131" i="41" s="1"/>
  <c r="Q131" i="41" s="1"/>
  <c r="R131" i="41" s="1"/>
  <c r="S131" i="41" s="1"/>
  <c r="T131" i="41" s="1"/>
  <c r="U131" i="41" s="1"/>
  <c r="V131" i="41" s="1"/>
  <c r="W131" i="41" s="1"/>
  <c r="X131" i="41" s="1"/>
  <c r="Y131" i="41" s="1"/>
  <c r="Z131" i="41" s="1"/>
  <c r="K51" i="41"/>
  <c r="K50" i="41"/>
  <c r="O51" i="41"/>
  <c r="O50" i="41"/>
  <c r="J50" i="41"/>
  <c r="J51" i="41"/>
  <c r="M50" i="40"/>
  <c r="M49" i="40"/>
  <c r="K49" i="40"/>
  <c r="K50" i="40"/>
  <c r="Q51" i="41"/>
  <c r="Q50" i="41"/>
  <c r="L48" i="40"/>
  <c r="J48" i="40"/>
  <c r="N48" i="40"/>
  <c r="I50" i="41"/>
  <c r="I51" i="41"/>
  <c r="X158" i="40"/>
  <c r="X257" i="40"/>
  <c r="X258" i="40" s="1"/>
  <c r="H5" i="42"/>
  <c r="H44" i="42" s="1"/>
  <c r="Y209" i="40"/>
  <c r="D263" i="40"/>
  <c r="Z370" i="38"/>
  <c r="Z378" i="38"/>
  <c r="R119" i="41"/>
  <c r="T126" i="41"/>
  <c r="T127" i="41" s="1"/>
  <c r="T128" i="41" s="1"/>
  <c r="H23" i="42"/>
  <c r="G23" i="42"/>
  <c r="P126" i="41"/>
  <c r="P127" i="41" s="1"/>
  <c r="P128" i="41" s="1"/>
  <c r="F14" i="42"/>
  <c r="R43" i="41"/>
  <c r="R49" i="41" s="1"/>
  <c r="D218" i="40"/>
  <c r="Y225" i="41"/>
  <c r="Y232" i="41" s="1"/>
  <c r="Y188" i="41"/>
  <c r="F5" i="42"/>
  <c r="Z181" i="41"/>
  <c r="Z186" i="41"/>
  <c r="Z185" i="41"/>
  <c r="F23" i="42"/>
  <c r="Z187" i="41"/>
  <c r="Z231" i="41" s="1"/>
  <c r="Z182" i="41"/>
  <c r="H32" i="42"/>
  <c r="Z184" i="41"/>
  <c r="Z228" i="41" s="1"/>
  <c r="Z183" i="41"/>
  <c r="Z227" i="41" s="1"/>
  <c r="D227" i="41" s="1"/>
  <c r="G32" i="42"/>
  <c r="G44" i="42"/>
  <c r="G14" i="42"/>
  <c r="X327" i="38"/>
  <c r="Y293" i="38"/>
  <c r="X316" i="38"/>
  <c r="X322" i="38"/>
  <c r="O119" i="41"/>
  <c r="P118" i="41" s="1"/>
  <c r="V175" i="38"/>
  <c r="V176" i="38" s="1"/>
  <c r="V185" i="38" s="1"/>
  <c r="Q119" i="41"/>
  <c r="Q130" i="41" s="1"/>
  <c r="Q132" i="41" s="1"/>
  <c r="V18" i="47"/>
  <c r="V19" i="47" s="1"/>
  <c r="V8" i="47" s="1"/>
  <c r="Y227" i="38"/>
  <c r="K18" i="47"/>
  <c r="K19" i="47" s="1"/>
  <c r="K8" i="47" s="1"/>
  <c r="R18" i="47"/>
  <c r="R19" i="47" s="1"/>
  <c r="R8" i="47" s="1"/>
  <c r="F49" i="42"/>
  <c r="D262" i="40"/>
  <c r="L18" i="47"/>
  <c r="L19" i="47" s="1"/>
  <c r="L8" i="47" s="1"/>
  <c r="J18" i="47"/>
  <c r="J19" i="47" s="1"/>
  <c r="J8" i="47" s="1"/>
  <c r="Y268" i="40"/>
  <c r="N18" i="47"/>
  <c r="N19" i="47" s="1"/>
  <c r="N8" i="47" s="1"/>
  <c r="G18" i="47"/>
  <c r="G19" i="47" s="1"/>
  <c r="G8" i="47" s="1"/>
  <c r="D222" i="40"/>
  <c r="P18" i="47"/>
  <c r="P19" i="47" s="1"/>
  <c r="P8" i="47" s="1"/>
  <c r="T18" i="47"/>
  <c r="T19" i="47" s="1"/>
  <c r="T8" i="47" s="1"/>
  <c r="D266" i="40"/>
  <c r="U18" i="47"/>
  <c r="U19" i="47" s="1"/>
  <c r="U8" i="47" s="1"/>
  <c r="Q18" i="47"/>
  <c r="Q19" i="47" s="1"/>
  <c r="Q8" i="47" s="1"/>
  <c r="D219" i="40"/>
  <c r="I18" i="47"/>
  <c r="I19" i="47" s="1"/>
  <c r="I8" i="47" s="1"/>
  <c r="O18" i="47"/>
  <c r="O19" i="47" s="1"/>
  <c r="O8" i="47" s="1"/>
  <c r="M18" i="47"/>
  <c r="M19" i="47" s="1"/>
  <c r="M8" i="47" s="1"/>
  <c r="Z261" i="40"/>
  <c r="Z268" i="40" s="1"/>
  <c r="Z224" i="40"/>
  <c r="P42" i="40"/>
  <c r="P48" i="40" s="1"/>
  <c r="S18" i="47"/>
  <c r="S19" i="47" s="1"/>
  <c r="S8" i="47" s="1"/>
  <c r="H18" i="47"/>
  <c r="H19" i="47" s="1"/>
  <c r="H8" i="47" s="1"/>
  <c r="D217" i="40"/>
  <c r="X329" i="40"/>
  <c r="X307" i="40"/>
  <c r="X306" i="40"/>
  <c r="X317" i="40"/>
  <c r="X326" i="40"/>
  <c r="X298" i="40" s="1"/>
  <c r="X323" i="40"/>
  <c r="X363" i="40" s="1"/>
  <c r="X322" i="40"/>
  <c r="W295" i="40"/>
  <c r="W308" i="40" s="1"/>
  <c r="W346" i="40"/>
  <c r="W347" i="40"/>
  <c r="W366" i="40"/>
  <c r="W338" i="40" s="1"/>
  <c r="W357" i="40"/>
  <c r="W362" i="40"/>
  <c r="W335" i="40" s="1"/>
  <c r="W348" i="40" s="1"/>
  <c r="Y289" i="40"/>
  <c r="Z270" i="40"/>
  <c r="Z289" i="40" s="1"/>
  <c r="Z189" i="40"/>
  <c r="Z197" i="40" s="1"/>
  <c r="Z296" i="40"/>
  <c r="Z336" i="40"/>
  <c r="Z154" i="40"/>
  <c r="Z256" i="40" s="1"/>
  <c r="Z141" i="40"/>
  <c r="Z149" i="40" s="1"/>
  <c r="Z207" i="40"/>
  <c r="Z282" i="40"/>
  <c r="Z157" i="40"/>
  <c r="Z297" i="40"/>
  <c r="Z155" i="40"/>
  <c r="Z161" i="40"/>
  <c r="Z204" i="40"/>
  <c r="Z202" i="40"/>
  <c r="Z337" i="40"/>
  <c r="Z350" i="40" s="1"/>
  <c r="Y158" i="38"/>
  <c r="Z74" i="41"/>
  <c r="Y75" i="41"/>
  <c r="W273" i="41"/>
  <c r="W288" i="41"/>
  <c r="H42" i="40"/>
  <c r="X259" i="41"/>
  <c r="X272" i="41" s="1"/>
  <c r="Y325" i="40"/>
  <c r="Y310" i="40"/>
  <c r="Y323" i="38"/>
  <c r="Y270" i="38"/>
  <c r="W289" i="41"/>
  <c r="W274" i="41"/>
  <c r="X246" i="41"/>
  <c r="X162" i="41"/>
  <c r="X158" i="41"/>
  <c r="X168" i="41"/>
  <c r="Y140" i="41"/>
  <c r="X155" i="41"/>
  <c r="X157" i="41" s="1"/>
  <c r="X166" i="41"/>
  <c r="X156" i="41"/>
  <c r="X171" i="41"/>
  <c r="X260" i="41"/>
  <c r="X142" i="41"/>
  <c r="X150" i="41" s="1"/>
  <c r="X300" i="41"/>
  <c r="X301" i="41"/>
  <c r="X314" i="41" s="1"/>
  <c r="X261" i="41"/>
  <c r="W159" i="41"/>
  <c r="X205" i="40"/>
  <c r="X272" i="38"/>
  <c r="X432" i="38" s="1"/>
  <c r="X324" i="38"/>
  <c r="X325" i="38" s="1"/>
  <c r="Y309" i="40"/>
  <c r="Y324" i="40"/>
  <c r="Y391" i="38"/>
  <c r="Y376" i="38"/>
  <c r="Y431" i="38"/>
  <c r="Y416" i="38"/>
  <c r="W167" i="41"/>
  <c r="W170" i="38"/>
  <c r="W172" i="38" s="1"/>
  <c r="W174" i="38"/>
  <c r="W238" i="38"/>
  <c r="Y240" i="40"/>
  <c r="Y364" i="40"/>
  <c r="Y349" i="40"/>
  <c r="Y392" i="38"/>
  <c r="Y377" i="38"/>
  <c r="Z141" i="38"/>
  <c r="Z149" i="38" s="1"/>
  <c r="Z256" i="38"/>
  <c r="Z264" i="38" s="1"/>
  <c r="Z269" i="38"/>
  <c r="Z157" i="38"/>
  <c r="Z364" i="38"/>
  <c r="Z404" i="38"/>
  <c r="Z417" i="38" s="1"/>
  <c r="Z229" i="38"/>
  <c r="Z161" i="38"/>
  <c r="Z226" i="38"/>
  <c r="Z403" i="38"/>
  <c r="Z274" i="38"/>
  <c r="Z211" i="38"/>
  <c r="Z219" i="38" s="1"/>
  <c r="Z349" i="38"/>
  <c r="Z271" i="38"/>
  <c r="Z154" i="38"/>
  <c r="Z156" i="38" s="1"/>
  <c r="Z224" i="38"/>
  <c r="Z225" i="38" s="1"/>
  <c r="Z155" i="38"/>
  <c r="Z363" i="38"/>
  <c r="Y203" i="40"/>
  <c r="Y276" i="38"/>
  <c r="Y307" i="38" s="1"/>
  <c r="W313" i="41"/>
  <c r="W328" i="41"/>
  <c r="Y156" i="40"/>
  <c r="V169" i="41"/>
  <c r="S126" i="41"/>
  <c r="S127" i="41" s="1"/>
  <c r="S128" i="41" s="1"/>
  <c r="S119" i="41"/>
  <c r="T118" i="41" s="1"/>
  <c r="M126" i="40"/>
  <c r="M127" i="40" s="1"/>
  <c r="J119" i="41"/>
  <c r="J126" i="41"/>
  <c r="P181" i="38"/>
  <c r="P198" i="38" s="1"/>
  <c r="P178" i="38"/>
  <c r="I181" i="38"/>
  <c r="I198" i="38" s="1"/>
  <c r="I178" i="38"/>
  <c r="K117" i="40"/>
  <c r="K129" i="40"/>
  <c r="Y233" i="38"/>
  <c r="X234" i="38"/>
  <c r="M117" i="40"/>
  <c r="M129" i="40"/>
  <c r="I119" i="41"/>
  <c r="I126" i="41"/>
  <c r="I127" i="41" s="1"/>
  <c r="I128" i="41" s="1"/>
  <c r="H117" i="40"/>
  <c r="H129" i="40"/>
  <c r="Q181" i="38"/>
  <c r="Q198" i="38" s="1"/>
  <c r="Q178" i="38"/>
  <c r="H181" i="38"/>
  <c r="H198" i="38" s="1"/>
  <c r="H178" i="38"/>
  <c r="K126" i="40"/>
  <c r="K127" i="40" s="1"/>
  <c r="X168" i="38"/>
  <c r="Y167" i="38"/>
  <c r="O117" i="40"/>
  <c r="O129" i="40"/>
  <c r="F119" i="41"/>
  <c r="F126" i="41"/>
  <c r="H126" i="40"/>
  <c r="H127" i="40" s="1"/>
  <c r="Z291" i="38"/>
  <c r="Z328" i="38"/>
  <c r="D328" i="38" s="1"/>
  <c r="F126" i="40"/>
  <c r="F127" i="40" s="1"/>
  <c r="N181" i="38"/>
  <c r="N198" i="38" s="1"/>
  <c r="N178" i="38"/>
  <c r="F181" i="38"/>
  <c r="F198" i="38" s="1"/>
  <c r="F178" i="38"/>
  <c r="T181" i="38"/>
  <c r="T198" i="38" s="1"/>
  <c r="T178" i="38"/>
  <c r="N126" i="40"/>
  <c r="N127" i="40" s="1"/>
  <c r="W181" i="38"/>
  <c r="W198" i="38" s="1"/>
  <c r="W178" i="38"/>
  <c r="W186" i="38" s="1"/>
  <c r="V186" i="38"/>
  <c r="G126" i="41"/>
  <c r="G119" i="41"/>
  <c r="Y287" i="41"/>
  <c r="Y327" i="41" s="1"/>
  <c r="Y293" i="41"/>
  <c r="Y270" i="41"/>
  <c r="Y271" i="41"/>
  <c r="Y281" i="41"/>
  <c r="Y290" i="41"/>
  <c r="Y262" i="41" s="1"/>
  <c r="Y286" i="41"/>
  <c r="F129" i="40"/>
  <c r="F117" i="40"/>
  <c r="O181" i="38"/>
  <c r="O198" i="38" s="1"/>
  <c r="O178" i="38"/>
  <c r="G181" i="38"/>
  <c r="G198" i="38" s="1"/>
  <c r="G178" i="38"/>
  <c r="Z213" i="41"/>
  <c r="Z224" i="41"/>
  <c r="Z219" i="41"/>
  <c r="R181" i="38"/>
  <c r="R198" i="38" s="1"/>
  <c r="R178" i="38"/>
  <c r="T130" i="41"/>
  <c r="T132" i="41" s="1"/>
  <c r="T134" i="41" s="1"/>
  <c r="N117" i="40"/>
  <c r="N129" i="40"/>
  <c r="P130" i="41"/>
  <c r="P132" i="41" s="1"/>
  <c r="P134" i="41" s="1"/>
  <c r="N126" i="41"/>
  <c r="N119" i="41"/>
  <c r="H119" i="41"/>
  <c r="H126" i="41"/>
  <c r="Z293" i="41"/>
  <c r="Z270" i="41"/>
  <c r="Z286" i="41"/>
  <c r="Z287" i="41"/>
  <c r="Z327" i="41" s="1"/>
  <c r="Z290" i="41"/>
  <c r="Z262" i="41" s="1"/>
  <c r="Z271" i="41"/>
  <c r="Z281" i="41"/>
  <c r="M181" i="38"/>
  <c r="M198" i="38" s="1"/>
  <c r="M178" i="38"/>
  <c r="S181" i="38"/>
  <c r="S198" i="38" s="1"/>
  <c r="S178" i="38"/>
  <c r="P129" i="40"/>
  <c r="P117" i="40"/>
  <c r="I126" i="40"/>
  <c r="I127" i="40" s="1"/>
  <c r="I133" i="40" s="1"/>
  <c r="Z1" i="40"/>
  <c r="Z5" i="40"/>
  <c r="Z7" i="40"/>
  <c r="S11" i="40" s="1"/>
  <c r="Z2" i="40"/>
  <c r="Q127" i="41"/>
  <c r="Q128" i="41" s="1"/>
  <c r="M126" i="41"/>
  <c r="M127" i="41" s="1"/>
  <c r="M128" i="41" s="1"/>
  <c r="M119" i="41"/>
  <c r="Y335" i="38"/>
  <c r="R130" i="41"/>
  <c r="R132" i="41" s="1"/>
  <c r="R118" i="41"/>
  <c r="Z53" i="41"/>
  <c r="Z54" i="41" s="1"/>
  <c r="Y54" i="41"/>
  <c r="L181" i="38"/>
  <c r="L198" i="38" s="1"/>
  <c r="L178" i="38"/>
  <c r="U181" i="38"/>
  <c r="U198" i="38" s="1"/>
  <c r="U178" i="38"/>
  <c r="P126" i="40"/>
  <c r="P127" i="40" s="1"/>
  <c r="I129" i="40"/>
  <c r="I131" i="40" s="1"/>
  <c r="I117" i="40"/>
  <c r="Y57" i="40"/>
  <c r="Y171" i="40"/>
  <c r="Y78" i="40"/>
  <c r="Y99" i="40"/>
  <c r="D284" i="38"/>
  <c r="K119" i="41"/>
  <c r="K126" i="41"/>
  <c r="K127" i="41" s="1"/>
  <c r="K128" i="41" s="1"/>
  <c r="Q126" i="40"/>
  <c r="Q127" i="40" s="1"/>
  <c r="R127" i="41"/>
  <c r="R128" i="41" s="1"/>
  <c r="J181" i="38"/>
  <c r="J198" i="38" s="1"/>
  <c r="J178" i="38"/>
  <c r="G129" i="40"/>
  <c r="G117" i="40"/>
  <c r="V362" i="38"/>
  <c r="V375" i="38" s="1"/>
  <c r="U119" i="41"/>
  <c r="U126" i="41"/>
  <c r="U127" i="41" s="1"/>
  <c r="U128" i="41" s="1"/>
  <c r="D285" i="38"/>
  <c r="L126" i="41"/>
  <c r="L119" i="41"/>
  <c r="Q129" i="40"/>
  <c r="Q117" i="40"/>
  <c r="X321" i="41"/>
  <c r="X326" i="41"/>
  <c r="X299" i="41" s="1"/>
  <c r="X312" i="41" s="1"/>
  <c r="X310" i="41"/>
  <c r="X330" i="41"/>
  <c r="X302" i="41" s="1"/>
  <c r="X311" i="41"/>
  <c r="Z330" i="38"/>
  <c r="D330" i="38" s="1"/>
  <c r="D286" i="38"/>
  <c r="D287" i="38" s="1"/>
  <c r="K181" i="38"/>
  <c r="K198" i="38" s="1"/>
  <c r="K178" i="38"/>
  <c r="G126" i="40"/>
  <c r="G127" i="40" s="1"/>
  <c r="W235" i="38"/>
  <c r="W243" i="38" s="1"/>
  <c r="V246" i="38"/>
  <c r="Q40" i="40"/>
  <c r="S33" i="41"/>
  <c r="S45" i="41"/>
  <c r="S47" i="41" s="1"/>
  <c r="S42" i="41"/>
  <c r="V82" i="40"/>
  <c r="Q104" i="41"/>
  <c r="X58" i="41"/>
  <c r="X79" i="41"/>
  <c r="X100" i="41"/>
  <c r="Q44" i="40"/>
  <c r="Q46" i="40" s="1"/>
  <c r="Q41" i="40"/>
  <c r="Q32" i="40"/>
  <c r="S41" i="41"/>
  <c r="N104" i="41"/>
  <c r="W47" i="42"/>
  <c r="X2" i="42"/>
  <c r="W1" i="42"/>
  <c r="X9" i="41"/>
  <c r="V61" i="40"/>
  <c r="X96" i="40"/>
  <c r="W97" i="40"/>
  <c r="W102" i="40" s="1"/>
  <c r="W107" i="40"/>
  <c r="W109" i="40" s="1"/>
  <c r="V414" i="38"/>
  <c r="V429" i="38"/>
  <c r="V402" i="38" s="1"/>
  <c r="V415" i="38" s="1"/>
  <c r="V433" i="38"/>
  <c r="V405" i="38" s="1"/>
  <c r="V413" i="38"/>
  <c r="V424" i="38"/>
  <c r="J104" i="41"/>
  <c r="T104" i="41"/>
  <c r="V8" i="40"/>
  <c r="W76" i="40"/>
  <c r="W81" i="40" s="1"/>
  <c r="X75" i="40"/>
  <c r="W86" i="40"/>
  <c r="Z7" i="41"/>
  <c r="Y3" i="41"/>
  <c r="Y8" i="41"/>
  <c r="Y6" i="41"/>
  <c r="Y2" i="41"/>
  <c r="V103" i="40"/>
  <c r="R39" i="40"/>
  <c r="R33" i="40"/>
  <c r="V175" i="40"/>
  <c r="V127" i="41"/>
  <c r="V128" i="41" s="1"/>
  <c r="H104" i="41"/>
  <c r="V104" i="41"/>
  <c r="Z311" i="40"/>
  <c r="Z303" i="40"/>
  <c r="K104" i="41"/>
  <c r="T31" i="40"/>
  <c r="S34" i="40"/>
  <c r="W179" i="40"/>
  <c r="X168" i="40"/>
  <c r="W169" i="40"/>
  <c r="W174" i="40" s="1"/>
  <c r="V130" i="41"/>
  <c r="V132" i="41" s="1"/>
  <c r="X55" i="41"/>
  <c r="W66" i="41"/>
  <c r="W68" i="41" s="1"/>
  <c r="O104" i="41"/>
  <c r="Z295" i="41"/>
  <c r="Y307" i="41"/>
  <c r="Y315" i="41"/>
  <c r="Y267" i="41"/>
  <c r="Z255" i="41"/>
  <c r="Y275" i="41"/>
  <c r="S126" i="40"/>
  <c r="S127" i="40" s="1"/>
  <c r="L104" i="41"/>
  <c r="G104" i="41"/>
  <c r="S104" i="41"/>
  <c r="W103" i="41"/>
  <c r="W126" i="41"/>
  <c r="W119" i="41"/>
  <c r="S129" i="40"/>
  <c r="S117" i="40"/>
  <c r="X356" i="38"/>
  <c r="Y337" i="38"/>
  <c r="P104" i="41"/>
  <c r="F104" i="41"/>
  <c r="X3" i="47"/>
  <c r="W5" i="47"/>
  <c r="W4" i="47"/>
  <c r="W6" i="47"/>
  <c r="T125" i="40"/>
  <c r="T118" i="40"/>
  <c r="U35" i="41"/>
  <c r="V32" i="41"/>
  <c r="T40" i="41"/>
  <c r="T34" i="41"/>
  <c r="Y120" i="41"/>
  <c r="X121" i="41"/>
  <c r="W390" i="38"/>
  <c r="W430" i="38" s="1"/>
  <c r="W384" i="38"/>
  <c r="W396" i="38"/>
  <c r="W393" i="38"/>
  <c r="W365" i="38" s="1"/>
  <c r="W389" i="38"/>
  <c r="W373" i="38"/>
  <c r="W374" i="38"/>
  <c r="M104" i="41"/>
  <c r="U120" i="40"/>
  <c r="V119" i="40"/>
  <c r="W65" i="40"/>
  <c r="W67" i="40" s="1"/>
  <c r="W55" i="40"/>
  <c r="W60" i="40" s="1"/>
  <c r="X54" i="40"/>
  <c r="I49" i="40" l="1"/>
  <c r="O49" i="40"/>
  <c r="J134" i="40"/>
  <c r="J135" i="40"/>
  <c r="I134" i="40"/>
  <c r="I135" i="40"/>
  <c r="X365" i="40"/>
  <c r="K131" i="40"/>
  <c r="K133" i="40" s="1"/>
  <c r="L130" i="40"/>
  <c r="X173" i="41"/>
  <c r="T136" i="41"/>
  <c r="T135" i="41"/>
  <c r="V134" i="41"/>
  <c r="P135" i="41"/>
  <c r="P136" i="41"/>
  <c r="R134" i="41"/>
  <c r="Q134" i="41"/>
  <c r="H43" i="42"/>
  <c r="R50" i="41"/>
  <c r="R51" i="41"/>
  <c r="P50" i="40"/>
  <c r="P49" i="40"/>
  <c r="L50" i="40"/>
  <c r="L49" i="40"/>
  <c r="N49" i="40"/>
  <c r="N50" i="40"/>
  <c r="J49" i="40"/>
  <c r="J50" i="40"/>
  <c r="Y158" i="40"/>
  <c r="Y257" i="40"/>
  <c r="Y258" i="40" s="1"/>
  <c r="Z209" i="40"/>
  <c r="H287" i="38"/>
  <c r="F287" i="38"/>
  <c r="G287" i="38"/>
  <c r="D183" i="41"/>
  <c r="O130" i="41"/>
  <c r="O132" i="41" s="1"/>
  <c r="O134" i="41" s="1"/>
  <c r="O118" i="41"/>
  <c r="V179" i="38"/>
  <c r="V204" i="38" s="1"/>
  <c r="Q118" i="41"/>
  <c r="Z230" i="41"/>
  <c r="D230" i="41" s="1"/>
  <c r="D186" i="41"/>
  <c r="Z225" i="41"/>
  <c r="Z188" i="41"/>
  <c r="D181" i="41"/>
  <c r="Z226" i="41"/>
  <c r="D226" i="41" s="1"/>
  <c r="D182" i="41"/>
  <c r="F43" i="42"/>
  <c r="F44" i="42"/>
  <c r="W18" i="47"/>
  <c r="W19" i="47" s="1"/>
  <c r="W8" i="47" s="1"/>
  <c r="Y322" i="38"/>
  <c r="Y327" i="38"/>
  <c r="Y316" i="38"/>
  <c r="Z293" i="38"/>
  <c r="L11" i="40"/>
  <c r="L10" i="40" s="1"/>
  <c r="M11" i="40"/>
  <c r="M10" i="40" s="1"/>
  <c r="W56" i="41"/>
  <c r="W61" i="41" s="1"/>
  <c r="W62" i="41" s="1"/>
  <c r="D261" i="40"/>
  <c r="X159" i="41"/>
  <c r="U11" i="40"/>
  <c r="U16" i="40" s="1"/>
  <c r="Q56" i="41"/>
  <c r="Q61" i="41" s="1"/>
  <c r="Q62" i="41" s="1"/>
  <c r="Z259" i="41"/>
  <c r="Z272" i="41" s="1"/>
  <c r="Y326" i="40"/>
  <c r="Y298" i="40" s="1"/>
  <c r="Y317" i="40"/>
  <c r="Y307" i="40"/>
  <c r="Y306" i="40"/>
  <c r="Y329" i="40"/>
  <c r="Y323" i="40"/>
  <c r="Y363" i="40" s="1"/>
  <c r="Y322" i="40"/>
  <c r="X295" i="40"/>
  <c r="X308" i="40" s="1"/>
  <c r="Z329" i="40"/>
  <c r="Z323" i="40"/>
  <c r="Z363" i="40" s="1"/>
  <c r="Z326" i="40"/>
  <c r="Z298" i="40" s="1"/>
  <c r="Z306" i="40"/>
  <c r="Z307" i="40"/>
  <c r="Z322" i="40"/>
  <c r="Z317" i="40"/>
  <c r="S43" i="41"/>
  <c r="S49" i="41" s="1"/>
  <c r="G11" i="40"/>
  <c r="G16" i="40" s="1"/>
  <c r="Y259" i="41"/>
  <c r="Y272" i="41" s="1"/>
  <c r="X346" i="40"/>
  <c r="X347" i="40"/>
  <c r="X366" i="40"/>
  <c r="X338" i="40" s="1"/>
  <c r="X362" i="40"/>
  <c r="X335" i="40" s="1"/>
  <c r="X348" i="40" s="1"/>
  <c r="X357" i="40"/>
  <c r="Z276" i="38"/>
  <c r="Z307" i="38" s="1"/>
  <c r="Z323" i="38"/>
  <c r="Z270" i="38"/>
  <c r="W169" i="41"/>
  <c r="X167" i="41"/>
  <c r="Z203" i="40"/>
  <c r="Z391" i="38"/>
  <c r="Z376" i="38"/>
  <c r="Z431" i="38"/>
  <c r="Z416" i="38"/>
  <c r="X328" i="41"/>
  <c r="X313" i="41"/>
  <c r="Z240" i="40"/>
  <c r="Z227" i="38"/>
  <c r="X273" i="41"/>
  <c r="X288" i="41"/>
  <c r="X170" i="38"/>
  <c r="X172" i="38" s="1"/>
  <c r="X238" i="38"/>
  <c r="X174" i="38"/>
  <c r="Z158" i="38"/>
  <c r="Y171" i="41"/>
  <c r="Y246" i="41"/>
  <c r="Y162" i="41"/>
  <c r="Y261" i="41"/>
  <c r="Y301" i="41"/>
  <c r="Y314" i="41" s="1"/>
  <c r="Y300" i="41"/>
  <c r="Z140" i="41"/>
  <c r="Y260" i="41"/>
  <c r="Y156" i="41"/>
  <c r="Y155" i="41"/>
  <c r="Y166" i="41"/>
  <c r="Y168" i="41"/>
  <c r="Y142" i="41"/>
  <c r="Y150" i="41" s="1"/>
  <c r="Y158" i="41"/>
  <c r="Z156" i="40"/>
  <c r="W175" i="38"/>
  <c r="W176" i="38" s="1"/>
  <c r="W185" i="38" s="1"/>
  <c r="Z364" i="40"/>
  <c r="Z349" i="40"/>
  <c r="Y205" i="40"/>
  <c r="Z377" i="38"/>
  <c r="Z392" i="38"/>
  <c r="Y272" i="38"/>
  <c r="Y432" i="38" s="1"/>
  <c r="Y324" i="38"/>
  <c r="Y325" i="38" s="1"/>
  <c r="Y76" i="41"/>
  <c r="Z310" i="40"/>
  <c r="Z325" i="40"/>
  <c r="Z309" i="40"/>
  <c r="Z324" i="40"/>
  <c r="X274" i="41"/>
  <c r="X289" i="41"/>
  <c r="Z75" i="41"/>
  <c r="F77" i="41" s="1"/>
  <c r="G14" i="47"/>
  <c r="H14" i="47"/>
  <c r="I14" i="47"/>
  <c r="S16" i="40"/>
  <c r="S17" i="40" s="1"/>
  <c r="S10" i="40"/>
  <c r="I11" i="40"/>
  <c r="L186" i="38"/>
  <c r="L179" i="38"/>
  <c r="M130" i="41"/>
  <c r="M132" i="41" s="1"/>
  <c r="M134" i="41" s="1"/>
  <c r="M118" i="41"/>
  <c r="S186" i="38"/>
  <c r="S179" i="38"/>
  <c r="H118" i="41"/>
  <c r="H130" i="41"/>
  <c r="H132" i="41" s="1"/>
  <c r="I186" i="38"/>
  <c r="I179" i="38"/>
  <c r="J130" i="41"/>
  <c r="J132" i="41" s="1"/>
  <c r="J118" i="41"/>
  <c r="U118" i="41"/>
  <c r="U130" i="41"/>
  <c r="U132" i="41" s="1"/>
  <c r="U134" i="41" s="1"/>
  <c r="O11" i="40"/>
  <c r="F11" i="40"/>
  <c r="J11" i="40"/>
  <c r="T11" i="40"/>
  <c r="N118" i="41"/>
  <c r="N130" i="41"/>
  <c r="N132" i="41" s="1"/>
  <c r="Y310" i="41"/>
  <c r="Y321" i="41"/>
  <c r="Y326" i="41"/>
  <c r="Y299" i="41" s="1"/>
  <c r="Y312" i="41" s="1"/>
  <c r="Y311" i="41"/>
  <c r="Y330" i="41"/>
  <c r="Y302" i="41" s="1"/>
  <c r="N186" i="38"/>
  <c r="N179" i="38"/>
  <c r="Q186" i="38"/>
  <c r="Q179" i="38"/>
  <c r="Q42" i="40"/>
  <c r="Q48" i="40" s="1"/>
  <c r="P11" i="40"/>
  <c r="J186" i="38"/>
  <c r="J179" i="38"/>
  <c r="K130" i="41"/>
  <c r="K132" i="41" s="1"/>
  <c r="K134" i="41" s="1"/>
  <c r="K118" i="41"/>
  <c r="R56" i="41"/>
  <c r="R61" i="41" s="1"/>
  <c r="R62" i="41" s="1"/>
  <c r="U56" i="41"/>
  <c r="U61" i="41" s="1"/>
  <c r="U62" i="41" s="1"/>
  <c r="T56" i="41"/>
  <c r="T61" i="41" s="1"/>
  <c r="T62" i="41" s="1"/>
  <c r="V56" i="41"/>
  <c r="V61" i="41" s="1"/>
  <c r="V62" i="41" s="1"/>
  <c r="N127" i="41"/>
  <c r="N128" i="41" s="1"/>
  <c r="P186" i="38"/>
  <c r="P179" i="38"/>
  <c r="Q11" i="40"/>
  <c r="F56" i="41"/>
  <c r="F61" i="41" s="1"/>
  <c r="F62" i="41" s="1"/>
  <c r="G56" i="41"/>
  <c r="G61" i="41" s="1"/>
  <c r="G62" i="41" s="1"/>
  <c r="H56" i="41"/>
  <c r="H61" i="41" s="1"/>
  <c r="H62" i="41" s="1"/>
  <c r="J56" i="41"/>
  <c r="J61" i="41" s="1"/>
  <c r="J62" i="41" s="1"/>
  <c r="I56" i="41"/>
  <c r="N56" i="41"/>
  <c r="N61" i="41" s="1"/>
  <c r="N62" i="41" s="1"/>
  <c r="K56" i="41"/>
  <c r="K61" i="41" s="1"/>
  <c r="L56" i="41"/>
  <c r="L61" i="41" s="1"/>
  <c r="L62" i="41" s="1"/>
  <c r="P56" i="41"/>
  <c r="P61" i="41" s="1"/>
  <c r="P62" i="41" s="1"/>
  <c r="O56" i="41"/>
  <c r="O61" i="41" s="1"/>
  <c r="O62" i="41" s="1"/>
  <c r="M56" i="41"/>
  <c r="M61" i="41" s="1"/>
  <c r="M62" i="41" s="1"/>
  <c r="Z171" i="40"/>
  <c r="Z78" i="40"/>
  <c r="Z99" i="40"/>
  <c r="Z57" i="40"/>
  <c r="M186" i="38"/>
  <c r="M179" i="38"/>
  <c r="G118" i="41"/>
  <c r="G130" i="41"/>
  <c r="Z167" i="38"/>
  <c r="Z168" i="38" s="1"/>
  <c r="Y168" i="38"/>
  <c r="W362" i="38"/>
  <c r="W375" i="38" s="1"/>
  <c r="H11" i="40"/>
  <c r="W246" i="38"/>
  <c r="X235" i="38"/>
  <c r="X243" i="38" s="1"/>
  <c r="G186" i="38"/>
  <c r="G179" i="38"/>
  <c r="G127" i="41"/>
  <c r="G128" i="41" s="1"/>
  <c r="X178" i="38"/>
  <c r="X186" i="38" s="1"/>
  <c r="X181" i="38"/>
  <c r="X198" i="38" s="1"/>
  <c r="Y234" i="38"/>
  <c r="Z233" i="38"/>
  <c r="Z234" i="38" s="1"/>
  <c r="S118" i="41"/>
  <c r="S130" i="41"/>
  <c r="S132" i="41" s="1"/>
  <c r="S134" i="41" s="1"/>
  <c r="L118" i="41"/>
  <c r="L130" i="41"/>
  <c r="L132" i="41" s="1"/>
  <c r="T186" i="38"/>
  <c r="T179" i="38"/>
  <c r="K11" i="40"/>
  <c r="R11" i="40"/>
  <c r="K186" i="38"/>
  <c r="K179" i="38"/>
  <c r="L127" i="41"/>
  <c r="L128" i="41" s="1"/>
  <c r="U186" i="38"/>
  <c r="U179" i="38"/>
  <c r="Z321" i="41"/>
  <c r="Z326" i="41"/>
  <c r="Z299" i="41" s="1"/>
  <c r="Z312" i="41" s="1"/>
  <c r="Z311" i="41"/>
  <c r="Z310" i="41"/>
  <c r="Z330" i="41"/>
  <c r="Z302" i="41" s="1"/>
  <c r="O186" i="38"/>
  <c r="O179" i="38"/>
  <c r="V189" i="38"/>
  <c r="V196" i="38"/>
  <c r="F127" i="41"/>
  <c r="F128" i="41" s="1"/>
  <c r="I130" i="41"/>
  <c r="I132" i="41" s="1"/>
  <c r="I134" i="41" s="1"/>
  <c r="I118" i="41"/>
  <c r="S56" i="41"/>
  <c r="S61" i="41" s="1"/>
  <c r="S62" i="41" s="1"/>
  <c r="V118" i="41"/>
  <c r="N11" i="40"/>
  <c r="A7" i="40"/>
  <c r="H127" i="41"/>
  <c r="H128" i="41" s="1"/>
  <c r="H134" i="41" s="1"/>
  <c r="H136" i="41" s="1"/>
  <c r="R186" i="38"/>
  <c r="R179" i="38"/>
  <c r="F179" i="38"/>
  <c r="F186" i="38"/>
  <c r="Z335" i="38"/>
  <c r="F130" i="41"/>
  <c r="F118" i="41"/>
  <c r="H186" i="38"/>
  <c r="H179" i="38"/>
  <c r="J127" i="41"/>
  <c r="J128" i="41" s="1"/>
  <c r="W32" i="41"/>
  <c r="V35" i="41"/>
  <c r="X4" i="47"/>
  <c r="Y3" i="47"/>
  <c r="X5" i="47"/>
  <c r="X6" i="47"/>
  <c r="X103" i="41"/>
  <c r="W119" i="40"/>
  <c r="V120" i="40"/>
  <c r="W104" i="41"/>
  <c r="U118" i="40"/>
  <c r="U125" i="40"/>
  <c r="X65" i="40"/>
  <c r="X67" i="40" s="1"/>
  <c r="Y54" i="40"/>
  <c r="X55" i="40"/>
  <c r="X60" i="40" s="1"/>
  <c r="U40" i="41"/>
  <c r="U34" i="41"/>
  <c r="R32" i="40"/>
  <c r="R44" i="40"/>
  <c r="R46" i="40" s="1"/>
  <c r="R41" i="40"/>
  <c r="W8" i="40"/>
  <c r="V11" i="40"/>
  <c r="Y9" i="41"/>
  <c r="W413" i="38"/>
  <c r="W429" i="38"/>
  <c r="W402" i="38" s="1"/>
  <c r="W415" i="38" s="1"/>
  <c r="W433" i="38"/>
  <c r="W405" i="38" s="1"/>
  <c r="W414" i="38"/>
  <c r="W424" i="38"/>
  <c r="W61" i="40"/>
  <c r="X119" i="41"/>
  <c r="X126" i="41"/>
  <c r="T129" i="40"/>
  <c r="T117" i="40"/>
  <c r="S33" i="40"/>
  <c r="S39" i="40"/>
  <c r="R40" i="40"/>
  <c r="Z2" i="41"/>
  <c r="Z3" i="41"/>
  <c r="Z6" i="41"/>
  <c r="E27" i="28" s="1"/>
  <c r="E57" i="28" s="1"/>
  <c r="Z8" i="41"/>
  <c r="W12" i="41" s="1"/>
  <c r="Y2" i="42"/>
  <c r="X47" i="42"/>
  <c r="X1" i="42"/>
  <c r="U31" i="40"/>
  <c r="T34" i="40"/>
  <c r="W82" i="40"/>
  <c r="Z120" i="41"/>
  <c r="Z121" i="41" s="1"/>
  <c r="Y121" i="41"/>
  <c r="T126" i="40"/>
  <c r="T127" i="40" s="1"/>
  <c r="Z337" i="38"/>
  <c r="Z356" i="38" s="1"/>
  <c r="Y356" i="38"/>
  <c r="Z267" i="41"/>
  <c r="Z275" i="41"/>
  <c r="X373" i="38"/>
  <c r="X396" i="38"/>
  <c r="X374" i="38"/>
  <c r="X384" i="38"/>
  <c r="X393" i="38"/>
  <c r="X365" i="38" s="1"/>
  <c r="X390" i="38"/>
  <c r="X430" i="38" s="1"/>
  <c r="X389" i="38"/>
  <c r="W118" i="41"/>
  <c r="W130" i="41"/>
  <c r="W132" i="41" s="1"/>
  <c r="W175" i="40"/>
  <c r="W103" i="40"/>
  <c r="X66" i="41"/>
  <c r="X68" i="41" s="1"/>
  <c r="X56" i="41"/>
  <c r="X61" i="41" s="1"/>
  <c r="Y55" i="41"/>
  <c r="T33" i="41"/>
  <c r="T45" i="41"/>
  <c r="T47" i="41" s="1"/>
  <c r="T42" i="41"/>
  <c r="T41" i="41"/>
  <c r="W127" i="41"/>
  <c r="W128" i="41" s="1"/>
  <c r="Z307" i="41"/>
  <c r="Z315" i="41"/>
  <c r="X169" i="40"/>
  <c r="X174" i="40" s="1"/>
  <c r="Y168" i="40"/>
  <c r="X179" i="40"/>
  <c r="Y58" i="41"/>
  <c r="Y100" i="41"/>
  <c r="Y79" i="41"/>
  <c r="X86" i="40"/>
  <c r="Y75" i="40"/>
  <c r="X76" i="40"/>
  <c r="X81" i="40" s="1"/>
  <c r="X107" i="40"/>
  <c r="X109" i="40" s="1"/>
  <c r="Y96" i="40"/>
  <c r="X97" i="40"/>
  <c r="X102" i="40" s="1"/>
  <c r="W134" i="41" l="1"/>
  <c r="E9" i="28"/>
  <c r="Y365" i="40"/>
  <c r="L134" i="41"/>
  <c r="L135" i="41" s="1"/>
  <c r="M130" i="40"/>
  <c r="L131" i="40"/>
  <c r="L133" i="40" s="1"/>
  <c r="Y173" i="41"/>
  <c r="K134" i="40"/>
  <c r="K135" i="40"/>
  <c r="S135" i="41"/>
  <c r="S136" i="41"/>
  <c r="Q135" i="41"/>
  <c r="Q136" i="41"/>
  <c r="I61" i="41"/>
  <c r="I62" i="41" s="1"/>
  <c r="I98" i="41"/>
  <c r="I103" i="41" s="1"/>
  <c r="I104" i="41" s="1"/>
  <c r="I67" i="41"/>
  <c r="I68" i="41" s="1"/>
  <c r="N134" i="41"/>
  <c r="O135" i="41"/>
  <c r="O136" i="41"/>
  <c r="R136" i="41"/>
  <c r="R135" i="41"/>
  <c r="V136" i="41"/>
  <c r="V135" i="41"/>
  <c r="W135" i="41"/>
  <c r="W136" i="41"/>
  <c r="L136" i="41"/>
  <c r="J134" i="41"/>
  <c r="M135" i="41"/>
  <c r="M136" i="41"/>
  <c r="I136" i="41"/>
  <c r="I135" i="41"/>
  <c r="K62" i="41"/>
  <c r="K64" i="41"/>
  <c r="K70" i="41" s="1"/>
  <c r="K136" i="41"/>
  <c r="K135" i="41"/>
  <c r="U136" i="41"/>
  <c r="U135" i="41"/>
  <c r="S51" i="41"/>
  <c r="S50" i="41"/>
  <c r="Q50" i="40"/>
  <c r="Q49" i="40"/>
  <c r="Z158" i="40"/>
  <c r="Z257" i="40"/>
  <c r="Z258" i="40" s="1"/>
  <c r="V182" i="38"/>
  <c r="V188" i="38"/>
  <c r="V191" i="38"/>
  <c r="V193" i="38"/>
  <c r="V194" i="38"/>
  <c r="L16" i="40"/>
  <c r="L17" i="40" s="1"/>
  <c r="V192" i="38"/>
  <c r="V190" i="38"/>
  <c r="M16" i="40"/>
  <c r="M17" i="40" s="1"/>
  <c r="X18" i="47"/>
  <c r="X19" i="47" s="1"/>
  <c r="X8" i="47" s="1"/>
  <c r="Z232" i="41"/>
  <c r="D225" i="41"/>
  <c r="F50" i="42"/>
  <c r="H50" i="42"/>
  <c r="G50" i="42"/>
  <c r="Z322" i="38"/>
  <c r="Z327" i="38"/>
  <c r="Z316" i="38"/>
  <c r="T43" i="41"/>
  <c r="T49" i="41" s="1"/>
  <c r="R42" i="40"/>
  <c r="R48" i="40" s="1"/>
  <c r="G10" i="40"/>
  <c r="G18" i="40" s="1"/>
  <c r="U10" i="40"/>
  <c r="U21" i="40" s="1"/>
  <c r="W179" i="38"/>
  <c r="W194" i="38" s="1"/>
  <c r="S236" i="38"/>
  <c r="S241" i="38" s="1"/>
  <c r="U236" i="38"/>
  <c r="U241" i="38" s="1"/>
  <c r="Z346" i="40"/>
  <c r="Z362" i="40"/>
  <c r="Z335" i="40" s="1"/>
  <c r="Z348" i="40" s="1"/>
  <c r="Z357" i="40"/>
  <c r="Z366" i="40"/>
  <c r="Z338" i="40" s="1"/>
  <c r="Z347" i="40"/>
  <c r="X175" i="38"/>
  <c r="X176" i="38" s="1"/>
  <c r="Y295" i="40"/>
  <c r="Y308" i="40" s="1"/>
  <c r="Z295" i="40"/>
  <c r="Z308" i="40" s="1"/>
  <c r="Y357" i="40"/>
  <c r="Y347" i="40"/>
  <c r="Y346" i="40"/>
  <c r="Y362" i="40"/>
  <c r="Y335" i="40" s="1"/>
  <c r="Y348" i="40" s="1"/>
  <c r="Y366" i="40"/>
  <c r="Y338" i="40" s="1"/>
  <c r="U77" i="41"/>
  <c r="U82" i="41" s="1"/>
  <c r="U83" i="41" s="1"/>
  <c r="M77" i="41"/>
  <c r="M82" i="41" s="1"/>
  <c r="J77" i="41"/>
  <c r="J82" i="41" s="1"/>
  <c r="Q77" i="41"/>
  <c r="Q82" i="41" s="1"/>
  <c r="F82" i="41"/>
  <c r="O77" i="41"/>
  <c r="O82" i="41" s="1"/>
  <c r="H77" i="41"/>
  <c r="H82" i="41" s="1"/>
  <c r="N77" i="41"/>
  <c r="N82" i="41" s="1"/>
  <c r="I77" i="41"/>
  <c r="I82" i="41" s="1"/>
  <c r="T77" i="41"/>
  <c r="T82" i="41" s="1"/>
  <c r="T83" i="41" s="1"/>
  <c r="G77" i="41"/>
  <c r="G82" i="41" s="1"/>
  <c r="P77" i="41"/>
  <c r="P82" i="41" s="1"/>
  <c r="K77" i="41"/>
  <c r="K82" i="41" s="1"/>
  <c r="S77" i="41"/>
  <c r="S82" i="41" s="1"/>
  <c r="L77" i="41"/>
  <c r="L82" i="41" s="1"/>
  <c r="R77" i="41"/>
  <c r="R82" i="41" s="1"/>
  <c r="K37" i="28"/>
  <c r="X77" i="41"/>
  <c r="X82" i="41" s="1"/>
  <c r="X83" i="41" s="1"/>
  <c r="Y274" i="41"/>
  <c r="Y289" i="41"/>
  <c r="X169" i="41"/>
  <c r="Z76" i="41"/>
  <c r="Y77" i="41"/>
  <c r="Y82" i="41" s="1"/>
  <c r="Y83" i="41" s="1"/>
  <c r="Y87" i="41"/>
  <c r="Y157" i="41"/>
  <c r="Y159" i="41" s="1"/>
  <c r="W77" i="41"/>
  <c r="W82" i="41" s="1"/>
  <c r="W83" i="41" s="1"/>
  <c r="Z272" i="38"/>
  <c r="Z432" i="38" s="1"/>
  <c r="Z324" i="38"/>
  <c r="Z325" i="38" s="1"/>
  <c r="V77" i="41"/>
  <c r="V82" i="41" s="1"/>
  <c r="V83" i="41" s="1"/>
  <c r="Y273" i="41"/>
  <c r="Y288" i="41"/>
  <c r="Z171" i="41"/>
  <c r="Z158" i="41"/>
  <c r="Z261" i="41"/>
  <c r="Z166" i="41"/>
  <c r="Z246" i="41"/>
  <c r="Z300" i="41"/>
  <c r="Z301" i="41"/>
  <c r="Z314" i="41" s="1"/>
  <c r="Z168" i="41"/>
  <c r="Z142" i="41"/>
  <c r="Z150" i="41" s="1"/>
  <c r="Z260" i="41"/>
  <c r="Z155" i="41"/>
  <c r="Z156" i="41"/>
  <c r="Z162" i="41"/>
  <c r="Q236" i="38"/>
  <c r="Q241" i="38" s="1"/>
  <c r="Y328" i="41"/>
  <c r="Y313" i="41"/>
  <c r="Y167" i="41"/>
  <c r="Y170" i="38"/>
  <c r="Y172" i="38" s="1"/>
  <c r="Y174" i="38"/>
  <c r="Y238" i="38"/>
  <c r="Z205" i="40"/>
  <c r="P10" i="40"/>
  <c r="P16" i="40"/>
  <c r="J16" i="40"/>
  <c r="J17" i="40" s="1"/>
  <c r="J10" i="40"/>
  <c r="L190" i="38"/>
  <c r="L191" i="38"/>
  <c r="L192" i="38"/>
  <c r="L204" i="38"/>
  <c r="L193" i="38"/>
  <c r="L194" i="38"/>
  <c r="L182" i="38"/>
  <c r="L196" i="38"/>
  <c r="L188" i="38"/>
  <c r="L189" i="38"/>
  <c r="K192" i="38"/>
  <c r="K189" i="38"/>
  <c r="K182" i="38"/>
  <c r="K204" i="38"/>
  <c r="K196" i="38"/>
  <c r="K191" i="38"/>
  <c r="K193" i="38"/>
  <c r="K188" i="38"/>
  <c r="K194" i="38"/>
  <c r="K190" i="38"/>
  <c r="L21" i="40"/>
  <c r="L23" i="40" s="1"/>
  <c r="L18" i="40"/>
  <c r="L19" i="40" s="1"/>
  <c r="H10" i="40"/>
  <c r="H16" i="40"/>
  <c r="H17" i="40" s="1"/>
  <c r="F10" i="40"/>
  <c r="F16" i="40"/>
  <c r="J194" i="38"/>
  <c r="J191" i="38"/>
  <c r="J189" i="38"/>
  <c r="J182" i="38"/>
  <c r="J188" i="38"/>
  <c r="J190" i="38"/>
  <c r="J196" i="38"/>
  <c r="J193" i="38"/>
  <c r="J192" i="38"/>
  <c r="J204" i="38"/>
  <c r="Q204" i="38"/>
  <c r="Q191" i="38"/>
  <c r="Q190" i="38"/>
  <c r="Q192" i="38"/>
  <c r="Q194" i="38"/>
  <c r="Q189" i="38"/>
  <c r="Q188" i="38"/>
  <c r="Q196" i="38"/>
  <c r="Q182" i="38"/>
  <c r="Q193" i="38"/>
  <c r="O10" i="40"/>
  <c r="O16" i="40"/>
  <c r="M18" i="40"/>
  <c r="M21" i="40"/>
  <c r="M23" i="40" s="1"/>
  <c r="M9" i="40"/>
  <c r="G17" i="40"/>
  <c r="S192" i="38"/>
  <c r="S190" i="38"/>
  <c r="S188" i="38"/>
  <c r="S194" i="38"/>
  <c r="S182" i="38"/>
  <c r="S204" i="38"/>
  <c r="S191" i="38"/>
  <c r="S193" i="38"/>
  <c r="S189" i="38"/>
  <c r="S196" i="38"/>
  <c r="I10" i="40"/>
  <c r="I16" i="40"/>
  <c r="I17" i="40" s="1"/>
  <c r="N16" i="40"/>
  <c r="N10" i="40"/>
  <c r="U191" i="38"/>
  <c r="U193" i="38"/>
  <c r="U190" i="38"/>
  <c r="U204" i="38"/>
  <c r="U188" i="38"/>
  <c r="U194" i="38"/>
  <c r="U192" i="38"/>
  <c r="U189" i="38"/>
  <c r="U182" i="38"/>
  <c r="U196" i="38"/>
  <c r="R16" i="40"/>
  <c r="R17" i="40" s="1"/>
  <c r="R10" i="40"/>
  <c r="S9" i="40" s="1"/>
  <c r="Q10" i="40"/>
  <c r="Q16" i="40"/>
  <c r="S18" i="40"/>
  <c r="S19" i="40" s="1"/>
  <c r="S21" i="40"/>
  <c r="F189" i="38"/>
  <c r="F190" i="38"/>
  <c r="F193" i="38"/>
  <c r="F191" i="38"/>
  <c r="F194" i="38"/>
  <c r="F196" i="38"/>
  <c r="F182" i="38"/>
  <c r="F204" i="38"/>
  <c r="F188" i="38"/>
  <c r="F192" i="38"/>
  <c r="K16" i="40"/>
  <c r="K17" i="40" s="1"/>
  <c r="K10" i="40"/>
  <c r="F236" i="38"/>
  <c r="F241" i="38" s="1"/>
  <c r="F242" i="38" s="1"/>
  <c r="I236" i="38"/>
  <c r="I247" i="38" s="1"/>
  <c r="I248" i="38" s="1"/>
  <c r="G236" i="38"/>
  <c r="G241" i="38" s="1"/>
  <c r="G242" i="38" s="1"/>
  <c r="H236" i="38"/>
  <c r="H241" i="38" s="1"/>
  <c r="H242" i="38" s="1"/>
  <c r="J236" i="38"/>
  <c r="L236" i="38"/>
  <c r="L241" i="38" s="1"/>
  <c r="K236" i="38"/>
  <c r="K241" i="38" s="1"/>
  <c r="K242" i="38" s="1"/>
  <c r="M236" i="38"/>
  <c r="M241" i="38" s="1"/>
  <c r="N236" i="38"/>
  <c r="N241" i="38" s="1"/>
  <c r="O236" i="38"/>
  <c r="O241" i="38" s="1"/>
  <c r="P236" i="38"/>
  <c r="P241" i="38" s="1"/>
  <c r="R236" i="38"/>
  <c r="R241" i="38" s="1"/>
  <c r="X246" i="38"/>
  <c r="X236" i="38"/>
  <c r="X241" i="38" s="1"/>
  <c r="Y235" i="38"/>
  <c r="Y243" i="38" s="1"/>
  <c r="Y181" i="38"/>
  <c r="Y198" i="38" s="1"/>
  <c r="Y178" i="38"/>
  <c r="M204" i="38"/>
  <c r="M188" i="38"/>
  <c r="M182" i="38"/>
  <c r="M190" i="38"/>
  <c r="M189" i="38"/>
  <c r="M192" i="38"/>
  <c r="M196" i="38"/>
  <c r="M194" i="38"/>
  <c r="M193" i="38"/>
  <c r="M191" i="38"/>
  <c r="P192" i="38"/>
  <c r="P182" i="38"/>
  <c r="P188" i="38"/>
  <c r="P196" i="38"/>
  <c r="P191" i="38"/>
  <c r="P194" i="38"/>
  <c r="P189" i="38"/>
  <c r="P190" i="38"/>
  <c r="P193" i="38"/>
  <c r="P204" i="38"/>
  <c r="N190" i="38"/>
  <c r="N204" i="38"/>
  <c r="N192" i="38"/>
  <c r="N189" i="38"/>
  <c r="N188" i="38"/>
  <c r="N194" i="38"/>
  <c r="N191" i="38"/>
  <c r="N182" i="38"/>
  <c r="N193" i="38"/>
  <c r="N196" i="38"/>
  <c r="H182" i="38"/>
  <c r="H191" i="38"/>
  <c r="H196" i="38"/>
  <c r="H193" i="38"/>
  <c r="H188" i="38"/>
  <c r="H189" i="38"/>
  <c r="H190" i="38"/>
  <c r="H194" i="38"/>
  <c r="H192" i="38"/>
  <c r="H204" i="38"/>
  <c r="R191" i="38"/>
  <c r="R196" i="38"/>
  <c r="R204" i="38"/>
  <c r="R192" i="38"/>
  <c r="R190" i="38"/>
  <c r="R188" i="38"/>
  <c r="R189" i="38"/>
  <c r="R193" i="38"/>
  <c r="R182" i="38"/>
  <c r="R194" i="38"/>
  <c r="O189" i="38"/>
  <c r="O191" i="38"/>
  <c r="O196" i="38"/>
  <c r="O194" i="38"/>
  <c r="O193" i="38"/>
  <c r="O182" i="38"/>
  <c r="O204" i="38"/>
  <c r="O188" i="38"/>
  <c r="O192" i="38"/>
  <c r="O190" i="38"/>
  <c r="T192" i="38"/>
  <c r="T204" i="38"/>
  <c r="T188" i="38"/>
  <c r="T196" i="38"/>
  <c r="T189" i="38"/>
  <c r="T193" i="38"/>
  <c r="T191" i="38"/>
  <c r="T190" i="38"/>
  <c r="T182" i="38"/>
  <c r="T194" i="38"/>
  <c r="T236" i="38"/>
  <c r="T241" i="38" s="1"/>
  <c r="V236" i="38"/>
  <c r="V241" i="38" s="1"/>
  <c r="G204" i="38"/>
  <c r="G191" i="38"/>
  <c r="G193" i="38"/>
  <c r="G189" i="38"/>
  <c r="G196" i="38"/>
  <c r="G190" i="38"/>
  <c r="G182" i="38"/>
  <c r="G192" i="38"/>
  <c r="G194" i="38"/>
  <c r="G188" i="38"/>
  <c r="W236" i="38"/>
  <c r="W241" i="38" s="1"/>
  <c r="Z181" i="38"/>
  <c r="Z198" i="38" s="1"/>
  <c r="Z178" i="38"/>
  <c r="Z186" i="38" s="1"/>
  <c r="T16" i="40"/>
  <c r="T17" i="40" s="1"/>
  <c r="T10" i="40"/>
  <c r="I193" i="38"/>
  <c r="I196" i="38"/>
  <c r="I190" i="38"/>
  <c r="I191" i="38"/>
  <c r="I182" i="38"/>
  <c r="I188" i="38"/>
  <c r="I192" i="38"/>
  <c r="I194" i="38"/>
  <c r="I204" i="38"/>
  <c r="I189" i="38"/>
  <c r="X175" i="40"/>
  <c r="Y66" i="41"/>
  <c r="Y68" i="41" s="1"/>
  <c r="Z55" i="41"/>
  <c r="Y56" i="41"/>
  <c r="Y61" i="41" s="1"/>
  <c r="Y390" i="38"/>
  <c r="Y430" i="38" s="1"/>
  <c r="Y373" i="38"/>
  <c r="Y396" i="38"/>
  <c r="Y374" i="38"/>
  <c r="Y389" i="38"/>
  <c r="Y393" i="38"/>
  <c r="Y365" i="38" s="1"/>
  <c r="Y384" i="38"/>
  <c r="S40" i="40"/>
  <c r="F32" i="28"/>
  <c r="U41" i="41"/>
  <c r="H40" i="28"/>
  <c r="Y126" i="41"/>
  <c r="Y119" i="41"/>
  <c r="U117" i="40"/>
  <c r="U129" i="40"/>
  <c r="X103" i="40"/>
  <c r="X62" i="41"/>
  <c r="Z393" i="38"/>
  <c r="Z389" i="38"/>
  <c r="Z396" i="38"/>
  <c r="Z373" i="38"/>
  <c r="Z390" i="38"/>
  <c r="Z430" i="38" s="1"/>
  <c r="Z374" i="38"/>
  <c r="Z384" i="38"/>
  <c r="F12" i="41"/>
  <c r="H12" i="41"/>
  <c r="I12" i="41"/>
  <c r="I17" i="41" s="1"/>
  <c r="G12" i="41"/>
  <c r="K12" i="41"/>
  <c r="J12" i="41"/>
  <c r="A8" i="41"/>
  <c r="N12" i="41"/>
  <c r="L12" i="41"/>
  <c r="M12" i="41"/>
  <c r="P12" i="41"/>
  <c r="O12" i="41"/>
  <c r="R12" i="41"/>
  <c r="Q12" i="41"/>
  <c r="T12" i="41"/>
  <c r="U12" i="41"/>
  <c r="S12" i="41"/>
  <c r="S32" i="40"/>
  <c r="S44" i="40"/>
  <c r="S46" i="40" s="1"/>
  <c r="S41" i="40"/>
  <c r="V125" i="40"/>
  <c r="V118" i="40"/>
  <c r="Y4" i="47"/>
  <c r="Z3" i="47"/>
  <c r="Y5" i="47"/>
  <c r="Y6" i="47"/>
  <c r="W11" i="41"/>
  <c r="W17" i="41"/>
  <c r="X414" i="38"/>
  <c r="X429" i="38"/>
  <c r="X402" i="38" s="1"/>
  <c r="X415" i="38" s="1"/>
  <c r="X424" i="38"/>
  <c r="X413" i="38"/>
  <c r="X433" i="38"/>
  <c r="X405" i="38" s="1"/>
  <c r="T39" i="40"/>
  <c r="T33" i="40"/>
  <c r="G78" i="28"/>
  <c r="D35" i="28"/>
  <c r="X61" i="40"/>
  <c r="X119" i="40"/>
  <c r="W120" i="40"/>
  <c r="U45" i="41"/>
  <c r="U47" i="41" s="1"/>
  <c r="U33" i="41"/>
  <c r="U42" i="41"/>
  <c r="Z96" i="40"/>
  <c r="Y97" i="40"/>
  <c r="Y102" i="40" s="1"/>
  <c r="Y107" i="40"/>
  <c r="Y109" i="40" s="1"/>
  <c r="V31" i="40"/>
  <c r="U34" i="40"/>
  <c r="H95" i="28"/>
  <c r="X127" i="41"/>
  <c r="X128" i="41" s="1"/>
  <c r="X12" i="41"/>
  <c r="J41" i="28"/>
  <c r="Y65" i="40"/>
  <c r="Y67" i="40" s="1"/>
  <c r="Y55" i="40"/>
  <c r="Y60" i="40" s="1"/>
  <c r="Z54" i="40"/>
  <c r="U17" i="40"/>
  <c r="X82" i="40"/>
  <c r="N39" i="28"/>
  <c r="Z79" i="41"/>
  <c r="Z100" i="41"/>
  <c r="Z58" i="41"/>
  <c r="X118" i="41"/>
  <c r="X130" i="41"/>
  <c r="X132" i="41" s="1"/>
  <c r="Z9" i="41"/>
  <c r="Z12" i="41" s="1"/>
  <c r="Y12" i="41"/>
  <c r="V16" i="40"/>
  <c r="V10" i="40"/>
  <c r="V12" i="41"/>
  <c r="X104" i="41"/>
  <c r="V34" i="41"/>
  <c r="V40" i="41"/>
  <c r="U126" i="40"/>
  <c r="U127" i="40" s="1"/>
  <c r="Z168" i="40"/>
  <c r="Y169" i="40"/>
  <c r="Y174" i="40" s="1"/>
  <c r="Y179" i="40"/>
  <c r="Z126" i="41"/>
  <c r="Z119" i="41"/>
  <c r="Y86" i="40"/>
  <c r="Z75" i="40"/>
  <c r="Y76" i="40"/>
  <c r="Y81" i="40" s="1"/>
  <c r="X362" i="38"/>
  <c r="X375" i="38" s="1"/>
  <c r="Z2" i="42"/>
  <c r="Y47" i="42"/>
  <c r="Y1" i="42"/>
  <c r="J35" i="28"/>
  <c r="G40" i="28"/>
  <c r="W11" i="40"/>
  <c r="X8" i="40"/>
  <c r="K88" i="28"/>
  <c r="K102" i="28" s="1"/>
  <c r="Y103" i="41"/>
  <c r="X32" i="41"/>
  <c r="W35" i="41"/>
  <c r="N130" i="40" l="1"/>
  <c r="M131" i="40"/>
  <c r="M133" i="40" s="1"/>
  <c r="M19" i="40"/>
  <c r="M25" i="40" s="1"/>
  <c r="Z365" i="40"/>
  <c r="J241" i="38"/>
  <c r="J242" i="38" s="1"/>
  <c r="J247" i="38"/>
  <c r="Z173" i="41"/>
  <c r="L135" i="40"/>
  <c r="L134" i="40"/>
  <c r="N136" i="41"/>
  <c r="N135" i="41"/>
  <c r="J136" i="41"/>
  <c r="J135" i="41"/>
  <c r="X134" i="41"/>
  <c r="K72" i="41"/>
  <c r="K71" i="41"/>
  <c r="R50" i="40"/>
  <c r="R49" i="40"/>
  <c r="L25" i="40"/>
  <c r="M26" i="40"/>
  <c r="M27" i="40"/>
  <c r="T50" i="41"/>
  <c r="T51" i="41"/>
  <c r="P242" i="38"/>
  <c r="P244" i="38" s="1"/>
  <c r="X242" i="38"/>
  <c r="X244" i="38" s="1"/>
  <c r="O242" i="38"/>
  <c r="O244" i="38" s="1"/>
  <c r="L242" i="38"/>
  <c r="L244" i="38" s="1"/>
  <c r="I241" i="38"/>
  <c r="I242" i="38" s="1"/>
  <c r="U242" i="38"/>
  <c r="U244" i="38" s="1"/>
  <c r="V242" i="38"/>
  <c r="V244" i="38" s="1"/>
  <c r="N242" i="38"/>
  <c r="N244" i="38" s="1"/>
  <c r="Q242" i="38"/>
  <c r="Q244" i="38" s="1"/>
  <c r="S242" i="38"/>
  <c r="S244" i="38" s="1"/>
  <c r="W242" i="38"/>
  <c r="W244" i="38" s="1"/>
  <c r="T242" i="38"/>
  <c r="T244" i="38" s="1"/>
  <c r="R242" i="38"/>
  <c r="R244" i="38" s="1"/>
  <c r="M242" i="38"/>
  <c r="M244" i="38" s="1"/>
  <c r="W193" i="38"/>
  <c r="W182" i="38"/>
  <c r="W192" i="38"/>
  <c r="W190" i="38"/>
  <c r="W188" i="38"/>
  <c r="W196" i="38"/>
  <c r="W189" i="38"/>
  <c r="W204" i="38"/>
  <c r="W191" i="38"/>
  <c r="Y18" i="47"/>
  <c r="Y19" i="47" s="1"/>
  <c r="Y8" i="47" s="1"/>
  <c r="U18" i="40"/>
  <c r="U9" i="40"/>
  <c r="G44" i="28"/>
  <c r="U43" i="41"/>
  <c r="U49" i="41" s="1"/>
  <c r="L47" i="28"/>
  <c r="E99" i="28"/>
  <c r="M35" i="28"/>
  <c r="L38" i="28"/>
  <c r="L88" i="28"/>
  <c r="L102" i="28" s="1"/>
  <c r="G21" i="40"/>
  <c r="G9" i="40"/>
  <c r="L95" i="28"/>
  <c r="E41" i="28"/>
  <c r="M42" i="28"/>
  <c r="I97" i="28"/>
  <c r="N88" i="28"/>
  <c r="N102" i="28" s="1"/>
  <c r="N51" i="28"/>
  <c r="N60" i="28" s="1"/>
  <c r="J38" i="28"/>
  <c r="J98" i="28"/>
  <c r="H98" i="28"/>
  <c r="H45" i="28"/>
  <c r="F87" i="28"/>
  <c r="F101" i="28" s="1"/>
  <c r="N38" i="28"/>
  <c r="I98" i="28"/>
  <c r="D56" i="28"/>
  <c r="M45" i="28"/>
  <c r="L44" i="28"/>
  <c r="H97" i="28"/>
  <c r="F78" i="28"/>
  <c r="I78" i="28"/>
  <c r="I99" i="28"/>
  <c r="I35" i="28"/>
  <c r="L40" i="28"/>
  <c r="D37" i="28"/>
  <c r="F35" i="28"/>
  <c r="J99" i="28"/>
  <c r="G38" i="28"/>
  <c r="J32" i="28"/>
  <c r="D46" i="28"/>
  <c r="J46" i="28"/>
  <c r="E92" i="28"/>
  <c r="K46" i="28"/>
  <c r="L87" i="28"/>
  <c r="L101" i="28" s="1"/>
  <c r="H37" i="28"/>
  <c r="G98" i="28"/>
  <c r="I42" i="28"/>
  <c r="I95" i="28"/>
  <c r="G87" i="28"/>
  <c r="G101" i="28" s="1"/>
  <c r="N45" i="28"/>
  <c r="G95" i="28"/>
  <c r="J45" i="28"/>
  <c r="H41" i="28"/>
  <c r="N47" i="28"/>
  <c r="D32" i="28"/>
  <c r="M47" i="28"/>
  <c r="E40" i="28"/>
  <c r="N87" i="28"/>
  <c r="N101" i="28" s="1"/>
  <c r="N78" i="28"/>
  <c r="E46" i="28"/>
  <c r="M39" i="28"/>
  <c r="G42" i="28"/>
  <c r="F39" i="28"/>
  <c r="I44" i="28"/>
  <c r="N23" i="28"/>
  <c r="E39" i="28"/>
  <c r="D42" i="28"/>
  <c r="N35" i="28"/>
  <c r="I32" i="28"/>
  <c r="M40" i="28"/>
  <c r="J87" i="28"/>
  <c r="J101" i="28" s="1"/>
  <c r="J92" i="28"/>
  <c r="E37" i="28"/>
  <c r="M23" i="28"/>
  <c r="I87" i="28"/>
  <c r="I101" i="28" s="1"/>
  <c r="E32" i="28"/>
  <c r="E42" i="28"/>
  <c r="N98" i="28"/>
  <c r="H46" i="28"/>
  <c r="K95" i="28"/>
  <c r="G37" i="28"/>
  <c r="F57" i="28"/>
  <c r="H78" i="28"/>
  <c r="G41" i="28"/>
  <c r="M87" i="28"/>
  <c r="M101" i="28" s="1"/>
  <c r="K99" i="28"/>
  <c r="M78" i="28"/>
  <c r="G19" i="40"/>
  <c r="Y169" i="41"/>
  <c r="X179" i="38"/>
  <c r="X185" i="38"/>
  <c r="Z167" i="41"/>
  <c r="Z169" i="41" s="1"/>
  <c r="R83" i="41"/>
  <c r="N83" i="41"/>
  <c r="Z274" i="41"/>
  <c r="Z289" i="41"/>
  <c r="L83" i="41"/>
  <c r="H83" i="41"/>
  <c r="Y175" i="38"/>
  <c r="Y176" i="38" s="1"/>
  <c r="Y185" i="38" s="1"/>
  <c r="S83" i="41"/>
  <c r="O83" i="41"/>
  <c r="Z87" i="41"/>
  <c r="Z77" i="41"/>
  <c r="Z82" i="41" s="1"/>
  <c r="Z83" i="41" s="1"/>
  <c r="K83" i="41"/>
  <c r="F83" i="41"/>
  <c r="Z170" i="38"/>
  <c r="Z172" i="38" s="1"/>
  <c r="Z238" i="38"/>
  <c r="Z174" i="38"/>
  <c r="P83" i="41"/>
  <c r="Q83" i="41"/>
  <c r="Z157" i="41"/>
  <c r="Z159" i="41" s="1"/>
  <c r="M97" i="28"/>
  <c r="G46" i="28"/>
  <c r="I38" i="28"/>
  <c r="N99" i="28"/>
  <c r="L32" i="28"/>
  <c r="F42" i="28"/>
  <c r="F88" i="28"/>
  <c r="F102" i="28" s="1"/>
  <c r="J42" i="28"/>
  <c r="G39" i="28"/>
  <c r="H88" i="28"/>
  <c r="H102" i="28" s="1"/>
  <c r="D40" i="28"/>
  <c r="E88" i="28"/>
  <c r="E102" i="28" s="1"/>
  <c r="F97" i="28"/>
  <c r="M95" i="28"/>
  <c r="D41" i="28"/>
  <c r="L46" i="28"/>
  <c r="L97" i="28"/>
  <c r="I40" i="28"/>
  <c r="K39" i="28"/>
  <c r="L39" i="28"/>
  <c r="J40" i="28"/>
  <c r="M99" i="28"/>
  <c r="F99" i="28"/>
  <c r="E98" i="28"/>
  <c r="K44" i="28"/>
  <c r="H35" i="28"/>
  <c r="J95" i="28"/>
  <c r="M51" i="28"/>
  <c r="M60" i="28" s="1"/>
  <c r="K78" i="28"/>
  <c r="H42" i="28"/>
  <c r="D44" i="28"/>
  <c r="L99" i="28"/>
  <c r="H39" i="28"/>
  <c r="M44" i="28"/>
  <c r="E97" i="28"/>
  <c r="I88" i="28"/>
  <c r="I102" i="28" s="1"/>
  <c r="K42" i="28"/>
  <c r="J39" i="28"/>
  <c r="M41" i="28"/>
  <c r="F38" i="28"/>
  <c r="M88" i="28"/>
  <c r="M102" i="28" s="1"/>
  <c r="N32" i="28"/>
  <c r="N42" i="28"/>
  <c r="K97" i="28"/>
  <c r="J78" i="28"/>
  <c r="L98" i="28"/>
  <c r="I41" i="28"/>
  <c r="N97" i="28"/>
  <c r="N41" i="28"/>
  <c r="M92" i="28"/>
  <c r="J88" i="28"/>
  <c r="J102" i="28" s="1"/>
  <c r="K92" i="28"/>
  <c r="M32" i="28"/>
  <c r="E95" i="28"/>
  <c r="E44" i="28"/>
  <c r="D57" i="28"/>
  <c r="K47" i="28"/>
  <c r="N37" i="28"/>
  <c r="H32" i="28"/>
  <c r="L42" i="28"/>
  <c r="I39" i="28"/>
  <c r="M46" i="28"/>
  <c r="K51" i="28"/>
  <c r="K60" i="28" s="1"/>
  <c r="K87" i="28"/>
  <c r="K101" i="28" s="1"/>
  <c r="L78" i="28"/>
  <c r="J97" i="28"/>
  <c r="D39" i="28"/>
  <c r="G35" i="28"/>
  <c r="I92" i="28"/>
  <c r="F44" i="28"/>
  <c r="N44" i="28"/>
  <c r="L92" i="28"/>
  <c r="G57" i="28"/>
  <c r="E78" i="28"/>
  <c r="E35" i="28"/>
  <c r="G32" i="28"/>
  <c r="K32" i="28"/>
  <c r="E38" i="28"/>
  <c r="I46" i="28"/>
  <c r="M98" i="28"/>
  <c r="I37" i="28"/>
  <c r="I45" i="28"/>
  <c r="F37" i="28"/>
  <c r="N92" i="28"/>
  <c r="N95" i="28"/>
  <c r="H38" i="28"/>
  <c r="G45" i="28"/>
  <c r="F46" i="28"/>
  <c r="F95" i="28"/>
  <c r="K98" i="28"/>
  <c r="G88" i="28"/>
  <c r="G102" i="28" s="1"/>
  <c r="K45" i="28"/>
  <c r="K41" i="28"/>
  <c r="F45" i="28"/>
  <c r="D45" i="28"/>
  <c r="L35" i="28"/>
  <c r="L41" i="28"/>
  <c r="L37" i="28"/>
  <c r="N40" i="28"/>
  <c r="F92" i="28"/>
  <c r="M38" i="28"/>
  <c r="L51" i="28"/>
  <c r="L60" i="28" s="1"/>
  <c r="K40" i="28"/>
  <c r="F98" i="28"/>
  <c r="M37" i="28"/>
  <c r="J44" i="28"/>
  <c r="D38" i="28"/>
  <c r="L45" i="28"/>
  <c r="K38" i="28"/>
  <c r="J37" i="28"/>
  <c r="F40" i="28"/>
  <c r="H87" i="28"/>
  <c r="H101" i="28" s="1"/>
  <c r="K35" i="28"/>
  <c r="E45" i="28"/>
  <c r="E87" i="28"/>
  <c r="E101" i="28" s="1"/>
  <c r="N46" i="28"/>
  <c r="H44" i="28"/>
  <c r="F41" i="28"/>
  <c r="G97" i="28"/>
  <c r="G83" i="41"/>
  <c r="J83" i="41"/>
  <c r="Z288" i="41"/>
  <c r="Z273" i="41"/>
  <c r="Z328" i="41"/>
  <c r="Z313" i="41"/>
  <c r="M83" i="41"/>
  <c r="U19" i="40"/>
  <c r="I83" i="41"/>
  <c r="Y186" i="38"/>
  <c r="Q17" i="40"/>
  <c r="O17" i="40"/>
  <c r="P17" i="40"/>
  <c r="Q21" i="40"/>
  <c r="Q9" i="40"/>
  <c r="Q18" i="40"/>
  <c r="I21" i="40"/>
  <c r="I23" i="40" s="1"/>
  <c r="I18" i="40"/>
  <c r="I19" i="40" s="1"/>
  <c r="I9" i="40"/>
  <c r="O21" i="40"/>
  <c r="O9" i="40"/>
  <c r="O18" i="40"/>
  <c r="H9" i="40"/>
  <c r="H18" i="40"/>
  <c r="H19" i="40" s="1"/>
  <c r="H21" i="40"/>
  <c r="P9" i="40"/>
  <c r="P18" i="40"/>
  <c r="P21" i="40"/>
  <c r="Y246" i="38"/>
  <c r="Y236" i="38"/>
  <c r="Y241" i="38" s="1"/>
  <c r="Y242" i="38" s="1"/>
  <c r="Z235" i="38"/>
  <c r="Z243" i="38" s="1"/>
  <c r="K9" i="40"/>
  <c r="K21" i="40"/>
  <c r="K23" i="40" s="1"/>
  <c r="K18" i="40"/>
  <c r="K19" i="40" s="1"/>
  <c r="F17" i="40"/>
  <c r="N9" i="40"/>
  <c r="N18" i="40"/>
  <c r="N21" i="40"/>
  <c r="F18" i="40"/>
  <c r="F9" i="40"/>
  <c r="F21" i="40"/>
  <c r="L9" i="40"/>
  <c r="N17" i="40"/>
  <c r="R21" i="40"/>
  <c r="R18" i="40"/>
  <c r="R19" i="40" s="1"/>
  <c r="R9" i="40"/>
  <c r="T21" i="40"/>
  <c r="T18" i="40"/>
  <c r="T19" i="40" s="1"/>
  <c r="T9" i="40"/>
  <c r="J18" i="40"/>
  <c r="J19" i="40" s="1"/>
  <c r="J21" i="40"/>
  <c r="J23" i="40" s="1"/>
  <c r="J9" i="40"/>
  <c r="S42" i="40"/>
  <c r="S48" i="40" s="1"/>
  <c r="W18" i="41"/>
  <c r="U17" i="41"/>
  <c r="U11" i="41"/>
  <c r="N17" i="41"/>
  <c r="N11" i="41"/>
  <c r="Y62" i="41"/>
  <c r="Z107" i="40"/>
  <c r="Z109" i="40" s="1"/>
  <c r="Z97" i="40"/>
  <c r="Z102" i="40" s="1"/>
  <c r="Z127" i="41"/>
  <c r="Z128" i="41" s="1"/>
  <c r="U33" i="40"/>
  <c r="U39" i="40"/>
  <c r="T41" i="40"/>
  <c r="T44" i="40"/>
  <c r="T46" i="40" s="1"/>
  <c r="T32" i="40"/>
  <c r="W19" i="41"/>
  <c r="W22" i="41"/>
  <c r="W24" i="41" s="1"/>
  <c r="T11" i="41"/>
  <c r="T17" i="41"/>
  <c r="Z424" i="38"/>
  <c r="Z433" i="38"/>
  <c r="Z414" i="38"/>
  <c r="Z413" i="38"/>
  <c r="Z429" i="38"/>
  <c r="Z402" i="38" s="1"/>
  <c r="Z415" i="38" s="1"/>
  <c r="Z56" i="41"/>
  <c r="Z61" i="41" s="1"/>
  <c r="Z66" i="41"/>
  <c r="Z68" i="41" s="1"/>
  <c r="X11" i="41"/>
  <c r="X17" i="41"/>
  <c r="W31" i="40"/>
  <c r="V34" i="40"/>
  <c r="W125" i="40"/>
  <c r="W118" i="40"/>
  <c r="T40" i="40"/>
  <c r="Q17" i="41"/>
  <c r="Q11" i="41"/>
  <c r="J17" i="41"/>
  <c r="J11" i="41"/>
  <c r="Z362" i="38"/>
  <c r="Z375" i="38" s="1"/>
  <c r="Y118" i="41"/>
  <c r="Y130" i="41"/>
  <c r="Y132" i="41" s="1"/>
  <c r="Y134" i="41" s="1"/>
  <c r="S17" i="41"/>
  <c r="S11" i="41"/>
  <c r="Z130" i="41"/>
  <c r="Z132" i="41" s="1"/>
  <c r="Z118" i="41"/>
  <c r="Y104" i="41"/>
  <c r="Y82" i="40"/>
  <c r="Y8" i="40"/>
  <c r="X11" i="40"/>
  <c r="Z47" i="42"/>
  <c r="Z1" i="42"/>
  <c r="Z76" i="40"/>
  <c r="Z81" i="40" s="1"/>
  <c r="Z86" i="40"/>
  <c r="Y11" i="41"/>
  <c r="Y17" i="41"/>
  <c r="Y119" i="40"/>
  <c r="X120" i="40"/>
  <c r="AA3" i="47"/>
  <c r="Z5" i="47"/>
  <c r="Z6" i="47"/>
  <c r="Z4" i="47"/>
  <c r="R17" i="41"/>
  <c r="R11" i="41"/>
  <c r="K11" i="41"/>
  <c r="K17" i="41"/>
  <c r="Z365" i="38"/>
  <c r="Y127" i="41"/>
  <c r="Y128" i="41" s="1"/>
  <c r="Y362" i="38"/>
  <c r="Y375" i="38" s="1"/>
  <c r="Z103" i="41"/>
  <c r="V17" i="41"/>
  <c r="V11" i="41"/>
  <c r="W10" i="41" s="1"/>
  <c r="W10" i="40"/>
  <c r="W16" i="40"/>
  <c r="Z17" i="41"/>
  <c r="Z11" i="41"/>
  <c r="V129" i="40"/>
  <c r="V117" i="40"/>
  <c r="O11" i="41"/>
  <c r="O17" i="41"/>
  <c r="G17" i="41"/>
  <c r="G11" i="41"/>
  <c r="F11" i="41"/>
  <c r="F17" i="41"/>
  <c r="V41" i="41"/>
  <c r="W40" i="41"/>
  <c r="W34" i="41"/>
  <c r="Y175" i="40"/>
  <c r="V45" i="41"/>
  <c r="V47" i="41" s="1"/>
  <c r="V33" i="41"/>
  <c r="V42" i="41"/>
  <c r="V126" i="40"/>
  <c r="V127" i="40" s="1"/>
  <c r="P17" i="41"/>
  <c r="P11" i="41"/>
  <c r="I11" i="41"/>
  <c r="Y414" i="38"/>
  <c r="Y424" i="38"/>
  <c r="Y433" i="38"/>
  <c r="Y405" i="38" s="1"/>
  <c r="Y429" i="38"/>
  <c r="Y402" i="38" s="1"/>
  <c r="Y415" i="38" s="1"/>
  <c r="Y413" i="38"/>
  <c r="V17" i="40"/>
  <c r="Y61" i="40"/>
  <c r="L17" i="41"/>
  <c r="L11" i="41"/>
  <c r="X35" i="41"/>
  <c r="Y32" i="41"/>
  <c r="Z179" i="40"/>
  <c r="Z169" i="40"/>
  <c r="Z174" i="40" s="1"/>
  <c r="V21" i="40"/>
  <c r="V9" i="40"/>
  <c r="V18" i="40"/>
  <c r="Z65" i="40"/>
  <c r="Z67" i="40" s="1"/>
  <c r="Z55" i="40"/>
  <c r="Z60" i="40" s="1"/>
  <c r="Y103" i="40"/>
  <c r="M17" i="41"/>
  <c r="M11" i="41"/>
  <c r="H17" i="41"/>
  <c r="H11" i="41"/>
  <c r="M134" i="40" l="1"/>
  <c r="M135" i="40"/>
  <c r="K247" i="38"/>
  <c r="J248" i="38"/>
  <c r="O130" i="40"/>
  <c r="N131" i="40"/>
  <c r="N133" i="40" s="1"/>
  <c r="Y135" i="41"/>
  <c r="Y136" i="41"/>
  <c r="Z134" i="41"/>
  <c r="X135" i="41"/>
  <c r="X136" i="41"/>
  <c r="S50" i="40"/>
  <c r="S49" i="40"/>
  <c r="U50" i="41"/>
  <c r="U51" i="41"/>
  <c r="L27" i="40"/>
  <c r="L26" i="40"/>
  <c r="J25" i="40"/>
  <c r="K25" i="40"/>
  <c r="I25" i="40"/>
  <c r="Y244" i="38"/>
  <c r="Z18" i="47"/>
  <c r="Z19" i="47" s="1"/>
  <c r="Z8" i="47" s="1"/>
  <c r="Y179" i="38"/>
  <c r="Y204" i="38" s="1"/>
  <c r="N19" i="40"/>
  <c r="O19" i="40"/>
  <c r="F19" i="40"/>
  <c r="Q19" i="40"/>
  <c r="M48" i="28"/>
  <c r="N48" i="28"/>
  <c r="L48" i="28"/>
  <c r="T42" i="40"/>
  <c r="T48" i="40" s="1"/>
  <c r="K48" i="28"/>
  <c r="X204" i="38"/>
  <c r="X192" i="38"/>
  <c r="X193" i="38"/>
  <c r="X189" i="38"/>
  <c r="X194" i="38"/>
  <c r="X191" i="38"/>
  <c r="X188" i="38"/>
  <c r="X182" i="38"/>
  <c r="X196" i="38"/>
  <c r="X190" i="38"/>
  <c r="P19" i="40"/>
  <c r="V19" i="40"/>
  <c r="Z175" i="38"/>
  <c r="Z176" i="38" s="1"/>
  <c r="W20" i="41"/>
  <c r="W26" i="41" s="1"/>
  <c r="Z246" i="38"/>
  <c r="Z236" i="38"/>
  <c r="Z241" i="38" s="1"/>
  <c r="Z242" i="38" s="1"/>
  <c r="V43" i="41"/>
  <c r="V49" i="41" s="1"/>
  <c r="F18" i="41"/>
  <c r="X10" i="40"/>
  <c r="X16" i="40"/>
  <c r="Q10" i="41"/>
  <c r="Q19" i="41"/>
  <c r="Q22" i="41"/>
  <c r="Q24" i="41" s="1"/>
  <c r="Z405" i="38"/>
  <c r="L18" i="41"/>
  <c r="Z82" i="40"/>
  <c r="Y11" i="40"/>
  <c r="Z8" i="40"/>
  <c r="Z11" i="40" s="1"/>
  <c r="Q18" i="41"/>
  <c r="V33" i="40"/>
  <c r="V39" i="40"/>
  <c r="H10" i="41"/>
  <c r="H19" i="41"/>
  <c r="H22" i="41"/>
  <c r="H24" i="41" s="1"/>
  <c r="Z22" i="41"/>
  <c r="Z24" i="41" s="1"/>
  <c r="Z10" i="41"/>
  <c r="Z19" i="41"/>
  <c r="M10" i="41"/>
  <c r="M19" i="41"/>
  <c r="M22" i="41"/>
  <c r="M24" i="41" s="1"/>
  <c r="X31" i="40"/>
  <c r="W34" i="40"/>
  <c r="Z62" i="41"/>
  <c r="T18" i="41"/>
  <c r="N10" i="41"/>
  <c r="N19" i="41"/>
  <c r="N22" i="41"/>
  <c r="N24" i="41" s="1"/>
  <c r="V18" i="41"/>
  <c r="Z119" i="40"/>
  <c r="Z120" i="40" s="1"/>
  <c r="Y120" i="40"/>
  <c r="J18" i="41"/>
  <c r="Z61" i="40"/>
  <c r="I18" i="41"/>
  <c r="Z18" i="41"/>
  <c r="M18" i="41"/>
  <c r="Y35" i="41"/>
  <c r="Z32" i="41"/>
  <c r="Z35" i="41" s="1"/>
  <c r="I19" i="41"/>
  <c r="I22" i="41"/>
  <c r="I24" i="41" s="1"/>
  <c r="I10" i="41"/>
  <c r="W33" i="41"/>
  <c r="W42" i="41"/>
  <c r="W45" i="41"/>
  <c r="W47" i="41" s="1"/>
  <c r="G19" i="41"/>
  <c r="G22" i="41"/>
  <c r="G24" i="41" s="1"/>
  <c r="G10" i="41"/>
  <c r="K18" i="41"/>
  <c r="S19" i="41"/>
  <c r="S22" i="41"/>
  <c r="S24" i="41" s="1"/>
  <c r="S10" i="41"/>
  <c r="X18" i="41"/>
  <c r="T19" i="41"/>
  <c r="T10" i="41"/>
  <c r="T22" i="41"/>
  <c r="T24" i="41" s="1"/>
  <c r="N18" i="41"/>
  <c r="Z175" i="40"/>
  <c r="Z104" i="41"/>
  <c r="X40" i="41"/>
  <c r="X34" i="41"/>
  <c r="P10" i="41"/>
  <c r="P19" i="41"/>
  <c r="P22" i="41"/>
  <c r="P24" i="41" s="1"/>
  <c r="W41" i="41"/>
  <c r="G18" i="41"/>
  <c r="W17" i="40"/>
  <c r="K19" i="41"/>
  <c r="K22" i="41"/>
  <c r="K24" i="41" s="1"/>
  <c r="K10" i="41"/>
  <c r="Y18" i="41"/>
  <c r="S18" i="41"/>
  <c r="X19" i="41"/>
  <c r="X10" i="41"/>
  <c r="X22" i="41"/>
  <c r="X24" i="41" s="1"/>
  <c r="U40" i="40"/>
  <c r="U19" i="41"/>
  <c r="U22" i="41"/>
  <c r="U24" i="41" s="1"/>
  <c r="U10" i="41"/>
  <c r="H18" i="41"/>
  <c r="P18" i="41"/>
  <c r="O18" i="41"/>
  <c r="W9" i="40"/>
  <c r="W18" i="40"/>
  <c r="W21" i="40"/>
  <c r="R10" i="41"/>
  <c r="R22" i="41"/>
  <c r="R24" i="41" s="1"/>
  <c r="R19" i="41"/>
  <c r="AA4" i="47"/>
  <c r="AB3" i="47"/>
  <c r="AA5" i="47"/>
  <c r="AA6" i="47"/>
  <c r="Y22" i="41"/>
  <c r="Y24" i="41" s="1"/>
  <c r="Y10" i="41"/>
  <c r="Y19" i="41"/>
  <c r="W129" i="40"/>
  <c r="W117" i="40"/>
  <c r="U32" i="40"/>
  <c r="U44" i="40"/>
  <c r="U46" i="40" s="1"/>
  <c r="U41" i="40"/>
  <c r="Z103" i="40"/>
  <c r="U18" i="41"/>
  <c r="F22" i="41"/>
  <c r="F24" i="41" s="1"/>
  <c r="F10" i="41"/>
  <c r="F19" i="41"/>
  <c r="L10" i="41"/>
  <c r="L19" i="41"/>
  <c r="L22" i="41"/>
  <c r="L24" i="41" s="1"/>
  <c r="O10" i="41"/>
  <c r="O22" i="41"/>
  <c r="O24" i="41" s="1"/>
  <c r="O19" i="41"/>
  <c r="V10" i="41"/>
  <c r="V22" i="41"/>
  <c r="V24" i="41" s="1"/>
  <c r="V19" i="41"/>
  <c r="R18" i="41"/>
  <c r="X125" i="40"/>
  <c r="X118" i="40"/>
  <c r="J22" i="41"/>
  <c r="J24" i="41" s="1"/>
  <c r="J10" i="41"/>
  <c r="J19" i="41"/>
  <c r="W126" i="40"/>
  <c r="W127" i="40" s="1"/>
  <c r="N135" i="40" l="1"/>
  <c r="N134" i="40"/>
  <c r="P130" i="40"/>
  <c r="O131" i="40"/>
  <c r="O133" i="40" s="1"/>
  <c r="K248" i="38"/>
  <c r="L247" i="38"/>
  <c r="Z135" i="41"/>
  <c r="Z136" i="41"/>
  <c r="T49" i="40"/>
  <c r="T50" i="40"/>
  <c r="V51" i="41"/>
  <c r="V50" i="41"/>
  <c r="K27" i="40"/>
  <c r="G5" i="39" s="1"/>
  <c r="K26" i="40"/>
  <c r="J26" i="40"/>
  <c r="J27" i="40"/>
  <c r="I26" i="40"/>
  <c r="I27" i="40"/>
  <c r="W27" i="41"/>
  <c r="W28" i="41"/>
  <c r="Z244" i="38"/>
  <c r="Y194" i="38"/>
  <c r="AA18" i="47"/>
  <c r="AA19" i="47" s="1"/>
  <c r="AA8" i="47" s="1"/>
  <c r="F8" i="47" s="1"/>
  <c r="Y182" i="38"/>
  <c r="Y193" i="38"/>
  <c r="Y190" i="38"/>
  <c r="S20" i="41"/>
  <c r="S26" i="41" s="1"/>
  <c r="F20" i="41"/>
  <c r="F26" i="41" s="1"/>
  <c r="F28" i="41" s="1"/>
  <c r="Y192" i="38"/>
  <c r="Y188" i="38"/>
  <c r="Y189" i="38"/>
  <c r="Y191" i="38"/>
  <c r="Y196" i="38"/>
  <c r="J20" i="41"/>
  <c r="J26" i="41" s="1"/>
  <c r="Y20" i="41"/>
  <c r="Y26" i="41" s="1"/>
  <c r="R20" i="41"/>
  <c r="R26" i="41" s="1"/>
  <c r="U20" i="41"/>
  <c r="U26" i="41" s="1"/>
  <c r="H20" i="41"/>
  <c r="H26" i="41" s="1"/>
  <c r="H28" i="41" s="1"/>
  <c r="M20" i="41"/>
  <c r="M26" i="41" s="1"/>
  <c r="X20" i="41"/>
  <c r="X26" i="41" s="1"/>
  <c r="Z20" i="41"/>
  <c r="Z26" i="41" s="1"/>
  <c r="J81" i="28"/>
  <c r="M81" i="28"/>
  <c r="L81" i="28"/>
  <c r="E81" i="28"/>
  <c r="N81" i="28"/>
  <c r="I20" i="41"/>
  <c r="I26" i="41" s="1"/>
  <c r="O20" i="41"/>
  <c r="O26" i="41" s="1"/>
  <c r="P20" i="41"/>
  <c r="P26" i="41" s="1"/>
  <c r="N20" i="41"/>
  <c r="N26" i="41" s="1"/>
  <c r="Z185" i="38"/>
  <c r="Z179" i="38"/>
  <c r="I81" i="28"/>
  <c r="G81" i="28"/>
  <c r="K20" i="41"/>
  <c r="K26" i="41" s="1"/>
  <c r="K138" i="41" s="1"/>
  <c r="G20" i="41"/>
  <c r="G26" i="41" s="1"/>
  <c r="G28" i="41" s="1"/>
  <c r="F81" i="28"/>
  <c r="H81" i="28"/>
  <c r="V20" i="41"/>
  <c r="V26" i="41" s="1"/>
  <c r="Q20" i="41"/>
  <c r="Q26" i="41" s="1"/>
  <c r="W19" i="40"/>
  <c r="W43" i="41"/>
  <c r="W49" i="41" s="1"/>
  <c r="T20" i="41"/>
  <c r="T26" i="41" s="1"/>
  <c r="L20" i="41"/>
  <c r="L26" i="41" s="1"/>
  <c r="U42" i="40"/>
  <c r="U48" i="40" s="1"/>
  <c r="W33" i="40"/>
  <c r="W39" i="40"/>
  <c r="X34" i="40"/>
  <c r="Y31" i="40"/>
  <c r="K81" i="28"/>
  <c r="Z10" i="40"/>
  <c r="Z16" i="40"/>
  <c r="X33" i="41"/>
  <c r="X45" i="41"/>
  <c r="X47" i="41" s="1"/>
  <c r="X42" i="41"/>
  <c r="Y16" i="40"/>
  <c r="Y10" i="40"/>
  <c r="AB6" i="47"/>
  <c r="AB4" i="47"/>
  <c r="AC3" i="47"/>
  <c r="AB5" i="47"/>
  <c r="X41" i="41"/>
  <c r="X17" i="40"/>
  <c r="Y34" i="41"/>
  <c r="Y40" i="41"/>
  <c r="Y118" i="40"/>
  <c r="Y125" i="40"/>
  <c r="X18" i="40"/>
  <c r="X9" i="40"/>
  <c r="X21" i="40"/>
  <c r="Z125" i="40"/>
  <c r="Z118" i="40"/>
  <c r="V40" i="40"/>
  <c r="V32" i="40"/>
  <c r="V41" i="40"/>
  <c r="V44" i="40"/>
  <c r="V46" i="40" s="1"/>
  <c r="X117" i="40"/>
  <c r="X129" i="40"/>
  <c r="X126" i="40"/>
  <c r="X127" i="40" s="1"/>
  <c r="Z40" i="41"/>
  <c r="Z34" i="41"/>
  <c r="M247" i="38" l="1"/>
  <c r="L248" i="38"/>
  <c r="L250" i="38" s="1"/>
  <c r="O135" i="40"/>
  <c r="O134" i="40"/>
  <c r="Q130" i="40"/>
  <c r="P131" i="40"/>
  <c r="P133" i="40" s="1"/>
  <c r="U50" i="40"/>
  <c r="U49" i="40"/>
  <c r="W51" i="41"/>
  <c r="W50" i="41"/>
  <c r="I27" i="41"/>
  <c r="I28" i="41"/>
  <c r="J27" i="41"/>
  <c r="J28" i="41"/>
  <c r="N27" i="41"/>
  <c r="N28" i="41"/>
  <c r="P28" i="41"/>
  <c r="P27" i="41"/>
  <c r="Z27" i="41"/>
  <c r="Z28" i="41"/>
  <c r="U28" i="41"/>
  <c r="U27" i="41"/>
  <c r="L28" i="41"/>
  <c r="L27" i="41"/>
  <c r="Q28" i="41"/>
  <c r="Q27" i="41"/>
  <c r="O27" i="41"/>
  <c r="O28" i="41"/>
  <c r="X28" i="41"/>
  <c r="X27" i="41"/>
  <c r="R27" i="41"/>
  <c r="R28" i="41"/>
  <c r="T28" i="41"/>
  <c r="T27" i="41"/>
  <c r="V27" i="41"/>
  <c r="V28" i="41"/>
  <c r="K27" i="41"/>
  <c r="K28" i="41"/>
  <c r="M28" i="41"/>
  <c r="M27" i="41"/>
  <c r="Y28" i="41"/>
  <c r="Y27" i="41"/>
  <c r="S27" i="41"/>
  <c r="S28" i="41"/>
  <c r="Z194" i="38"/>
  <c r="Z204" i="38"/>
  <c r="Z191" i="38"/>
  <c r="Z189" i="38"/>
  <c r="Z196" i="38"/>
  <c r="Z188" i="38"/>
  <c r="Z192" i="38"/>
  <c r="Z182" i="38"/>
  <c r="Z190" i="38"/>
  <c r="Z193" i="38"/>
  <c r="X19" i="40"/>
  <c r="V42" i="40"/>
  <c r="V48" i="40" s="1"/>
  <c r="X43" i="41"/>
  <c r="X49" i="41" s="1"/>
  <c r="Y45" i="41"/>
  <c r="Y47" i="41" s="1"/>
  <c r="Y42" i="41"/>
  <c r="Y33" i="41"/>
  <c r="Y18" i="40"/>
  <c r="Y9" i="40"/>
  <c r="Y21" i="40"/>
  <c r="Y17" i="40"/>
  <c r="Z17" i="40"/>
  <c r="Z41" i="41"/>
  <c r="Y41" i="41"/>
  <c r="W41" i="40"/>
  <c r="W32" i="40"/>
  <c r="W44" i="40"/>
  <c r="W46" i="40" s="1"/>
  <c r="Y126" i="40"/>
  <c r="Y127" i="40" s="1"/>
  <c r="Z21" i="40"/>
  <c r="Z9" i="40"/>
  <c r="Z18" i="40"/>
  <c r="Y129" i="40"/>
  <c r="Y117" i="40"/>
  <c r="Z31" i="40"/>
  <c r="Z34" i="40" s="1"/>
  <c r="Y34" i="40"/>
  <c r="Z129" i="40"/>
  <c r="Z117" i="40"/>
  <c r="Z33" i="41"/>
  <c r="Z45" i="41"/>
  <c r="Z47" i="41" s="1"/>
  <c r="Z42" i="41"/>
  <c r="Z126" i="40"/>
  <c r="Z127" i="40" s="1"/>
  <c r="AC4" i="47"/>
  <c r="AD3" i="47"/>
  <c r="AC6" i="47"/>
  <c r="AC5" i="47"/>
  <c r="X39" i="40"/>
  <c r="X33" i="40"/>
  <c r="AB10" i="47"/>
  <c r="W40" i="40"/>
  <c r="P135" i="40" l="1"/>
  <c r="P134" i="40"/>
  <c r="R130" i="40"/>
  <c r="Q131" i="40"/>
  <c r="Q133" i="40" s="1"/>
  <c r="L251" i="38"/>
  <c r="L252" i="38"/>
  <c r="N247" i="38"/>
  <c r="M248" i="38"/>
  <c r="M250" i="38" s="1"/>
  <c r="X51" i="41"/>
  <c r="X50" i="41"/>
  <c r="V49" i="40"/>
  <c r="V50" i="40"/>
  <c r="Y43" i="41"/>
  <c r="Y49" i="41" s="1"/>
  <c r="Z19" i="40"/>
  <c r="Y19" i="40"/>
  <c r="Z43" i="41"/>
  <c r="Z49" i="41" s="1"/>
  <c r="W42" i="40"/>
  <c r="W48" i="40" s="1"/>
  <c r="AC10" i="47"/>
  <c r="Y33" i="40"/>
  <c r="Y39" i="40"/>
  <c r="AD5" i="47"/>
  <c r="AD6" i="47"/>
  <c r="AD4" i="47"/>
  <c r="AE3" i="47"/>
  <c r="Z33" i="40"/>
  <c r="Z39" i="40"/>
  <c r="X44" i="40"/>
  <c r="X46" i="40" s="1"/>
  <c r="X41" i="40"/>
  <c r="X32" i="40"/>
  <c r="X40" i="40"/>
  <c r="O247" i="38" l="1"/>
  <c r="N248" i="38"/>
  <c r="N250" i="38" s="1"/>
  <c r="Q134" i="40"/>
  <c r="Q135" i="40"/>
  <c r="S130" i="40"/>
  <c r="R131" i="40"/>
  <c r="R133" i="40" s="1"/>
  <c r="M252" i="38"/>
  <c r="M251" i="38"/>
  <c r="Z51" i="41"/>
  <c r="Z50" i="41"/>
  <c r="W49" i="40"/>
  <c r="W50" i="40"/>
  <c r="Y51" i="41"/>
  <c r="Y50" i="41"/>
  <c r="X42" i="40"/>
  <c r="X48" i="40" s="1"/>
  <c r="Y40" i="40"/>
  <c r="Z40" i="40"/>
  <c r="Y32" i="40"/>
  <c r="Y44" i="40"/>
  <c r="Y46" i="40" s="1"/>
  <c r="Y41" i="40"/>
  <c r="Z41" i="40"/>
  <c r="Z32" i="40"/>
  <c r="Z44" i="40"/>
  <c r="Z46" i="40" s="1"/>
  <c r="AF3" i="47"/>
  <c r="AE6" i="47"/>
  <c r="AE4" i="47"/>
  <c r="AE5" i="47"/>
  <c r="AD10" i="47"/>
  <c r="R134" i="40" l="1"/>
  <c r="R135" i="40"/>
  <c r="T130" i="40"/>
  <c r="S131" i="40"/>
  <c r="S133" i="40" s="1"/>
  <c r="N252" i="38"/>
  <c r="N251" i="38"/>
  <c r="P247" i="38"/>
  <c r="O248" i="38"/>
  <c r="O250" i="38" s="1"/>
  <c r="X49" i="40"/>
  <c r="X50" i="40"/>
  <c r="AE10" i="47"/>
  <c r="Z42" i="40"/>
  <c r="Z48" i="40" s="1"/>
  <c r="Y42" i="40"/>
  <c r="Y48" i="40" s="1"/>
  <c r="AG3" i="47"/>
  <c r="AF6" i="47"/>
  <c r="AF4" i="47"/>
  <c r="AF5" i="47"/>
  <c r="O251" i="38" l="1"/>
  <c r="O252" i="38"/>
  <c r="Q247" i="38"/>
  <c r="P248" i="38"/>
  <c r="P250" i="38" s="1"/>
  <c r="S135" i="40"/>
  <c r="S134" i="40"/>
  <c r="U130" i="40"/>
  <c r="T131" i="40"/>
  <c r="T133" i="40" s="1"/>
  <c r="Z49" i="40"/>
  <c r="Z50" i="40"/>
  <c r="Y50" i="40"/>
  <c r="Y49" i="40"/>
  <c r="AH3" i="47"/>
  <c r="AG6" i="47"/>
  <c r="AG4" i="47"/>
  <c r="AG5" i="47"/>
  <c r="AF10" i="47"/>
  <c r="P251" i="38" l="1"/>
  <c r="P252" i="38"/>
  <c r="R247" i="38"/>
  <c r="Q248" i="38"/>
  <c r="Q250" i="38" s="1"/>
  <c r="T135" i="40"/>
  <c r="T134" i="40"/>
  <c r="V130" i="40"/>
  <c r="U131" i="40"/>
  <c r="U133" i="40" s="1"/>
  <c r="AG10" i="47"/>
  <c r="AH4" i="47"/>
  <c r="AH6" i="47"/>
  <c r="AH5" i="47"/>
  <c r="AI3" i="47"/>
  <c r="U134" i="40" l="1"/>
  <c r="U135" i="40"/>
  <c r="W130" i="40"/>
  <c r="V131" i="40"/>
  <c r="V133" i="40" s="1"/>
  <c r="Q251" i="38"/>
  <c r="Q252" i="38"/>
  <c r="S247" i="38"/>
  <c r="R248" i="38"/>
  <c r="R250" i="38" s="1"/>
  <c r="AH10" i="47"/>
  <c r="AJ3" i="47"/>
  <c r="AI6" i="47"/>
  <c r="AI4" i="47"/>
  <c r="AI5" i="47"/>
  <c r="R252" i="38" l="1"/>
  <c r="R251" i="38"/>
  <c r="V135" i="40"/>
  <c r="V134" i="40"/>
  <c r="X130" i="40"/>
  <c r="W131" i="40"/>
  <c r="W133" i="40" s="1"/>
  <c r="T247" i="38"/>
  <c r="S248" i="38"/>
  <c r="S250" i="38" s="1"/>
  <c r="AI10" i="47"/>
  <c r="AJ6" i="47"/>
  <c r="AK3" i="47"/>
  <c r="AJ5" i="47"/>
  <c r="AJ4" i="47"/>
  <c r="Y130" i="40" l="1"/>
  <c r="X131" i="40"/>
  <c r="X133" i="40" s="1"/>
  <c r="W135" i="40"/>
  <c r="W134" i="40"/>
  <c r="U247" i="38"/>
  <c r="T248" i="38"/>
  <c r="T250" i="38" s="1"/>
  <c r="S251" i="38"/>
  <c r="S252" i="38"/>
  <c r="AJ10" i="47"/>
  <c r="AK6" i="47"/>
  <c r="AK5" i="47"/>
  <c r="AK4" i="47"/>
  <c r="AL3" i="47"/>
  <c r="V247" i="38" l="1"/>
  <c r="U248" i="38"/>
  <c r="U250" i="38" s="1"/>
  <c r="T251" i="38"/>
  <c r="T252" i="38"/>
  <c r="X135" i="40"/>
  <c r="X134" i="40"/>
  <c r="Z130" i="40"/>
  <c r="Z131" i="40" s="1"/>
  <c r="Z133" i="40" s="1"/>
  <c r="Y131" i="40"/>
  <c r="Y133" i="40" s="1"/>
  <c r="AL6" i="47"/>
  <c r="AL5" i="47"/>
  <c r="AL4" i="47"/>
  <c r="AM3" i="47"/>
  <c r="AK10" i="47"/>
  <c r="Z134" i="40" l="1"/>
  <c r="Z135" i="40"/>
  <c r="Y134" i="40"/>
  <c r="Y135" i="40"/>
  <c r="U251" i="38"/>
  <c r="U252" i="38"/>
  <c r="W247" i="38"/>
  <c r="V248" i="38"/>
  <c r="V250" i="38" s="1"/>
  <c r="AN3" i="47"/>
  <c r="AM5" i="47"/>
  <c r="AM6" i="47"/>
  <c r="AM4" i="47"/>
  <c r="AL10" i="47"/>
  <c r="V252" i="38" l="1"/>
  <c r="V251" i="38"/>
  <c r="X247" i="38"/>
  <c r="W248" i="38"/>
  <c r="W250" i="38" s="1"/>
  <c r="AM10" i="47"/>
  <c r="AN4" i="47"/>
  <c r="AN6" i="47"/>
  <c r="AN5" i="47"/>
  <c r="AO3" i="47"/>
  <c r="Y247" i="38" l="1"/>
  <c r="X248" i="38"/>
  <c r="X250" i="38" s="1"/>
  <c r="W251" i="38"/>
  <c r="W252" i="38"/>
  <c r="AN10" i="47"/>
  <c r="AO4" i="47"/>
  <c r="AO5" i="47"/>
  <c r="AO6" i="47"/>
  <c r="AP3" i="47"/>
  <c r="X251" i="38" l="1"/>
  <c r="X252" i="38"/>
  <c r="Z247" i="38"/>
  <c r="Z248" i="38" s="1"/>
  <c r="Z250" i="38" s="1"/>
  <c r="Y248" i="38"/>
  <c r="Y250" i="38" s="1"/>
  <c r="AO10" i="47"/>
  <c r="AP4" i="47"/>
  <c r="AP6" i="47"/>
  <c r="AQ3" i="47"/>
  <c r="AP5" i="47"/>
  <c r="Z252" i="38" l="1"/>
  <c r="Z251" i="38"/>
  <c r="Y252" i="38"/>
  <c r="Y251" i="38"/>
  <c r="AP10" i="47"/>
  <c r="AQ5" i="47"/>
  <c r="AQ6" i="47"/>
  <c r="AQ4" i="47"/>
  <c r="AR3" i="47"/>
  <c r="AQ10" i="47" l="1"/>
  <c r="AR5" i="47"/>
  <c r="AR4" i="47"/>
  <c r="AS3" i="47"/>
  <c r="AR6" i="47"/>
  <c r="AR10" i="47" l="1"/>
  <c r="AT3" i="47"/>
  <c r="AS5" i="47"/>
  <c r="AS4" i="47"/>
  <c r="AS6" i="47"/>
  <c r="AS10" i="47" l="1"/>
  <c r="AT6" i="47"/>
  <c r="AT5" i="47"/>
  <c r="AT4" i="47"/>
  <c r="AU3" i="47"/>
  <c r="AT10" i="47" l="1"/>
  <c r="AU5" i="47"/>
  <c r="F5" i="47" s="1"/>
  <c r="G34" i="43" s="1"/>
  <c r="AU6" i="47"/>
  <c r="F6" i="47" s="1"/>
  <c r="G33" i="43" s="1"/>
  <c r="AU4" i="47"/>
  <c r="AU10" i="47" l="1"/>
  <c r="F11" i="47" s="1"/>
  <c r="F4" i="47"/>
  <c r="G36" i="43" s="1"/>
  <c r="L23" i="28" l="1"/>
  <c r="J51" i="28"/>
  <c r="J60" i="28" s="1"/>
  <c r="J47" i="28"/>
  <c r="J48" i="28" s="1"/>
  <c r="N154" i="40"/>
  <c r="D51" i="28"/>
  <c r="D60" i="28" s="1"/>
  <c r="L413" i="38"/>
  <c r="L290" i="41"/>
  <c r="L262" i="41" s="1"/>
  <c r="L275" i="41" s="1"/>
  <c r="N157" i="40"/>
  <c r="L158" i="41"/>
  <c r="L414" i="38"/>
  <c r="L168" i="41"/>
  <c r="L373" i="38"/>
  <c r="L374" i="38"/>
  <c r="L155" i="41"/>
  <c r="N204" i="40"/>
  <c r="L330" i="41"/>
  <c r="N326" i="40"/>
  <c r="L166" i="41"/>
  <c r="N366" i="40"/>
  <c r="N202" i="40"/>
  <c r="N256" i="40" l="1"/>
  <c r="N203" i="40"/>
  <c r="N205" i="40" s="1"/>
  <c r="N338" i="40"/>
  <c r="N351" i="40" s="1"/>
  <c r="L167" i="41"/>
  <c r="L169" i="41" s="1"/>
  <c r="N298" i="40"/>
  <c r="N311" i="40" s="1"/>
  <c r="L302" i="41"/>
  <c r="L315" i="41" s="1"/>
  <c r="L157" i="41"/>
  <c r="L159" i="41" s="1"/>
  <c r="L329" i="41" s="1"/>
  <c r="N156" i="40"/>
  <c r="N158" i="40" l="1"/>
  <c r="N365" i="40" s="1"/>
  <c r="N257" i="40"/>
  <c r="N258" i="40" s="1"/>
  <c r="N297" i="40" s="1"/>
  <c r="L261" i="41"/>
  <c r="L301" i="41"/>
  <c r="L314" i="41" s="1"/>
  <c r="N350" i="40"/>
  <c r="L289" i="41" l="1"/>
  <c r="L274" i="41"/>
  <c r="N310" i="40"/>
  <c r="N325" i="40"/>
  <c r="R31" i="48" l="1"/>
  <c r="G34" i="39"/>
  <c r="R33" i="48" l="1"/>
  <c r="G44" i="39"/>
  <c r="R30" i="48"/>
  <c r="R35" i="48" l="1"/>
  <c r="AD52" i="32" l="1"/>
  <c r="R89" i="48"/>
  <c r="T31" i="48" l="1"/>
  <c r="H34" i="39"/>
  <c r="T33" i="48" s="1"/>
  <c r="T30" i="48" l="1"/>
  <c r="H39" i="39"/>
  <c r="H42" i="39" s="1"/>
  <c r="T35" i="48" l="1"/>
  <c r="H44" i="39"/>
  <c r="AE52" i="32" l="1"/>
  <c r="T89" i="48"/>
  <c r="P85" i="41" l="1"/>
  <c r="Q85" i="41"/>
  <c r="Y85" i="41"/>
  <c r="H85" i="41"/>
  <c r="N85" i="41"/>
  <c r="U85" i="41"/>
  <c r="I85" i="41"/>
  <c r="X85" i="41"/>
  <c r="L85" i="41"/>
  <c r="Z85" i="41"/>
  <c r="T85" i="41"/>
  <c r="G85" i="41"/>
  <c r="W85" i="41"/>
  <c r="R85" i="41"/>
  <c r="O85" i="41"/>
  <c r="V85" i="41"/>
  <c r="J85" i="41"/>
  <c r="S85" i="41"/>
  <c r="M85" i="41"/>
  <c r="F85" i="41"/>
  <c r="K85" i="41"/>
  <c r="D12" i="28" l="1"/>
  <c r="D16" i="28"/>
  <c r="D18" i="28"/>
  <c r="D15" i="28"/>
  <c r="D14" i="28"/>
  <c r="S317" i="38"/>
  <c r="F8" i="39"/>
  <c r="P22" i="48" s="1"/>
  <c r="U317" i="38"/>
  <c r="Z317" i="38"/>
  <c r="X317" i="38"/>
  <c r="R317" i="38"/>
  <c r="T317" i="38"/>
  <c r="W317" i="38"/>
  <c r="O317" i="38"/>
  <c r="J317" i="38"/>
  <c r="G317" i="38"/>
  <c r="P317" i="38"/>
  <c r="V317" i="38"/>
  <c r="Y317" i="38"/>
  <c r="F317" i="38"/>
  <c r="L317" i="38"/>
  <c r="M317" i="38"/>
  <c r="Q317" i="38"/>
  <c r="H317" i="38"/>
  <c r="N317" i="38"/>
  <c r="F17" i="39"/>
  <c r="P21" i="48" s="1"/>
  <c r="I317" i="38"/>
  <c r="G22" i="47"/>
  <c r="G23" i="47" s="1"/>
  <c r="G9" i="47" s="1"/>
  <c r="F18" i="39"/>
  <c r="K317" i="38"/>
  <c r="F19" i="39"/>
  <c r="F20" i="39"/>
  <c r="F23" i="39" l="1"/>
  <c r="F26" i="39" s="1"/>
  <c r="P26" i="48" l="1"/>
  <c r="E12" i="28" l="1"/>
  <c r="F12" i="28"/>
  <c r="I22" i="47"/>
  <c r="I23" i="47" s="1"/>
  <c r="I9" i="47" s="1"/>
  <c r="H22" i="47"/>
  <c r="H23" i="47" s="1"/>
  <c r="H9" i="47" s="1"/>
  <c r="G15" i="39"/>
  <c r="P154" i="38" l="1"/>
  <c r="F13" i="39" l="1"/>
  <c r="P156" i="38"/>
  <c r="F28" i="39" l="1"/>
  <c r="P24" i="48"/>
  <c r="R17" i="32"/>
  <c r="I142" i="38" l="1"/>
  <c r="I145" i="38"/>
  <c r="T142" i="38"/>
  <c r="H142" i="38"/>
  <c r="U142" i="38"/>
  <c r="W142" i="38"/>
  <c r="P88" i="48"/>
  <c r="L145" i="38"/>
  <c r="X145" i="38"/>
  <c r="W145" i="38"/>
  <c r="F145" i="38"/>
  <c r="T145" i="38"/>
  <c r="G145" i="38"/>
  <c r="S145" i="38"/>
  <c r="M145" i="38"/>
  <c r="O145" i="38"/>
  <c r="K145" i="38"/>
  <c r="J142" i="38"/>
  <c r="N142" i="38"/>
  <c r="R142" i="38"/>
  <c r="M142" i="38"/>
  <c r="Q142" i="38"/>
  <c r="N145" i="38"/>
  <c r="N146" i="38" s="1"/>
  <c r="Y145" i="38"/>
  <c r="V145" i="38"/>
  <c r="U145" i="38"/>
  <c r="J145" i="38"/>
  <c r="Z145" i="38"/>
  <c r="Z142" i="38"/>
  <c r="S142" i="38"/>
  <c r="P142" i="38"/>
  <c r="X142" i="38"/>
  <c r="G142" i="38"/>
  <c r="R145" i="38"/>
  <c r="AC51" i="32"/>
  <c r="F142" i="38"/>
  <c r="F143" i="38" s="1"/>
  <c r="G140" i="38" s="1"/>
  <c r="Q145" i="38"/>
  <c r="H145" i="38"/>
  <c r="L142" i="38"/>
  <c r="O142" i="38"/>
  <c r="K142" i="38"/>
  <c r="Y142" i="38"/>
  <c r="V142" i="38"/>
  <c r="P145" i="38"/>
  <c r="I141" i="38"/>
  <c r="I149" i="38" s="1"/>
  <c r="D333" i="38"/>
  <c r="D343" i="38"/>
  <c r="D289" i="38"/>
  <c r="P146" i="38" l="1"/>
  <c r="P151" i="38" s="1"/>
  <c r="H146" i="38"/>
  <c r="H279" i="38" s="1"/>
  <c r="G143" i="38"/>
  <c r="H140" i="38" s="1"/>
  <c r="H143" i="38" s="1"/>
  <c r="I140" i="38" s="1"/>
  <c r="I143" i="38" s="1"/>
  <c r="J140" i="38" s="1"/>
  <c r="U146" i="38"/>
  <c r="U151" i="38" s="1"/>
  <c r="I146" i="38"/>
  <c r="I151" i="38" s="1"/>
  <c r="T146" i="38"/>
  <c r="T151" i="38" s="1"/>
  <c r="R146" i="38"/>
  <c r="R147" i="38" s="1"/>
  <c r="M146" i="38"/>
  <c r="W146" i="38"/>
  <c r="W151" i="38" s="1"/>
  <c r="S146" i="38"/>
  <c r="S151" i="38" s="1"/>
  <c r="P147" i="38"/>
  <c r="H151" i="38"/>
  <c r="H161" i="38" s="1"/>
  <c r="H147" i="38"/>
  <c r="J146" i="38"/>
  <c r="J151" i="38" s="1"/>
  <c r="Y146" i="38"/>
  <c r="O146" i="38"/>
  <c r="Q146" i="38"/>
  <c r="N151" i="38"/>
  <c r="N161" i="38" s="1"/>
  <c r="N147" i="38"/>
  <c r="F146" i="38"/>
  <c r="L146" i="38"/>
  <c r="L151" i="38" s="1"/>
  <c r="L161" i="38" s="1"/>
  <c r="Z146" i="38"/>
  <c r="Z151" i="38" s="1"/>
  <c r="V146" i="38"/>
  <c r="K146" i="38"/>
  <c r="K151" i="38" s="1"/>
  <c r="G146" i="38"/>
  <c r="X146" i="38"/>
  <c r="U147" i="38" l="1"/>
  <c r="R151" i="38"/>
  <c r="T147" i="38"/>
  <c r="S147" i="38"/>
  <c r="M147" i="38"/>
  <c r="M151" i="38"/>
  <c r="M161" i="38" s="1"/>
  <c r="J143" i="38"/>
  <c r="K140" i="38" s="1"/>
  <c r="W147" i="38"/>
  <c r="X151" i="38"/>
  <c r="X147" i="38"/>
  <c r="Z147" i="38"/>
  <c r="O147" i="38"/>
  <c r="O151" i="38"/>
  <c r="O161" i="38" s="1"/>
  <c r="G151" i="38"/>
  <c r="G161" i="38" s="1"/>
  <c r="G279" i="38"/>
  <c r="G147" i="38"/>
  <c r="I147" i="38"/>
  <c r="Y147" i="38"/>
  <c r="Y151" i="38"/>
  <c r="K147" i="38"/>
  <c r="L147" i="38"/>
  <c r="Q147" i="38"/>
  <c r="Q151" i="38"/>
  <c r="J147" i="38"/>
  <c r="V147" i="38"/>
  <c r="V151" i="38"/>
  <c r="F147" i="38"/>
  <c r="F279" i="38"/>
  <c r="D62" i="28" s="1"/>
  <c r="F151" i="38"/>
  <c r="F161" i="38" s="1"/>
  <c r="K143" i="38" l="1"/>
  <c r="L140" i="38" s="1"/>
  <c r="L143" i="38" s="1"/>
  <c r="M140" i="38" s="1"/>
  <c r="M143" i="38" s="1"/>
  <c r="N140" i="38" s="1"/>
  <c r="N143" i="38" s="1"/>
  <c r="O140" i="38" s="1"/>
  <c r="O143" i="38" s="1"/>
  <c r="P140" i="38" s="1"/>
  <c r="P143" i="38" s="1"/>
  <c r="Q140" i="38" l="1"/>
  <c r="Q143" i="38" s="1"/>
  <c r="R140" i="38" s="1"/>
  <c r="R143" i="38" s="1"/>
  <c r="S140" i="38" s="1"/>
  <c r="S143" i="38" s="1"/>
  <c r="T140" i="38" s="1"/>
  <c r="T143" i="38" s="1"/>
  <c r="U140" i="38" s="1"/>
  <c r="U143" i="38" s="1"/>
  <c r="V140" i="38" s="1"/>
  <c r="V143" i="38" s="1"/>
  <c r="W140" i="38" s="1"/>
  <c r="W143" i="38" s="1"/>
  <c r="X140" i="38" s="1"/>
  <c r="X143" i="38" s="1"/>
  <c r="Y140" i="38" s="1"/>
  <c r="Y143" i="38" s="1"/>
  <c r="Z140" i="38" s="1"/>
  <c r="Z143" i="38" s="1"/>
  <c r="P157" i="38"/>
  <c r="P158" i="38" s="1"/>
  <c r="P161" i="38" s="1"/>
  <c r="I244" i="38"/>
  <c r="I250" i="38" s="1"/>
  <c r="J244" i="38"/>
  <c r="J250" i="38" s="1"/>
  <c r="K244" i="38"/>
  <c r="K250" i="38" s="1"/>
  <c r="H331" i="38"/>
  <c r="G331" i="38"/>
  <c r="D47" i="28"/>
  <c r="D48" i="28" s="1"/>
  <c r="F331" i="38"/>
  <c r="K252" i="38" l="1"/>
  <c r="K251" i="38"/>
  <c r="J252" i="38"/>
  <c r="J251" i="38"/>
  <c r="I252" i="38"/>
  <c r="I251" i="38"/>
  <c r="D331" i="38"/>
  <c r="H207" i="38"/>
  <c r="F207" i="38"/>
  <c r="G207" i="38"/>
  <c r="G205" i="38"/>
  <c r="F205" i="38"/>
  <c r="H205" i="38"/>
  <c r="H221" i="38" s="1"/>
  <c r="H229" i="38" s="1"/>
  <c r="F206" i="38" l="1"/>
  <c r="F217" i="38"/>
  <c r="F221" i="38"/>
  <c r="F229" i="38" s="1"/>
  <c r="H206" i="38"/>
  <c r="H217" i="38"/>
  <c r="G206" i="38"/>
  <c r="G217" i="38"/>
  <c r="G221" i="38"/>
  <c r="G229" i="38" s="1"/>
  <c r="J70" i="31" l="1"/>
  <c r="Z54" i="32"/>
  <c r="T20" i="32"/>
  <c r="T69" i="48"/>
  <c r="H70" i="31"/>
  <c r="P69" i="48"/>
  <c r="X54" i="32"/>
  <c r="R20" i="32"/>
  <c r="Y54" i="32"/>
  <c r="I70" i="31"/>
  <c r="R69" i="48"/>
  <c r="S20" i="32"/>
  <c r="W54" i="32" l="1"/>
  <c r="AD54" i="32"/>
  <c r="R91" i="48"/>
  <c r="G70" i="31"/>
  <c r="AE54" i="32"/>
  <c r="T91" i="48"/>
  <c r="P91" i="48"/>
  <c r="AC54" i="32"/>
  <c r="Q20" i="32"/>
  <c r="G69" i="31"/>
  <c r="AB54" i="32" l="1"/>
  <c r="P20" i="32"/>
  <c r="P23" i="40" l="1"/>
  <c r="P25" i="40" s="1"/>
  <c r="W23" i="40"/>
  <c r="W25" i="40" s="1"/>
  <c r="Y23" i="40"/>
  <c r="Y25" i="40" s="1"/>
  <c r="U23" i="40"/>
  <c r="U25" i="40" s="1"/>
  <c r="O23" i="40"/>
  <c r="O25" i="40" s="1"/>
  <c r="N23" i="40"/>
  <c r="N25" i="40" s="1"/>
  <c r="Z23" i="40"/>
  <c r="Z25" i="40" s="1"/>
  <c r="R23" i="40"/>
  <c r="R25" i="40" s="1"/>
  <c r="S23" i="40"/>
  <c r="S25" i="40" s="1"/>
  <c r="T23" i="40"/>
  <c r="T25" i="40" s="1"/>
  <c r="Q23" i="40"/>
  <c r="Q25" i="40" s="1"/>
  <c r="X23" i="40"/>
  <c r="X25" i="40" s="1"/>
  <c r="V23" i="40"/>
  <c r="V25" i="40" s="1"/>
  <c r="H46" i="40"/>
  <c r="H48" i="40" s="1"/>
  <c r="T27" i="40" l="1"/>
  <c r="T26" i="40"/>
  <c r="V26" i="40"/>
  <c r="V27" i="40"/>
  <c r="Q26" i="40"/>
  <c r="Q27" i="40"/>
  <c r="Z26" i="40"/>
  <c r="Z27" i="40"/>
  <c r="Y26" i="40"/>
  <c r="Y27" i="40"/>
  <c r="W27" i="40"/>
  <c r="W26" i="40"/>
  <c r="P26" i="40"/>
  <c r="P27" i="40"/>
  <c r="N26" i="40"/>
  <c r="N27" i="40"/>
  <c r="S27" i="40"/>
  <c r="S26" i="40"/>
  <c r="O27" i="40"/>
  <c r="O26" i="40"/>
  <c r="X26" i="40"/>
  <c r="X27" i="40"/>
  <c r="R26" i="40"/>
  <c r="R27" i="40"/>
  <c r="U26" i="40"/>
  <c r="U27" i="40"/>
  <c r="G6" i="39"/>
  <c r="G16" i="39"/>
  <c r="H50" i="40"/>
  <c r="H49" i="40"/>
  <c r="G49" i="40" l="1"/>
  <c r="F49" i="40"/>
  <c r="F9" i="28"/>
  <c r="F134" i="40"/>
  <c r="E18" i="28"/>
  <c r="G134" i="40"/>
  <c r="F18" i="28"/>
  <c r="H134" i="40"/>
  <c r="P89" i="48"/>
  <c r="AC52" i="32"/>
  <c r="AB52" i="32" s="1"/>
  <c r="M119" i="28"/>
  <c r="I219" i="38"/>
  <c r="I213" i="38"/>
  <c r="I215" i="38" s="1"/>
  <c r="I216" i="38" s="1"/>
  <c r="J210" i="38" l="1"/>
  <c r="J213" i="38" s="1"/>
  <c r="J215" i="38"/>
  <c r="J216" i="38" s="1"/>
  <c r="K210" i="38"/>
  <c r="K213" i="38" s="1"/>
  <c r="K215" i="38" l="1"/>
  <c r="K216" i="38" s="1"/>
  <c r="L210" i="38"/>
  <c r="L213" i="38" s="1"/>
  <c r="L215" i="38" l="1"/>
  <c r="L216" i="38" s="1"/>
  <c r="M210" i="38"/>
  <c r="M213" i="38" s="1"/>
  <c r="M215" i="38" l="1"/>
  <c r="M216" i="38" s="1"/>
  <c r="N210" i="38"/>
  <c r="N213" i="38" s="1"/>
  <c r="N215" i="38" l="1"/>
  <c r="N216" i="38" s="1"/>
  <c r="O210" i="38"/>
  <c r="O213" i="38" s="1"/>
  <c r="O215" i="38" l="1"/>
  <c r="O216" i="38" s="1"/>
  <c r="P210" i="38"/>
  <c r="P213" i="38" s="1"/>
  <c r="P226" i="38" l="1"/>
  <c r="P215" i="38"/>
  <c r="P216" i="38" s="1"/>
  <c r="Q210" i="38"/>
  <c r="Q213" i="38" s="1"/>
  <c r="Q215" i="38" l="1"/>
  <c r="Q216" i="38" s="1"/>
  <c r="R210" i="38"/>
  <c r="R213" i="38" s="1"/>
  <c r="R215" i="38" l="1"/>
  <c r="R216" i="38" s="1"/>
  <c r="S210" i="38"/>
  <c r="S213" i="38" s="1"/>
  <c r="S215" i="38" l="1"/>
  <c r="S216" i="38" s="1"/>
  <c r="T210" i="38"/>
  <c r="T213" i="38" s="1"/>
  <c r="T215" i="38" l="1"/>
  <c r="T216" i="38" s="1"/>
  <c r="U210" i="38"/>
  <c r="U213" i="38" s="1"/>
  <c r="U215" i="38" l="1"/>
  <c r="U216" i="38" s="1"/>
  <c r="V210" i="38"/>
  <c r="V213" i="38" s="1"/>
  <c r="V215" i="38" l="1"/>
  <c r="V216" i="38" s="1"/>
  <c r="W210" i="38"/>
  <c r="W213" i="38" s="1"/>
  <c r="W215" i="38" l="1"/>
  <c r="W216" i="38" s="1"/>
  <c r="X210" i="38"/>
  <c r="X213" i="38" s="1"/>
  <c r="X215" i="38" l="1"/>
  <c r="X216" i="38" s="1"/>
  <c r="Y210" i="38"/>
  <c r="Y213" i="38" s="1"/>
  <c r="Z210" i="38" l="1"/>
  <c r="Z213" i="38" s="1"/>
  <c r="Z215" i="38" s="1"/>
  <c r="Z216" i="38" s="1"/>
  <c r="Y215" i="38"/>
  <c r="Y216" i="38" s="1"/>
  <c r="P101" i="48"/>
  <c r="R101" i="48"/>
  <c r="T101" i="48"/>
  <c r="E47" i="28"/>
  <c r="E48" i="28" s="1"/>
  <c r="F264" i="40"/>
  <c r="M111" i="28"/>
  <c r="P25" i="32"/>
  <c r="P95" i="48"/>
  <c r="AD58" i="32"/>
  <c r="R95" i="48"/>
  <c r="T95" i="48"/>
  <c r="AE58" i="32"/>
  <c r="M118" i="28"/>
  <c r="AC58" i="32"/>
  <c r="AB58" i="32" s="1"/>
  <c r="M12" i="28"/>
  <c r="J12" i="28"/>
  <c r="K12" i="28"/>
  <c r="G12" i="28"/>
  <c r="F27" i="41"/>
  <c r="H12" i="28"/>
  <c r="G27" i="41"/>
  <c r="H27" i="41"/>
  <c r="I12" i="28"/>
  <c r="N12" i="28"/>
  <c r="L12" i="28"/>
  <c r="N22" i="47"/>
  <c r="N23" i="47" s="1"/>
  <c r="N9" i="47" s="1"/>
  <c r="AA22" i="47"/>
  <c r="AA23" i="47" s="1"/>
  <c r="AA9" i="47" s="1"/>
  <c r="T22" i="47"/>
  <c r="T23" i="47" s="1"/>
  <c r="T9" i="47" s="1"/>
  <c r="Q22" i="47"/>
  <c r="Q23" i="47" s="1"/>
  <c r="Q9" i="47" s="1"/>
  <c r="P22" i="47"/>
  <c r="P23" i="47" s="1"/>
  <c r="P9" i="47" s="1"/>
  <c r="R22" i="47"/>
  <c r="R23" i="47" s="1"/>
  <c r="R9" i="47" s="1"/>
  <c r="Y22" i="47"/>
  <c r="Y23" i="47" s="1"/>
  <c r="Y9" i="47" s="1"/>
  <c r="X22" i="47"/>
  <c r="X23" i="47" s="1"/>
  <c r="X9" i="47" s="1"/>
  <c r="L22" i="47"/>
  <c r="L23" i="47" s="1"/>
  <c r="L9" i="47" s="1"/>
  <c r="U22" i="47"/>
  <c r="U23" i="47" s="1"/>
  <c r="U9" i="47" s="1"/>
  <c r="V22" i="47"/>
  <c r="V23" i="47" s="1"/>
  <c r="V9" i="47" s="1"/>
  <c r="O22" i="47"/>
  <c r="O23" i="47" s="1"/>
  <c r="O9" i="47" s="1"/>
  <c r="M22" i="47"/>
  <c r="M23" i="47" s="1"/>
  <c r="M9" i="47" s="1"/>
  <c r="W22" i="47"/>
  <c r="W23" i="47" s="1"/>
  <c r="W9" i="47" s="1"/>
  <c r="S22" i="47"/>
  <c r="S23" i="47" s="1"/>
  <c r="S9" i="47" s="1"/>
  <c r="K22" i="47"/>
  <c r="K23" i="47" s="1"/>
  <c r="K9" i="47" s="1"/>
  <c r="G47" i="41"/>
  <c r="G49" i="41" s="1"/>
  <c r="Z22" i="47"/>
  <c r="Z23" i="47" s="1"/>
  <c r="Z9" i="47" s="1"/>
  <c r="H47" i="41"/>
  <c r="H49" i="41" s="1"/>
  <c r="G9" i="28" s="1"/>
  <c r="J9" i="28"/>
  <c r="H5" i="39"/>
  <c r="F47" i="41"/>
  <c r="F49" i="41" s="1"/>
  <c r="J22" i="47"/>
  <c r="J23" i="47" s="1"/>
  <c r="J9" i="47" s="1"/>
  <c r="H15" i="39"/>
  <c r="F9" i="47" l="1"/>
  <c r="G37" i="43" s="1"/>
  <c r="K9" i="28"/>
  <c r="F51" i="41"/>
  <c r="F50" i="41"/>
  <c r="G51" i="41"/>
  <c r="G50" i="41"/>
  <c r="H9" i="28"/>
  <c r="E15" i="39"/>
  <c r="N9" i="28"/>
  <c r="H6" i="39"/>
  <c r="H16" i="39"/>
  <c r="L9" i="28"/>
  <c r="M9" i="28"/>
  <c r="H50" i="41"/>
  <c r="H51" i="41"/>
  <c r="I9" i="28"/>
  <c r="E5" i="39"/>
  <c r="E6" i="39" l="1"/>
  <c r="E16" i="39"/>
  <c r="S319" i="38"/>
  <c r="S320" i="38"/>
  <c r="T319" i="38"/>
  <c r="T320" i="38" s="1"/>
  <c r="U319" i="38"/>
  <c r="U320" i="38" s="1"/>
  <c r="Z319" i="38"/>
  <c r="Z320" i="38" s="1"/>
  <c r="Q319" i="38"/>
  <c r="Q320" i="38"/>
  <c r="X319" i="38"/>
  <c r="X320" i="38" s="1"/>
  <c r="Y319" i="38"/>
  <c r="Y320" i="38" s="1"/>
  <c r="W319" i="38"/>
  <c r="W320" i="38" s="1"/>
  <c r="P62" i="40"/>
  <c r="P63" i="40" s="1"/>
  <c r="P69" i="40" s="1"/>
  <c r="M62" i="40"/>
  <c r="M63" i="40" s="1"/>
  <c r="M69" i="40" s="1"/>
  <c r="R319" i="38"/>
  <c r="R320" i="38" s="1"/>
  <c r="V319" i="38"/>
  <c r="V320" i="38" s="1"/>
  <c r="O319" i="38"/>
  <c r="O320" i="38" s="1"/>
  <c r="I319" i="38"/>
  <c r="I320" i="38" s="1"/>
  <c r="M319" i="38"/>
  <c r="M320" i="38" s="1"/>
  <c r="J319" i="38"/>
  <c r="J320" i="38" s="1"/>
  <c r="J389" i="38" s="1"/>
  <c r="L319" i="38"/>
  <c r="L320" i="38" s="1"/>
  <c r="N319" i="38"/>
  <c r="N320" i="38" s="1"/>
  <c r="Z62" i="40"/>
  <c r="Z63" i="40" s="1"/>
  <c r="Z69" i="40" s="1"/>
  <c r="N62" i="40"/>
  <c r="N63" i="40" s="1"/>
  <c r="N69" i="40" s="1"/>
  <c r="I69" i="40"/>
  <c r="V62" i="40"/>
  <c r="V63" i="40" s="1"/>
  <c r="V69" i="40" s="1"/>
  <c r="J62" i="40"/>
  <c r="J63" i="40" s="1"/>
  <c r="J69" i="40" s="1"/>
  <c r="S62" i="40"/>
  <c r="S63" i="40" s="1"/>
  <c r="S69" i="40" s="1"/>
  <c r="O62" i="40"/>
  <c r="O63" i="40" s="1"/>
  <c r="O69" i="40" s="1"/>
  <c r="F47" i="39"/>
  <c r="U62" i="40"/>
  <c r="U63" i="40" s="1"/>
  <c r="U69" i="40" s="1"/>
  <c r="T62" i="40"/>
  <c r="T63" i="40" s="1"/>
  <c r="T69" i="40" s="1"/>
  <c r="Y62" i="40"/>
  <c r="Y63" i="40" s="1"/>
  <c r="Y69" i="40" s="1"/>
  <c r="P319" i="38"/>
  <c r="P320" i="38" s="1"/>
  <c r="P389" i="38" s="1"/>
  <c r="L62" i="40"/>
  <c r="L63" i="40" s="1"/>
  <c r="L69" i="40" s="1"/>
  <c r="G248" i="38"/>
  <c r="G243" i="38" s="1"/>
  <c r="G244" i="38" s="1"/>
  <c r="G250" i="38" s="1"/>
  <c r="F67" i="40"/>
  <c r="F62" i="40" s="1"/>
  <c r="F63" i="40" s="1"/>
  <c r="F69" i="40" s="1"/>
  <c r="X62" i="40"/>
  <c r="X63" i="40" s="1"/>
  <c r="X69" i="40" s="1"/>
  <c r="W62" i="40"/>
  <c r="W63" i="40" s="1"/>
  <c r="W69" i="40" s="1"/>
  <c r="P269" i="38"/>
  <c r="Q62" i="40"/>
  <c r="Q63" i="40" s="1"/>
  <c r="Q69" i="40" s="1"/>
  <c r="K319" i="38"/>
  <c r="K320" i="38" s="1"/>
  <c r="H248" i="38"/>
  <c r="H243" i="38"/>
  <c r="H244" i="38" s="1"/>
  <c r="H250" i="38" s="1"/>
  <c r="R62" i="40"/>
  <c r="R63" i="40" s="1"/>
  <c r="R69" i="40" s="1"/>
  <c r="F248" i="38"/>
  <c r="F243" i="38" s="1"/>
  <c r="F244" i="38" s="1"/>
  <c r="F250" i="38" s="1"/>
  <c r="G67" i="40"/>
  <c r="G62" i="40" s="1"/>
  <c r="G63" i="40" s="1"/>
  <c r="G69" i="40" s="1"/>
  <c r="H67" i="40"/>
  <c r="H62" i="40" s="1"/>
  <c r="H63" i="40" s="1"/>
  <c r="H69" i="40" s="1"/>
  <c r="F52" i="39"/>
  <c r="K62" i="40"/>
  <c r="K63" i="40" s="1"/>
  <c r="K69" i="40" s="1"/>
  <c r="V70" i="40" l="1"/>
  <c r="V71" i="40"/>
  <c r="P70" i="40"/>
  <c r="P71" i="40"/>
  <c r="K71" i="40"/>
  <c r="K70" i="40"/>
  <c r="W71" i="40"/>
  <c r="W70" i="40"/>
  <c r="Y70" i="40"/>
  <c r="Y71" i="40"/>
  <c r="O71" i="40"/>
  <c r="O70" i="40"/>
  <c r="I70" i="40"/>
  <c r="I71" i="40"/>
  <c r="R70" i="40"/>
  <c r="R71" i="40"/>
  <c r="X70" i="40"/>
  <c r="X71" i="40"/>
  <c r="L71" i="40"/>
  <c r="L70" i="40"/>
  <c r="T71" i="40"/>
  <c r="T70" i="40"/>
  <c r="S71" i="40"/>
  <c r="S70" i="40"/>
  <c r="N70" i="40"/>
  <c r="N71" i="40"/>
  <c r="Q70" i="40"/>
  <c r="Q71" i="40"/>
  <c r="U71" i="40"/>
  <c r="U70" i="40"/>
  <c r="J70" i="40"/>
  <c r="J71" i="40"/>
  <c r="Z70" i="40"/>
  <c r="Z71" i="40"/>
  <c r="M71" i="40"/>
  <c r="M70" i="40"/>
  <c r="K363" i="38"/>
  <c r="K349" i="38"/>
  <c r="K389" i="38"/>
  <c r="G7" i="39"/>
  <c r="G17" i="39"/>
  <c r="F15" i="28"/>
  <c r="G71" i="40"/>
  <c r="G70" i="40"/>
  <c r="F262" i="38"/>
  <c r="F252" i="38"/>
  <c r="F251" i="38"/>
  <c r="F266" i="38"/>
  <c r="F319" i="38"/>
  <c r="F320" i="38" s="1"/>
  <c r="H71" i="40"/>
  <c r="H70" i="40"/>
  <c r="P270" i="38"/>
  <c r="F71" i="40"/>
  <c r="F70" i="40"/>
  <c r="E15" i="28"/>
  <c r="L363" i="38"/>
  <c r="L349" i="38"/>
  <c r="L389" i="38"/>
  <c r="I363" i="38"/>
  <c r="I349" i="38"/>
  <c r="I389" i="38"/>
  <c r="H262" i="38"/>
  <c r="H252" i="38"/>
  <c r="H251" i="38"/>
  <c r="H319" i="38"/>
  <c r="H320" i="38" s="1"/>
  <c r="H266" i="38"/>
  <c r="G252" i="38"/>
  <c r="G251" i="38"/>
  <c r="G262" i="38"/>
  <c r="G319" i="38"/>
  <c r="G320" i="38" s="1"/>
  <c r="G266" i="38"/>
  <c r="P39" i="48"/>
  <c r="F55" i="39"/>
  <c r="F58" i="39" s="1"/>
  <c r="N349" i="38"/>
  <c r="N363" i="38"/>
  <c r="N389" i="38"/>
  <c r="M349" i="38"/>
  <c r="M363" i="38"/>
  <c r="M389" i="38"/>
  <c r="P40" i="48"/>
  <c r="F50" i="39"/>
  <c r="J349" i="38"/>
  <c r="J363" i="38"/>
  <c r="O363" i="38"/>
  <c r="O349" i="38"/>
  <c r="O389" i="38"/>
  <c r="P363" i="38"/>
  <c r="F363" i="38" l="1"/>
  <c r="F349" i="38"/>
  <c r="F389" i="38"/>
  <c r="M376" i="38"/>
  <c r="M391" i="38"/>
  <c r="F403" i="38"/>
  <c r="F274" i="38"/>
  <c r="F276" i="38" s="1"/>
  <c r="F307" i="38" s="1"/>
  <c r="G403" i="38"/>
  <c r="G274" i="38"/>
  <c r="G276" i="38" s="1"/>
  <c r="G307" i="38" s="1"/>
  <c r="O376" i="38"/>
  <c r="O391" i="38"/>
  <c r="P44" i="48"/>
  <c r="F60" i="39"/>
  <c r="L391" i="38"/>
  <c r="L376" i="38"/>
  <c r="H363" i="38"/>
  <c r="H349" i="38"/>
  <c r="H389" i="38"/>
  <c r="P42" i="48"/>
  <c r="G349" i="38"/>
  <c r="G363" i="38"/>
  <c r="G389" i="38"/>
  <c r="I362" i="38"/>
  <c r="I375" i="38" s="1"/>
  <c r="P376" i="38"/>
  <c r="P391" i="38"/>
  <c r="J391" i="38"/>
  <c r="J376" i="38"/>
  <c r="N391" i="38"/>
  <c r="N376" i="38"/>
  <c r="H403" i="38"/>
  <c r="H274" i="38"/>
  <c r="H276" i="38" s="1"/>
  <c r="H307" i="38" s="1"/>
  <c r="I376" i="38"/>
  <c r="I391" i="38"/>
  <c r="K376" i="38"/>
  <c r="K391" i="38"/>
  <c r="D389" i="38" l="1"/>
  <c r="F429" i="38"/>
  <c r="F362" i="38"/>
  <c r="F375" i="38" s="1"/>
  <c r="G391" i="38"/>
  <c r="G376" i="38"/>
  <c r="F416" i="38"/>
  <c r="F431" i="38"/>
  <c r="G429" i="38"/>
  <c r="G402" i="38" s="1"/>
  <c r="G415" i="38" s="1"/>
  <c r="G362" i="38"/>
  <c r="G375" i="38" s="1"/>
  <c r="H431" i="38"/>
  <c r="H416" i="38"/>
  <c r="H376" i="38"/>
  <c r="H391" i="38"/>
  <c r="H429" i="38"/>
  <c r="H402" i="38" s="1"/>
  <c r="H415" i="38" s="1"/>
  <c r="H362" i="38"/>
  <c r="H375" i="38" s="1"/>
  <c r="R19" i="32"/>
  <c r="G416" i="38"/>
  <c r="G431" i="38"/>
  <c r="F376" i="38"/>
  <c r="F391" i="38"/>
  <c r="D391" i="38" l="1"/>
  <c r="P90" i="48"/>
  <c r="AC53" i="32"/>
  <c r="R26" i="32"/>
  <c r="P96" i="48" s="1"/>
  <c r="I256" i="38"/>
  <c r="F402" i="38"/>
  <c r="F415" i="38" s="1"/>
  <c r="Q91" i="48" l="1"/>
  <c r="Q94" i="48"/>
  <c r="Q89" i="48"/>
  <c r="Q93" i="48"/>
  <c r="Q92" i="48"/>
  <c r="Q88" i="48"/>
  <c r="Q95" i="48"/>
  <c r="AC59" i="32"/>
  <c r="I264" i="38"/>
  <c r="I258" i="38"/>
  <c r="Q90" i="48"/>
  <c r="I260" i="38" l="1"/>
  <c r="J255" i="38"/>
  <c r="J258" i="38" s="1"/>
  <c r="J260" i="38" l="1"/>
  <c r="K255" i="38"/>
  <c r="K258" i="38" s="1"/>
  <c r="I261" i="38"/>
  <c r="I429" i="38"/>
  <c r="I402" i="38" l="1"/>
  <c r="I415" i="38" s="1"/>
  <c r="I262" i="38"/>
  <c r="I266" i="38"/>
  <c r="K260" i="38"/>
  <c r="L255" i="38"/>
  <c r="L258" i="38" s="1"/>
  <c r="J261" i="38"/>
  <c r="J429" i="38"/>
  <c r="L260" i="38" l="1"/>
  <c r="M255" i="38"/>
  <c r="M258" i="38" s="1"/>
  <c r="I274" i="38"/>
  <c r="J262" i="38"/>
  <c r="J279" i="38"/>
  <c r="J266" i="38"/>
  <c r="K261" i="38"/>
  <c r="K429" i="38"/>
  <c r="K262" i="38" l="1"/>
  <c r="K279" i="38"/>
  <c r="K266" i="38"/>
  <c r="J274" i="38"/>
  <c r="P48" i="48"/>
  <c r="N255" i="38"/>
  <c r="N258" i="38" s="1"/>
  <c r="M260" i="38"/>
  <c r="L261" i="38"/>
  <c r="L429" i="38"/>
  <c r="K274" i="38" l="1"/>
  <c r="M261" i="38"/>
  <c r="M429" i="38"/>
  <c r="N260" i="38"/>
  <c r="O255" i="38"/>
  <c r="O258" i="38" s="1"/>
  <c r="L262" i="38"/>
  <c r="L266" i="38"/>
  <c r="L279" i="38"/>
  <c r="L274" i="38" l="1"/>
  <c r="N261" i="38"/>
  <c r="N429" i="38"/>
  <c r="O260" i="38"/>
  <c r="P255" i="38"/>
  <c r="P258" i="38" s="1"/>
  <c r="M262" i="38"/>
  <c r="M266" i="38"/>
  <c r="M279" i="38"/>
  <c r="N262" i="38" l="1"/>
  <c r="N279" i="38"/>
  <c r="N266" i="38"/>
  <c r="M274" i="38"/>
  <c r="O261" i="38"/>
  <c r="O429" i="38"/>
  <c r="P271" i="38"/>
  <c r="P260" i="38"/>
  <c r="Q255" i="38"/>
  <c r="Q258" i="38" s="1"/>
  <c r="P261" i="38" l="1"/>
  <c r="P279" i="38" s="1"/>
  <c r="P429" i="38"/>
  <c r="O262" i="38"/>
  <c r="O279" i="38"/>
  <c r="O266" i="38"/>
  <c r="N274" i="38"/>
  <c r="P272" i="38"/>
  <c r="Q260" i="38"/>
  <c r="Q261" i="38" s="1"/>
  <c r="R255" i="38"/>
  <c r="R258" i="38" s="1"/>
  <c r="D429" i="38" l="1"/>
  <c r="Q262" i="38"/>
  <c r="Q266" i="38"/>
  <c r="Q279" i="38"/>
  <c r="P274" i="38"/>
  <c r="R260" i="38"/>
  <c r="R261" i="38" s="1"/>
  <c r="S255" i="38"/>
  <c r="S258" i="38" s="1"/>
  <c r="O274" i="38"/>
  <c r="P262" i="38"/>
  <c r="P266" i="38"/>
  <c r="T255" i="38" l="1"/>
  <c r="T258" i="38" s="1"/>
  <c r="S260" i="38"/>
  <c r="S261" i="38" s="1"/>
  <c r="R266" i="38"/>
  <c r="R262" i="38"/>
  <c r="R279" i="38"/>
  <c r="S266" i="38" l="1"/>
  <c r="S262" i="38"/>
  <c r="S279" i="38"/>
  <c r="T260" i="38"/>
  <c r="T261" i="38" s="1"/>
  <c r="U255" i="38"/>
  <c r="U258" i="38" s="1"/>
  <c r="T266" i="38" l="1"/>
  <c r="T262" i="38"/>
  <c r="T279" i="38"/>
  <c r="U260" i="38"/>
  <c r="U261" i="38" s="1"/>
  <c r="V255" i="38"/>
  <c r="V258" i="38" s="1"/>
  <c r="U266" i="38" l="1"/>
  <c r="U262" i="38"/>
  <c r="U279" i="38"/>
  <c r="V260" i="38"/>
  <c r="V261" i="38" s="1"/>
  <c r="W255" i="38"/>
  <c r="W258" i="38" s="1"/>
  <c r="V266" i="38" l="1"/>
  <c r="V262" i="38"/>
  <c r="V279" i="38"/>
  <c r="W260" i="38"/>
  <c r="W261" i="38" s="1"/>
  <c r="X255" i="38"/>
  <c r="X258" i="38" s="1"/>
  <c r="W266" i="38" l="1"/>
  <c r="W262" i="38"/>
  <c r="W279" i="38"/>
  <c r="X260" i="38"/>
  <c r="X261" i="38" s="1"/>
  <c r="Y255" i="38"/>
  <c r="Y258" i="38" s="1"/>
  <c r="X266" i="38" l="1"/>
  <c r="X262" i="38"/>
  <c r="X279" i="38"/>
  <c r="Z255" i="38"/>
  <c r="Z258" i="38" s="1"/>
  <c r="Z260" i="38" s="1"/>
  <c r="Z261" i="38" s="1"/>
  <c r="Y260" i="38"/>
  <c r="Y261" i="38" s="1"/>
  <c r="Z266" i="38" l="1"/>
  <c r="Z262" i="38"/>
  <c r="Z279" i="38"/>
  <c r="Y266" i="38"/>
  <c r="Y262" i="38"/>
  <c r="Y279" i="38"/>
  <c r="V104" i="40"/>
  <c r="V105" i="40" s="1"/>
  <c r="V111" i="40" s="1"/>
  <c r="Y104" i="40"/>
  <c r="Y105" i="40" s="1"/>
  <c r="Y111" i="40" s="1"/>
  <c r="W104" i="40"/>
  <c r="W105" i="40" s="1"/>
  <c r="W111" i="40" s="1"/>
  <c r="H109" i="40"/>
  <c r="H104" i="40" s="1"/>
  <c r="P104" i="40"/>
  <c r="P105" i="40" s="1"/>
  <c r="P111" i="40" s="1"/>
  <c r="X104" i="40"/>
  <c r="X105" i="40" s="1"/>
  <c r="X111" i="40" s="1"/>
  <c r="T104" i="40"/>
  <c r="T105" i="40" s="1"/>
  <c r="T111" i="40" s="1"/>
  <c r="F109" i="40"/>
  <c r="F104" i="40" s="1"/>
  <c r="R104" i="40"/>
  <c r="R105" i="40" s="1"/>
  <c r="R111" i="40" s="1"/>
  <c r="Q104" i="40"/>
  <c r="Q105" i="40" s="1"/>
  <c r="Q111" i="40" s="1"/>
  <c r="G109" i="40"/>
  <c r="G104" i="40" s="1"/>
  <c r="G111" i="40"/>
  <c r="F14" i="28"/>
  <c r="O104" i="40"/>
  <c r="O105" i="40" s="1"/>
  <c r="O111" i="40" s="1"/>
  <c r="U104" i="40"/>
  <c r="U105" i="40" s="1"/>
  <c r="U111" i="40" s="1"/>
  <c r="N104" i="40"/>
  <c r="N105" i="40" s="1"/>
  <c r="N111" i="40" s="1"/>
  <c r="Z104" i="40"/>
  <c r="Z105" i="40" s="1"/>
  <c r="Z111" i="40" s="1"/>
  <c r="L104" i="40"/>
  <c r="L105" i="40" s="1"/>
  <c r="L111" i="40" s="1"/>
  <c r="M104" i="40"/>
  <c r="M105" i="40" s="1"/>
  <c r="M111" i="40" s="1"/>
  <c r="S104" i="40"/>
  <c r="S105" i="40" s="1"/>
  <c r="S111" i="40" s="1"/>
  <c r="J104" i="40"/>
  <c r="J105" i="40" s="1"/>
  <c r="J111" i="40" s="1"/>
  <c r="I104" i="40"/>
  <c r="I105" i="40" s="1"/>
  <c r="I111" i="40" s="1"/>
  <c r="K104" i="40"/>
  <c r="K105" i="40" s="1"/>
  <c r="K111" i="40" s="1"/>
  <c r="H111" i="40" l="1"/>
  <c r="H112" i="40" s="1"/>
  <c r="Z112" i="40"/>
  <c r="Z113" i="40"/>
  <c r="P112" i="40"/>
  <c r="P113" i="40"/>
  <c r="Y112" i="40"/>
  <c r="Y113" i="40"/>
  <c r="S113" i="40"/>
  <c r="S112" i="40"/>
  <c r="V112" i="40"/>
  <c r="V113" i="40"/>
  <c r="N112" i="40"/>
  <c r="N113" i="40"/>
  <c r="M113" i="40"/>
  <c r="M112" i="40"/>
  <c r="U112" i="40"/>
  <c r="U113" i="40"/>
  <c r="T112" i="40"/>
  <c r="T113" i="40"/>
  <c r="W113" i="40"/>
  <c r="W112" i="40"/>
  <c r="J112" i="40"/>
  <c r="J113" i="40"/>
  <c r="R112" i="40"/>
  <c r="R113" i="40"/>
  <c r="K113" i="40"/>
  <c r="G9" i="39" s="1"/>
  <c r="K112" i="40"/>
  <c r="I112" i="40"/>
  <c r="I113" i="40"/>
  <c r="L113" i="40"/>
  <c r="L112" i="40"/>
  <c r="O113" i="40"/>
  <c r="O112" i="40"/>
  <c r="Q112" i="40"/>
  <c r="Q113" i="40"/>
  <c r="X113" i="40"/>
  <c r="X112" i="40"/>
  <c r="G19" i="39"/>
  <c r="G112" i="40"/>
  <c r="G113" i="40"/>
  <c r="H113" i="40"/>
  <c r="F111" i="40"/>
  <c r="F113" i="40" l="1"/>
  <c r="F112" i="40"/>
  <c r="E14" i="28"/>
  <c r="G10" i="39"/>
  <c r="G20" i="39"/>
  <c r="E62" i="28"/>
  <c r="F62" i="28"/>
  <c r="L240" i="40"/>
  <c r="H240" i="40"/>
  <c r="I240" i="40"/>
  <c r="G240" i="40"/>
  <c r="K240" i="40"/>
  <c r="N240" i="40"/>
  <c r="O240" i="40"/>
  <c r="M240" i="40"/>
  <c r="F332" i="40"/>
  <c r="F361" i="40" s="1"/>
  <c r="F344" i="40" l="1"/>
  <c r="F345" i="40" l="1"/>
  <c r="K357" i="40" l="1"/>
  <c r="L15" i="28"/>
  <c r="L63" i="41"/>
  <c r="L64" i="41" s="1"/>
  <c r="L70" i="41" s="1"/>
  <c r="L138" i="41" s="1"/>
  <c r="H7" i="39"/>
  <c r="Q63" i="41"/>
  <c r="Q64" i="41" s="1"/>
  <c r="Q70" i="41" s="1"/>
  <c r="Q138" i="41" s="1"/>
  <c r="O63" i="41"/>
  <c r="O64" i="41" s="1"/>
  <c r="O70" i="41" s="1"/>
  <c r="O138" i="41" s="1"/>
  <c r="T63" i="41"/>
  <c r="T64" i="41" s="1"/>
  <c r="T70" i="41" s="1"/>
  <c r="T138" i="41" s="1"/>
  <c r="X63" i="41"/>
  <c r="X64" i="41" s="1"/>
  <c r="X70" i="41" s="1"/>
  <c r="X138" i="41" s="1"/>
  <c r="W63" i="41"/>
  <c r="W64" i="41" s="1"/>
  <c r="W70" i="41" s="1"/>
  <c r="W138" i="41" s="1"/>
  <c r="J63" i="41"/>
  <c r="J64" i="41" s="1"/>
  <c r="J70" i="41" s="1"/>
  <c r="J138" i="41" s="1"/>
  <c r="U63" i="41"/>
  <c r="U64" i="41" s="1"/>
  <c r="U70" i="41" s="1"/>
  <c r="U138" i="41" s="1"/>
  <c r="N63" i="41"/>
  <c r="N64" i="41" s="1"/>
  <c r="N70" i="41" s="1"/>
  <c r="N138" i="41" s="1"/>
  <c r="F68" i="41"/>
  <c r="F63" i="41" s="1"/>
  <c r="F64" i="41" s="1"/>
  <c r="F70" i="41" s="1"/>
  <c r="I63" i="41"/>
  <c r="I64" i="41" s="1"/>
  <c r="I70" i="41" s="1"/>
  <c r="I138" i="41" s="1"/>
  <c r="H68" i="41"/>
  <c r="H63" i="41" s="1"/>
  <c r="H64" i="41" s="1"/>
  <c r="H70" i="41" s="1"/>
  <c r="P63" i="41"/>
  <c r="P64" i="41" s="1"/>
  <c r="P70" i="41" s="1"/>
  <c r="P138" i="41" s="1"/>
  <c r="Z63" i="41"/>
  <c r="Z64" i="41" s="1"/>
  <c r="Z70" i="41" s="1"/>
  <c r="Z138" i="41" s="1"/>
  <c r="M63" i="41"/>
  <c r="M64" i="41" s="1"/>
  <c r="M70" i="41" s="1"/>
  <c r="M138" i="41" s="1"/>
  <c r="R63" i="41"/>
  <c r="R64" i="41" s="1"/>
  <c r="R70" i="41" s="1"/>
  <c r="R138" i="41" s="1"/>
  <c r="Y63" i="41"/>
  <c r="Y64" i="41" s="1"/>
  <c r="Y70" i="41" s="1"/>
  <c r="Y138" i="41" s="1"/>
  <c r="S63" i="41"/>
  <c r="S64" i="41" s="1"/>
  <c r="S70" i="41" s="1"/>
  <c r="S138" i="41" s="1"/>
  <c r="G68" i="41"/>
  <c r="G63" i="41" s="1"/>
  <c r="G64" i="41" s="1"/>
  <c r="G70" i="41" s="1"/>
  <c r="V63" i="41"/>
  <c r="V64" i="41" s="1"/>
  <c r="V70" i="41" s="1"/>
  <c r="V138" i="41" s="1"/>
  <c r="H17" i="39"/>
  <c r="S72" i="41" l="1"/>
  <c r="S71" i="41"/>
  <c r="E17" i="39"/>
  <c r="E81" i="39" s="1"/>
  <c r="F72" i="41"/>
  <c r="F71" i="41"/>
  <c r="G15" i="28"/>
  <c r="R71" i="41"/>
  <c r="R72" i="41"/>
  <c r="H72" i="41"/>
  <c r="H71" i="41"/>
  <c r="I15" i="28"/>
  <c r="N71" i="41"/>
  <c r="N72" i="41"/>
  <c r="Y71" i="41"/>
  <c r="Y72" i="41"/>
  <c r="M71" i="41"/>
  <c r="M72" i="41"/>
  <c r="N15" i="28"/>
  <c r="P72" i="41"/>
  <c r="P71" i="41"/>
  <c r="X72" i="41"/>
  <c r="X71" i="41"/>
  <c r="H15" i="28"/>
  <c r="G71" i="41"/>
  <c r="G72" i="41"/>
  <c r="I71" i="41"/>
  <c r="I72" i="41"/>
  <c r="J15" i="28"/>
  <c r="J71" i="41"/>
  <c r="J72" i="41"/>
  <c r="K15" i="28"/>
  <c r="V71" i="41"/>
  <c r="V72" i="41"/>
  <c r="O72" i="41"/>
  <c r="O71" i="41"/>
  <c r="Z71" i="41"/>
  <c r="Z72" i="41"/>
  <c r="U71" i="41"/>
  <c r="U72" i="41"/>
  <c r="W72" i="41"/>
  <c r="W71" i="41"/>
  <c r="Q71" i="41"/>
  <c r="Q72" i="41"/>
  <c r="T72" i="41"/>
  <c r="T71" i="41"/>
  <c r="L72" i="41"/>
  <c r="L71" i="41"/>
  <c r="M15" i="28"/>
  <c r="E7" i="39"/>
  <c r="K18" i="28"/>
  <c r="J18" i="28"/>
  <c r="X113" i="41"/>
  <c r="I18" i="28"/>
  <c r="H135" i="41"/>
  <c r="M18" i="28"/>
  <c r="P113" i="41"/>
  <c r="Z113" i="41"/>
  <c r="O113" i="41"/>
  <c r="G113" i="41"/>
  <c r="G114" i="41"/>
  <c r="V113" i="41"/>
  <c r="R113" i="41"/>
  <c r="M113" i="41"/>
  <c r="H113" i="41"/>
  <c r="H114" i="41"/>
  <c r="L18" i="28"/>
  <c r="N18" i="28"/>
  <c r="N113" i="41"/>
  <c r="W113" i="41"/>
  <c r="J113" i="41"/>
  <c r="Y113" i="41"/>
  <c r="S113" i="41"/>
  <c r="Q113" i="41"/>
  <c r="L113" i="41"/>
  <c r="F114" i="41"/>
  <c r="Y214" i="41"/>
  <c r="Y217" i="41" s="1"/>
  <c r="I113" i="41"/>
  <c r="U113" i="41"/>
  <c r="T113" i="41"/>
  <c r="T214" i="41"/>
  <c r="T217" i="41" s="1"/>
  <c r="N214" i="41"/>
  <c r="H10" i="39"/>
  <c r="S214" i="41"/>
  <c r="S217" i="41" s="1"/>
  <c r="Q214" i="41"/>
  <c r="K113" i="41"/>
  <c r="H9" i="39"/>
  <c r="W214" i="41"/>
  <c r="W217" i="41" s="1"/>
  <c r="V214" i="41"/>
  <c r="V217" i="41" s="1"/>
  <c r="Z214" i="41"/>
  <c r="Z217" i="41" s="1"/>
  <c r="R214" i="41"/>
  <c r="J214" i="41"/>
  <c r="J217" i="41" s="1"/>
  <c r="K14" i="28"/>
  <c r="I214" i="41"/>
  <c r="I217" i="41" s="1"/>
  <c r="I286" i="41" s="1"/>
  <c r="M214" i="41"/>
  <c r="M217" i="41" s="1"/>
  <c r="X214" i="41"/>
  <c r="X217" i="41" s="1"/>
  <c r="O214" i="41"/>
  <c r="K214" i="41"/>
  <c r="H14" i="28"/>
  <c r="G14" i="28"/>
  <c r="U214" i="41"/>
  <c r="U217" i="41" s="1"/>
  <c r="M14" i="28"/>
  <c r="F132" i="41"/>
  <c r="F134" i="41" s="1"/>
  <c r="L14" i="28"/>
  <c r="G132" i="41"/>
  <c r="G134" i="41" s="1"/>
  <c r="N14" i="28"/>
  <c r="J14" i="28"/>
  <c r="P214" i="41"/>
  <c r="G105" i="41"/>
  <c r="F105" i="41"/>
  <c r="F106" i="41" s="1"/>
  <c r="F113" i="41" s="1"/>
  <c r="H214" i="41"/>
  <c r="H217" i="41" s="1"/>
  <c r="L214" i="41"/>
  <c r="L217" i="41" s="1"/>
  <c r="H105" i="41"/>
  <c r="I14" i="28"/>
  <c r="H19" i="39"/>
  <c r="H20" i="39"/>
  <c r="H62" i="39" s="1"/>
  <c r="K217" i="41" l="1"/>
  <c r="K286" i="41" s="1"/>
  <c r="H246" i="41"/>
  <c r="H260" i="41"/>
  <c r="H286" i="41"/>
  <c r="L246" i="41"/>
  <c r="L260" i="41"/>
  <c r="L286" i="41"/>
  <c r="E20" i="39"/>
  <c r="E19" i="39"/>
  <c r="H18" i="28"/>
  <c r="G135" i="41"/>
  <c r="G136" i="41"/>
  <c r="M260" i="41"/>
  <c r="M286" i="41"/>
  <c r="F136" i="41"/>
  <c r="G18" i="28"/>
  <c r="F135" i="41"/>
  <c r="I259" i="41"/>
  <c r="I272" i="41" s="1"/>
  <c r="K246" i="41"/>
  <c r="K260" i="41"/>
  <c r="I260" i="41"/>
  <c r="I246" i="41"/>
  <c r="J246" i="41"/>
  <c r="J260" i="41"/>
  <c r="J286" i="41"/>
  <c r="T22" i="48"/>
  <c r="E9" i="39"/>
  <c r="H13" i="39"/>
  <c r="T24" i="48" s="1"/>
  <c r="E10" i="39"/>
  <c r="I273" i="41" l="1"/>
  <c r="I288" i="41"/>
  <c r="H259" i="41"/>
  <c r="H272" i="41" s="1"/>
  <c r="M288" i="41"/>
  <c r="M273" i="41"/>
  <c r="H288" i="41"/>
  <c r="H273" i="41"/>
  <c r="K273" i="41"/>
  <c r="K288" i="41"/>
  <c r="L273" i="41"/>
  <c r="L288" i="41"/>
  <c r="J288" i="41"/>
  <c r="J273" i="41"/>
  <c r="T39" i="48" l="1"/>
  <c r="T44" i="48" l="1"/>
  <c r="T19" i="32" l="1"/>
  <c r="AE53" i="32" l="1"/>
  <c r="T90" i="48"/>
  <c r="W175" i="41"/>
  <c r="M296" i="41"/>
  <c r="M308" i="41"/>
  <c r="M309" i="41" s="1"/>
  <c r="Q175" i="41"/>
  <c r="X175" i="41"/>
  <c r="P175" i="41"/>
  <c r="P5" i="42"/>
  <c r="N205" i="41"/>
  <c r="Q5" i="42" s="1"/>
  <c r="H175" i="41"/>
  <c r="T296" i="41"/>
  <c r="T175" i="41"/>
  <c r="P203" i="41"/>
  <c r="M175" i="41"/>
  <c r="V175" i="41"/>
  <c r="U175" i="41"/>
  <c r="N309" i="41"/>
  <c r="N296" i="41"/>
  <c r="N308" i="41" s="1"/>
  <c r="Y175" i="41"/>
  <c r="Z175" i="41"/>
  <c r="U296" i="41"/>
  <c r="O205" i="41"/>
  <c r="R5" i="42"/>
  <c r="R205" i="41"/>
  <c r="U5" i="42" s="1"/>
  <c r="Q296" i="41"/>
  <c r="Q308" i="41" s="1"/>
  <c r="O175" i="41"/>
  <c r="G203" i="41"/>
  <c r="G205" i="41" s="1"/>
  <c r="G296" i="41"/>
  <c r="G308" i="41"/>
  <c r="R175" i="41"/>
  <c r="U205" i="41"/>
  <c r="X5" i="42"/>
  <c r="L175" i="41"/>
  <c r="O296" i="41"/>
  <c r="O308" i="41" s="1"/>
  <c r="R296" i="41"/>
  <c r="R308" i="41" s="1"/>
  <c r="K175" i="41"/>
  <c r="K296" i="41"/>
  <c r="N175" i="41"/>
  <c r="T205" i="41"/>
  <c r="W5" i="42"/>
  <c r="Q205" i="41"/>
  <c r="T5" i="42" s="1"/>
  <c r="S175" i="41"/>
  <c r="H296" i="41"/>
  <c r="H308" i="41"/>
  <c r="H309" i="41" s="1"/>
  <c r="F203" i="41"/>
  <c r="F205" i="41" s="1"/>
  <c r="F296" i="41"/>
  <c r="F325" i="41"/>
  <c r="F308" i="41" l="1"/>
  <c r="T44" i="42"/>
  <c r="T43" i="42"/>
  <c r="R309" i="41"/>
  <c r="R316" i="41"/>
  <c r="U32" i="42" s="1"/>
  <c r="W43" i="42"/>
  <c r="W44" i="42"/>
  <c r="O309" i="41"/>
  <c r="O316" i="41" s="1"/>
  <c r="R32" i="42" s="1"/>
  <c r="H325" i="41"/>
  <c r="Q309" i="41"/>
  <c r="Q316" i="41" s="1"/>
  <c r="T32" i="42" s="1"/>
  <c r="K325" i="41"/>
  <c r="K308" i="41"/>
  <c r="T303" i="41"/>
  <c r="T325" i="41"/>
  <c r="T308" i="41"/>
  <c r="R303" i="41"/>
  <c r="R325" i="41"/>
  <c r="O325" i="41"/>
  <c r="O303" i="41"/>
  <c r="G325" i="41"/>
  <c r="U44" i="42"/>
  <c r="U43" i="42"/>
  <c r="R44" i="42"/>
  <c r="R43" i="42"/>
  <c r="X44" i="42"/>
  <c r="X43" i="42"/>
  <c r="G309" i="41"/>
  <c r="L321" i="41" s="1"/>
  <c r="Q303" i="41"/>
  <c r="Q325" i="41"/>
  <c r="U325" i="41"/>
  <c r="U303" i="41"/>
  <c r="U308" i="41"/>
  <c r="N316" i="41"/>
  <c r="Q32" i="42" s="1"/>
  <c r="P296" i="41"/>
  <c r="P205" i="41"/>
  <c r="S5" i="42" s="1"/>
  <c r="N303" i="41"/>
  <c r="N325" i="41"/>
  <c r="N331" i="41" s="1"/>
  <c r="Q44" i="42"/>
  <c r="Q43" i="42"/>
  <c r="P43" i="42"/>
  <c r="P44" i="42"/>
  <c r="M325" i="41"/>
  <c r="T309" i="41" l="1"/>
  <c r="T316" i="41" s="1"/>
  <c r="W32" i="42" s="1"/>
  <c r="U309" i="41"/>
  <c r="U316" i="41" s="1"/>
  <c r="X32" i="42" s="1"/>
  <c r="P303" i="41"/>
  <c r="P325" i="41"/>
  <c r="P308" i="41"/>
  <c r="K309" i="41"/>
  <c r="S44" i="42"/>
  <c r="S43" i="42"/>
  <c r="F309" i="41"/>
  <c r="P309" i="41" l="1"/>
  <c r="P316" i="41" s="1"/>
  <c r="S32" i="42" s="1"/>
  <c r="H310" i="41"/>
  <c r="K321" i="41"/>
  <c r="M321" i="41"/>
  <c r="J62" i="28"/>
  <c r="F175" i="41"/>
  <c r="G260" i="41"/>
  <c r="G246" i="41"/>
  <c r="F246" i="41"/>
  <c r="F260" i="41"/>
  <c r="F288" i="41" s="1"/>
  <c r="G286" i="41"/>
  <c r="G259" i="41" s="1"/>
  <c r="G272" i="41" s="1"/>
  <c r="F286" i="41"/>
  <c r="H311" i="41" l="1"/>
  <c r="D286" i="41"/>
  <c r="F259" i="41"/>
  <c r="F272" i="41" s="1"/>
  <c r="F273" i="41"/>
  <c r="G288" i="41"/>
  <c r="D288" i="41" s="1"/>
  <c r="G273" i="41"/>
  <c r="M246" i="41"/>
  <c r="D246" i="41" s="1"/>
  <c r="M261" i="41"/>
  <c r="M274" i="41" l="1"/>
  <c r="M289" i="41"/>
  <c r="D289" i="41" s="1"/>
  <c r="D330" i="41"/>
  <c r="M301" i="41"/>
  <c r="M314" i="41" s="1"/>
  <c r="M302" i="41"/>
  <c r="M315" i="41" s="1"/>
  <c r="T324" i="41"/>
  <c r="T331" i="41" s="1"/>
  <c r="U324" i="41" s="1"/>
  <c r="U331" i="41" s="1"/>
  <c r="V324" i="41" s="1"/>
  <c r="K285" i="41"/>
  <c r="S285" i="41"/>
  <c r="S263" i="41"/>
  <c r="R285" i="41"/>
  <c r="R263" i="41"/>
  <c r="L285" i="41"/>
  <c r="S269" i="41"/>
  <c r="S276" i="41" s="1"/>
  <c r="V23" i="42" s="1"/>
  <c r="R269" i="41"/>
  <c r="R276" i="41" s="1"/>
  <c r="U23" i="42" s="1"/>
  <c r="F263" i="41"/>
  <c r="F268" i="41"/>
  <c r="I245" i="41"/>
  <c r="I256" i="41" s="1"/>
  <c r="R245" i="41"/>
  <c r="R247" i="41" s="1"/>
  <c r="U14" i="42" s="1"/>
  <c r="M245" i="41"/>
  <c r="M247" i="41" s="1"/>
  <c r="P14" i="42" s="1"/>
  <c r="J245" i="41"/>
  <c r="K269" i="41"/>
  <c r="O245" i="41"/>
  <c r="O256" i="41" s="1"/>
  <c r="H245" i="41"/>
  <c r="H256" i="41" s="1"/>
  <c r="N245" i="41"/>
  <c r="N247" i="41" s="1"/>
  <c r="Q14" i="42" s="1"/>
  <c r="N256" i="41"/>
  <c r="N268" i="41" s="1"/>
  <c r="S245" i="41"/>
  <c r="S247" i="41" s="1"/>
  <c r="V14" i="42" s="1"/>
  <c r="P245" i="41"/>
  <c r="P256" i="41" s="1"/>
  <c r="L269" i="41"/>
  <c r="Q245" i="41"/>
  <c r="Q247" i="41" s="1"/>
  <c r="T14" i="42" s="1"/>
  <c r="K245" i="41"/>
  <c r="K247" i="41" s="1"/>
  <c r="N14" i="42" s="1"/>
  <c r="G245" i="41"/>
  <c r="G247" i="41" s="1"/>
  <c r="J14" i="42" s="1"/>
  <c r="L245" i="41"/>
  <c r="L247" i="41" s="1"/>
  <c r="O14" i="42" s="1"/>
  <c r="F245" i="41"/>
  <c r="F285" i="41"/>
  <c r="F291" i="41" s="1"/>
  <c r="F276" i="41" l="1"/>
  <c r="I23" i="42" s="1"/>
  <c r="H247" i="41"/>
  <c r="K14" i="42" s="1"/>
  <c r="F269" i="41"/>
  <c r="K281" i="41" s="1"/>
  <c r="G284" i="41"/>
  <c r="F247" i="41"/>
  <c r="G256" i="41"/>
  <c r="N269" i="41"/>
  <c r="N276" i="41" s="1"/>
  <c r="Q23" i="42" s="1"/>
  <c r="O285" i="41"/>
  <c r="O263" i="41"/>
  <c r="O268" i="41"/>
  <c r="P263" i="41"/>
  <c r="P285" i="41"/>
  <c r="P268" i="41"/>
  <c r="Q256" i="41"/>
  <c r="N285" i="41"/>
  <c r="N263" i="41"/>
  <c r="J256" i="41"/>
  <c r="J247" i="41"/>
  <c r="M14" i="42" s="1"/>
  <c r="O247" i="41"/>
  <c r="R14" i="42" s="1"/>
  <c r="P247" i="41"/>
  <c r="S14" i="42" s="1"/>
  <c r="H263" i="41"/>
  <c r="H285" i="41"/>
  <c r="H268" i="41"/>
  <c r="M256" i="41"/>
  <c r="I247" i="41"/>
  <c r="L14" i="42" s="1"/>
  <c r="I285" i="41"/>
  <c r="I268" i="41"/>
  <c r="I263" i="41"/>
  <c r="M285" i="41" l="1"/>
  <c r="M268" i="41"/>
  <c r="J285" i="41"/>
  <c r="J268" i="41"/>
  <c r="Q263" i="41"/>
  <c r="Q285" i="41"/>
  <c r="Q268" i="41"/>
  <c r="P269" i="41"/>
  <c r="P276" i="41" s="1"/>
  <c r="S23" i="42" s="1"/>
  <c r="O269" i="41"/>
  <c r="O276" i="41" s="1"/>
  <c r="R23" i="42" s="1"/>
  <c r="I14" i="42"/>
  <c r="G263" i="41"/>
  <c r="G285" i="41"/>
  <c r="G268" i="41"/>
  <c r="G291" i="41"/>
  <c r="I269" i="41"/>
  <c r="I276" i="41"/>
  <c r="L23" i="42" s="1"/>
  <c r="H269" i="41"/>
  <c r="M281" i="41" s="1"/>
  <c r="H284" i="41" l="1"/>
  <c r="M269" i="41"/>
  <c r="J269" i="41"/>
  <c r="G269" i="41"/>
  <c r="G276" i="41" s="1"/>
  <c r="Q269" i="41"/>
  <c r="Q276" i="41" s="1"/>
  <c r="T23" i="42" s="1"/>
  <c r="J23" i="42" l="1"/>
  <c r="L281" i="41"/>
  <c r="H271" i="41" s="1"/>
  <c r="H270" i="41"/>
  <c r="H291" i="41"/>
  <c r="H276" i="41" l="1"/>
  <c r="I284" i="41"/>
  <c r="K23" i="42" l="1"/>
  <c r="I291" i="41"/>
  <c r="J284" i="41" l="1"/>
  <c r="T21" i="48"/>
  <c r="M18" i="39"/>
  <c r="K88" i="41"/>
  <c r="K89" i="41" s="1"/>
  <c r="H23" i="39"/>
  <c r="H26" i="39" s="1"/>
  <c r="T26" i="48" s="1"/>
  <c r="K84" i="41" l="1"/>
  <c r="K91" i="41"/>
  <c r="H28" i="39"/>
  <c r="H64" i="39" s="1"/>
  <c r="X88" i="41"/>
  <c r="X89" i="41" s="1"/>
  <c r="S88" i="41"/>
  <c r="S89" i="41" s="1"/>
  <c r="N88" i="41"/>
  <c r="N89" i="41" s="1"/>
  <c r="R88" i="41"/>
  <c r="R89" i="41" s="1"/>
  <c r="U88" i="41"/>
  <c r="U89" i="41" s="1"/>
  <c r="Y88" i="41"/>
  <c r="Y89" i="41" s="1"/>
  <c r="T88" i="41"/>
  <c r="T89" i="41" s="1"/>
  <c r="Q88" i="41"/>
  <c r="Q89" i="41" s="1"/>
  <c r="J88" i="41"/>
  <c r="J89" i="41" s="1"/>
  <c r="O88" i="41"/>
  <c r="O89" i="41" s="1"/>
  <c r="V88" i="41"/>
  <c r="V89" i="41" s="1"/>
  <c r="W88" i="41"/>
  <c r="W89" i="41" s="1"/>
  <c r="P88" i="41"/>
  <c r="P89" i="41" s="1"/>
  <c r="H88" i="41"/>
  <c r="H89" i="41" s="1"/>
  <c r="M88" i="41"/>
  <c r="M89" i="41" s="1"/>
  <c r="L88" i="41"/>
  <c r="L89" i="41" s="1"/>
  <c r="Z88" i="41"/>
  <c r="Z89" i="41" s="1"/>
  <c r="F88" i="41"/>
  <c r="F89" i="41" s="1"/>
  <c r="I88" i="41"/>
  <c r="I89" i="41" s="1"/>
  <c r="G88" i="41"/>
  <c r="G89" i="41" s="1"/>
  <c r="M17" i="39"/>
  <c r="M16" i="39"/>
  <c r="M15" i="39"/>
  <c r="M20" i="39"/>
  <c r="M19" i="39"/>
  <c r="M52" i="39"/>
  <c r="M36" i="39"/>
  <c r="M62" i="39" l="1"/>
  <c r="U84" i="41"/>
  <c r="U91" i="41"/>
  <c r="X91" i="41"/>
  <c r="X84" i="41"/>
  <c r="P91" i="41"/>
  <c r="P84" i="41"/>
  <c r="W91" i="41"/>
  <c r="W84" i="41"/>
  <c r="T47" i="48"/>
  <c r="T17" i="32"/>
  <c r="Z84" i="41"/>
  <c r="Z91" i="41"/>
  <c r="L84" i="41"/>
  <c r="L91" i="41"/>
  <c r="R91" i="41"/>
  <c r="R84" i="41"/>
  <c r="I91" i="41"/>
  <c r="I84" i="41"/>
  <c r="M84" i="41"/>
  <c r="M91" i="41"/>
  <c r="V84" i="41"/>
  <c r="V91" i="41"/>
  <c r="T84" i="41"/>
  <c r="T91" i="41"/>
  <c r="N91" i="41"/>
  <c r="N84" i="41"/>
  <c r="K92" i="41"/>
  <c r="K93" i="41"/>
  <c r="J84" i="41"/>
  <c r="J91" i="41"/>
  <c r="G84" i="41"/>
  <c r="G91" i="41"/>
  <c r="Q84" i="41"/>
  <c r="Q91" i="41"/>
  <c r="F84" i="41"/>
  <c r="F91" i="41"/>
  <c r="H84" i="41"/>
  <c r="H91" i="41"/>
  <c r="O91" i="41"/>
  <c r="O84" i="41"/>
  <c r="Y91" i="41"/>
  <c r="Y84" i="41"/>
  <c r="S84" i="41"/>
  <c r="S91" i="41"/>
  <c r="S92" i="41" l="1"/>
  <c r="S93" i="41"/>
  <c r="F93" i="41"/>
  <c r="F92" i="41"/>
  <c r="G92" i="41"/>
  <c r="G93" i="41"/>
  <c r="R93" i="41"/>
  <c r="R92" i="41"/>
  <c r="W92" i="41"/>
  <c r="W93" i="41"/>
  <c r="N143" i="41"/>
  <c r="X143" i="41"/>
  <c r="S143" i="41"/>
  <c r="O143" i="41"/>
  <c r="W143" i="41"/>
  <c r="Z143" i="41"/>
  <c r="R143" i="41"/>
  <c r="P143" i="41"/>
  <c r="T143" i="41"/>
  <c r="Q143" i="41"/>
  <c r="H143" i="41"/>
  <c r="I143" i="41"/>
  <c r="L143" i="41"/>
  <c r="Y143" i="41"/>
  <c r="G143" i="41"/>
  <c r="U143" i="41"/>
  <c r="K143" i="41"/>
  <c r="M143" i="41"/>
  <c r="V143" i="41"/>
  <c r="J143" i="41"/>
  <c r="R146" i="41"/>
  <c r="S146" i="41"/>
  <c r="S147" i="41" s="1"/>
  <c r="N146" i="41"/>
  <c r="Q146" i="41"/>
  <c r="U146" i="41"/>
  <c r="U147" i="41" s="1"/>
  <c r="Y146" i="41"/>
  <c r="Y147" i="41" s="1"/>
  <c r="AE51" i="32"/>
  <c r="AE59" i="32" s="1"/>
  <c r="T88" i="48"/>
  <c r="W146" i="41"/>
  <c r="W147" i="41" s="1"/>
  <c r="X146" i="41"/>
  <c r="X147" i="41" s="1"/>
  <c r="M146" i="41"/>
  <c r="G146" i="41"/>
  <c r="L146" i="41"/>
  <c r="P146" i="41"/>
  <c r="P147" i="41" s="1"/>
  <c r="T146" i="41"/>
  <c r="O146" i="41"/>
  <c r="O147" i="41" s="1"/>
  <c r="K146" i="41"/>
  <c r="I146" i="41"/>
  <c r="T26" i="32"/>
  <c r="T96" i="48" s="1"/>
  <c r="F146" i="41"/>
  <c r="J146" i="41"/>
  <c r="Z146" i="41"/>
  <c r="Z147" i="41" s="1"/>
  <c r="F143" i="41"/>
  <c r="F144" i="41" s="1"/>
  <c r="G141" i="41" s="1"/>
  <c r="G144" i="41" s="1"/>
  <c r="H141" i="41" s="1"/>
  <c r="H144" i="41" s="1"/>
  <c r="I141" i="41" s="1"/>
  <c r="V146" i="41"/>
  <c r="V147" i="41" s="1"/>
  <c r="H146" i="41"/>
  <c r="U93" i="41"/>
  <c r="U92" i="41"/>
  <c r="T93" i="41"/>
  <c r="T92" i="41"/>
  <c r="M92" i="41"/>
  <c r="M93" i="41"/>
  <c r="Z92" i="41"/>
  <c r="Z93" i="41"/>
  <c r="O92" i="41"/>
  <c r="O93" i="41"/>
  <c r="X92" i="41"/>
  <c r="X93" i="41"/>
  <c r="H92" i="41"/>
  <c r="H93" i="41"/>
  <c r="Q93" i="41"/>
  <c r="Q92" i="41"/>
  <c r="J92" i="41"/>
  <c r="J93" i="41"/>
  <c r="V93" i="41"/>
  <c r="V92" i="41"/>
  <c r="L92" i="41"/>
  <c r="L93" i="41"/>
  <c r="Y92" i="41"/>
  <c r="Y93" i="41"/>
  <c r="N93" i="41"/>
  <c r="N92" i="41"/>
  <c r="I92" i="41"/>
  <c r="I93" i="41"/>
  <c r="P92" i="41"/>
  <c r="P93" i="41"/>
  <c r="R147" i="41" l="1"/>
  <c r="J147" i="41"/>
  <c r="J326" i="41"/>
  <c r="W148" i="41"/>
  <c r="W152" i="41"/>
  <c r="U152" i="41"/>
  <c r="U148" i="41"/>
  <c r="V152" i="41"/>
  <c r="V148" i="41"/>
  <c r="F147" i="41"/>
  <c r="G62" i="28" s="1"/>
  <c r="O152" i="41"/>
  <c r="O148" i="41"/>
  <c r="G147" i="41"/>
  <c r="H62" i="28" s="1"/>
  <c r="U88" i="48"/>
  <c r="Q147" i="41"/>
  <c r="K147" i="41"/>
  <c r="R148" i="41"/>
  <c r="R152" i="41"/>
  <c r="U89" i="48"/>
  <c r="U93" i="48"/>
  <c r="U95" i="48"/>
  <c r="U92" i="48"/>
  <c r="U94" i="48"/>
  <c r="U90" i="48"/>
  <c r="U91" i="48"/>
  <c r="T147" i="41"/>
  <c r="M147" i="41"/>
  <c r="N147" i="41"/>
  <c r="H326" i="41"/>
  <c r="H147" i="41"/>
  <c r="L147" i="41"/>
  <c r="L326" i="41"/>
  <c r="F148" i="41"/>
  <c r="Z152" i="41"/>
  <c r="Z148" i="41"/>
  <c r="I147" i="41"/>
  <c r="I148" i="41" s="1"/>
  <c r="I326" i="41"/>
  <c r="I299" i="41" s="1"/>
  <c r="I312" i="41" s="1"/>
  <c r="P148" i="41"/>
  <c r="P152" i="41"/>
  <c r="X148" i="41"/>
  <c r="X152" i="41"/>
  <c r="Y152" i="41"/>
  <c r="Y148" i="41"/>
  <c r="S152" i="41"/>
  <c r="S148" i="41"/>
  <c r="G148" i="41" l="1"/>
  <c r="N152" i="41"/>
  <c r="N148" i="41"/>
  <c r="Q152" i="41"/>
  <c r="Q148" i="41"/>
  <c r="D326" i="41"/>
  <c r="F331" i="41"/>
  <c r="L152" i="41"/>
  <c r="L148" i="41"/>
  <c r="M62" i="28"/>
  <c r="M148" i="41"/>
  <c r="N62" i="28"/>
  <c r="M152" i="41"/>
  <c r="M300" i="41" s="1"/>
  <c r="K148" i="41"/>
  <c r="L62" i="28"/>
  <c r="K152" i="41"/>
  <c r="H299" i="41"/>
  <c r="T152" i="41"/>
  <c r="T148" i="41"/>
  <c r="I62" i="28"/>
  <c r="H148" i="41"/>
  <c r="H152" i="41"/>
  <c r="J148" i="41"/>
  <c r="J152" i="41"/>
  <c r="K300" i="41" l="1"/>
  <c r="K162" i="41"/>
  <c r="K173" i="41" s="1"/>
  <c r="K204" i="41" s="1"/>
  <c r="K205" i="41" s="1"/>
  <c r="N5" i="42" s="1"/>
  <c r="J32" i="42"/>
  <c r="J300" i="41"/>
  <c r="J162" i="41"/>
  <c r="J173" i="41" s="1"/>
  <c r="J204" i="41" s="1"/>
  <c r="K62" i="28"/>
  <c r="H300" i="41"/>
  <c r="H162" i="41"/>
  <c r="H173" i="41" s="1"/>
  <c r="H204" i="41" s="1"/>
  <c r="H205" i="41" s="1"/>
  <c r="K5" i="42" s="1"/>
  <c r="H303" i="41"/>
  <c r="H312" i="41"/>
  <c r="J5" i="42"/>
  <c r="M328" i="41"/>
  <c r="M313" i="41"/>
  <c r="L162" i="41"/>
  <c r="L173" i="41" s="1"/>
  <c r="L300" i="41"/>
  <c r="J44" i="42" l="1"/>
  <c r="J43" i="42"/>
  <c r="G328" i="41"/>
  <c r="K44" i="42"/>
  <c r="K43" i="42"/>
  <c r="N43" i="42"/>
  <c r="I5" i="42"/>
  <c r="L328" i="41"/>
  <c r="L313" i="41"/>
  <c r="H313" i="41"/>
  <c r="H316" i="41" s="1"/>
  <c r="H328" i="41"/>
  <c r="H331" i="41" s="1"/>
  <c r="J328" i="41"/>
  <c r="J313" i="41"/>
  <c r="K313" i="41"/>
  <c r="K328" i="41"/>
  <c r="I32" i="42"/>
  <c r="G331" i="41" l="1"/>
  <c r="D328" i="41"/>
  <c r="K32" i="42"/>
  <c r="I44" i="42"/>
  <c r="I43" i="42"/>
  <c r="J50" i="42" l="1"/>
  <c r="K50" i="42"/>
  <c r="I50" i="42"/>
  <c r="R284" i="41"/>
  <c r="R291" i="41"/>
  <c r="S284" i="41"/>
  <c r="S291" i="41" s="1"/>
  <c r="T284" i="41" s="1"/>
  <c r="R68" i="31"/>
  <c r="S68" i="31"/>
  <c r="Q68" i="31"/>
  <c r="O68" i="31"/>
  <c r="U68" i="31"/>
  <c r="M68" i="31"/>
  <c r="F68" i="31"/>
  <c r="T68" i="31"/>
  <c r="P68" i="31"/>
  <c r="N68" i="31"/>
  <c r="T70" i="31"/>
  <c r="R70" i="31"/>
  <c r="U70" i="31"/>
  <c r="Q70" i="31"/>
  <c r="T69" i="31"/>
  <c r="O69" i="31"/>
  <c r="O70" i="31"/>
  <c r="U69" i="31"/>
  <c r="M70" i="31"/>
  <c r="N70" i="31"/>
  <c r="M69" i="31"/>
  <c r="Q69" i="31"/>
  <c r="R69" i="31"/>
  <c r="N69" i="31"/>
  <c r="N6" i="39"/>
  <c r="N10" i="39"/>
  <c r="AV69" i="31"/>
  <c r="AZ69" i="31"/>
  <c r="BB70" i="31"/>
  <c r="AY69" i="31"/>
  <c r="AU69" i="31"/>
  <c r="AW69" i="31"/>
  <c r="N8" i="39"/>
  <c r="AY70" i="31"/>
  <c r="AU70" i="31"/>
  <c r="N9" i="39"/>
  <c r="AZ70" i="31"/>
  <c r="AW70" i="31"/>
  <c r="BB69" i="31"/>
  <c r="AX70" i="31"/>
  <c r="AV70" i="31"/>
  <c r="N7" i="39"/>
  <c r="AX69" i="31"/>
  <c r="AK68" i="31"/>
  <c r="AJ68" i="31"/>
  <c r="AN68" i="31"/>
  <c r="AL68" i="31"/>
  <c r="AQ68" i="31"/>
  <c r="AM68" i="31"/>
  <c r="AP68" i="31"/>
  <c r="AR68" i="31"/>
  <c r="AO68" i="31"/>
  <c r="AJ69" i="31"/>
  <c r="AK69" i="31"/>
  <c r="L6" i="39"/>
  <c r="L9" i="39"/>
  <c r="AO70" i="31"/>
  <c r="AQ69" i="31"/>
  <c r="AM69" i="31"/>
  <c r="AO69" i="31"/>
  <c r="AL69" i="31"/>
  <c r="AQ70" i="31"/>
  <c r="AJ70" i="31"/>
  <c r="AK70" i="31"/>
  <c r="L7" i="39"/>
  <c r="AL70" i="31"/>
  <c r="AR69" i="31"/>
  <c r="AR70" i="31"/>
  <c r="L10" i="39"/>
  <c r="AM70" i="31"/>
  <c r="J6" i="39"/>
  <c r="Y70" i="31"/>
  <c r="AC69" i="31"/>
  <c r="J9" i="39"/>
  <c r="J8" i="39"/>
  <c r="Z69" i="31"/>
  <c r="AD69" i="31"/>
  <c r="Y69" i="31"/>
  <c r="AE70" i="31"/>
  <c r="J10" i="39"/>
  <c r="J7" i="39"/>
  <c r="AC70" i="31"/>
  <c r="E63" i="39"/>
  <c r="J47" i="39"/>
  <c r="Z70" i="31"/>
  <c r="AE69" i="31"/>
  <c r="AA69" i="31"/>
  <c r="AA70" i="31"/>
  <c r="AD70" i="31"/>
  <c r="AF70" i="31"/>
  <c r="AF69" i="31"/>
  <c r="AB68" i="31"/>
  <c r="Y68" i="31"/>
  <c r="Z68" i="31"/>
  <c r="G68" i="31"/>
  <c r="AF68" i="31"/>
  <c r="AE68" i="31"/>
  <c r="AD68" i="31"/>
  <c r="AA68" i="31"/>
  <c r="AC68" i="31"/>
  <c r="P241" i="41"/>
  <c r="K241" i="41"/>
  <c r="L241" i="41"/>
  <c r="N241" i="41"/>
  <c r="M241" i="41"/>
  <c r="O241" i="41"/>
  <c r="J241" i="41"/>
  <c r="X241" i="41"/>
  <c r="Z241" i="41"/>
  <c r="O142" i="40"/>
  <c r="M142" i="40"/>
  <c r="K142" i="40"/>
  <c r="S142" i="40"/>
  <c r="G142" i="40"/>
  <c r="Y142" i="40"/>
  <c r="P142" i="40"/>
  <c r="J142" i="40"/>
  <c r="L142" i="40"/>
  <c r="Q142" i="40"/>
  <c r="H142" i="40"/>
  <c r="X142" i="40"/>
  <c r="T142" i="40"/>
  <c r="R142" i="40"/>
  <c r="Z142" i="40"/>
  <c r="U142" i="40"/>
  <c r="I142" i="40"/>
  <c r="N142" i="40"/>
  <c r="W142" i="40"/>
  <c r="V142" i="40"/>
  <c r="AX63" i="31"/>
  <c r="O63" i="31"/>
  <c r="AZ63" i="31"/>
  <c r="M63" i="31"/>
  <c r="AJ63" i="31"/>
  <c r="BB63" i="31"/>
  <c r="BA63" i="31"/>
  <c r="P63" i="31"/>
  <c r="BC63" i="31"/>
  <c r="AK63" i="31"/>
  <c r="AD63" i="31"/>
  <c r="AU63" i="31"/>
  <c r="N63" i="31"/>
  <c r="AR63" i="31"/>
  <c r="Y63" i="31"/>
  <c r="AP63" i="31"/>
  <c r="AC63" i="31"/>
  <c r="AG63" i="31"/>
  <c r="Q63" i="31"/>
  <c r="R63" i="31"/>
  <c r="AF63" i="31"/>
  <c r="AV63" i="31"/>
  <c r="AO63" i="31"/>
  <c r="AM63" i="31"/>
  <c r="AB63" i="31"/>
  <c r="AY63" i="31"/>
  <c r="AE63" i="31"/>
  <c r="AN63" i="31"/>
  <c r="Z63" i="31"/>
  <c r="AW63" i="31"/>
  <c r="T63" i="31"/>
  <c r="AQ63" i="31"/>
  <c r="U63" i="31"/>
  <c r="AL63" i="31"/>
  <c r="AA63" i="31"/>
  <c r="S63" i="31"/>
  <c r="N344" i="38"/>
  <c r="T344" i="38"/>
  <c r="K344" i="38"/>
  <c r="Y344" i="38"/>
  <c r="H344" i="38"/>
  <c r="G344" i="38"/>
  <c r="Z344" i="38"/>
  <c r="S344" i="38"/>
  <c r="J344" i="38"/>
  <c r="X344" i="38"/>
  <c r="W344" i="38"/>
  <c r="M344" i="38"/>
  <c r="U344" i="38"/>
  <c r="V344" i="38"/>
  <c r="O344" i="38"/>
  <c r="I344" i="38"/>
  <c r="R344" i="38"/>
  <c r="P344" i="38"/>
  <c r="Q344" i="38"/>
  <c r="L344" i="38"/>
  <c r="V229" i="40"/>
  <c r="T229" i="40"/>
  <c r="K229" i="40"/>
  <c r="D229" i="40"/>
  <c r="L229" i="40"/>
  <c r="U229" i="40"/>
  <c r="Y229" i="40"/>
  <c r="X229" i="40"/>
  <c r="S229" i="40"/>
  <c r="N229" i="40"/>
  <c r="Z229" i="40"/>
  <c r="R229" i="40"/>
  <c r="H229" i="40"/>
  <c r="G229" i="40"/>
  <c r="J229" i="40"/>
  <c r="O229" i="40"/>
  <c r="Q229" i="40"/>
  <c r="P229" i="40"/>
  <c r="M229" i="40"/>
  <c r="I229" i="40"/>
  <c r="W229" i="40"/>
  <c r="Z230" i="40"/>
  <c r="D230" i="40"/>
  <c r="X230" i="40"/>
  <c r="O230" i="40"/>
  <c r="Q230" i="40"/>
  <c r="M230" i="40"/>
  <c r="K230" i="40"/>
  <c r="R230" i="40"/>
  <c r="W230" i="40"/>
  <c r="T230" i="40"/>
  <c r="N230" i="40"/>
  <c r="J230" i="40"/>
  <c r="I230" i="40"/>
  <c r="H230" i="40"/>
  <c r="Y230" i="40"/>
  <c r="V230" i="40"/>
  <c r="G230" i="40"/>
  <c r="U230" i="40"/>
  <c r="P230" i="40"/>
  <c r="S230" i="40"/>
  <c r="L230" i="40"/>
  <c r="S231" i="40"/>
  <c r="M231" i="40"/>
  <c r="V231" i="40"/>
  <c r="X231" i="40"/>
  <c r="N231" i="40"/>
  <c r="J231" i="40"/>
  <c r="I231" i="40"/>
  <c r="Z231" i="40"/>
  <c r="D231" i="40"/>
  <c r="G231" i="40"/>
  <c r="R231" i="40"/>
  <c r="K231" i="40"/>
  <c r="O231" i="40"/>
  <c r="P231" i="40"/>
  <c r="T231" i="40"/>
  <c r="U231" i="40"/>
  <c r="W231" i="40"/>
  <c r="Q231" i="40"/>
  <c r="L231" i="40"/>
  <c r="H231" i="40"/>
  <c r="Y231" i="40"/>
  <c r="P277" i="40"/>
  <c r="Z277" i="40"/>
  <c r="H277" i="40"/>
  <c r="I277" i="40"/>
  <c r="M277" i="40"/>
  <c r="W277" i="40"/>
  <c r="K277" i="40"/>
  <c r="X277" i="40"/>
  <c r="N277" i="40"/>
  <c r="R277" i="40"/>
  <c r="L277" i="40"/>
  <c r="Y277" i="40"/>
  <c r="U277" i="40"/>
  <c r="J277" i="40"/>
  <c r="V277" i="40"/>
  <c r="Q277" i="40"/>
  <c r="O277" i="40"/>
  <c r="S277" i="40"/>
  <c r="T277" i="40"/>
  <c r="G277" i="40"/>
  <c r="H300" i="38"/>
  <c r="L300" i="38"/>
  <c r="G300" i="38"/>
  <c r="W300" i="38"/>
  <c r="X300" i="38"/>
  <c r="Z300" i="38"/>
  <c r="T300" i="38"/>
  <c r="N300" i="38"/>
  <c r="V300" i="38"/>
  <c r="M300" i="38"/>
  <c r="P300" i="38"/>
  <c r="Y300" i="38"/>
  <c r="R300" i="38"/>
  <c r="K300" i="38"/>
  <c r="S300" i="38"/>
  <c r="Q300" i="38"/>
  <c r="D300" i="38"/>
  <c r="O300" i="38"/>
  <c r="I300" i="38"/>
  <c r="J300" i="38"/>
  <c r="U300" i="38"/>
  <c r="G298" i="38"/>
  <c r="U298" i="38"/>
  <c r="I298" i="38"/>
  <c r="W298" i="38"/>
  <c r="L298" i="38"/>
  <c r="N298" i="38"/>
  <c r="Y298" i="38"/>
  <c r="S298" i="38"/>
  <c r="K298" i="38"/>
  <c r="V298" i="38"/>
  <c r="P298" i="38"/>
  <c r="D298" i="38"/>
  <c r="X298" i="38"/>
  <c r="H298" i="38"/>
  <c r="J298" i="38"/>
  <c r="R298" i="38"/>
  <c r="M298" i="38"/>
  <c r="T298" i="38"/>
  <c r="Z298" i="38"/>
  <c r="O298" i="38"/>
  <c r="Q298" i="38"/>
  <c r="D297" i="38"/>
  <c r="X297" i="38"/>
  <c r="I297" i="38"/>
  <c r="T297" i="38"/>
  <c r="K297" i="38"/>
  <c r="V297" i="38"/>
  <c r="Y297" i="38"/>
  <c r="R297" i="38"/>
  <c r="L297" i="38"/>
  <c r="M297" i="38"/>
  <c r="O297" i="38"/>
  <c r="P297" i="38"/>
  <c r="U297" i="38"/>
  <c r="Q297" i="38"/>
  <c r="W297" i="38"/>
  <c r="N297" i="38"/>
  <c r="J297" i="38"/>
  <c r="Z297" i="38"/>
  <c r="G297" i="38"/>
  <c r="H297" i="38"/>
  <c r="S297" i="38"/>
  <c r="Z296" i="38"/>
  <c r="V296" i="38"/>
  <c r="M296" i="38"/>
  <c r="X296" i="38"/>
  <c r="G296" i="38"/>
  <c r="J296" i="38"/>
  <c r="T296" i="38"/>
  <c r="P296" i="38"/>
  <c r="D296" i="38"/>
  <c r="H296" i="38"/>
  <c r="R296" i="38"/>
  <c r="U296" i="38"/>
  <c r="O296" i="38"/>
  <c r="Q296" i="38"/>
  <c r="K296" i="38"/>
  <c r="S296" i="38"/>
  <c r="W296" i="38"/>
  <c r="N296" i="38"/>
  <c r="I296" i="38"/>
  <c r="Y296" i="38"/>
  <c r="L296" i="38"/>
  <c r="T49" i="42"/>
  <c r="L49" i="42"/>
  <c r="H49" i="42"/>
  <c r="W49" i="42"/>
  <c r="Q49" i="42"/>
  <c r="Y49" i="42"/>
  <c r="X49" i="42"/>
  <c r="O49" i="42"/>
  <c r="V49" i="42"/>
  <c r="S49" i="42"/>
  <c r="G49" i="42"/>
  <c r="U49" i="42"/>
  <c r="Z49" i="42"/>
  <c r="N49" i="42"/>
  <c r="K49" i="42"/>
  <c r="J49" i="42"/>
  <c r="M49" i="42"/>
  <c r="P49" i="42"/>
  <c r="I49" i="42"/>
  <c r="R49" i="42"/>
  <c r="L275" i="40"/>
  <c r="R275" i="40"/>
  <c r="Z275" i="40"/>
  <c r="N275" i="40"/>
  <c r="J275" i="40"/>
  <c r="S275" i="40"/>
  <c r="O275" i="40"/>
  <c r="P275" i="40"/>
  <c r="Q275" i="40"/>
  <c r="M275" i="40"/>
  <c r="V275" i="40"/>
  <c r="G275" i="40"/>
  <c r="T275" i="40"/>
  <c r="Y275" i="40"/>
  <c r="K275" i="40"/>
  <c r="I275" i="40"/>
  <c r="U275" i="40"/>
  <c r="H275" i="40"/>
  <c r="W275" i="40"/>
  <c r="D275" i="40"/>
  <c r="X275" i="40"/>
  <c r="Q272" i="40"/>
  <c r="H272" i="40"/>
  <c r="R272" i="40"/>
  <c r="Z272" i="40"/>
  <c r="N272" i="40"/>
  <c r="T272" i="40"/>
  <c r="G272" i="40"/>
  <c r="P272" i="40"/>
  <c r="U272" i="40"/>
  <c r="M272" i="40"/>
  <c r="J272" i="40"/>
  <c r="W272" i="40"/>
  <c r="L272" i="40"/>
  <c r="O272" i="40"/>
  <c r="I272" i="40"/>
  <c r="V272" i="40"/>
  <c r="K272" i="40"/>
  <c r="X272" i="40"/>
  <c r="Y272" i="40"/>
  <c r="S272" i="40"/>
  <c r="K274" i="40"/>
  <c r="Y274" i="40"/>
  <c r="Q274" i="40"/>
  <c r="O274" i="40"/>
  <c r="D274" i="40"/>
  <c r="S274" i="40"/>
  <c r="V274" i="40"/>
  <c r="J274" i="40"/>
  <c r="Z274" i="40"/>
  <c r="P274" i="40"/>
  <c r="X274" i="40"/>
  <c r="N274" i="40"/>
  <c r="U274" i="40"/>
  <c r="G274" i="40"/>
  <c r="H274" i="40"/>
  <c r="L274" i="40"/>
  <c r="I274" i="40"/>
  <c r="R274" i="40"/>
  <c r="M274" i="40"/>
  <c r="W274" i="40"/>
  <c r="T274" i="40"/>
  <c r="J273" i="40"/>
  <c r="I273" i="40"/>
  <c r="Q273" i="40"/>
  <c r="K273" i="40"/>
  <c r="W273" i="40"/>
  <c r="R273" i="40"/>
  <c r="D273" i="40"/>
  <c r="Y273" i="40"/>
  <c r="V273" i="40"/>
  <c r="X273" i="40"/>
  <c r="S273" i="40"/>
  <c r="Z273" i="40"/>
  <c r="H273" i="40"/>
  <c r="N273" i="40"/>
  <c r="O273" i="40"/>
  <c r="M273" i="40"/>
  <c r="P273" i="40"/>
  <c r="G273" i="40"/>
  <c r="T273" i="40"/>
  <c r="U273" i="40"/>
  <c r="L273" i="40"/>
  <c r="I341" i="38"/>
  <c r="V341" i="38"/>
  <c r="R341" i="38"/>
  <c r="Z341" i="38"/>
  <c r="P341" i="38"/>
  <c r="G341" i="38"/>
  <c r="U341" i="38"/>
  <c r="X341" i="38"/>
  <c r="Y341" i="38"/>
  <c r="W341" i="38"/>
  <c r="O341" i="38"/>
  <c r="S341" i="38"/>
  <c r="J341" i="38"/>
  <c r="Q341" i="38"/>
  <c r="N341" i="38"/>
  <c r="L341" i="38"/>
  <c r="K341" i="38"/>
  <c r="H341" i="38"/>
  <c r="D341" i="38"/>
  <c r="T341" i="38"/>
  <c r="M341" i="38"/>
  <c r="L340" i="38"/>
  <c r="I340" i="38"/>
  <c r="U340" i="38"/>
  <c r="Z340" i="38"/>
  <c r="M340" i="38"/>
  <c r="Q340" i="38"/>
  <c r="R340" i="38"/>
  <c r="Y340" i="38"/>
  <c r="V340" i="38"/>
  <c r="K340" i="38"/>
  <c r="N340" i="38"/>
  <c r="J340" i="38"/>
  <c r="W340" i="38"/>
  <c r="P340" i="38"/>
  <c r="S340" i="38"/>
  <c r="O340" i="38"/>
  <c r="T340" i="38"/>
  <c r="G340" i="38"/>
  <c r="X340" i="38"/>
  <c r="G233" i="40"/>
  <c r="K233" i="40"/>
  <c r="H233" i="40"/>
  <c r="Z233" i="40"/>
  <c r="L233" i="40"/>
  <c r="J233" i="40"/>
  <c r="S233" i="40"/>
  <c r="P233" i="40"/>
  <c r="V233" i="40"/>
  <c r="N233" i="40"/>
  <c r="O233" i="40"/>
  <c r="Q233" i="40"/>
  <c r="M233" i="40"/>
  <c r="X233" i="40"/>
  <c r="U233" i="40"/>
  <c r="I233" i="40"/>
  <c r="W233" i="40"/>
  <c r="Y233" i="40"/>
  <c r="T233" i="40"/>
  <c r="D233" i="40"/>
  <c r="R233" i="40"/>
  <c r="I342" i="38"/>
  <c r="O342" i="38"/>
  <c r="J342" i="38"/>
  <c r="M342" i="38"/>
  <c r="T342" i="38"/>
  <c r="Z342" i="38"/>
  <c r="X342" i="38"/>
  <c r="K342" i="38"/>
  <c r="W342" i="38"/>
  <c r="Y342" i="38"/>
  <c r="R342" i="38"/>
  <c r="G342" i="38"/>
  <c r="H342" i="38"/>
  <c r="S342" i="38"/>
  <c r="L342" i="38"/>
  <c r="U342" i="38"/>
  <c r="Q342" i="38"/>
  <c r="N342" i="38"/>
  <c r="P342" i="38"/>
  <c r="V342" i="38"/>
  <c r="I339" i="38"/>
  <c r="U339" i="38"/>
  <c r="J339" i="38"/>
  <c r="Z339" i="38"/>
  <c r="L339" i="38"/>
  <c r="N339" i="38"/>
  <c r="K339" i="38"/>
  <c r="V339" i="38"/>
  <c r="M339" i="38"/>
  <c r="Q339" i="38"/>
  <c r="R339" i="38"/>
  <c r="S339" i="38"/>
  <c r="G339" i="38"/>
  <c r="P339" i="38"/>
  <c r="O339" i="38"/>
  <c r="X339" i="38"/>
  <c r="Y339" i="38"/>
  <c r="T339" i="38"/>
  <c r="W339" i="38"/>
  <c r="U51" i="42"/>
  <c r="Q51" i="42"/>
  <c r="Y51" i="42"/>
  <c r="I51" i="42"/>
  <c r="R51" i="42"/>
  <c r="H51" i="42"/>
  <c r="F51" i="42"/>
  <c r="G51" i="42"/>
  <c r="J51" i="42"/>
  <c r="P51" i="42"/>
  <c r="Z51" i="42"/>
  <c r="O51" i="42"/>
  <c r="T51" i="42"/>
  <c r="S51" i="42"/>
  <c r="L51" i="42"/>
  <c r="X51" i="42"/>
  <c r="K51" i="42"/>
  <c r="M51" i="42"/>
  <c r="W51" i="42"/>
  <c r="N51" i="42"/>
  <c r="V51" i="42"/>
  <c r="O48" i="42"/>
  <c r="L48" i="42"/>
  <c r="G48" i="42"/>
  <c r="S48" i="42"/>
  <c r="I48" i="42"/>
  <c r="U48" i="42"/>
  <c r="Y48" i="42"/>
  <c r="F48" i="42"/>
  <c r="V48" i="42"/>
  <c r="R48" i="42"/>
  <c r="T48" i="42"/>
  <c r="J48" i="42"/>
  <c r="N48" i="42"/>
  <c r="Q48" i="42"/>
  <c r="M48" i="42"/>
  <c r="P48" i="42"/>
  <c r="H48" i="42"/>
  <c r="Z48" i="42"/>
  <c r="X48" i="42"/>
  <c r="K48" i="42"/>
  <c r="W48" i="42"/>
  <c r="W50" i="42"/>
  <c r="S50" i="42"/>
  <c r="N50" i="42"/>
  <c r="P50" i="42"/>
  <c r="L50" i="42"/>
  <c r="Z50" i="42"/>
  <c r="O50" i="42"/>
  <c r="Y50" i="42"/>
  <c r="R50" i="42"/>
  <c r="V50" i="42"/>
  <c r="M50" i="42"/>
  <c r="T50" i="42"/>
  <c r="Q50" i="42"/>
  <c r="U50" i="42"/>
  <c r="N44" i="42"/>
  <c r="X50" i="42"/>
  <c r="BA68" i="31"/>
  <c r="AU68" i="31"/>
  <c r="AV68" i="31"/>
  <c r="AX68" i="31"/>
  <c r="BB68" i="31"/>
  <c r="AZ68" i="31"/>
  <c r="AW68" i="31"/>
  <c r="F231" i="40"/>
  <c r="D224" i="40"/>
  <c r="F233" i="40"/>
  <c r="F229" i="40"/>
  <c r="F230" i="40"/>
  <c r="H252" i="40"/>
  <c r="H195" i="40"/>
  <c r="G20" i="28"/>
  <c r="H184" i="40"/>
  <c r="H185" i="40"/>
  <c r="Q193" i="41"/>
  <c r="V193" i="41"/>
  <c r="L193" i="41"/>
  <c r="T193" i="41"/>
  <c r="Y193" i="41"/>
  <c r="X193" i="41"/>
  <c r="U217" i="38"/>
  <c r="U221" i="38"/>
  <c r="U206" i="38"/>
  <c r="D291" i="38"/>
  <c r="F297" i="38"/>
  <c r="F298" i="38"/>
  <c r="F296" i="38"/>
  <c r="F300" i="38"/>
  <c r="U70" i="48"/>
  <c r="U73" i="48"/>
  <c r="U71" i="48"/>
  <c r="U72" i="48"/>
  <c r="T75" i="48"/>
  <c r="U69" i="48"/>
  <c r="S72" i="48"/>
  <c r="S69" i="48"/>
  <c r="S73" i="48"/>
  <c r="S71" i="48"/>
  <c r="R75" i="48"/>
  <c r="S70" i="48"/>
  <c r="L8" i="39"/>
  <c r="AN70" i="31"/>
  <c r="AN69" i="31"/>
  <c r="R22" i="48"/>
  <c r="G30" i="39"/>
  <c r="G46" i="39"/>
  <c r="G4" i="39"/>
  <c r="G3" i="39"/>
  <c r="E84" i="39"/>
  <c r="F84" i="39"/>
  <c r="F73" i="39"/>
  <c r="T40" i="48"/>
  <c r="BA69" i="31"/>
  <c r="BA70" i="31"/>
  <c r="N47" i="39"/>
  <c r="U98" i="48"/>
  <c r="U99" i="48"/>
  <c r="U103" i="48"/>
  <c r="U101" i="48"/>
  <c r="U100" i="48"/>
  <c r="AB69" i="31"/>
  <c r="AB70" i="31"/>
  <c r="P31" i="48"/>
  <c r="J31" i="39"/>
  <c r="P252" i="40"/>
  <c r="P185" i="40"/>
  <c r="P195" i="40"/>
  <c r="P199" i="40"/>
  <c r="Q206" i="38"/>
  <c r="N17" i="28"/>
  <c r="Q217" i="38"/>
  <c r="Q221" i="38"/>
  <c r="L20" i="28"/>
  <c r="M185" i="40"/>
  <c r="M252" i="40"/>
  <c r="M195" i="40"/>
  <c r="S79" i="48"/>
  <c r="S78" i="48"/>
  <c r="S77" i="48"/>
  <c r="S82" i="48"/>
  <c r="U252" i="40"/>
  <c r="U199" i="40"/>
  <c r="U195" i="40"/>
  <c r="U185" i="40"/>
  <c r="F112" i="39"/>
  <c r="F101" i="39"/>
  <c r="E112" i="39"/>
  <c r="N40" i="42"/>
  <c r="N39" i="42"/>
  <c r="I17" i="39"/>
  <c r="I20" i="39"/>
  <c r="I18" i="39"/>
  <c r="I52" i="39"/>
  <c r="I19" i="39"/>
  <c r="I16" i="39"/>
  <c r="F252" i="40"/>
  <c r="F185" i="40"/>
  <c r="F195" i="40"/>
  <c r="F184" i="40"/>
  <c r="E20" i="28"/>
  <c r="O325" i="40"/>
  <c r="O310" i="40"/>
  <c r="T217" i="38"/>
  <c r="T206" i="38"/>
  <c r="T221" i="38"/>
  <c r="F46" i="39"/>
  <c r="F4" i="39"/>
  <c r="F3" i="39"/>
  <c r="F30" i="39"/>
  <c r="X92" i="40"/>
  <c r="X91" i="40"/>
  <c r="R206" i="38"/>
  <c r="R221" i="38"/>
  <c r="R217" i="38"/>
  <c r="M39" i="42"/>
  <c r="M40" i="42"/>
  <c r="H40" i="42"/>
  <c r="H39" i="42"/>
  <c r="E116" i="28"/>
  <c r="O85" i="31"/>
  <c r="I56" i="28"/>
  <c r="V321" i="40"/>
  <c r="V299" i="40"/>
  <c r="R199" i="40"/>
  <c r="R252" i="40"/>
  <c r="R195" i="40"/>
  <c r="R185" i="40"/>
  <c r="M46" i="42"/>
  <c r="M6" i="42"/>
  <c r="M45" i="42"/>
  <c r="F127" i="39"/>
  <c r="F138" i="39"/>
  <c r="E138" i="39"/>
  <c r="P85" i="31"/>
  <c r="G117" i="28"/>
  <c r="H41" i="42"/>
  <c r="H42" i="42"/>
  <c r="G118" i="28"/>
  <c r="T85" i="31"/>
  <c r="J206" i="38"/>
  <c r="J207" i="38"/>
  <c r="H17" i="28"/>
  <c r="J217" i="38"/>
  <c r="F166" i="39"/>
  <c r="E163" i="39"/>
  <c r="E166" i="39"/>
  <c r="K28" i="28"/>
  <c r="Y195" i="40"/>
  <c r="Y252" i="40"/>
  <c r="Y185" i="40"/>
  <c r="Y199" i="40"/>
  <c r="F341" i="38"/>
  <c r="F339" i="38"/>
  <c r="F340" i="38"/>
  <c r="F342" i="38"/>
  <c r="Q39" i="42"/>
  <c r="Q40" i="42"/>
  <c r="S406" i="38"/>
  <c r="S428" i="38"/>
  <c r="O9" i="48"/>
  <c r="E62" i="39"/>
  <c r="O10" i="48"/>
  <c r="G252" i="40"/>
  <c r="G184" i="40"/>
  <c r="G195" i="40"/>
  <c r="G185" i="40"/>
  <c r="F20" i="28"/>
  <c r="D205" i="41"/>
  <c r="D208" i="41"/>
  <c r="X39" i="42"/>
  <c r="X40" i="42"/>
  <c r="E140" i="39"/>
  <c r="F129" i="39"/>
  <c r="F140" i="39"/>
  <c r="X303" i="41"/>
  <c r="X325" i="41"/>
  <c r="Z303" i="41"/>
  <c r="Z325" i="41"/>
  <c r="J339" i="40"/>
  <c r="J361" i="40"/>
  <c r="M17" i="28"/>
  <c r="P217" i="38"/>
  <c r="P206" i="38"/>
  <c r="L207" i="40"/>
  <c r="Q199" i="40"/>
  <c r="Q252" i="40"/>
  <c r="Q195" i="40"/>
  <c r="Q185" i="40"/>
  <c r="N388" i="38"/>
  <c r="N366" i="38"/>
  <c r="I17" i="28"/>
  <c r="K217" i="38"/>
  <c r="K206" i="38"/>
  <c r="K17" i="39"/>
  <c r="K36" i="39"/>
  <c r="K19" i="39"/>
  <c r="K16" i="39"/>
  <c r="K20" i="39"/>
  <c r="Z199" i="40"/>
  <c r="Z252" i="40"/>
  <c r="Z195" i="40"/>
  <c r="Z185" i="40"/>
  <c r="Q73" i="48"/>
  <c r="O75" i="48"/>
  <c r="W41" i="42"/>
  <c r="W42" i="42"/>
  <c r="F275" i="40"/>
  <c r="F274" i="40"/>
  <c r="F273" i="40"/>
  <c r="F272" i="40"/>
  <c r="O299" i="40"/>
  <c r="O321" i="40"/>
  <c r="L195" i="40"/>
  <c r="L185" i="40"/>
  <c r="K20" i="28"/>
  <c r="L252" i="40"/>
  <c r="Z44" i="42"/>
  <c r="Z43" i="42"/>
  <c r="X316" i="41"/>
  <c r="X308" i="41"/>
  <c r="X309" i="41"/>
  <c r="D350" i="38"/>
  <c r="D353" i="38"/>
  <c r="Z299" i="40"/>
  <c r="Z321" i="40"/>
  <c r="X269" i="41"/>
  <c r="X276" i="41"/>
  <c r="S69" i="31"/>
  <c r="S70" i="31"/>
  <c r="F98" i="39"/>
  <c r="F109" i="39"/>
  <c r="E109" i="39"/>
  <c r="D288" i="38"/>
  <c r="G291" i="38"/>
  <c r="J46" i="42"/>
  <c r="J45" i="42"/>
  <c r="U42" i="42"/>
  <c r="U41" i="42"/>
  <c r="O42" i="42"/>
  <c r="O41" i="42"/>
  <c r="X366" i="38"/>
  <c r="X388" i="38"/>
  <c r="K339" i="40"/>
  <c r="K361" i="40"/>
  <c r="Q68" i="48"/>
  <c r="O68" i="48"/>
  <c r="J58" i="28"/>
  <c r="J52" i="28"/>
  <c r="X268" i="41"/>
  <c r="X285" i="41"/>
  <c r="X263" i="41"/>
  <c r="D4" i="42"/>
  <c r="G41" i="42"/>
  <c r="G42" i="42"/>
  <c r="R13" i="48"/>
  <c r="E7" i="40"/>
  <c r="F35" i="32"/>
  <c r="AH57" i="32"/>
  <c r="I68" i="31"/>
  <c r="I232" i="40"/>
  <c r="E172" i="39"/>
  <c r="F161" i="39"/>
  <c r="F172" i="39"/>
  <c r="D241" i="40"/>
  <c r="D244" i="40"/>
  <c r="G4" i="42"/>
  <c r="I366" i="38"/>
  <c r="I388" i="38"/>
  <c r="G40" i="42"/>
  <c r="G39" i="42"/>
  <c r="N41" i="42"/>
  <c r="N42" i="42"/>
  <c r="D264" i="40"/>
  <c r="G268" i="40"/>
  <c r="S185" i="40"/>
  <c r="S195" i="40"/>
  <c r="S199" i="40"/>
  <c r="S252" i="40"/>
  <c r="Z58" i="32"/>
  <c r="S88" i="48"/>
  <c r="R88" i="48"/>
  <c r="O88" i="48"/>
  <c r="O43" i="42"/>
  <c r="O44" i="42"/>
  <c r="F40" i="42"/>
  <c r="F39" i="42"/>
  <c r="D3" i="42"/>
  <c r="X221" i="38"/>
  <c r="X206" i="38"/>
  <c r="X217" i="38"/>
  <c r="Q63" i="48"/>
  <c r="O63" i="48"/>
  <c r="E169" i="39"/>
  <c r="F169" i="39"/>
  <c r="F158" i="39"/>
  <c r="X185" i="40"/>
  <c r="X252" i="40"/>
  <c r="X199" i="40"/>
  <c r="X195" i="40"/>
  <c r="S305" i="40"/>
  <c r="E47" i="39"/>
  <c r="AP69" i="31"/>
  <c r="L47" i="39"/>
  <c r="AP70" i="31"/>
  <c r="R40" i="48"/>
  <c r="AH55" i="32"/>
  <c r="F33" i="32"/>
  <c r="L349" i="40"/>
  <c r="L199" i="40"/>
  <c r="L336" i="40"/>
  <c r="L364" i="40"/>
  <c r="V40" i="42"/>
  <c r="V39" i="42"/>
  <c r="E58" i="39"/>
  <c r="R44" i="48"/>
  <c r="R39" i="42"/>
  <c r="R40" i="42"/>
  <c r="P68" i="48"/>
  <c r="I299" i="38"/>
  <c r="H68" i="31"/>
  <c r="Z207" i="38"/>
  <c r="I46" i="42"/>
  <c r="I45" i="42"/>
  <c r="G35" i="32"/>
  <c r="AI57" i="32"/>
  <c r="H207" i="40"/>
  <c r="U147" i="40"/>
  <c r="U151" i="40"/>
  <c r="U79" i="48"/>
  <c r="U78" i="48"/>
  <c r="U77" i="48"/>
  <c r="U82" i="48"/>
  <c r="J252" i="40"/>
  <c r="J195" i="40"/>
  <c r="J185" i="40"/>
  <c r="I20" i="28"/>
  <c r="F80" i="39"/>
  <c r="F69" i="39"/>
  <c r="E80" i="39"/>
  <c r="G17" i="28"/>
  <c r="I217" i="38"/>
  <c r="I206" i="38"/>
  <c r="I207" i="38"/>
  <c r="W252" i="40"/>
  <c r="W199" i="40"/>
  <c r="W195" i="40"/>
  <c r="W185" i="40"/>
  <c r="S99" i="48"/>
  <c r="S103" i="48"/>
  <c r="S100" i="48"/>
  <c r="S98" i="48"/>
  <c r="S101" i="48"/>
  <c r="Q91" i="40"/>
  <c r="Q92" i="40"/>
  <c r="Z45" i="42"/>
  <c r="Z46" i="42"/>
  <c r="I185" i="40"/>
  <c r="I195" i="40"/>
  <c r="I252" i="40"/>
  <c r="H20" i="28"/>
  <c r="Z221" i="38"/>
  <c r="Z217" i="38"/>
  <c r="Z205" i="38"/>
  <c r="Z206" i="38"/>
  <c r="G388" i="38"/>
  <c r="G366" i="38"/>
  <c r="V195" i="40"/>
  <c r="V199" i="40"/>
  <c r="V185" i="40"/>
  <c r="V252" i="40"/>
  <c r="F131" i="39"/>
  <c r="E142" i="39"/>
  <c r="F142" i="39"/>
  <c r="R39" i="48"/>
  <c r="Q46" i="42"/>
  <c r="Q6" i="42"/>
  <c r="Q45" i="42"/>
  <c r="S207" i="38"/>
  <c r="F167" i="39"/>
  <c r="E167" i="39"/>
  <c r="F156" i="39"/>
  <c r="N206" i="38"/>
  <c r="N217" i="38"/>
  <c r="K17" i="28"/>
  <c r="E173" i="39"/>
  <c r="F173" i="39"/>
  <c r="F162" i="39"/>
  <c r="W217" i="38"/>
  <c r="W221" i="38"/>
  <c r="W206" i="38"/>
  <c r="O309" i="40"/>
  <c r="O324" i="40"/>
  <c r="F102" i="39"/>
  <c r="E113" i="39"/>
  <c r="F113" i="39"/>
  <c r="F111" i="39"/>
  <c r="P30" i="48"/>
  <c r="E111" i="39"/>
  <c r="N195" i="40"/>
  <c r="N185" i="40"/>
  <c r="M20" i="28"/>
  <c r="N252" i="40"/>
  <c r="F157" i="39"/>
  <c r="E168" i="39"/>
  <c r="F168" i="39"/>
  <c r="E13" i="39"/>
  <c r="G13" i="39"/>
  <c r="R24" i="48"/>
  <c r="Z40" i="42"/>
  <c r="Z6" i="42"/>
  <c r="Z39" i="42"/>
  <c r="J17" i="28"/>
  <c r="M217" i="38"/>
  <c r="M206" i="38"/>
  <c r="V42" i="42"/>
  <c r="V41" i="42"/>
  <c r="Y366" i="38"/>
  <c r="Y388" i="38"/>
  <c r="E58" i="28"/>
  <c r="E52" i="28"/>
  <c r="S388" i="38"/>
  <c r="S366" i="38"/>
  <c r="R361" i="40"/>
  <c r="R339" i="40"/>
  <c r="G324" i="40"/>
  <c r="G309" i="40"/>
  <c r="H91" i="40"/>
  <c r="H92" i="40"/>
  <c r="F171" i="39"/>
  <c r="E171" i="39"/>
  <c r="F160" i="39"/>
  <c r="K195" i="40"/>
  <c r="J20" i="28"/>
  <c r="K252" i="40"/>
  <c r="E170" i="39"/>
  <c r="F170" i="39"/>
  <c r="F159" i="39"/>
  <c r="N406" i="38"/>
  <c r="N428" i="38"/>
  <c r="W428" i="38"/>
  <c r="W406" i="38"/>
  <c r="M28" i="28"/>
  <c r="P35" i="48"/>
  <c r="E42" i="39"/>
  <c r="Q147" i="40"/>
  <c r="Q151" i="40"/>
  <c r="L58" i="28"/>
  <c r="L52" i="28"/>
  <c r="K309" i="40"/>
  <c r="K324" i="40"/>
  <c r="X299" i="40"/>
  <c r="X321" i="40"/>
  <c r="X46" i="42"/>
  <c r="X6" i="42"/>
  <c r="X45" i="42"/>
  <c r="T199" i="40"/>
  <c r="T185" i="40"/>
  <c r="T195" i="40"/>
  <c r="T252" i="40"/>
  <c r="Z263" i="41"/>
  <c r="Z285" i="41"/>
  <c r="L43" i="42"/>
  <c r="L44" i="42"/>
  <c r="L5" i="42"/>
  <c r="D5" i="42"/>
  <c r="O361" i="40"/>
  <c r="O339" i="40"/>
  <c r="G23" i="28"/>
  <c r="I291" i="38"/>
  <c r="L217" i="38"/>
  <c r="L206" i="38"/>
  <c r="O406" i="38"/>
  <c r="O428" i="38"/>
  <c r="O105" i="48"/>
  <c r="J23" i="28"/>
  <c r="I188" i="41"/>
  <c r="L339" i="40"/>
  <c r="L361" i="40"/>
  <c r="M349" i="40"/>
  <c r="M364" i="40"/>
  <c r="W303" i="41"/>
  <c r="W325" i="41"/>
  <c r="Y40" i="42"/>
  <c r="Y39" i="42"/>
  <c r="S61" i="48"/>
  <c r="S62" i="48"/>
  <c r="H364" i="40"/>
  <c r="H199" i="40"/>
  <c r="H336" i="40"/>
  <c r="H349" i="40"/>
  <c r="Y43" i="42"/>
  <c r="Y44" i="42"/>
  <c r="F92" i="40"/>
  <c r="F91" i="40"/>
  <c r="O388" i="38"/>
  <c r="O366" i="38"/>
  <c r="R205" i="38"/>
  <c r="R207" i="38"/>
  <c r="F99" i="39"/>
  <c r="F110" i="39"/>
  <c r="E110" i="39"/>
  <c r="T428" i="38"/>
  <c r="T406" i="38"/>
  <c r="K52" i="28"/>
  <c r="K58" i="28"/>
  <c r="E137" i="39"/>
  <c r="E134" i="39"/>
  <c r="F137" i="39"/>
  <c r="X361" i="40"/>
  <c r="X339" i="40"/>
  <c r="Y309" i="41"/>
  <c r="Y316" i="41"/>
  <c r="D366" i="38"/>
  <c r="D368" i="38"/>
  <c r="G428" i="38"/>
  <c r="G406" i="38"/>
  <c r="O39" i="42"/>
  <c r="O40" i="42"/>
  <c r="H46" i="42"/>
  <c r="H6" i="42"/>
  <c r="H45" i="42"/>
  <c r="E71" i="39"/>
  <c r="F71" i="39"/>
  <c r="Z316" i="41"/>
  <c r="Z308" i="41"/>
  <c r="Z309" i="41"/>
  <c r="O157" i="40"/>
  <c r="N147" i="40"/>
  <c r="W237" i="41"/>
  <c r="D237" i="41"/>
  <c r="X237" i="41"/>
  <c r="P47" i="48"/>
  <c r="E64" i="39"/>
  <c r="R147" i="40"/>
  <c r="R151" i="40"/>
  <c r="P42" i="42"/>
  <c r="P41" i="42"/>
  <c r="I416" i="38"/>
  <c r="L45" i="42"/>
  <c r="L46" i="42"/>
  <c r="Y285" i="41"/>
  <c r="Y263" i="41"/>
  <c r="F79" i="39"/>
  <c r="E79" i="39"/>
  <c r="P32" i="42"/>
  <c r="H58" i="28"/>
  <c r="H52" i="28"/>
  <c r="L40" i="42"/>
  <c r="L6" i="42"/>
  <c r="L39" i="42"/>
  <c r="T361" i="40"/>
  <c r="T339" i="40"/>
  <c r="K39" i="42"/>
  <c r="K40" i="42"/>
  <c r="E139" i="39"/>
  <c r="F128" i="39"/>
  <c r="F139" i="39"/>
  <c r="P92" i="40"/>
  <c r="P91" i="40"/>
  <c r="P406" i="38"/>
  <c r="P428" i="38"/>
  <c r="Q60" i="48"/>
  <c r="O60" i="48"/>
  <c r="M52" i="28"/>
  <c r="M58" i="28"/>
  <c r="L431" i="38"/>
  <c r="L416" i="38"/>
  <c r="H406" i="38"/>
  <c r="H428" i="38"/>
  <c r="F52" i="28"/>
  <c r="F58" i="28"/>
  <c r="D408" i="38"/>
  <c r="D406" i="38"/>
  <c r="V388" i="38"/>
  <c r="V366" i="38"/>
  <c r="M431" i="38"/>
  <c r="M416" i="38"/>
  <c r="G45" i="42"/>
  <c r="G6" i="42"/>
  <c r="G46" i="42"/>
  <c r="Y91" i="40"/>
  <c r="Y92" i="40"/>
  <c r="D28" i="28"/>
  <c r="E82" i="39"/>
  <c r="E36" i="39"/>
  <c r="F82" i="39"/>
  <c r="I299" i="40"/>
  <c r="I321" i="40"/>
  <c r="P405" i="38"/>
  <c r="D433" i="38"/>
  <c r="J299" i="40"/>
  <c r="J321" i="40"/>
  <c r="N364" i="40"/>
  <c r="N349" i="40"/>
  <c r="AQ67" i="31"/>
  <c r="AQ71" i="31"/>
  <c r="Y269" i="41"/>
  <c r="Y268" i="41"/>
  <c r="Y276" i="41"/>
  <c r="Z205" i="41"/>
  <c r="Z296" i="41"/>
  <c r="K46" i="42"/>
  <c r="K6" i="42"/>
  <c r="K45" i="42"/>
  <c r="W147" i="40"/>
  <c r="W151" i="40"/>
  <c r="Y242" i="41"/>
  <c r="M331" i="41"/>
  <c r="U428" i="38"/>
  <c r="U406" i="38"/>
  <c r="K388" i="38"/>
  <c r="K366" i="38"/>
  <c r="L282" i="40"/>
  <c r="V44" i="42"/>
  <c r="V43" i="42"/>
  <c r="Q102" i="48"/>
  <c r="O102" i="48"/>
  <c r="K111" i="28"/>
  <c r="F23" i="32"/>
  <c r="I49" i="28"/>
  <c r="Y247" i="41"/>
  <c r="Y245" i="41"/>
  <c r="Y256" i="41"/>
  <c r="E60" i="39"/>
  <c r="R91" i="40"/>
  <c r="R92" i="40"/>
  <c r="X205" i="38"/>
  <c r="X207" i="38"/>
  <c r="D18" i="42"/>
  <c r="T234" i="40"/>
  <c r="W269" i="41"/>
  <c r="J282" i="40"/>
  <c r="W303" i="38"/>
  <c r="N207" i="40"/>
  <c r="N199" i="40"/>
  <c r="N336" i="40"/>
  <c r="Y205" i="41"/>
  <c r="I58" i="28"/>
  <c r="I52" i="28"/>
  <c r="Y406" i="38"/>
  <c r="Y428" i="38"/>
  <c r="W242" i="41"/>
  <c r="Y303" i="41"/>
  <c r="Y325" i="41"/>
  <c r="Y296" i="41"/>
  <c r="Y308" i="41"/>
  <c r="G224" i="40"/>
  <c r="G264" i="40"/>
  <c r="D220" i="40"/>
  <c r="V207" i="38"/>
  <c r="U207" i="38"/>
  <c r="U205" i="38"/>
  <c r="O80" i="48"/>
  <c r="Q80" i="48"/>
  <c r="Z91" i="40"/>
  <c r="Z92" i="40"/>
  <c r="M321" i="40"/>
  <c r="M299" i="40"/>
  <c r="R46" i="42"/>
  <c r="R6" i="42"/>
  <c r="R45" i="42"/>
  <c r="H224" i="40"/>
  <c r="W91" i="40"/>
  <c r="W92" i="40"/>
  <c r="M299" i="41"/>
  <c r="M303" i="41"/>
  <c r="F79" i="31"/>
  <c r="Y58" i="32"/>
  <c r="P416" i="38"/>
  <c r="P431" i="38"/>
  <c r="N85" i="31"/>
  <c r="E69" i="39"/>
  <c r="U388" i="38"/>
  <c r="U366" i="38"/>
  <c r="O416" i="38"/>
  <c r="O431" i="38"/>
  <c r="J309" i="40"/>
  <c r="J296" i="40"/>
  <c r="J324" i="40"/>
  <c r="G113" i="28"/>
  <c r="M85" i="31"/>
  <c r="J366" i="38"/>
  <c r="J388" i="38"/>
  <c r="D247" i="41"/>
  <c r="D250" i="41"/>
  <c r="S221" i="38"/>
  <c r="S206" i="38"/>
  <c r="S205" i="38"/>
  <c r="S217" i="38"/>
  <c r="Y299" i="40"/>
  <c r="Y321" i="40"/>
  <c r="V206" i="38"/>
  <c r="V221" i="38"/>
  <c r="V205" i="38"/>
  <c r="V217" i="38"/>
  <c r="E115" i="39"/>
  <c r="F104" i="39"/>
  <c r="F115" i="39"/>
  <c r="J406" i="38"/>
  <c r="J428" i="38"/>
  <c r="Z428" i="38"/>
  <c r="Z406" i="38"/>
  <c r="W263" i="41"/>
  <c r="W285" i="41"/>
  <c r="O195" i="40"/>
  <c r="O252" i="40"/>
  <c r="N20" i="28"/>
  <c r="H299" i="40"/>
  <c r="H321" i="40"/>
  <c r="L406" i="38"/>
  <c r="L428" i="38"/>
  <c r="K406" i="38"/>
  <c r="K428" i="38"/>
  <c r="M91" i="40"/>
  <c r="M92" i="40"/>
  <c r="J291" i="38"/>
  <c r="H23" i="28"/>
  <c r="O46" i="42"/>
  <c r="O6" i="42"/>
  <c r="O45" i="42"/>
  <c r="H4" i="39"/>
  <c r="H30" i="39"/>
  <c r="D69" i="28"/>
  <c r="O13" i="48"/>
  <c r="Q388" i="38"/>
  <c r="Q366" i="38"/>
  <c r="W40" i="42"/>
  <c r="W39" i="42"/>
  <c r="O90" i="48"/>
  <c r="S90" i="48"/>
  <c r="G58" i="28"/>
  <c r="G52" i="28"/>
  <c r="G195" i="38"/>
  <c r="H195" i="38"/>
  <c r="F28" i="28"/>
  <c r="E105" i="39"/>
  <c r="E108" i="39"/>
  <c r="F108" i="39"/>
  <c r="O14" i="48"/>
  <c r="D70" i="28"/>
  <c r="Y46" i="42"/>
  <c r="Y6" i="42"/>
  <c r="Y45" i="42"/>
  <c r="V151" i="40"/>
  <c r="V147" i="40"/>
  <c r="Z312" i="40"/>
  <c r="Z304" i="40"/>
  <c r="Z305" i="40"/>
  <c r="T305" i="40"/>
  <c r="G116" i="28"/>
  <c r="Q85" i="31"/>
  <c r="X406" i="38"/>
  <c r="X428" i="38"/>
  <c r="P321" i="40"/>
  <c r="P299" i="40"/>
  <c r="E56" i="28"/>
  <c r="I6" i="42"/>
  <c r="I40" i="42"/>
  <c r="I39" i="42"/>
  <c r="U40" i="42"/>
  <c r="U39" i="42"/>
  <c r="BB71" i="31"/>
  <c r="Z41" i="42"/>
  <c r="Z42" i="42"/>
  <c r="R388" i="38"/>
  <c r="R366" i="38"/>
  <c r="D239" i="40"/>
  <c r="F17" i="32"/>
  <c r="M366" i="38"/>
  <c r="M388" i="38"/>
  <c r="X247" i="41"/>
  <c r="X256" i="41"/>
  <c r="H361" i="40"/>
  <c r="H339" i="40"/>
  <c r="AJ57" i="32"/>
  <c r="P339" i="40"/>
  <c r="P361" i="40"/>
  <c r="Q41" i="42"/>
  <c r="Q42" i="42"/>
  <c r="G28" i="28"/>
  <c r="J92" i="40"/>
  <c r="J91" i="40"/>
  <c r="V91" i="40"/>
  <c r="V92" i="40"/>
  <c r="M44" i="42"/>
  <c r="M43" i="42"/>
  <c r="E98" i="39"/>
  <c r="H50" i="28"/>
  <c r="AK80" i="31"/>
  <c r="T366" i="38"/>
  <c r="T388" i="38"/>
  <c r="Z147" i="40"/>
  <c r="Z151" i="40"/>
  <c r="N361" i="40"/>
  <c r="N339" i="40"/>
  <c r="S46" i="42"/>
  <c r="S45" i="42"/>
  <c r="P194" i="40"/>
  <c r="P45" i="42"/>
  <c r="P46" i="42"/>
  <c r="Q81" i="48"/>
  <c r="O81" i="48"/>
  <c r="Z247" i="41"/>
  <c r="W388" i="38"/>
  <c r="W366" i="38"/>
  <c r="K364" i="40"/>
  <c r="K349" i="40"/>
  <c r="O83" i="48"/>
  <c r="P83" i="48"/>
  <c r="Q83" i="48"/>
  <c r="S345" i="40"/>
  <c r="H366" i="38"/>
  <c r="H388" i="38"/>
  <c r="Y147" i="40"/>
  <c r="Y151" i="40"/>
  <c r="O151" i="40"/>
  <c r="O147" i="40"/>
  <c r="F26" i="28"/>
  <c r="F56" i="28"/>
  <c r="I28" i="28"/>
  <c r="I26" i="28"/>
  <c r="W299" i="40"/>
  <c r="W321" i="40"/>
  <c r="K336" i="40"/>
  <c r="K199" i="40"/>
  <c r="K207" i="40"/>
  <c r="Z292" i="40"/>
  <c r="Z283" i="40"/>
  <c r="O372" i="38"/>
  <c r="F195" i="38"/>
  <c r="D195" i="38"/>
  <c r="D286" i="40"/>
  <c r="D283" i="40"/>
  <c r="I282" i="40"/>
  <c r="I24" i="42"/>
  <c r="E3" i="33"/>
  <c r="D67" i="28"/>
  <c r="P19" i="32"/>
  <c r="W234" i="40"/>
  <c r="L305" i="40"/>
  <c r="W295" i="38"/>
  <c r="O24" i="42"/>
  <c r="G26" i="32"/>
  <c r="F26" i="32"/>
  <c r="F349" i="40"/>
  <c r="O12" i="48"/>
  <c r="E4" i="33"/>
  <c r="D68" i="28"/>
  <c r="K42" i="42"/>
  <c r="K41" i="42"/>
  <c r="AK79" i="31"/>
  <c r="T205" i="38"/>
  <c r="T207" i="38"/>
  <c r="Z242" i="41"/>
  <c r="K194" i="40"/>
  <c r="AI82" i="31"/>
  <c r="L403" i="38"/>
  <c r="O217" i="38"/>
  <c r="O206" i="38"/>
  <c r="G349" i="40"/>
  <c r="G364" i="40"/>
  <c r="P6" i="42"/>
  <c r="P40" i="42"/>
  <c r="P39" i="42"/>
  <c r="I349" i="40"/>
  <c r="I364" i="40"/>
  <c r="T299" i="40"/>
  <c r="T321" i="40"/>
  <c r="D305" i="41"/>
  <c r="D303" i="41"/>
  <c r="J28" i="28"/>
  <c r="K303" i="41"/>
  <c r="V406" i="38"/>
  <c r="V428" i="38"/>
  <c r="I345" i="38"/>
  <c r="T40" i="42"/>
  <c r="T39" i="42"/>
  <c r="D299" i="40"/>
  <c r="D301" i="40"/>
  <c r="F144" i="39"/>
  <c r="F133" i="39"/>
  <c r="E144" i="39"/>
  <c r="Y305" i="40"/>
  <c r="AK57" i="32"/>
  <c r="R299" i="40"/>
  <c r="R321" i="40"/>
  <c r="J306" i="40"/>
  <c r="I339" i="40"/>
  <c r="I361" i="40"/>
  <c r="P69" i="31"/>
  <c r="E31" i="39"/>
  <c r="P70" i="31"/>
  <c r="Y235" i="41"/>
  <c r="O204" i="40"/>
  <c r="J364" i="40"/>
  <c r="J349" i="40"/>
  <c r="Y221" i="38"/>
  <c r="Y217" i="38"/>
  <c r="Y206" i="38"/>
  <c r="H282" i="40"/>
  <c r="G321" i="40"/>
  <c r="G299" i="40"/>
  <c r="O305" i="40"/>
  <c r="X296" i="41"/>
  <c r="X205" i="41"/>
  <c r="Z276" i="41"/>
  <c r="Z235" i="41"/>
  <c r="Z245" i="41"/>
  <c r="Z256" i="41"/>
  <c r="Z268" i="41"/>
  <c r="Z269" i="41"/>
  <c r="O207" i="40"/>
  <c r="K26" i="28"/>
  <c r="K56" i="28"/>
  <c r="D64" i="28"/>
  <c r="D66" i="28"/>
  <c r="H301" i="38"/>
  <c r="J431" i="38"/>
  <c r="J416" i="38"/>
  <c r="Z278" i="40"/>
  <c r="Z271" i="40"/>
  <c r="Z281" i="40"/>
  <c r="E85" i="39"/>
  <c r="E52" i="39"/>
  <c r="F85" i="39"/>
  <c r="X295" i="38"/>
  <c r="X303" i="38"/>
  <c r="P60" i="48"/>
  <c r="H3" i="42"/>
  <c r="N79" i="31"/>
  <c r="N80" i="31"/>
  <c r="T345" i="40"/>
  <c r="G115" i="28"/>
  <c r="E73" i="39"/>
  <c r="J224" i="40"/>
  <c r="I23" i="28"/>
  <c r="M361" i="40"/>
  <c r="V372" i="38"/>
  <c r="N299" i="40"/>
  <c r="N321" i="40"/>
  <c r="E50" i="39"/>
  <c r="G50" i="39"/>
  <c r="R42" i="48"/>
  <c r="X245" i="41"/>
  <c r="X236" i="41"/>
  <c r="X235" i="41"/>
  <c r="X242" i="41"/>
  <c r="M41" i="42"/>
  <c r="M42" i="42"/>
  <c r="O15" i="42"/>
  <c r="K282" i="40"/>
  <c r="K296" i="40"/>
  <c r="O304" i="40"/>
  <c r="O312" i="40"/>
  <c r="P22" i="42"/>
  <c r="U92" i="40"/>
  <c r="U91" i="40"/>
  <c r="Z295" i="38"/>
  <c r="Z303" i="38"/>
  <c r="J207" i="40"/>
  <c r="J199" i="40"/>
  <c r="J336" i="40"/>
  <c r="I207" i="40"/>
  <c r="I199" i="40"/>
  <c r="I336" i="40"/>
  <c r="L41" i="42"/>
  <c r="L42" i="42"/>
  <c r="L91" i="40"/>
  <c r="L92" i="40"/>
  <c r="M384" i="38"/>
  <c r="F67" i="31"/>
  <c r="Z345" i="40"/>
  <c r="Z352" i="40"/>
  <c r="P415" i="38"/>
  <c r="T42" i="42"/>
  <c r="T41" i="42"/>
  <c r="P15" i="42"/>
  <c r="Q101" i="48"/>
  <c r="O101" i="48"/>
  <c r="M301" i="38"/>
  <c r="J309" i="41"/>
  <c r="L22" i="42"/>
  <c r="S299" i="40"/>
  <c r="S321" i="40"/>
  <c r="F10" i="32"/>
  <c r="V33" i="42"/>
  <c r="P15" i="48"/>
  <c r="N4" i="42"/>
  <c r="K413" i="38"/>
  <c r="O84" i="48"/>
  <c r="L61" i="28"/>
  <c r="O257" i="40"/>
  <c r="P366" i="38"/>
  <c r="P388" i="38"/>
  <c r="Z388" i="38"/>
  <c r="Z366" i="38"/>
  <c r="K431" i="38"/>
  <c r="K416" i="38"/>
  <c r="I303" i="41"/>
  <c r="W268" i="41"/>
  <c r="W276" i="41"/>
  <c r="Z23" i="42"/>
  <c r="J307" i="38"/>
  <c r="J41" i="42"/>
  <c r="J42" i="42"/>
  <c r="D17" i="42"/>
  <c r="C58" i="42"/>
  <c r="E89" i="39"/>
  <c r="I61" i="28"/>
  <c r="R145" i="40"/>
  <c r="R146" i="40"/>
  <c r="Q33" i="42"/>
  <c r="D12" i="42"/>
  <c r="F12" i="42"/>
  <c r="F15" i="42"/>
  <c r="O67" i="31"/>
  <c r="O71" i="31"/>
  <c r="P433" i="38"/>
  <c r="V339" i="40"/>
  <c r="V361" i="40"/>
  <c r="R406" i="38"/>
  <c r="R428" i="38"/>
  <c r="O282" i="40"/>
  <c r="O296" i="40"/>
  <c r="I147" i="40"/>
  <c r="I151" i="40"/>
  <c r="Z344" i="40"/>
  <c r="Z361" i="40"/>
  <c r="Z339" i="40"/>
  <c r="Q295" i="38"/>
  <c r="Q303" i="38"/>
  <c r="L303" i="41"/>
  <c r="V46" i="42"/>
  <c r="V6" i="42"/>
  <c r="V45" i="42"/>
  <c r="J40" i="42"/>
  <c r="J6" i="42"/>
  <c r="J39" i="42"/>
  <c r="E26" i="39"/>
  <c r="R26" i="48"/>
  <c r="N46" i="42"/>
  <c r="N6" i="42"/>
  <c r="N45" i="42"/>
  <c r="G296" i="40"/>
  <c r="G282" i="40"/>
  <c r="X147" i="40"/>
  <c r="X151" i="40"/>
  <c r="P377" i="38"/>
  <c r="M406" i="38"/>
  <c r="M428" i="38"/>
  <c r="Y3" i="42"/>
  <c r="I46" i="32"/>
  <c r="Y41" i="42"/>
  <c r="Y42" i="42"/>
  <c r="G23" i="32"/>
  <c r="S67" i="31"/>
  <c r="S71" i="31"/>
  <c r="D265" i="41"/>
  <c r="D263" i="41"/>
  <c r="G91" i="40"/>
  <c r="G92" i="40"/>
  <c r="D327" i="41"/>
  <c r="J26" i="28"/>
  <c r="J56" i="28"/>
  <c r="P12" i="42"/>
  <c r="O278" i="40"/>
  <c r="T263" i="41"/>
  <c r="O384" i="38"/>
  <c r="J3" i="42"/>
  <c r="J299" i="41"/>
  <c r="J312" i="41"/>
  <c r="S41" i="42"/>
  <c r="S42" i="42"/>
  <c r="U45" i="42"/>
  <c r="U6" i="42"/>
  <c r="U46" i="42"/>
  <c r="E26" i="28"/>
  <c r="E28" i="28"/>
  <c r="S15" i="42"/>
  <c r="Y339" i="40"/>
  <c r="Y361" i="40"/>
  <c r="AT71" i="31"/>
  <c r="R15" i="42"/>
  <c r="S301" i="38"/>
  <c r="U61" i="48"/>
  <c r="U62" i="48"/>
  <c r="T241" i="40"/>
  <c r="U4" i="42"/>
  <c r="X42" i="42"/>
  <c r="X41" i="42"/>
  <c r="L28" i="28"/>
  <c r="G10" i="32"/>
  <c r="G14" i="32"/>
  <c r="F14" i="32"/>
  <c r="S40" i="42"/>
  <c r="S39" i="42"/>
  <c r="S6" i="42"/>
  <c r="T299" i="38"/>
  <c r="T278" i="38"/>
  <c r="G50" i="28"/>
  <c r="T105" i="48"/>
  <c r="R74" i="48"/>
  <c r="S74" i="48"/>
  <c r="O92" i="48"/>
  <c r="V295" i="38"/>
  <c r="V303" i="38"/>
  <c r="Q339" i="40"/>
  <c r="Q361" i="40"/>
  <c r="Y183" i="40"/>
  <c r="K299" i="40"/>
  <c r="K321" i="40"/>
  <c r="T147" i="40"/>
  <c r="T151" i="40"/>
  <c r="M348" i="40"/>
  <c r="M339" i="40"/>
  <c r="W46" i="42"/>
  <c r="W6" i="42"/>
  <c r="W45" i="42"/>
  <c r="Y137" i="40"/>
  <c r="Y250" i="40"/>
  <c r="Y253" i="40"/>
  <c r="H28" i="28"/>
  <c r="G60" i="28"/>
  <c r="E34" i="39"/>
  <c r="F34" i="39"/>
  <c r="P33" i="48"/>
  <c r="R21" i="48"/>
  <c r="J198" i="41"/>
  <c r="D198" i="41"/>
  <c r="D312" i="40"/>
  <c r="F155" i="39"/>
  <c r="F163" i="39"/>
  <c r="F63" i="39"/>
  <c r="J5" i="39"/>
  <c r="J63" i="39"/>
  <c r="V303" i="41"/>
  <c r="O292" i="40"/>
  <c r="M309" i="40"/>
  <c r="M324" i="40"/>
  <c r="E149" i="39"/>
  <c r="E156" i="39"/>
  <c r="Q301" i="38"/>
  <c r="D390" i="38"/>
  <c r="Q412" i="38"/>
  <c r="X345" i="40"/>
  <c r="X305" i="40"/>
  <c r="N33" i="42"/>
  <c r="AG67" i="31"/>
  <c r="K161" i="40"/>
  <c r="S304" i="40"/>
  <c r="S312" i="40"/>
  <c r="T22" i="42"/>
  <c r="K331" i="41"/>
  <c r="G339" i="40"/>
  <c r="O348" i="40"/>
  <c r="I211" i="40"/>
  <c r="N28" i="28"/>
  <c r="X344" i="40"/>
  <c r="X352" i="40"/>
  <c r="Y31" i="42"/>
  <c r="L50" i="28"/>
  <c r="F60" i="28"/>
  <c r="L345" i="38"/>
  <c r="P102" i="48"/>
  <c r="K345" i="40"/>
  <c r="D394" i="38"/>
  <c r="Q372" i="38"/>
  <c r="V3" i="42"/>
  <c r="I194" i="40"/>
  <c r="N151" i="40"/>
  <c r="N161" i="40"/>
  <c r="G207" i="40"/>
  <c r="G199" i="40"/>
  <c r="G336" i="40"/>
  <c r="Q428" i="38"/>
  <c r="Q406" i="38"/>
  <c r="H26" i="28"/>
  <c r="H56" i="28"/>
  <c r="O271" i="40"/>
  <c r="O281" i="40"/>
  <c r="O283" i="40"/>
  <c r="P13" i="42"/>
  <c r="I63" i="31"/>
  <c r="R68" i="48"/>
  <c r="S68" i="48"/>
  <c r="Q411" i="38"/>
  <c r="Q419" i="38"/>
  <c r="Q30" i="42"/>
  <c r="D311" i="38"/>
  <c r="D308" i="38"/>
  <c r="O82" i="31"/>
  <c r="S91" i="40"/>
  <c r="S92" i="40"/>
  <c r="T91" i="40"/>
  <c r="T92" i="40"/>
  <c r="O13" i="42"/>
  <c r="H324" i="40"/>
  <c r="H296" i="40"/>
  <c r="H309" i="40"/>
  <c r="E51" i="28"/>
  <c r="E60" i="28"/>
  <c r="V309" i="41"/>
  <c r="T46" i="42"/>
  <c r="T6" i="42"/>
  <c r="T45" i="42"/>
  <c r="Y192" i="41"/>
  <c r="W192" i="41"/>
  <c r="Y205" i="38"/>
  <c r="Y201" i="38"/>
  <c r="Y207" i="38"/>
  <c r="O96" i="48"/>
  <c r="S92" i="48"/>
  <c r="E86" i="39"/>
  <c r="F86" i="39"/>
  <c r="J61" i="28"/>
  <c r="L263" i="41"/>
  <c r="S295" i="38"/>
  <c r="S303" i="38"/>
  <c r="N412" i="38"/>
  <c r="D339" i="40"/>
  <c r="D341" i="40"/>
  <c r="E155" i="39"/>
  <c r="AT82" i="31"/>
  <c r="AR82" i="31"/>
  <c r="F23" i="28"/>
  <c r="O156" i="40"/>
  <c r="M16" i="33"/>
  <c r="R14" i="48"/>
  <c r="P307" i="38"/>
  <c r="U345" i="40"/>
  <c r="G13" i="42"/>
  <c r="D13" i="42"/>
  <c r="Q399" i="38"/>
  <c r="L321" i="40"/>
  <c r="L299" i="40"/>
  <c r="M26" i="28"/>
  <c r="M56" i="28"/>
  <c r="F299" i="40"/>
  <c r="AD67" i="31"/>
  <c r="AD71" i="31"/>
  <c r="D187" i="41"/>
  <c r="P81" i="48"/>
  <c r="AI55" i="32"/>
  <c r="G33" i="32"/>
  <c r="I42" i="42"/>
  <c r="I41" i="42"/>
  <c r="P33" i="32"/>
  <c r="S151" i="40"/>
  <c r="S147" i="40"/>
  <c r="AK55" i="32"/>
  <c r="U201" i="38"/>
  <c r="Q26" i="32"/>
  <c r="P26" i="32"/>
  <c r="Q137" i="40"/>
  <c r="Q250" i="40"/>
  <c r="Q253" i="40"/>
  <c r="G234" i="40"/>
  <c r="D326" i="40"/>
  <c r="J50" i="28"/>
  <c r="W4" i="42"/>
  <c r="D21" i="42"/>
  <c r="V345" i="38"/>
  <c r="AO67" i="31"/>
  <c r="AO71" i="31"/>
  <c r="K332" i="40"/>
  <c r="K344" i="40"/>
  <c r="K352" i="40"/>
  <c r="L31" i="42"/>
  <c r="V345" i="40"/>
  <c r="Y15" i="42"/>
  <c r="K278" i="40"/>
  <c r="F309" i="40"/>
  <c r="F161" i="40"/>
  <c r="N309" i="40"/>
  <c r="N324" i="40"/>
  <c r="V137" i="40"/>
  <c r="V250" i="40"/>
  <c r="V253" i="40"/>
  <c r="K345" i="38"/>
  <c r="S145" i="40"/>
  <c r="S146" i="40"/>
  <c r="S339" i="40"/>
  <c r="S361" i="40"/>
  <c r="N282" i="40"/>
  <c r="N296" i="40"/>
  <c r="D323" i="40"/>
  <c r="L309" i="40"/>
  <c r="L296" i="40"/>
  <c r="L324" i="40"/>
  <c r="V263" i="41"/>
  <c r="V285" i="41"/>
  <c r="Q236" i="40"/>
  <c r="H50" i="39"/>
  <c r="T42" i="48"/>
  <c r="D55" i="28"/>
  <c r="D59" i="28"/>
  <c r="D63" i="28"/>
  <c r="N431" i="38"/>
  <c r="N416" i="38"/>
  <c r="R305" i="40"/>
  <c r="N67" i="31"/>
  <c r="N71" i="31"/>
  <c r="D316" i="41"/>
  <c r="Q205" i="38"/>
  <c r="Q207" i="38"/>
  <c r="Q79" i="31"/>
  <c r="Q80" i="31"/>
  <c r="R41" i="42"/>
  <c r="R42" i="42"/>
  <c r="S325" i="41"/>
  <c r="S303" i="41"/>
  <c r="I406" i="38"/>
  <c r="I428" i="38"/>
  <c r="P87" i="31"/>
  <c r="E117" i="28"/>
  <c r="O349" i="40"/>
  <c r="O364" i="40"/>
  <c r="F45" i="42"/>
  <c r="D9" i="42"/>
  <c r="F46" i="42"/>
  <c r="K117" i="28"/>
  <c r="K132" i="28"/>
  <c r="P412" i="38"/>
  <c r="K305" i="40"/>
  <c r="K292" i="40"/>
  <c r="K304" i="40"/>
  <c r="K312" i="40"/>
  <c r="D285" i="41"/>
  <c r="G63" i="31"/>
  <c r="F63" i="31"/>
  <c r="T278" i="40"/>
  <c r="Z427" i="38"/>
  <c r="Z434" i="38"/>
  <c r="Z241" i="40"/>
  <c r="Z332" i="40"/>
  <c r="I324" i="40"/>
  <c r="I296" i="40"/>
  <c r="I309" i="40"/>
  <c r="AB59" i="32"/>
  <c r="S278" i="40"/>
  <c r="T372" i="38"/>
  <c r="X14" i="42"/>
  <c r="P392" i="38"/>
  <c r="D392" i="38"/>
  <c r="Q78" i="48"/>
  <c r="O78" i="48"/>
  <c r="U412" i="38"/>
  <c r="AK59" i="32"/>
  <c r="L308" i="40"/>
  <c r="H147" i="40"/>
  <c r="D362" i="40"/>
  <c r="Q234" i="40"/>
  <c r="V269" i="41"/>
  <c r="F324" i="40"/>
  <c r="D324" i="40"/>
  <c r="H63" i="31"/>
  <c r="M305" i="40"/>
  <c r="M291" i="41"/>
  <c r="W278" i="40"/>
  <c r="Q228" i="40"/>
  <c r="Q24" i="42"/>
  <c r="K363" i="40"/>
  <c r="H234" i="40"/>
  <c r="BB67" i="31"/>
  <c r="H83" i="31"/>
  <c r="Q232" i="40"/>
  <c r="Q211" i="40"/>
  <c r="O74" i="48"/>
  <c r="P74" i="48"/>
  <c r="Q74" i="48"/>
  <c r="D284" i="41"/>
  <c r="U13" i="42"/>
  <c r="R345" i="40"/>
  <c r="O79" i="31"/>
  <c r="O80" i="31"/>
  <c r="V201" i="38"/>
  <c r="E104" i="39"/>
  <c r="J348" i="40"/>
  <c r="Y232" i="40"/>
  <c r="Y211" i="40"/>
  <c r="AR79" i="31"/>
  <c r="AR80" i="31"/>
  <c r="Y345" i="40"/>
  <c r="G348" i="40"/>
  <c r="O375" i="38"/>
  <c r="I312" i="40"/>
  <c r="J22" i="42"/>
  <c r="G188" i="41"/>
  <c r="M15" i="33"/>
  <c r="R12" i="48"/>
  <c r="F147" i="40"/>
  <c r="F151" i="40"/>
  <c r="Y278" i="40"/>
  <c r="D185" i="41"/>
  <c r="S344" i="40"/>
  <c r="S352" i="40"/>
  <c r="T31" i="42"/>
  <c r="T8" i="48"/>
  <c r="E120" i="39"/>
  <c r="O345" i="38"/>
  <c r="K317" i="40"/>
  <c r="J307" i="40"/>
  <c r="D276" i="41"/>
  <c r="D294" i="38"/>
  <c r="O193" i="40"/>
  <c r="O194" i="40"/>
  <c r="H33" i="42"/>
  <c r="Q35" i="32"/>
  <c r="P35" i="32"/>
  <c r="D388" i="38"/>
  <c r="J15" i="42"/>
  <c r="H64" i="28"/>
  <c r="U305" i="40"/>
  <c r="Q33" i="32"/>
  <c r="Q36" i="32"/>
  <c r="P36" i="32"/>
  <c r="W305" i="40"/>
  <c r="T145" i="40"/>
  <c r="T146" i="40"/>
  <c r="G24" i="42"/>
  <c r="Q201" i="38"/>
  <c r="L299" i="38"/>
  <c r="L278" i="38"/>
  <c r="R241" i="40"/>
  <c r="S4" i="42"/>
  <c r="U247" i="41"/>
  <c r="O58" i="31"/>
  <c r="O64" i="31"/>
  <c r="AC67" i="31"/>
  <c r="AC71" i="31"/>
  <c r="M87" i="31"/>
  <c r="E113" i="28"/>
  <c r="P417" i="38"/>
  <c r="M304" i="40"/>
  <c r="M312" i="40"/>
  <c r="N22" i="42"/>
  <c r="W205" i="38"/>
  <c r="W207" i="38"/>
  <c r="M3" i="42"/>
  <c r="N92" i="40"/>
  <c r="N91" i="40"/>
  <c r="K348" i="40"/>
  <c r="O104" i="48"/>
  <c r="R35" i="32"/>
  <c r="P104" i="48"/>
  <c r="Q104" i="48"/>
  <c r="W3" i="42"/>
  <c r="L309" i="41"/>
  <c r="R278" i="40"/>
  <c r="J31" i="42"/>
  <c r="G147" i="40"/>
  <c r="X64" i="31"/>
  <c r="T269" i="41"/>
  <c r="F63" i="28"/>
  <c r="F64" i="28"/>
  <c r="F64" i="39"/>
  <c r="F44" i="39"/>
  <c r="E44" i="39"/>
  <c r="M296" i="40"/>
  <c r="M282" i="40"/>
  <c r="D320" i="40"/>
  <c r="K22" i="42"/>
  <c r="U17" i="33"/>
  <c r="X24" i="42"/>
  <c r="F4" i="32"/>
  <c r="V305" i="40"/>
  <c r="E102" i="39"/>
  <c r="P33" i="42"/>
  <c r="L26" i="28"/>
  <c r="L56" i="28"/>
  <c r="M67" i="31"/>
  <c r="M71" i="31"/>
  <c r="L366" i="38"/>
  <c r="L388" i="38"/>
  <c r="I161" i="38"/>
  <c r="M207" i="40"/>
  <c r="M199" i="40"/>
  <c r="M336" i="40"/>
  <c r="Q299" i="40"/>
  <c r="Q321" i="40"/>
  <c r="T36" i="32"/>
  <c r="K91" i="40"/>
  <c r="G412" i="38"/>
  <c r="L424" i="38"/>
  <c r="N415" i="38"/>
  <c r="J263" i="41"/>
  <c r="R60" i="48"/>
  <c r="S60" i="48"/>
  <c r="U285" i="41"/>
  <c r="U263" i="41"/>
  <c r="Q305" i="40"/>
  <c r="H278" i="40"/>
  <c r="M327" i="41"/>
  <c r="P365" i="38"/>
  <c r="D393" i="38"/>
  <c r="P362" i="38"/>
  <c r="P375" i="38"/>
  <c r="L207" i="38"/>
  <c r="Q67" i="31"/>
  <c r="Q71" i="31"/>
  <c r="D25" i="28"/>
  <c r="S309" i="41"/>
  <c r="P63" i="48"/>
  <c r="BA67" i="31"/>
  <c r="BA71" i="31"/>
  <c r="V145" i="40"/>
  <c r="V146" i="40"/>
  <c r="K234" i="40"/>
  <c r="R83" i="48"/>
  <c r="S83" i="48"/>
  <c r="M14" i="33"/>
  <c r="E118" i="39"/>
  <c r="S292" i="40"/>
  <c r="J24" i="42"/>
  <c r="G361" i="40"/>
  <c r="D361" i="40"/>
  <c r="U63" i="48"/>
  <c r="D419" i="38"/>
  <c r="AL67" i="31"/>
  <c r="AL71" i="31"/>
  <c r="D30" i="42"/>
  <c r="D52" i="28"/>
  <c r="D58" i="28"/>
  <c r="G120" i="28"/>
  <c r="M15" i="42"/>
  <c r="M61" i="28"/>
  <c r="J194" i="40"/>
  <c r="Y412" i="38"/>
  <c r="P364" i="38"/>
  <c r="X201" i="38"/>
  <c r="L301" i="38"/>
  <c r="F296" i="40"/>
  <c r="N402" i="38"/>
  <c r="J327" i="41"/>
  <c r="D287" i="41"/>
  <c r="T268" i="41"/>
  <c r="T276" i="41"/>
  <c r="W23" i="42"/>
  <c r="I10" i="32"/>
  <c r="I14" i="32"/>
  <c r="R64" i="48"/>
  <c r="V183" i="40"/>
  <c r="N234" i="40"/>
  <c r="P372" i="38"/>
  <c r="U321" i="40"/>
  <c r="U299" i="40"/>
  <c r="T283" i="40"/>
  <c r="L33" i="42"/>
  <c r="AJ55" i="32"/>
  <c r="K147" i="40"/>
  <c r="K151" i="40"/>
  <c r="K424" i="38"/>
  <c r="K414" i="38"/>
  <c r="S63" i="48"/>
  <c r="Z51" i="32"/>
  <c r="Z59" i="32"/>
  <c r="N232" i="40"/>
  <c r="N211" i="40"/>
  <c r="E74" i="39"/>
  <c r="F74" i="39"/>
  <c r="G71" i="31"/>
  <c r="F71" i="31"/>
  <c r="V241" i="40"/>
  <c r="R90" i="48"/>
  <c r="Q98" i="48"/>
  <c r="O98" i="48"/>
  <c r="F145" i="40"/>
  <c r="F146" i="40"/>
  <c r="D191" i="41"/>
  <c r="D325" i="41"/>
  <c r="J83" i="31"/>
  <c r="AF79" i="31"/>
  <c r="AF80" i="31"/>
  <c r="O158" i="40"/>
  <c r="O161" i="40"/>
  <c r="J278" i="40"/>
  <c r="K373" i="38"/>
  <c r="G79" i="31"/>
  <c r="G80" i="31"/>
  <c r="F80" i="31"/>
  <c r="S94" i="48"/>
  <c r="O94" i="48"/>
  <c r="E157" i="39"/>
  <c r="V308" i="38"/>
  <c r="I278" i="40"/>
  <c r="D379" i="38"/>
  <c r="I352" i="40"/>
  <c r="G47" i="28"/>
  <c r="G48" i="28"/>
  <c r="AC79" i="31"/>
  <c r="AC80" i="31"/>
  <c r="K323" i="40"/>
  <c r="I83" i="31"/>
  <c r="K375" i="38"/>
  <c r="Z201" i="38"/>
  <c r="H145" i="40"/>
  <c r="H146" i="40"/>
  <c r="L64" i="28"/>
  <c r="G3" i="42"/>
  <c r="P232" i="40"/>
  <c r="P211" i="40"/>
  <c r="L32" i="42"/>
  <c r="D32" i="42"/>
  <c r="T67" i="31"/>
  <c r="T71" i="31"/>
  <c r="I3" i="39"/>
  <c r="N183" i="40"/>
  <c r="D322" i="40"/>
  <c r="O234" i="40"/>
  <c r="AP79" i="31"/>
  <c r="AP80" i="31"/>
  <c r="Q345" i="38"/>
  <c r="X232" i="40"/>
  <c r="X211" i="40"/>
  <c r="U232" i="40"/>
  <c r="U211" i="40"/>
  <c r="X137" i="40"/>
  <c r="X250" i="40"/>
  <c r="X253" i="40"/>
  <c r="I344" i="40"/>
  <c r="I345" i="40"/>
  <c r="N357" i="40"/>
  <c r="H291" i="38"/>
  <c r="F51" i="28"/>
  <c r="P345" i="40"/>
  <c r="Y292" i="40"/>
  <c r="Y304" i="40"/>
  <c r="Y312" i="40"/>
  <c r="Z22" i="42"/>
  <c r="AE79" i="31"/>
  <c r="AE80" i="31"/>
  <c r="T68" i="48"/>
  <c r="U68" i="48"/>
  <c r="S372" i="38"/>
  <c r="E23" i="28"/>
  <c r="P345" i="38"/>
  <c r="F236" i="40"/>
  <c r="D236" i="40"/>
  <c r="F39" i="39"/>
  <c r="F42" i="39"/>
  <c r="S137" i="40"/>
  <c r="S250" i="40"/>
  <c r="S253" i="40"/>
  <c r="T345" i="38"/>
  <c r="N278" i="40"/>
  <c r="H220" i="40"/>
  <c r="H264" i="40"/>
  <c r="H268" i="40"/>
  <c r="W145" i="40"/>
  <c r="W146" i="40"/>
  <c r="Y191" i="41"/>
  <c r="Y203" i="41"/>
  <c r="N23" i="42"/>
  <c r="R412" i="38"/>
  <c r="F406" i="38"/>
  <c r="N145" i="40"/>
  <c r="N146" i="40"/>
  <c r="AG58" i="31"/>
  <c r="AG64" i="31"/>
  <c r="AP67" i="31"/>
  <c r="AP71" i="31"/>
  <c r="V412" i="38"/>
  <c r="T63" i="48"/>
  <c r="H188" i="41"/>
  <c r="F344" i="38"/>
  <c r="D344" i="38"/>
  <c r="D290" i="38"/>
  <c r="D23" i="28"/>
  <c r="I325" i="41"/>
  <c r="I331" i="41"/>
  <c r="D331" i="41"/>
  <c r="K384" i="38"/>
  <c r="K374" i="38"/>
  <c r="S228" i="40"/>
  <c r="S236" i="40"/>
  <c r="K301" i="38"/>
  <c r="U278" i="40"/>
  <c r="E57" i="42"/>
  <c r="K145" i="40"/>
  <c r="K146" i="40"/>
  <c r="H372" i="38"/>
  <c r="X82" i="31"/>
  <c r="Y308" i="38"/>
  <c r="U299" i="38"/>
  <c r="U278" i="38"/>
  <c r="S24" i="42"/>
  <c r="Z67" i="31"/>
  <c r="Z71" i="31"/>
  <c r="O403" i="38"/>
  <c r="T227" i="40"/>
  <c r="T239" i="40"/>
  <c r="T332" i="40"/>
  <c r="T344" i="40"/>
  <c r="T352" i="40"/>
  <c r="U31" i="42"/>
  <c r="R90" i="40"/>
  <c r="R137" i="40"/>
  <c r="R250" i="40"/>
  <c r="R253" i="40"/>
  <c r="D290" i="41"/>
  <c r="D334" i="38"/>
  <c r="Z301" i="38"/>
  <c r="J362" i="38"/>
  <c r="J375" i="38"/>
  <c r="J234" i="40"/>
  <c r="Y234" i="40"/>
  <c r="C55" i="42"/>
  <c r="Y345" i="38"/>
  <c r="F82" i="31"/>
  <c r="P23" i="42"/>
  <c r="M241" i="40"/>
  <c r="D348" i="38"/>
  <c r="M345" i="40"/>
  <c r="M234" i="40"/>
  <c r="X12" i="42"/>
  <c r="X15" i="42"/>
  <c r="J308" i="38"/>
  <c r="H24" i="42"/>
  <c r="E10" i="33"/>
  <c r="P9" i="48"/>
  <c r="F364" i="40"/>
  <c r="D364" i="40"/>
  <c r="J63" i="31"/>
  <c r="J303" i="41"/>
  <c r="O298" i="40"/>
  <c r="O311" i="40"/>
  <c r="K23" i="28"/>
  <c r="AD59" i="32"/>
  <c r="AD51" i="32"/>
  <c r="AB51" i="32"/>
  <c r="Z234" i="40"/>
  <c r="Z227" i="40"/>
  <c r="Z239" i="40"/>
  <c r="P305" i="40"/>
  <c r="O362" i="38"/>
  <c r="T74" i="48"/>
  <c r="U74" i="48"/>
  <c r="R33" i="42"/>
  <c r="N372" i="38"/>
  <c r="X299" i="38"/>
  <c r="X278" i="38"/>
  <c r="F100" i="39"/>
  <c r="V399" i="38"/>
  <c r="V411" i="38"/>
  <c r="V419" i="38"/>
  <c r="V30" i="42"/>
  <c r="J46" i="32"/>
  <c r="G352" i="40"/>
  <c r="H31" i="42"/>
  <c r="O15" i="48"/>
  <c r="G26" i="28"/>
  <c r="G56" i="28"/>
  <c r="S79" i="31"/>
  <c r="S80" i="31"/>
  <c r="Y295" i="38"/>
  <c r="Y303" i="38"/>
  <c r="G232" i="41"/>
  <c r="R283" i="40"/>
  <c r="S13" i="42"/>
  <c r="O23" i="42"/>
  <c r="Z372" i="38"/>
  <c r="AO82" i="31"/>
  <c r="E131" i="39"/>
  <c r="L177" i="40"/>
  <c r="L183" i="40"/>
  <c r="H419" i="38"/>
  <c r="H30" i="42"/>
  <c r="P301" i="38"/>
  <c r="R234" i="40"/>
  <c r="M145" i="40"/>
  <c r="M146" i="40"/>
  <c r="AI71" i="31"/>
  <c r="D55" i="42"/>
  <c r="E119" i="39"/>
  <c r="AK54" i="32"/>
  <c r="F278" i="38"/>
  <c r="D61" i="28"/>
  <c r="H49" i="28"/>
  <c r="E128" i="39"/>
  <c r="F200" i="41"/>
  <c r="D200" i="41"/>
  <c r="M9" i="33"/>
  <c r="R8" i="48"/>
  <c r="BB79" i="31"/>
  <c r="BB80" i="31"/>
  <c r="I36" i="32"/>
  <c r="R84" i="48"/>
  <c r="H305" i="40"/>
  <c r="M317" i="40"/>
  <c r="BC79" i="31"/>
  <c r="BC80" i="31"/>
  <c r="AI64" i="31"/>
  <c r="D432" i="38"/>
  <c r="F42" i="32"/>
  <c r="Z24" i="42"/>
  <c r="X33" i="42"/>
  <c r="K193" i="40"/>
  <c r="R12" i="42"/>
  <c r="J188" i="41"/>
  <c r="J193" i="41"/>
  <c r="H348" i="40"/>
  <c r="O199" i="40"/>
  <c r="O336" i="40"/>
  <c r="O91" i="40"/>
  <c r="J237" i="41"/>
  <c r="J242" i="41"/>
  <c r="U283" i="40"/>
  <c r="V13" i="42"/>
  <c r="V299" i="38"/>
  <c r="V278" i="38"/>
  <c r="X301" i="38"/>
  <c r="G308" i="38"/>
  <c r="H304" i="40"/>
  <c r="H312" i="40"/>
  <c r="I22" i="42"/>
  <c r="G83" i="31"/>
  <c r="F83" i="31"/>
  <c r="U137" i="40"/>
  <c r="U250" i="40"/>
  <c r="U253" i="40"/>
  <c r="T87" i="31"/>
  <c r="E118" i="28"/>
  <c r="W228" i="40"/>
  <c r="W236" i="40"/>
  <c r="W308" i="38"/>
  <c r="R295" i="38"/>
  <c r="R303" i="38"/>
  <c r="U269" i="41"/>
  <c r="M5" i="42"/>
  <c r="G278" i="40"/>
  <c r="Q15" i="42"/>
  <c r="H295" i="40"/>
  <c r="H308" i="40"/>
  <c r="F32" i="32"/>
  <c r="I431" i="38"/>
  <c r="D431" i="38"/>
  <c r="L232" i="40"/>
  <c r="L211" i="40"/>
  <c r="D360" i="40"/>
  <c r="H228" i="40"/>
  <c r="H236" i="40"/>
  <c r="M207" i="38"/>
  <c r="T24" i="42"/>
  <c r="J346" i="40"/>
  <c r="AU82" i="31"/>
  <c r="AT64" i="31"/>
  <c r="U372" i="38"/>
  <c r="F81" i="39"/>
  <c r="M232" i="40"/>
  <c r="M211" i="40"/>
  <c r="L295" i="40"/>
  <c r="J145" i="40"/>
  <c r="J146" i="40"/>
  <c r="Q103" i="48"/>
  <c r="O103" i="48"/>
  <c r="M307" i="38"/>
  <c r="E99" i="39"/>
  <c r="P67" i="31"/>
  <c r="P71" i="31"/>
  <c r="D306" i="38"/>
  <c r="V195" i="38"/>
  <c r="V199" i="38"/>
  <c r="N384" i="38"/>
  <c r="P308" i="38"/>
  <c r="P3" i="42"/>
  <c r="M372" i="38"/>
  <c r="D366" i="40"/>
  <c r="X80" i="31"/>
  <c r="O359" i="38"/>
  <c r="O371" i="38"/>
  <c r="O379" i="38"/>
  <c r="O21" i="42"/>
  <c r="T194" i="40"/>
  <c r="M276" i="41"/>
  <c r="E72" i="39"/>
  <c r="F72" i="39"/>
  <c r="M3" i="33"/>
  <c r="D303" i="38"/>
  <c r="M79" i="31"/>
  <c r="M80" i="31"/>
  <c r="L278" i="40"/>
  <c r="M49" i="28"/>
  <c r="M50" i="28"/>
  <c r="Y145" i="40"/>
  <c r="Y146" i="40"/>
  <c r="Q77" i="48"/>
  <c r="O77" i="48"/>
  <c r="N87" i="31"/>
  <c r="E110" i="28"/>
  <c r="W241" i="40"/>
  <c r="X4" i="42"/>
  <c r="P151" i="40"/>
  <c r="P147" i="40"/>
  <c r="H61" i="28"/>
  <c r="J345" i="38"/>
  <c r="I224" i="40"/>
  <c r="S271" i="40"/>
  <c r="S281" i="40"/>
  <c r="S283" i="40"/>
  <c r="T13" i="42"/>
  <c r="D427" i="38"/>
  <c r="N52" i="28"/>
  <c r="N58" i="28"/>
  <c r="L372" i="38"/>
  <c r="AE67" i="31"/>
  <c r="AE71" i="31"/>
  <c r="E160" i="39"/>
  <c r="T33" i="32"/>
  <c r="T102" i="48"/>
  <c r="U102" i="48"/>
  <c r="P145" i="40"/>
  <c r="P146" i="40"/>
  <c r="X228" i="40"/>
  <c r="X236" i="40"/>
  <c r="AJ82" i="31"/>
  <c r="E126" i="39"/>
  <c r="F126" i="39"/>
  <c r="F134" i="39"/>
  <c r="U361" i="40"/>
  <c r="U339" i="40"/>
  <c r="W361" i="40"/>
  <c r="W339" i="40"/>
  <c r="J290" i="38"/>
  <c r="J334" i="38"/>
  <c r="J335" i="38"/>
  <c r="AB79" i="31"/>
  <c r="AB80" i="31"/>
  <c r="Z327" i="40"/>
  <c r="P80" i="48"/>
  <c r="N308" i="40"/>
  <c r="N345" i="38"/>
  <c r="H15" i="42"/>
  <c r="H322" i="40"/>
  <c r="H362" i="40"/>
  <c r="H335" i="40"/>
  <c r="J147" i="40"/>
  <c r="X372" i="38"/>
  <c r="S193" i="40"/>
  <c r="S194" i="40"/>
  <c r="F58" i="31"/>
  <c r="Y301" i="38"/>
  <c r="N403" i="38"/>
  <c r="Z191" i="41"/>
  <c r="Z203" i="41"/>
  <c r="J205" i="41"/>
  <c r="P349" i="38"/>
  <c r="D349" i="38"/>
  <c r="D354" i="38"/>
  <c r="S308" i="41"/>
  <c r="S316" i="41"/>
  <c r="V32" i="42"/>
  <c r="P278" i="40"/>
  <c r="P294" i="38"/>
  <c r="P306" i="38"/>
  <c r="P399" i="38"/>
  <c r="P411" i="38"/>
  <c r="P419" i="38"/>
  <c r="P30" i="42"/>
  <c r="V308" i="41"/>
  <c r="V316" i="41"/>
  <c r="Y32" i="42"/>
  <c r="G22" i="42"/>
  <c r="D22" i="42"/>
  <c r="J312" i="40"/>
  <c r="M4" i="42"/>
  <c r="P332" i="40"/>
  <c r="P344" i="40"/>
  <c r="P352" i="40"/>
  <c r="Q31" i="42"/>
  <c r="D365" i="40"/>
  <c r="E58" i="42"/>
  <c r="E91" i="39"/>
  <c r="D327" i="40"/>
  <c r="R194" i="40"/>
  <c r="K227" i="40"/>
  <c r="K239" i="40"/>
  <c r="K241" i="40"/>
  <c r="L4" i="42"/>
  <c r="E162" i="39"/>
  <c r="K13" i="42"/>
  <c r="AN67" i="31"/>
  <c r="AN71" i="31"/>
  <c r="AR58" i="31"/>
  <c r="AR64" i="31"/>
  <c r="F366" i="38"/>
  <c r="X234" i="40"/>
  <c r="Y194" i="40"/>
  <c r="O3" i="42"/>
  <c r="T137" i="40"/>
  <c r="T250" i="40"/>
  <c r="T253" i="40"/>
  <c r="U345" i="38"/>
  <c r="T4" i="42"/>
  <c r="W15" i="42"/>
  <c r="G64" i="28"/>
  <c r="P4" i="42"/>
  <c r="R227" i="40"/>
  <c r="R239" i="40"/>
  <c r="R332" i="40"/>
  <c r="R344" i="40"/>
  <c r="R352" i="40"/>
  <c r="S31" i="42"/>
  <c r="G362" i="40"/>
  <c r="G335" i="40"/>
  <c r="L228" i="40"/>
  <c r="L236" i="40"/>
  <c r="R228" i="40"/>
  <c r="R236" i="40"/>
  <c r="H308" i="38"/>
  <c r="U90" i="40"/>
  <c r="E64" i="28"/>
  <c r="R48" i="48"/>
  <c r="W194" i="40"/>
  <c r="O5" i="42"/>
  <c r="K362" i="38"/>
  <c r="U67" i="31"/>
  <c r="U71" i="31"/>
  <c r="D287" i="40"/>
  <c r="R4" i="42"/>
  <c r="H292" i="40"/>
  <c r="F55" i="28"/>
  <c r="F59" i="28"/>
  <c r="G42" i="32"/>
  <c r="G46" i="32"/>
  <c r="F46" i="32"/>
  <c r="O61" i="48"/>
  <c r="M147" i="40"/>
  <c r="F211" i="40"/>
  <c r="D318" i="41"/>
  <c r="D319" i="41"/>
  <c r="X31" i="42"/>
  <c r="O31" i="42"/>
  <c r="M276" i="38"/>
  <c r="S234" i="40"/>
  <c r="Y271" i="40"/>
  <c r="Y281" i="40"/>
  <c r="Y283" i="40"/>
  <c r="Z13" i="42"/>
  <c r="X412" i="38"/>
  <c r="L345" i="40"/>
  <c r="F68" i="39"/>
  <c r="F76" i="39"/>
  <c r="L375" i="38"/>
  <c r="U242" i="41"/>
  <c r="D430" i="38"/>
  <c r="G301" i="38"/>
  <c r="U183" i="40"/>
  <c r="R301" i="38"/>
  <c r="W301" i="38"/>
  <c r="I403" i="38"/>
  <c r="U234" i="40"/>
  <c r="Q90" i="40"/>
  <c r="E100" i="39"/>
  <c r="F130" i="39"/>
  <c r="M24" i="42"/>
  <c r="N61" i="28"/>
  <c r="Q345" i="40"/>
  <c r="X345" i="38"/>
  <c r="I295" i="40"/>
  <c r="I308" i="40"/>
  <c r="W345" i="38"/>
  <c r="H232" i="40"/>
  <c r="H211" i="40"/>
  <c r="W14" i="42"/>
  <c r="D14" i="42"/>
  <c r="BC82" i="31"/>
  <c r="Q294" i="38"/>
  <c r="Q306" i="38"/>
  <c r="Q308" i="38"/>
  <c r="Q3" i="42"/>
  <c r="J13" i="42"/>
  <c r="N82" i="31"/>
  <c r="G110" i="28"/>
  <c r="F132" i="28"/>
  <c r="D352" i="40"/>
  <c r="W90" i="40"/>
  <c r="W137" i="40"/>
  <c r="W250" i="40"/>
  <c r="W253" i="40"/>
  <c r="J304" i="40"/>
  <c r="J305" i="40"/>
  <c r="O317" i="40"/>
  <c r="S345" i="38"/>
  <c r="AM67" i="31"/>
  <c r="AM71" i="31"/>
  <c r="AZ82" i="31"/>
  <c r="G322" i="40"/>
  <c r="G295" i="40"/>
  <c r="G308" i="40"/>
  <c r="N348" i="40"/>
  <c r="I309" i="41"/>
  <c r="I308" i="41"/>
  <c r="I316" i="41"/>
  <c r="Q71" i="48"/>
  <c r="O71" i="48"/>
  <c r="C57" i="42"/>
  <c r="E176" i="39"/>
  <c r="V15" i="42"/>
  <c r="T80" i="48"/>
  <c r="U80" i="48"/>
  <c r="J301" i="38"/>
  <c r="L308" i="38"/>
  <c r="L3" i="42"/>
  <c r="D312" i="38"/>
  <c r="E18" i="33"/>
  <c r="Q371" i="38"/>
  <c r="Q379" i="38"/>
  <c r="Q21" i="42"/>
  <c r="G63" i="39"/>
  <c r="L5" i="39"/>
  <c r="L63" i="39"/>
  <c r="AH54" i="32"/>
  <c r="AH59" i="32"/>
  <c r="M403" i="38"/>
  <c r="M205" i="38"/>
  <c r="M221" i="38"/>
  <c r="M229" i="38"/>
  <c r="M292" i="40"/>
  <c r="M312" i="41"/>
  <c r="M316" i="41"/>
  <c r="Y434" i="38"/>
  <c r="S89" i="48"/>
  <c r="O89" i="48"/>
  <c r="G4" i="32"/>
  <c r="M151" i="40"/>
  <c r="M161" i="40"/>
  <c r="L415" i="38"/>
  <c r="F350" i="38"/>
  <c r="D352" i="38"/>
  <c r="E15" i="33"/>
  <c r="P12" i="48"/>
  <c r="L145" i="40"/>
  <c r="L146" i="40"/>
  <c r="O345" i="40"/>
  <c r="P304" i="40"/>
  <c r="P312" i="40"/>
  <c r="Q22" i="42"/>
  <c r="R350" i="38"/>
  <c r="P58" i="31"/>
  <c r="P64" i="31"/>
  <c r="P82" i="31"/>
  <c r="S412" i="38"/>
  <c r="W292" i="40"/>
  <c r="W304" i="40"/>
  <c r="W312" i="40"/>
  <c r="X22" i="42"/>
  <c r="O362" i="40"/>
  <c r="O335" i="40"/>
  <c r="J390" i="38"/>
  <c r="J430" i="38"/>
  <c r="J402" i="38"/>
  <c r="J415" i="38"/>
  <c r="I228" i="40"/>
  <c r="I236" i="40"/>
  <c r="P79" i="31"/>
  <c r="P80" i="31"/>
  <c r="Z345" i="38"/>
  <c r="D223" i="40"/>
  <c r="T201" i="38"/>
  <c r="F49" i="28"/>
  <c r="Q99" i="48"/>
  <c r="O99" i="48"/>
  <c r="S95" i="48"/>
  <c r="O95" i="48"/>
  <c r="T13" i="48"/>
  <c r="I283" i="40"/>
  <c r="I271" i="40"/>
  <c r="I281" i="40"/>
  <c r="I292" i="40"/>
  <c r="I304" i="40"/>
  <c r="I305" i="40"/>
  <c r="N317" i="40"/>
  <c r="AA67" i="31"/>
  <c r="AA71" i="31"/>
  <c r="H221" i="40"/>
  <c r="G51" i="28"/>
  <c r="Q344" i="40"/>
  <c r="Q352" i="40"/>
  <c r="R31" i="42"/>
  <c r="Z412" i="38"/>
  <c r="AB67" i="31"/>
  <c r="AB71" i="31"/>
  <c r="L348" i="40"/>
  <c r="L234" i="40"/>
  <c r="Q100" i="48"/>
  <c r="O100" i="48"/>
  <c r="E18" i="39"/>
  <c r="F83" i="39"/>
  <c r="E8" i="33"/>
  <c r="P7" i="48"/>
  <c r="O7" i="48"/>
  <c r="K308" i="38"/>
  <c r="K3" i="42"/>
  <c r="X59" i="32"/>
  <c r="U301" i="38"/>
  <c r="J231" i="41"/>
  <c r="J232" i="41"/>
  <c r="T412" i="38"/>
  <c r="D428" i="38"/>
  <c r="E17" i="33"/>
  <c r="J14" i="32"/>
  <c r="T64" i="48"/>
  <c r="H231" i="41"/>
  <c r="H232" i="41"/>
  <c r="N295" i="40"/>
  <c r="U18" i="33"/>
  <c r="T15" i="48"/>
  <c r="F372" i="38"/>
  <c r="Z3" i="42"/>
  <c r="R102" i="48"/>
  <c r="S102" i="48"/>
  <c r="R183" i="40"/>
  <c r="D434" i="38"/>
  <c r="H345" i="40"/>
  <c r="M357" i="40"/>
  <c r="D36" i="42"/>
  <c r="N283" i="40"/>
  <c r="Z308" i="38"/>
  <c r="P137" i="40"/>
  <c r="P250" i="40"/>
  <c r="P253" i="40"/>
  <c r="S84" i="40"/>
  <c r="S90" i="40"/>
  <c r="M299" i="38"/>
  <c r="M278" i="38"/>
  <c r="K61" i="28"/>
  <c r="W183" i="40"/>
  <c r="O322" i="40"/>
  <c r="O295" i="40"/>
  <c r="O308" i="40"/>
  <c r="M201" i="38"/>
  <c r="D281" i="40"/>
  <c r="X332" i="40"/>
  <c r="R308" i="38"/>
  <c r="R3" i="42"/>
  <c r="Z82" i="31"/>
  <c r="T228" i="40"/>
  <c r="T236" i="40"/>
  <c r="V256" i="41"/>
  <c r="V268" i="41"/>
  <c r="V276" i="41"/>
  <c r="Y23" i="42"/>
  <c r="L412" i="38"/>
  <c r="R299" i="38"/>
  <c r="R278" i="38"/>
  <c r="F3" i="42"/>
  <c r="F6" i="42"/>
  <c r="D8" i="42"/>
  <c r="D58" i="42"/>
  <c r="E90" i="39"/>
  <c r="P90" i="40"/>
  <c r="I4" i="42"/>
  <c r="I91" i="40"/>
  <c r="I92" i="40"/>
  <c r="W372" i="38"/>
  <c r="I158" i="38"/>
  <c r="I432" i="38"/>
  <c r="I404" i="38"/>
  <c r="I417" i="38"/>
  <c r="Z232" i="40"/>
  <c r="Z211" i="40"/>
  <c r="K24" i="42"/>
  <c r="J292" i="40"/>
  <c r="J271" i="40"/>
  <c r="J281" i="40"/>
  <c r="J283" i="40"/>
  <c r="L308" i="41"/>
  <c r="L316" i="41"/>
  <c r="O32" i="42"/>
  <c r="U228" i="40"/>
  <c r="U236" i="40"/>
  <c r="L295" i="38"/>
  <c r="L303" i="38"/>
  <c r="J49" i="28"/>
  <c r="H187" i="41"/>
  <c r="J187" i="41"/>
  <c r="I223" i="40"/>
  <c r="I267" i="40"/>
  <c r="I268" i="40"/>
  <c r="S183" i="40"/>
  <c r="V247" i="41"/>
  <c r="Y14" i="42"/>
  <c r="R232" i="40"/>
  <c r="R211" i="40"/>
  <c r="M228" i="40"/>
  <c r="M236" i="40"/>
  <c r="AV67" i="31"/>
  <c r="AV71" i="31"/>
  <c r="M63" i="28"/>
  <c r="M64" i="28"/>
  <c r="O295" i="38"/>
  <c r="O303" i="38"/>
  <c r="M278" i="40"/>
  <c r="Z394" i="38"/>
  <c r="N3" i="42"/>
  <c r="AJ79" i="31"/>
  <c r="AJ80" i="31"/>
  <c r="AI80" i="31"/>
  <c r="Q193" i="40"/>
  <c r="Q194" i="40"/>
  <c r="K308" i="40"/>
  <c r="Z79" i="31"/>
  <c r="Z80" i="31"/>
  <c r="F308" i="38"/>
  <c r="D310" i="38"/>
  <c r="E14" i="33"/>
  <c r="P13" i="48"/>
  <c r="I290" i="38"/>
  <c r="I334" i="38"/>
  <c r="I335" i="38"/>
  <c r="H290" i="38"/>
  <c r="H334" i="38"/>
  <c r="H335" i="38"/>
  <c r="P229" i="38"/>
  <c r="P276" i="38"/>
  <c r="O30" i="42"/>
  <c r="O33" i="42"/>
  <c r="O323" i="40"/>
  <c r="O363" i="40"/>
  <c r="V193" i="40"/>
  <c r="V194" i="40"/>
  <c r="N322" i="40"/>
  <c r="N362" i="40"/>
  <c r="N335" i="40"/>
  <c r="K295" i="38"/>
  <c r="K303" i="38"/>
  <c r="H299" i="38"/>
  <c r="H278" i="38"/>
  <c r="F61" i="28"/>
  <c r="G379" i="38"/>
  <c r="G21" i="42"/>
  <c r="O22" i="42"/>
  <c r="N193" i="40"/>
  <c r="N194" i="40"/>
  <c r="O241" i="40"/>
  <c r="N228" i="40"/>
  <c r="N236" i="40"/>
  <c r="K299" i="38"/>
  <c r="K278" i="38"/>
  <c r="J350" i="38"/>
  <c r="J12" i="42"/>
  <c r="J33" i="42"/>
  <c r="O64" i="48"/>
  <c r="Q61" i="48"/>
  <c r="K92" i="40"/>
  <c r="G8" i="39"/>
  <c r="AM79" i="31"/>
  <c r="AM80" i="31"/>
  <c r="P227" i="38"/>
  <c r="P432" i="38"/>
  <c r="P404" i="38"/>
  <c r="Z5" i="42"/>
  <c r="P384" i="38"/>
  <c r="AQ79" i="31"/>
  <c r="AQ80" i="31"/>
  <c r="G31" i="42"/>
  <c r="D31" i="42"/>
  <c r="X227" i="40"/>
  <c r="X239" i="40"/>
  <c r="X241" i="40"/>
  <c r="Y4" i="42"/>
  <c r="R372" i="38"/>
  <c r="E11" i="33"/>
  <c r="P10" i="48"/>
  <c r="S411" i="38"/>
  <c r="S419" i="38"/>
  <c r="S30" i="42"/>
  <c r="S33" i="42"/>
  <c r="U359" i="38"/>
  <c r="U371" i="38"/>
  <c r="U379" i="38"/>
  <c r="U21" i="42"/>
  <c r="U24" i="42"/>
  <c r="U193" i="40"/>
  <c r="U194" i="40"/>
  <c r="I241" i="41"/>
  <c r="D241" i="41"/>
  <c r="E161" i="39"/>
  <c r="G183" i="40"/>
  <c r="W232" i="40"/>
  <c r="W211" i="40"/>
  <c r="AZ67" i="31"/>
  <c r="AZ71" i="31"/>
  <c r="L147" i="40"/>
  <c r="P323" i="38"/>
  <c r="P325" i="38"/>
  <c r="S299" i="38"/>
  <c r="S278" i="38"/>
  <c r="O424" i="38"/>
  <c r="I183" i="40"/>
  <c r="S296" i="41"/>
  <c r="P234" i="40"/>
  <c r="AJ58" i="31"/>
  <c r="AJ64" i="31"/>
  <c r="K15" i="39"/>
  <c r="K62" i="39"/>
  <c r="H345" i="38"/>
  <c r="M415" i="38"/>
  <c r="AJ67" i="31"/>
  <c r="AJ71" i="31"/>
  <c r="L15" i="42"/>
  <c r="G241" i="40"/>
  <c r="H4" i="42"/>
  <c r="W33" i="42"/>
  <c r="R195" i="38"/>
  <c r="R199" i="38"/>
  <c r="R201" i="38"/>
  <c r="W256" i="41"/>
  <c r="N55" i="28"/>
  <c r="N59" i="28"/>
  <c r="N63" i="28"/>
  <c r="N64" i="28"/>
  <c r="J70" i="28"/>
  <c r="K232" i="40"/>
  <c r="K211" i="40"/>
  <c r="E61" i="28"/>
  <c r="AL79" i="31"/>
  <c r="AL80" i="31"/>
  <c r="J295" i="40"/>
  <c r="J308" i="40"/>
  <c r="Y51" i="32"/>
  <c r="Y59" i="32"/>
  <c r="G67" i="31"/>
  <c r="R67" i="31"/>
  <c r="R71" i="31"/>
  <c r="X399" i="38"/>
  <c r="X411" i="38"/>
  <c r="X419" i="38"/>
  <c r="X30" i="42"/>
  <c r="E68" i="39"/>
  <c r="E76" i="39"/>
  <c r="F70" i="39"/>
  <c r="V301" i="38"/>
  <c r="V294" i="38"/>
  <c r="V306" i="38"/>
  <c r="AF67" i="31"/>
  <c r="AF71" i="31"/>
  <c r="H294" i="38"/>
  <c r="H306" i="38"/>
  <c r="H399" i="38"/>
  <c r="H411" i="38"/>
  <c r="H412" i="38"/>
  <c r="M424" i="38"/>
  <c r="L304" i="40"/>
  <c r="L312" i="40"/>
  <c r="M22" i="42"/>
  <c r="Q79" i="48"/>
  <c r="O79" i="48"/>
  <c r="K295" i="40"/>
  <c r="Q278" i="40"/>
  <c r="E9" i="33"/>
  <c r="P8" i="48"/>
  <c r="O8" i="48"/>
  <c r="T12" i="42"/>
  <c r="T15" i="42"/>
  <c r="N301" i="38"/>
  <c r="W345" i="40"/>
  <c r="W227" i="40"/>
  <c r="W239" i="40"/>
  <c r="W332" i="40"/>
  <c r="W344" i="40"/>
  <c r="W352" i="40"/>
  <c r="N58" i="31"/>
  <c r="N64" i="31"/>
  <c r="M345" i="38"/>
  <c r="F305" i="40"/>
  <c r="H151" i="40"/>
  <c r="H161" i="40"/>
  <c r="BC58" i="31"/>
  <c r="BC64" i="31"/>
  <c r="K263" i="41"/>
  <c r="Z195" i="38"/>
  <c r="Z199" i="38"/>
  <c r="N305" i="40"/>
  <c r="N271" i="40"/>
  <c r="N281" i="40"/>
  <c r="N292" i="40"/>
  <c r="N304" i="40"/>
  <c r="N312" i="40"/>
  <c r="R84" i="40"/>
  <c r="Q62" i="48"/>
  <c r="O62" i="48"/>
  <c r="P350" i="38"/>
  <c r="I296" i="41"/>
  <c r="D203" i="41"/>
  <c r="U235" i="41"/>
  <c r="U245" i="41"/>
  <c r="U256" i="41"/>
  <c r="U268" i="41"/>
  <c r="U276" i="41"/>
  <c r="X23" i="42"/>
  <c r="I197" i="40"/>
  <c r="O308" i="38"/>
  <c r="Y299" i="38"/>
  <c r="Y278" i="38"/>
  <c r="R80" i="48"/>
  <c r="S80" i="48"/>
  <c r="D324" i="41"/>
  <c r="M17" i="33"/>
  <c r="P292" i="40"/>
  <c r="G32" i="32"/>
  <c r="G36" i="32"/>
  <c r="F36" i="32"/>
  <c r="K228" i="40"/>
  <c r="K236" i="40"/>
  <c r="F64" i="31"/>
  <c r="G64" i="31"/>
  <c r="G82" i="31"/>
  <c r="P177" i="40"/>
  <c r="P183" i="40"/>
  <c r="I43" i="32"/>
  <c r="G221" i="40"/>
  <c r="D221" i="40"/>
  <c r="O232" i="40"/>
  <c r="O211" i="40"/>
  <c r="AA82" i="31"/>
  <c r="N307" i="38"/>
  <c r="Z145" i="40"/>
  <c r="Z146" i="40"/>
  <c r="R345" i="38"/>
  <c r="K403" i="38"/>
  <c r="T81" i="48"/>
  <c r="U81" i="48"/>
  <c r="I372" i="38"/>
  <c r="W235" i="41"/>
  <c r="W245" i="41"/>
  <c r="W247" i="41"/>
  <c r="Z14" i="42"/>
  <c r="AB58" i="31"/>
  <c r="AB64" i="31"/>
  <c r="AB82" i="31"/>
  <c r="M272" i="41"/>
  <c r="M287" i="41"/>
  <c r="M259" i="41"/>
  <c r="M263" i="41"/>
  <c r="AA58" i="31"/>
  <c r="AA64" i="31"/>
  <c r="I145" i="40"/>
  <c r="I146" i="40"/>
  <c r="G227" i="40"/>
  <c r="G239" i="40"/>
  <c r="G332" i="40"/>
  <c r="G344" i="40"/>
  <c r="G345" i="40"/>
  <c r="L357" i="40"/>
  <c r="J347" i="40"/>
  <c r="G187" i="41"/>
  <c r="G231" i="41"/>
  <c r="H295" i="38"/>
  <c r="H303" i="38"/>
  <c r="Q304" i="40"/>
  <c r="Q312" i="40"/>
  <c r="R22" i="42"/>
  <c r="D184" i="41"/>
  <c r="K372" i="38"/>
  <c r="M82" i="31"/>
  <c r="U79" i="31"/>
  <c r="U80" i="31"/>
  <c r="Y90" i="40"/>
  <c r="K272" i="41"/>
  <c r="K276" i="41"/>
  <c r="W309" i="41"/>
  <c r="G345" i="38"/>
  <c r="M430" i="38"/>
  <c r="M402" i="38"/>
  <c r="U33" i="42"/>
  <c r="D228" i="41"/>
  <c r="H184" i="41"/>
  <c r="I47" i="28"/>
  <c r="I48" i="28"/>
  <c r="I50" i="28"/>
  <c r="O207" i="38"/>
  <c r="P390" i="38"/>
  <c r="P430" i="38"/>
  <c r="P402" i="38"/>
  <c r="V242" i="41"/>
  <c r="V235" i="41"/>
  <c r="V245" i="41"/>
  <c r="D291" i="41"/>
  <c r="X84" i="40"/>
  <c r="X90" i="40"/>
  <c r="R79" i="31"/>
  <c r="R80" i="31"/>
  <c r="K31" i="42"/>
  <c r="AY79" i="31"/>
  <c r="AY80" i="31"/>
  <c r="E75" i="39"/>
  <c r="L307" i="38"/>
  <c r="J232" i="40"/>
  <c r="J211" i="40"/>
  <c r="O350" i="40"/>
  <c r="W201" i="38"/>
  <c r="T371" i="38"/>
  <c r="T379" i="38"/>
  <c r="T21" i="42"/>
  <c r="G290" i="38"/>
  <c r="G334" i="38"/>
  <c r="G335" i="38"/>
  <c r="Z90" i="40"/>
  <c r="Z137" i="40"/>
  <c r="Z250" i="40"/>
  <c r="Z253" i="40"/>
  <c r="Q195" i="38"/>
  <c r="Q199" i="38"/>
  <c r="Y294" i="38"/>
  <c r="Y306" i="38"/>
  <c r="Y399" i="38"/>
  <c r="Y411" i="38"/>
  <c r="Y419" i="38"/>
  <c r="Y30" i="42"/>
  <c r="Y33" i="42"/>
  <c r="X51" i="32"/>
  <c r="W51" i="32"/>
  <c r="W59" i="32"/>
  <c r="J403" i="38"/>
  <c r="F283" i="40"/>
  <c r="D285" i="40"/>
  <c r="C56" i="42"/>
  <c r="E147" i="39"/>
  <c r="R81" i="48"/>
  <c r="S81" i="48"/>
  <c r="P227" i="40"/>
  <c r="P239" i="40"/>
  <c r="P241" i="40"/>
  <c r="Q4" i="42"/>
  <c r="U84" i="40"/>
  <c r="J177" i="40"/>
  <c r="J183" i="40"/>
  <c r="M11" i="33"/>
  <c r="R10" i="48"/>
  <c r="U85" i="31"/>
  <c r="H16" i="28"/>
  <c r="H25" i="28"/>
  <c r="H55" i="28"/>
  <c r="H59" i="28"/>
  <c r="H63" i="28"/>
  <c r="X278" i="40"/>
  <c r="N299" i="38"/>
  <c r="N278" i="38"/>
  <c r="V205" i="41"/>
  <c r="Y5" i="42"/>
  <c r="E127" i="39"/>
  <c r="S332" i="40"/>
  <c r="S227" i="40"/>
  <c r="S239" i="40"/>
  <c r="S241" i="40"/>
  <c r="K33" i="42"/>
  <c r="K4" i="42"/>
  <c r="T301" i="38"/>
  <c r="R338" i="38"/>
  <c r="R348" i="38"/>
  <c r="R359" i="38"/>
  <c r="R371" i="38"/>
  <c r="R379" i="38"/>
  <c r="R21" i="42"/>
  <c r="R24" i="42"/>
  <c r="L325" i="41"/>
  <c r="L331" i="41"/>
  <c r="S91" i="48"/>
  <c r="O91" i="48"/>
  <c r="M284" i="41"/>
  <c r="M290" i="41"/>
  <c r="M262" i="41"/>
  <c r="M275" i="41"/>
  <c r="J352" i="40"/>
  <c r="T79" i="31"/>
  <c r="T80" i="31"/>
  <c r="Y143" i="40"/>
  <c r="Z140" i="40"/>
  <c r="Z143" i="40"/>
  <c r="Y327" i="40"/>
  <c r="Z320" i="40"/>
  <c r="BA79" i="31"/>
  <c r="BA80" i="31"/>
  <c r="AV79" i="31"/>
  <c r="AV80" i="31"/>
  <c r="X83" i="40"/>
  <c r="W299" i="38"/>
  <c r="W278" i="38"/>
  <c r="Q177" i="40"/>
  <c r="Q183" i="40"/>
  <c r="T60" i="48"/>
  <c r="U60" i="48"/>
  <c r="N430" i="38"/>
  <c r="H63" i="39"/>
  <c r="N5" i="39"/>
  <c r="N63" i="39"/>
  <c r="J323" i="40"/>
  <c r="J363" i="40"/>
  <c r="D363" i="40"/>
  <c r="M323" i="40"/>
  <c r="M363" i="40"/>
  <c r="N350" i="38"/>
  <c r="N12" i="42"/>
  <c r="N15" i="42"/>
  <c r="S359" i="38"/>
  <c r="S371" i="38"/>
  <c r="S379" i="38"/>
  <c r="S21" i="42"/>
  <c r="I234" i="40"/>
  <c r="J299" i="38"/>
  <c r="J278" i="38"/>
  <c r="R63" i="48"/>
  <c r="X294" i="38"/>
  <c r="X306" i="38"/>
  <c r="X308" i="38"/>
  <c r="X3" i="42"/>
  <c r="G228" i="40"/>
  <c r="G236" i="40"/>
  <c r="G288" i="38"/>
  <c r="H288" i="38"/>
  <c r="F30" i="42"/>
  <c r="F33" i="42"/>
  <c r="D35" i="42"/>
  <c r="T58" i="31"/>
  <c r="T64" i="31"/>
  <c r="T82" i="31"/>
  <c r="U14" i="33"/>
  <c r="E16" i="33"/>
  <c r="P14" i="48"/>
  <c r="G223" i="40"/>
  <c r="G267" i="40"/>
  <c r="F188" i="41"/>
  <c r="D188" i="41"/>
  <c r="V371" i="38"/>
  <c r="V379" i="38"/>
  <c r="V21" i="42"/>
  <c r="V24" i="42"/>
  <c r="U177" i="40"/>
  <c r="L292" i="40"/>
  <c r="N411" i="38"/>
  <c r="N419" i="38"/>
  <c r="N30" i="42"/>
  <c r="O301" i="38"/>
  <c r="Y79" i="31"/>
  <c r="Y80" i="31"/>
  <c r="K322" i="40"/>
  <c r="K362" i="40"/>
  <c r="K335" i="40"/>
  <c r="I359" i="38"/>
  <c r="I371" i="38"/>
  <c r="I379" i="38"/>
  <c r="I21" i="42"/>
  <c r="F62" i="39"/>
  <c r="I15" i="39"/>
  <c r="I62" i="39"/>
  <c r="W271" i="40"/>
  <c r="W281" i="40"/>
  <c r="W283" i="40"/>
  <c r="X13" i="42"/>
  <c r="AV82" i="31"/>
  <c r="V4" i="42"/>
  <c r="D278" i="41"/>
  <c r="D279" i="41"/>
  <c r="J64" i="28"/>
  <c r="V84" i="40"/>
  <c r="V90" i="40"/>
  <c r="V278" i="40"/>
  <c r="L241" i="40"/>
  <c r="P338" i="38"/>
  <c r="P348" i="38"/>
  <c r="P359" i="38"/>
  <c r="P371" i="38"/>
  <c r="P379" i="38"/>
  <c r="P21" i="42"/>
  <c r="P24" i="42"/>
  <c r="G350" i="38"/>
  <c r="G12" i="42"/>
  <c r="G15" i="42"/>
  <c r="F278" i="40"/>
  <c r="D278" i="40"/>
  <c r="P295" i="38"/>
  <c r="P303" i="38"/>
  <c r="N49" i="28"/>
  <c r="N50" i="28"/>
  <c r="W205" i="41"/>
  <c r="D234" i="40"/>
  <c r="D329" i="41"/>
  <c r="AW67" i="31"/>
  <c r="AW71" i="31"/>
  <c r="R177" i="40"/>
  <c r="P228" i="40"/>
  <c r="P236" i="40"/>
  <c r="AD58" i="31"/>
  <c r="AD64" i="31"/>
  <c r="AD82" i="31"/>
  <c r="M237" i="41"/>
  <c r="M242" i="41"/>
  <c r="E28" i="39"/>
  <c r="Z291" i="41"/>
  <c r="O228" i="40"/>
  <c r="O236" i="40"/>
  <c r="U195" i="38"/>
  <c r="U199" i="38"/>
  <c r="AW79" i="31"/>
  <c r="AW80" i="31"/>
  <c r="K259" i="41"/>
  <c r="O415" i="38"/>
  <c r="I348" i="40"/>
  <c r="J4" i="42"/>
  <c r="G151" i="40"/>
  <c r="G161" i="40"/>
  <c r="J412" i="38"/>
  <c r="M271" i="40"/>
  <c r="M281" i="40"/>
  <c r="M283" i="40"/>
  <c r="N13" i="42"/>
  <c r="T195" i="38"/>
  <c r="T199" i="38"/>
  <c r="M33" i="42"/>
  <c r="I64" i="28"/>
  <c r="I161" i="40"/>
  <c r="U9" i="33"/>
  <c r="U11" i="33"/>
  <c r="T10" i="48"/>
  <c r="S177" i="40"/>
  <c r="N177" i="40"/>
  <c r="Z387" i="38"/>
  <c r="BB82" i="31"/>
  <c r="W30" i="42"/>
  <c r="AG79" i="31"/>
  <c r="AG80" i="31"/>
  <c r="E159" i="39"/>
  <c r="X371" i="38"/>
  <c r="X379" i="38"/>
  <c r="X21" i="42"/>
  <c r="U176" i="40"/>
  <c r="V234" i="40"/>
  <c r="N176" i="40"/>
  <c r="H241" i="40"/>
  <c r="L291" i="41"/>
  <c r="X194" i="40"/>
  <c r="AW82" i="31"/>
  <c r="S205" i="41"/>
  <c r="V5" i="42"/>
  <c r="T84" i="48"/>
  <c r="E63" i="28"/>
  <c r="W193" i="40"/>
  <c r="J372" i="38"/>
  <c r="S35" i="32"/>
  <c r="R104" i="48"/>
  <c r="S104" i="48"/>
  <c r="U344" i="40"/>
  <c r="U352" i="40"/>
  <c r="V31" i="42"/>
  <c r="N352" i="40"/>
  <c r="N332" i="40"/>
  <c r="N344" i="40"/>
  <c r="N345" i="40"/>
  <c r="N323" i="40"/>
  <c r="N363" i="40"/>
  <c r="AF82" i="31"/>
  <c r="L180" i="40"/>
  <c r="L181" i="40"/>
  <c r="L176" i="40"/>
  <c r="Q241" i="40"/>
  <c r="Q227" i="40"/>
  <c r="Q239" i="40"/>
  <c r="Q332" i="40"/>
  <c r="P84" i="48"/>
  <c r="Q82" i="48"/>
  <c r="O82" i="48"/>
  <c r="O365" i="40"/>
  <c r="O337" i="40"/>
  <c r="L312" i="41"/>
  <c r="T83" i="48"/>
  <c r="U83" i="48"/>
  <c r="Y193" i="40"/>
  <c r="F304" i="40"/>
  <c r="F312" i="40"/>
  <c r="D314" i="40"/>
  <c r="D315" i="40"/>
  <c r="D307" i="38"/>
  <c r="L323" i="40"/>
  <c r="L363" i="40"/>
  <c r="AD53" i="32"/>
  <c r="AB53" i="32"/>
  <c r="I193" i="40"/>
  <c r="T7" i="48"/>
  <c r="R85" i="31"/>
  <c r="E115" i="28"/>
  <c r="U145" i="40"/>
  <c r="U146" i="40"/>
  <c r="AR67" i="31"/>
  <c r="AR71" i="31"/>
  <c r="G137" i="40"/>
  <c r="G250" i="40"/>
  <c r="G253" i="40"/>
  <c r="V359" i="38"/>
  <c r="AO79" i="31"/>
  <c r="AO80" i="31"/>
  <c r="I412" i="38"/>
  <c r="N424" i="38"/>
  <c r="F301" i="38"/>
  <c r="D301" i="38"/>
  <c r="K412" i="38"/>
  <c r="P424" i="38"/>
  <c r="V283" i="40"/>
  <c r="W13" i="42"/>
  <c r="Y344" i="40"/>
  <c r="Y352" i="40"/>
  <c r="Z31" i="42"/>
  <c r="D204" i="41"/>
  <c r="D209" i="41"/>
  <c r="E55" i="28"/>
  <c r="E59" i="28"/>
  <c r="Y320" i="40"/>
  <c r="G312" i="40"/>
  <c r="H22" i="42"/>
  <c r="K207" i="38"/>
  <c r="F31" i="39"/>
  <c r="J344" i="40"/>
  <c r="J345" i="40"/>
  <c r="O357" i="40"/>
  <c r="AX67" i="31"/>
  <c r="AX71" i="31"/>
  <c r="M412" i="38"/>
  <c r="T177" i="40"/>
  <c r="T183" i="40"/>
  <c r="M23" i="42"/>
  <c r="D23" i="42"/>
  <c r="Y228" i="40"/>
  <c r="Y236" i="40"/>
  <c r="I301" i="38"/>
  <c r="K271" i="40"/>
  <c r="K281" i="40"/>
  <c r="K283" i="40"/>
  <c r="L13" i="42"/>
  <c r="S26" i="32"/>
  <c r="R96" i="48"/>
  <c r="S93" i="48"/>
  <c r="O93" i="48"/>
  <c r="G294" i="38"/>
  <c r="G306" i="38"/>
  <c r="G399" i="38"/>
  <c r="G411" i="38"/>
  <c r="G419" i="38"/>
  <c r="G30" i="42"/>
  <c r="G33" i="42"/>
  <c r="L359" i="38"/>
  <c r="L371" i="38"/>
  <c r="L379" i="38"/>
  <c r="L21" i="42"/>
  <c r="L24" i="42"/>
  <c r="O297" i="40"/>
  <c r="N390" i="38"/>
  <c r="N362" i="38"/>
  <c r="N375" i="38"/>
  <c r="S338" i="38"/>
  <c r="S348" i="38"/>
  <c r="S350" i="38"/>
  <c r="S12" i="42"/>
  <c r="I242" i="41"/>
  <c r="D242" i="41"/>
  <c r="P237" i="41"/>
  <c r="P242" i="41"/>
  <c r="L327" i="41"/>
  <c r="L299" i="41"/>
  <c r="L362" i="38"/>
  <c r="P180" i="40"/>
  <c r="P181" i="40"/>
  <c r="P176" i="40"/>
  <c r="AV58" i="31"/>
  <c r="AV64" i="31"/>
  <c r="U8" i="33"/>
  <c r="U10" i="33"/>
  <c r="T9" i="48"/>
  <c r="U241" i="40"/>
  <c r="U227" i="40"/>
  <c r="U239" i="40"/>
  <c r="U332" i="40"/>
  <c r="T350" i="38"/>
  <c r="T338" i="38"/>
  <c r="T348" i="38"/>
  <c r="T359" i="38"/>
  <c r="Q359" i="38"/>
  <c r="G64" i="39"/>
  <c r="R47" i="48"/>
  <c r="AD79" i="31"/>
  <c r="AD80" i="31"/>
  <c r="G299" i="38"/>
  <c r="G278" i="38"/>
  <c r="L151" i="40"/>
  <c r="L161" i="40"/>
  <c r="Q19" i="32"/>
  <c r="M120" i="28"/>
  <c r="M132" i="28"/>
  <c r="Q58" i="31"/>
  <c r="Q64" i="31"/>
  <c r="Q82" i="31"/>
  <c r="AL58" i="31"/>
  <c r="AL64" i="31"/>
  <c r="AL82" i="31"/>
  <c r="Z15" i="42"/>
  <c r="F412" i="38"/>
  <c r="AU58" i="31"/>
  <c r="AU64" i="31"/>
  <c r="W350" i="38"/>
  <c r="W12" i="42"/>
  <c r="I155" i="40"/>
  <c r="I158" i="40"/>
  <c r="I365" i="40"/>
  <c r="I337" i="40"/>
  <c r="I350" i="40"/>
  <c r="W296" i="41"/>
  <c r="W308" i="41"/>
  <c r="W316" i="41"/>
  <c r="Z32" i="42"/>
  <c r="J294" i="38"/>
  <c r="J306" i="38"/>
  <c r="J399" i="38"/>
  <c r="J411" i="38"/>
  <c r="J419" i="38"/>
  <c r="J30" i="42"/>
  <c r="D243" i="40"/>
  <c r="D56" i="42"/>
  <c r="E148" i="39"/>
  <c r="T232" i="40"/>
  <c r="T211" i="40"/>
  <c r="X193" i="40"/>
  <c r="P205" i="38"/>
  <c r="P221" i="38"/>
  <c r="P403" i="38"/>
  <c r="M411" i="38"/>
  <c r="M419" i="38"/>
  <c r="M30" i="42"/>
  <c r="G13" i="32"/>
  <c r="F13" i="32"/>
  <c r="O205" i="38"/>
  <c r="O221" i="38"/>
  <c r="O229" i="38"/>
  <c r="O276" i="38"/>
  <c r="O307" i="38"/>
  <c r="I221" i="38"/>
  <c r="I229" i="38"/>
  <c r="I276" i="38"/>
  <c r="I307" i="38"/>
  <c r="J223" i="40"/>
  <c r="J267" i="40"/>
  <c r="J268" i="40"/>
  <c r="AC58" i="31"/>
  <c r="AC64" i="31"/>
  <c r="AC82" i="31"/>
  <c r="E101" i="39"/>
  <c r="Y372" i="38"/>
  <c r="J193" i="40"/>
  <c r="U338" i="38"/>
  <c r="U348" i="38"/>
  <c r="U350" i="38"/>
  <c r="U12" i="42"/>
  <c r="U15" i="42"/>
  <c r="Q72" i="48"/>
  <c r="O72" i="48"/>
  <c r="U271" i="40"/>
  <c r="U281" i="40"/>
  <c r="U292" i="40"/>
  <c r="U304" i="40"/>
  <c r="U312" i="40"/>
  <c r="V22" i="42"/>
  <c r="Z359" i="38"/>
  <c r="Z371" i="38"/>
  <c r="Z379" i="38"/>
  <c r="Z21" i="42"/>
  <c r="L294" i="38"/>
  <c r="L306" i="38"/>
  <c r="L399" i="38"/>
  <c r="L411" i="38"/>
  <c r="L419" i="38"/>
  <c r="L30" i="42"/>
  <c r="H42" i="32"/>
  <c r="H46" i="32"/>
  <c r="J295" i="38"/>
  <c r="J303" i="38"/>
  <c r="Q145" i="40"/>
  <c r="Q146" i="40"/>
  <c r="L205" i="41"/>
  <c r="L296" i="41"/>
  <c r="X283" i="40"/>
  <c r="Y13" i="42"/>
  <c r="AK67" i="31"/>
  <c r="AK71" i="31"/>
  <c r="P393" i="38"/>
  <c r="T35" i="32"/>
  <c r="T104" i="48"/>
  <c r="U104" i="48"/>
  <c r="AJ54" i="32"/>
  <c r="AJ59" i="32"/>
  <c r="I332" i="40"/>
  <c r="I227" i="40"/>
  <c r="I239" i="40"/>
  <c r="I241" i="40"/>
  <c r="Q299" i="38"/>
  <c r="Q278" i="38"/>
  <c r="X177" i="40"/>
  <c r="X183" i="40"/>
  <c r="J338" i="38"/>
  <c r="J348" i="38"/>
  <c r="J359" i="38"/>
  <c r="J371" i="38"/>
  <c r="J379" i="38"/>
  <c r="J21" i="42"/>
  <c r="F234" i="40"/>
  <c r="F227" i="40"/>
  <c r="D227" i="40"/>
  <c r="Z83" i="40"/>
  <c r="Z84" i="40"/>
  <c r="M193" i="40"/>
  <c r="M194" i="40"/>
  <c r="Q338" i="38"/>
  <c r="Q348" i="38"/>
  <c r="Q350" i="38"/>
  <c r="Q12" i="42"/>
  <c r="V228" i="40"/>
  <c r="V236" i="40"/>
  <c r="Z324" i="41"/>
  <c r="Z331" i="41"/>
  <c r="R294" i="38"/>
  <c r="R306" i="38"/>
  <c r="R399" i="38"/>
  <c r="R411" i="38"/>
  <c r="R419" i="38"/>
  <c r="R30" i="42"/>
  <c r="Q292" i="40"/>
  <c r="I26" i="32"/>
  <c r="F277" i="40"/>
  <c r="D277" i="40"/>
  <c r="W180" i="40"/>
  <c r="W181" i="40"/>
  <c r="W176" i="40"/>
  <c r="W177" i="40"/>
  <c r="Y24" i="42"/>
  <c r="H271" i="40"/>
  <c r="H281" i="40"/>
  <c r="H283" i="40"/>
  <c r="I13" i="42"/>
  <c r="K359" i="38"/>
  <c r="K371" i="38"/>
  <c r="K379" i="38"/>
  <c r="K21" i="42"/>
  <c r="X291" i="41"/>
  <c r="Y284" i="41"/>
  <c r="Y291" i="41"/>
  <c r="Z284" i="41"/>
  <c r="AP58" i="31"/>
  <c r="AP64" i="31"/>
  <c r="AP82" i="31"/>
  <c r="E132" i="39"/>
  <c r="F132" i="39"/>
  <c r="Z183" i="40"/>
  <c r="K390" i="38"/>
  <c r="K430" i="38"/>
  <c r="K402" i="38"/>
  <c r="K415" i="38"/>
  <c r="O366" i="40"/>
  <c r="O338" i="40"/>
  <c r="O351" i="40"/>
  <c r="V87" i="40"/>
  <c r="V88" i="40"/>
  <c r="V83" i="40"/>
  <c r="P83" i="40"/>
  <c r="P84" i="40"/>
  <c r="X180" i="40"/>
  <c r="X181" i="40"/>
  <c r="X176" i="40"/>
  <c r="H10" i="32"/>
  <c r="H14" i="32"/>
  <c r="P64" i="48"/>
  <c r="O145" i="40"/>
  <c r="O146" i="40"/>
  <c r="AK82" i="31"/>
  <c r="H350" i="38"/>
  <c r="H12" i="42"/>
  <c r="I338" i="38"/>
  <c r="I348" i="38"/>
  <c r="I350" i="38"/>
  <c r="I12" i="42"/>
  <c r="I15" i="42"/>
  <c r="Z58" i="31"/>
  <c r="Z64" i="31"/>
  <c r="L227" i="40"/>
  <c r="L239" i="40"/>
  <c r="L332" i="40"/>
  <c r="L344" i="40"/>
  <c r="L352" i="40"/>
  <c r="M31" i="42"/>
  <c r="M58" i="31"/>
  <c r="M64" i="31"/>
  <c r="S195" i="38"/>
  <c r="S199" i="38"/>
  <c r="S201" i="38"/>
  <c r="I399" i="38"/>
  <c r="I411" i="38"/>
  <c r="I419" i="38"/>
  <c r="I30" i="42"/>
  <c r="I33" i="42"/>
  <c r="M8" i="33"/>
  <c r="R7" i="48"/>
  <c r="H227" i="40"/>
  <c r="H239" i="40"/>
  <c r="H332" i="40"/>
  <c r="H344" i="40"/>
  <c r="H352" i="40"/>
  <c r="I31" i="42"/>
  <c r="X271" i="40"/>
  <c r="X281" i="40"/>
  <c r="X292" i="40"/>
  <c r="X304" i="40"/>
  <c r="X312" i="40"/>
  <c r="Y22" i="42"/>
  <c r="F187" i="41"/>
  <c r="F231" i="41"/>
  <c r="D231" i="41"/>
  <c r="Z33" i="42"/>
  <c r="N207" i="38"/>
  <c r="X71" i="31"/>
  <c r="X191" i="41"/>
  <c r="X203" i="41"/>
  <c r="S399" i="38"/>
  <c r="S232" i="40"/>
  <c r="S211" i="40"/>
  <c r="L191" i="41"/>
  <c r="L203" i="41"/>
  <c r="H80" i="31"/>
  <c r="H35" i="32"/>
  <c r="H45" i="32"/>
  <c r="G45" i="32"/>
  <c r="F45" i="32"/>
  <c r="O92" i="40"/>
  <c r="O154" i="40"/>
  <c r="Y140" i="40"/>
  <c r="O412" i="38"/>
  <c r="O294" i="38"/>
  <c r="O306" i="38"/>
  <c r="O399" i="38"/>
  <c r="O411" i="38"/>
  <c r="O419" i="38"/>
  <c r="M227" i="40"/>
  <c r="M239" i="40"/>
  <c r="M332" i="40"/>
  <c r="M344" i="40"/>
  <c r="M352" i="40"/>
  <c r="N31" i="42"/>
  <c r="S83" i="40"/>
  <c r="N338" i="38"/>
  <c r="N348" i="38"/>
  <c r="N359" i="38"/>
  <c r="N371" i="38"/>
  <c r="N379" i="38"/>
  <c r="N21" i="42"/>
  <c r="N24" i="42"/>
  <c r="R87" i="40"/>
  <c r="R88" i="40"/>
  <c r="R83" i="40"/>
  <c r="R33" i="32"/>
  <c r="R36" i="32"/>
  <c r="P105" i="48"/>
  <c r="Z194" i="40"/>
  <c r="Q271" i="40"/>
  <c r="Q281" i="40"/>
  <c r="Q283" i="40"/>
  <c r="R13" i="42"/>
  <c r="I180" i="40"/>
  <c r="I181" i="40"/>
  <c r="I176" i="40"/>
  <c r="I177" i="40"/>
  <c r="Q70" i="48"/>
  <c r="O70" i="48"/>
  <c r="T271" i="40"/>
  <c r="T281" i="40"/>
  <c r="T292" i="40"/>
  <c r="T304" i="40"/>
  <c r="T312" i="40"/>
  <c r="U22" i="42"/>
  <c r="L271" i="40"/>
  <c r="L281" i="40"/>
  <c r="L283" i="40"/>
  <c r="M13" i="42"/>
  <c r="Q237" i="41"/>
  <c r="Q242" i="41"/>
  <c r="Y332" i="40"/>
  <c r="R82" i="31"/>
  <c r="G185" i="41"/>
  <c r="H51" i="28"/>
  <c r="H60" i="28"/>
  <c r="J42" i="32"/>
  <c r="G184" i="41"/>
  <c r="H47" i="28"/>
  <c r="H48" i="28"/>
  <c r="J151" i="40"/>
  <c r="J161" i="40"/>
  <c r="F241" i="40"/>
  <c r="AA79" i="31"/>
  <c r="AA80" i="31"/>
  <c r="M195" i="38"/>
  <c r="M199" i="38"/>
  <c r="I16" i="28"/>
  <c r="I25" i="28"/>
  <c r="I55" i="28"/>
  <c r="I59" i="28"/>
  <c r="I63" i="28"/>
  <c r="Y350" i="38"/>
  <c r="Y12" i="42"/>
  <c r="Y338" i="38"/>
  <c r="Y348" i="38"/>
  <c r="Y359" i="38"/>
  <c r="Y371" i="38"/>
  <c r="Y379" i="38"/>
  <c r="Y21" i="42"/>
  <c r="K64" i="28"/>
  <c r="U295" i="38"/>
  <c r="U303" i="38"/>
  <c r="V284" i="41"/>
  <c r="V291" i="41"/>
  <c r="W284" i="41"/>
  <c r="W291" i="41"/>
  <c r="X284" i="41"/>
  <c r="R58" i="31"/>
  <c r="R64" i="31"/>
  <c r="N16" i="28"/>
  <c r="N25" i="28"/>
  <c r="H137" i="40"/>
  <c r="H250" i="40"/>
  <c r="H253" i="40"/>
  <c r="F339" i="40"/>
  <c r="N137" i="40"/>
  <c r="N250" i="40"/>
  <c r="N253" i="40"/>
  <c r="Y84" i="40"/>
  <c r="Z177" i="40"/>
  <c r="X143" i="40"/>
  <c r="D321" i="40"/>
  <c r="F299" i="38"/>
  <c r="D299" i="38"/>
  <c r="P46" i="48"/>
  <c r="S192" i="41"/>
  <c r="S191" i="41"/>
  <c r="S203" i="41"/>
  <c r="P207" i="38"/>
  <c r="P224" i="38"/>
  <c r="P225" i="38"/>
  <c r="P324" i="38"/>
  <c r="U308" i="38"/>
  <c r="U3" i="42"/>
  <c r="L49" i="28"/>
  <c r="K237" i="41"/>
  <c r="K242" i="41"/>
  <c r="AI54" i="32"/>
  <c r="AI59" i="32"/>
  <c r="J68" i="31"/>
  <c r="AY68" i="31"/>
  <c r="AY71" i="31"/>
  <c r="T399" i="38"/>
  <c r="T411" i="38"/>
  <c r="T419" i="38"/>
  <c r="T30" i="42"/>
  <c r="T33" i="42"/>
  <c r="S294" i="38"/>
  <c r="S306" i="38"/>
  <c r="S308" i="38"/>
  <c r="S3" i="42"/>
  <c r="D245" i="41"/>
  <c r="D251" i="41"/>
  <c r="L137" i="40"/>
  <c r="L250" i="40"/>
  <c r="L253" i="40"/>
  <c r="L322" i="40"/>
  <c r="L362" i="40"/>
  <c r="L335" i="40"/>
  <c r="W338" i="38"/>
  <c r="W348" i="38"/>
  <c r="W359" i="38"/>
  <c r="W371" i="38"/>
  <c r="W379" i="38"/>
  <c r="W21" i="42"/>
  <c r="W24" i="42"/>
  <c r="K185" i="40"/>
  <c r="G47" i="39"/>
  <c r="P299" i="38"/>
  <c r="P278" i="38"/>
  <c r="J16" i="28"/>
  <c r="J25" i="28"/>
  <c r="J55" i="28"/>
  <c r="J59" i="28"/>
  <c r="J63" i="28"/>
  <c r="L193" i="40"/>
  <c r="L194" i="40"/>
  <c r="N227" i="40"/>
  <c r="N239" i="40"/>
  <c r="N241" i="40"/>
  <c r="O4" i="42"/>
  <c r="O203" i="40"/>
  <c r="O205" i="40"/>
  <c r="F295" i="40"/>
  <c r="F308" i="40"/>
  <c r="Y180" i="40"/>
  <c r="Y181" i="40"/>
  <c r="Y176" i="40"/>
  <c r="Y177" i="40"/>
  <c r="J241" i="40"/>
  <c r="J227" i="40"/>
  <c r="J239" i="40"/>
  <c r="J332" i="40"/>
  <c r="D387" i="38"/>
  <c r="L195" i="38"/>
  <c r="L199" i="38"/>
  <c r="L201" i="38"/>
  <c r="L205" i="38"/>
  <c r="L221" i="38"/>
  <c r="L229" i="38"/>
  <c r="L276" i="38"/>
  <c r="M18" i="33"/>
  <c r="R15" i="48"/>
  <c r="O326" i="40"/>
  <c r="U294" i="38"/>
  <c r="U306" i="38"/>
  <c r="U399" i="38"/>
  <c r="U411" i="38"/>
  <c r="U419" i="38"/>
  <c r="U30" i="42"/>
  <c r="S85" i="31"/>
  <c r="E120" i="28"/>
  <c r="Y67" i="31"/>
  <c r="Y71" i="31"/>
  <c r="Y227" i="40"/>
  <c r="Y239" i="40"/>
  <c r="Y241" i="40"/>
  <c r="Z4" i="42"/>
  <c r="T295" i="38"/>
  <c r="T303" i="38"/>
  <c r="N295" i="38"/>
  <c r="N303" i="38"/>
  <c r="J180" i="40"/>
  <c r="J181" i="40"/>
  <c r="J176" i="40"/>
  <c r="L338" i="38"/>
  <c r="L348" i="38"/>
  <c r="L350" i="38"/>
  <c r="L12" i="42"/>
  <c r="Z299" i="38"/>
  <c r="Z278" i="38"/>
  <c r="I45" i="32"/>
  <c r="H223" i="40"/>
  <c r="H267" i="40"/>
  <c r="H3" i="39"/>
  <c r="H46" i="39"/>
  <c r="H47" i="39"/>
  <c r="AE58" i="31"/>
  <c r="AE64" i="31"/>
  <c r="AE82" i="31"/>
  <c r="E103" i="39"/>
  <c r="F103" i="39"/>
  <c r="R193" i="40"/>
  <c r="O299" i="38"/>
  <c r="O278" i="38"/>
  <c r="F240" i="40"/>
  <c r="D240" i="40"/>
  <c r="D245" i="40"/>
  <c r="AF58" i="31"/>
  <c r="AF64" i="31"/>
  <c r="S87" i="40"/>
  <c r="S88" i="40"/>
  <c r="S58" i="31"/>
  <c r="S64" i="31"/>
  <c r="S82" i="31"/>
  <c r="X359" i="38"/>
  <c r="X338" i="38"/>
  <c r="X348" i="38"/>
  <c r="X350" i="38"/>
  <c r="AN58" i="31"/>
  <c r="AN64" i="31"/>
  <c r="AN82" i="31"/>
  <c r="E130" i="39"/>
  <c r="F21" i="42"/>
  <c r="F24" i="42"/>
  <c r="D26" i="42"/>
  <c r="D27" i="42"/>
  <c r="M4" i="33"/>
  <c r="V327" i="40"/>
  <c r="W320" i="40"/>
  <c r="W327" i="40"/>
  <c r="X320" i="40"/>
  <c r="X327" i="40"/>
  <c r="M295" i="38"/>
  <c r="M303" i="38"/>
  <c r="K49" i="28"/>
  <c r="K50" i="28"/>
  <c r="AO58" i="31"/>
  <c r="AO64" i="31"/>
  <c r="I294" i="38"/>
  <c r="I306" i="38"/>
  <c r="I308" i="38"/>
  <c r="I3" i="42"/>
  <c r="I141" i="40"/>
  <c r="I149" i="40"/>
  <c r="I191" i="41"/>
  <c r="I203" i="41"/>
  <c r="I205" i="41"/>
  <c r="D207" i="41"/>
  <c r="D57" i="42"/>
  <c r="N26" i="28"/>
  <c r="N56" i="28"/>
  <c r="J195" i="38"/>
  <c r="J199" i="38"/>
  <c r="J201" i="38"/>
  <c r="J205" i="38"/>
  <c r="J221" i="38"/>
  <c r="J229" i="38"/>
  <c r="J276" i="38"/>
  <c r="X195" i="38"/>
  <c r="X199" i="38"/>
  <c r="G84" i="40"/>
  <c r="G90" i="40"/>
  <c r="F16" i="28"/>
  <c r="F25" i="28"/>
  <c r="Z360" i="40"/>
  <c r="Z367" i="40"/>
  <c r="AU67" i="31"/>
  <c r="AU71" i="31"/>
  <c r="F3" i="32"/>
  <c r="G3" i="32"/>
  <c r="H3" i="32"/>
  <c r="H4" i="32"/>
  <c r="Z294" i="38"/>
  <c r="Z306" i="38"/>
  <c r="Z399" i="38"/>
  <c r="Z411" i="38"/>
  <c r="Z419" i="38"/>
  <c r="Z30" i="42"/>
  <c r="L237" i="41"/>
  <c r="L242" i="41"/>
  <c r="G292" i="40"/>
  <c r="G304" i="40"/>
  <c r="G305" i="40"/>
  <c r="L317" i="40"/>
  <c r="V271" i="40"/>
  <c r="V281" i="40"/>
  <c r="V292" i="40"/>
  <c r="V304" i="40"/>
  <c r="V312" i="40"/>
  <c r="W22" i="42"/>
  <c r="N195" i="38"/>
  <c r="N199" i="38"/>
  <c r="N201" i="38"/>
  <c r="N205" i="38"/>
  <c r="N221" i="38"/>
  <c r="N229" i="38"/>
  <c r="N276" i="38"/>
  <c r="F232" i="40"/>
  <c r="D232" i="40"/>
  <c r="R46" i="48"/>
  <c r="H33" i="32"/>
  <c r="H43" i="32"/>
  <c r="G43" i="32"/>
  <c r="F43" i="32"/>
  <c r="AX82" i="31"/>
  <c r="E158" i="39"/>
  <c r="R271" i="40"/>
  <c r="R281" i="40"/>
  <c r="R292" i="40"/>
  <c r="R304" i="40"/>
  <c r="R312" i="40"/>
  <c r="S22" i="42"/>
  <c r="I32" i="32"/>
  <c r="I42" i="32"/>
  <c r="G220" i="40"/>
  <c r="F47" i="28"/>
  <c r="F48" i="28"/>
  <c r="F50" i="28"/>
  <c r="N84" i="40"/>
  <c r="N90" i="40"/>
  <c r="M16" i="28"/>
  <c r="M25" i="28"/>
  <c r="M55" i="28"/>
  <c r="M59" i="28"/>
  <c r="F371" i="38"/>
  <c r="F379" i="38"/>
  <c r="D381" i="38"/>
  <c r="D382" i="38"/>
  <c r="O83" i="40"/>
  <c r="O84" i="40"/>
  <c r="O90" i="40"/>
  <c r="O137" i="40"/>
  <c r="O250" i="40"/>
  <c r="O253" i="40"/>
  <c r="N399" i="38"/>
  <c r="N294" i="38"/>
  <c r="N306" i="38"/>
  <c r="N308" i="38"/>
  <c r="G338" i="38"/>
  <c r="G348" i="38"/>
  <c r="G359" i="38"/>
  <c r="G371" i="38"/>
  <c r="G372" i="38"/>
  <c r="L384" i="38"/>
  <c r="K137" i="40"/>
  <c r="K250" i="40"/>
  <c r="K253" i="40"/>
  <c r="F303" i="38"/>
  <c r="D49" i="28"/>
  <c r="D50" i="28"/>
  <c r="Q180" i="40"/>
  <c r="Q181" i="40"/>
  <c r="Q176" i="40"/>
  <c r="I329" i="41"/>
  <c r="I301" i="41"/>
  <c r="I314" i="41"/>
  <c r="M295" i="40"/>
  <c r="M308" i="40"/>
  <c r="I155" i="38"/>
  <c r="I278" i="38"/>
  <c r="G61" i="28"/>
  <c r="J33" i="32"/>
  <c r="J43" i="32"/>
  <c r="H185" i="41"/>
  <c r="I51" i="28"/>
  <c r="I60" i="28"/>
  <c r="AN79" i="31"/>
  <c r="AN80" i="31"/>
  <c r="Q87" i="40"/>
  <c r="Q88" i="40"/>
  <c r="Q83" i="40"/>
  <c r="Q84" i="40"/>
  <c r="AQ58" i="31"/>
  <c r="AQ64" i="31"/>
  <c r="AQ82" i="31"/>
  <c r="E133" i="39"/>
  <c r="I33" i="32"/>
  <c r="S33" i="32"/>
  <c r="S36" i="32"/>
  <c r="R105" i="48"/>
  <c r="AU79" i="31"/>
  <c r="AU80" i="31"/>
  <c r="AT80" i="31"/>
  <c r="H338" i="38"/>
  <c r="H348" i="38"/>
  <c r="H359" i="38"/>
  <c r="H371" i="38"/>
  <c r="H379" i="38"/>
  <c r="H21" i="42"/>
  <c r="J26" i="32"/>
  <c r="S241" i="41"/>
  <c r="S242" i="41"/>
  <c r="T242" i="41"/>
  <c r="T193" i="40"/>
  <c r="M137" i="40"/>
  <c r="M250" i="40"/>
  <c r="M253" i="40"/>
  <c r="M322" i="40"/>
  <c r="M362" i="40"/>
  <c r="M335" i="40"/>
  <c r="P201" i="38"/>
  <c r="N180" i="40"/>
  <c r="N181" i="40"/>
  <c r="J259" i="41"/>
  <c r="J272" i="41"/>
  <c r="J276" i="41"/>
  <c r="G16" i="28"/>
  <c r="G25" i="28"/>
  <c r="G55" i="28"/>
  <c r="G59" i="28"/>
  <c r="G63" i="28"/>
  <c r="Z180" i="40"/>
  <c r="Z181" i="40"/>
  <c r="Z176" i="40"/>
  <c r="J13" i="32"/>
  <c r="W143" i="40"/>
  <c r="X140" i="40"/>
  <c r="P193" i="40"/>
  <c r="Y367" i="40"/>
  <c r="O338" i="38"/>
  <c r="O348" i="38"/>
  <c r="O350" i="38"/>
  <c r="O12" i="42"/>
  <c r="J228" i="40"/>
  <c r="J236" i="40"/>
  <c r="G62" i="39"/>
  <c r="M10" i="33"/>
  <c r="R9" i="48"/>
  <c r="AM58" i="31"/>
  <c r="AM64" i="31"/>
  <c r="AM82" i="31"/>
  <c r="E129" i="39"/>
  <c r="K221" i="38"/>
  <c r="K229" i="38"/>
  <c r="K276" i="38"/>
  <c r="K307" i="38"/>
  <c r="G271" i="40"/>
  <c r="G281" i="40"/>
  <c r="G283" i="40"/>
  <c r="H13" i="42"/>
  <c r="M83" i="40"/>
  <c r="M84" i="40"/>
  <c r="M90" i="40"/>
  <c r="L16" i="28"/>
  <c r="L25" i="28"/>
  <c r="L55" i="28"/>
  <c r="L59" i="28"/>
  <c r="L63" i="28"/>
  <c r="F336" i="40"/>
  <c r="V191" i="41"/>
  <c r="V203" i="41"/>
  <c r="V296" i="41"/>
  <c r="V325" i="41"/>
  <c r="V331" i="41"/>
  <c r="W324" i="41"/>
  <c r="W331" i="41"/>
  <c r="X324" i="41"/>
  <c r="X331" i="41"/>
  <c r="Y324" i="41"/>
  <c r="Y331" i="41"/>
  <c r="J325" i="41"/>
  <c r="J331" i="41"/>
  <c r="H26" i="32"/>
  <c r="P75" i="48"/>
  <c r="Q69" i="48"/>
  <c r="O69" i="48"/>
  <c r="G176" i="40"/>
  <c r="G177" i="40"/>
  <c r="V232" i="40"/>
  <c r="V211" i="40"/>
  <c r="Y58" i="31"/>
  <c r="Y64" i="31"/>
  <c r="Y82" i="31"/>
  <c r="E97" i="39"/>
  <c r="F97" i="39"/>
  <c r="F105" i="39"/>
  <c r="AX79" i="31"/>
  <c r="AX80" i="31"/>
  <c r="D367" i="40"/>
  <c r="L390" i="38"/>
  <c r="L430" i="38"/>
  <c r="L402" i="38"/>
  <c r="W412" i="38"/>
  <c r="W294" i="38"/>
  <c r="W306" i="38"/>
  <c r="W399" i="38"/>
  <c r="W411" i="38"/>
  <c r="W419" i="38"/>
  <c r="K294" i="38"/>
  <c r="K306" i="38"/>
  <c r="K399" i="38"/>
  <c r="K411" i="38"/>
  <c r="K419" i="38"/>
  <c r="K30" i="42"/>
  <c r="V338" i="38"/>
  <c r="V348" i="38"/>
  <c r="V350" i="38"/>
  <c r="V12" i="42"/>
  <c r="P87" i="40"/>
  <c r="P88" i="40"/>
  <c r="R180" i="40"/>
  <c r="R181" i="40"/>
  <c r="R176" i="40"/>
  <c r="Y188" i="40"/>
  <c r="Y191" i="40"/>
  <c r="Z188" i="40"/>
  <c r="Z191" i="40"/>
  <c r="Z193" i="40"/>
  <c r="AY58" i="31"/>
  <c r="AY64" i="31"/>
  <c r="AY82" i="31"/>
  <c r="U180" i="40"/>
  <c r="U181" i="40"/>
  <c r="T256" i="41"/>
  <c r="T285" i="41"/>
  <c r="T291" i="41"/>
  <c r="U284" i="41"/>
  <c r="U291" i="41"/>
  <c r="I80" i="31"/>
  <c r="I35" i="32"/>
  <c r="K287" i="41"/>
  <c r="K327" i="41"/>
  <c r="K299" i="41"/>
  <c r="K312" i="41"/>
  <c r="K316" i="41"/>
  <c r="N32" i="42"/>
  <c r="O256" i="40"/>
  <c r="O258" i="40"/>
  <c r="X394" i="38"/>
  <c r="Y387" i="38"/>
  <c r="Y394" i="38"/>
  <c r="X387" i="38"/>
  <c r="M180" i="40"/>
  <c r="M181" i="40"/>
  <c r="M176" i="40"/>
  <c r="M177" i="40"/>
  <c r="M183" i="40"/>
  <c r="F282" i="40"/>
  <c r="D282" i="40"/>
  <c r="M390" i="38"/>
  <c r="M362" i="38"/>
  <c r="M375" i="38"/>
  <c r="M308" i="38"/>
  <c r="M294" i="38"/>
  <c r="M306" i="38"/>
  <c r="M399" i="38"/>
  <c r="M350" i="38"/>
  <c r="M12" i="42"/>
  <c r="G232" i="40"/>
  <c r="G211" i="40"/>
  <c r="V180" i="40"/>
  <c r="V181" i="40"/>
  <c r="V176" i="40"/>
  <c r="V177" i="40"/>
  <c r="Y195" i="38"/>
  <c r="Y199" i="38"/>
  <c r="X87" i="40"/>
  <c r="X88" i="40"/>
  <c r="AX58" i="31"/>
  <c r="AX64" i="31"/>
  <c r="J287" i="41"/>
  <c r="J291" i="41"/>
  <c r="K284" i="41"/>
  <c r="K291" i="41"/>
  <c r="L284" i="41"/>
  <c r="AW58" i="31"/>
  <c r="AW64" i="31"/>
  <c r="I295" i="38"/>
  <c r="I303" i="38"/>
  <c r="G49" i="28"/>
  <c r="J10" i="32"/>
  <c r="F184" i="41"/>
  <c r="F228" i="41"/>
  <c r="F232" i="41"/>
  <c r="D232" i="41"/>
  <c r="D235" i="41"/>
  <c r="T235" i="41"/>
  <c r="T245" i="41"/>
  <c r="T247" i="41"/>
  <c r="D249" i="41"/>
  <c r="U15" i="33"/>
  <c r="T12" i="48"/>
  <c r="F180" i="40"/>
  <c r="F181" i="40"/>
  <c r="F176" i="40"/>
  <c r="F177" i="40"/>
  <c r="F183" i="40"/>
  <c r="F199" i="40"/>
  <c r="F207" i="40"/>
  <c r="F209" i="40"/>
  <c r="W195" i="38"/>
  <c r="W199" i="38"/>
  <c r="I156" i="41"/>
  <c r="I159" i="41"/>
  <c r="I162" i="41"/>
  <c r="I173" i="41"/>
  <c r="I204" i="41"/>
  <c r="P271" i="40"/>
  <c r="P281" i="40"/>
  <c r="P283" i="40"/>
  <c r="Q13" i="42"/>
  <c r="O227" i="40"/>
  <c r="O239" i="40"/>
  <c r="O332" i="40"/>
  <c r="O344" i="40"/>
  <c r="O352" i="40"/>
  <c r="P31" i="42"/>
  <c r="BA82" i="31"/>
  <c r="F411" i="38"/>
  <c r="F419" i="38"/>
  <c r="D421" i="38"/>
  <c r="D422" i="38"/>
  <c r="E55" i="42"/>
  <c r="I23" i="32"/>
  <c r="V227" i="40"/>
  <c r="V239" i="40"/>
  <c r="V332" i="40"/>
  <c r="V344" i="40"/>
  <c r="V352" i="40"/>
  <c r="W31" i="42"/>
  <c r="O390" i="38"/>
  <c r="O430" i="38"/>
  <c r="O402" i="38"/>
  <c r="I84" i="40"/>
  <c r="I90" i="40"/>
  <c r="I137" i="40"/>
  <c r="I250" i="40"/>
  <c r="I253" i="40"/>
  <c r="I322" i="40"/>
  <c r="I362" i="40"/>
  <c r="I335" i="40"/>
  <c r="E49" i="28"/>
  <c r="E50" i="28"/>
  <c r="S180" i="40"/>
  <c r="S181" i="40"/>
  <c r="S176" i="40"/>
  <c r="F345" i="38"/>
  <c r="D345" i="38"/>
  <c r="T180" i="40"/>
  <c r="T181" i="40"/>
  <c r="T176" i="40"/>
  <c r="E16" i="28"/>
  <c r="E25" i="28"/>
  <c r="Y87" i="40"/>
  <c r="Y88" i="40"/>
  <c r="Y83" i="40"/>
  <c r="O237" i="41"/>
  <c r="O242" i="41"/>
  <c r="AK58" i="31"/>
  <c r="AK64" i="31"/>
  <c r="S140" i="40"/>
  <c r="S143" i="40"/>
  <c r="T140" i="40"/>
  <c r="T143" i="40"/>
  <c r="U140" i="40"/>
  <c r="U143" i="40"/>
  <c r="V140" i="40"/>
  <c r="V143" i="40"/>
  <c r="W140" i="40"/>
  <c r="Z338" i="38"/>
  <c r="Z348" i="38"/>
  <c r="Z350" i="38"/>
  <c r="Z12" i="42"/>
  <c r="X58" i="32"/>
  <c r="W58" i="32"/>
  <c r="D267" i="40"/>
  <c r="G180" i="40"/>
  <c r="G181" i="40"/>
  <c r="K338" i="38"/>
  <c r="K348" i="38"/>
  <c r="K350" i="38"/>
  <c r="K12" i="42"/>
  <c r="K15" i="42"/>
  <c r="AZ58" i="31"/>
  <c r="AZ64" i="31"/>
  <c r="J90" i="40"/>
  <c r="J137" i="40"/>
  <c r="J250" i="40"/>
  <c r="J253" i="40"/>
  <c r="J322" i="40"/>
  <c r="J362" i="40"/>
  <c r="J335" i="40"/>
  <c r="L287" i="41"/>
  <c r="L259" i="41"/>
  <c r="L272" i="41"/>
  <c r="L276" i="41"/>
  <c r="H180" i="40"/>
  <c r="H181" i="40"/>
  <c r="H176" i="40"/>
  <c r="H177" i="40"/>
  <c r="H183" i="40"/>
  <c r="U58" i="31"/>
  <c r="U64" i="31"/>
  <c r="U82" i="31"/>
  <c r="J82" i="31"/>
  <c r="J17" i="32"/>
  <c r="J67" i="31"/>
  <c r="J71" i="31"/>
  <c r="J79" i="31"/>
  <c r="J80" i="31"/>
  <c r="J35" i="32"/>
  <c r="J45" i="32"/>
  <c r="I187" i="41"/>
  <c r="I231" i="41"/>
  <c r="I232" i="41"/>
  <c r="I237" i="41"/>
  <c r="N237" i="41"/>
  <c r="N242" i="41"/>
  <c r="Z87" i="40"/>
  <c r="Z88" i="40"/>
  <c r="M338" i="38"/>
  <c r="M348" i="38"/>
  <c r="M359" i="38"/>
  <c r="M371" i="38"/>
  <c r="M379" i="38"/>
  <c r="M21" i="42"/>
  <c r="F224" i="40"/>
  <c r="F228" i="40"/>
  <c r="Z228" i="40"/>
  <c r="Z236" i="40"/>
  <c r="L84" i="40"/>
  <c r="L90" i="40"/>
  <c r="K16" i="28"/>
  <c r="K25" i="28"/>
  <c r="K55" i="28"/>
  <c r="K59" i="28"/>
  <c r="K63" i="28"/>
  <c r="O180" i="40"/>
  <c r="O181" i="40"/>
  <c r="O176" i="40"/>
  <c r="O177" i="40"/>
  <c r="O183" i="40"/>
  <c r="O185" i="40"/>
  <c r="O202" i="40"/>
  <c r="W191" i="41"/>
  <c r="W203" i="41"/>
  <c r="M87" i="40"/>
  <c r="M88" i="40"/>
  <c r="P195" i="38"/>
  <c r="P199" i="38"/>
  <c r="O195" i="38"/>
  <c r="O199" i="38"/>
  <c r="O201" i="38"/>
  <c r="I83" i="40"/>
  <c r="Y360" i="40"/>
  <c r="T87" i="40"/>
  <c r="T88" i="40"/>
  <c r="T83" i="40"/>
  <c r="T84" i="40"/>
  <c r="T90" i="40"/>
  <c r="S434" i="38"/>
  <c r="T427" i="38"/>
  <c r="T434" i="38"/>
  <c r="U427" i="38"/>
  <c r="U434" i="38"/>
  <c r="V427" i="38"/>
  <c r="V434" i="38"/>
  <c r="W427" i="38"/>
  <c r="W434" i="38"/>
  <c r="X427" i="38"/>
  <c r="X434" i="38"/>
  <c r="Y427" i="38"/>
  <c r="W87" i="40"/>
  <c r="W88" i="40"/>
  <c r="W83" i="40"/>
  <c r="W84" i="40"/>
  <c r="G145" i="40"/>
  <c r="G146" i="40"/>
  <c r="X145" i="40"/>
  <c r="X146" i="40"/>
  <c r="G87" i="40"/>
  <c r="G88" i="40"/>
  <c r="G83" i="40"/>
  <c r="BB58" i="31"/>
  <c r="BB64" i="31"/>
  <c r="J58" i="31"/>
  <c r="J64" i="31"/>
  <c r="J32" i="32"/>
  <c r="J36" i="32"/>
  <c r="J23" i="32"/>
  <c r="J191" i="41"/>
  <c r="J203" i="41"/>
  <c r="J296" i="41"/>
  <c r="J308" i="41"/>
  <c r="J316" i="41"/>
  <c r="M32" i="42"/>
  <c r="U87" i="40"/>
  <c r="U88" i="40"/>
  <c r="U83" i="40"/>
  <c r="O87" i="40"/>
  <c r="O88" i="40"/>
  <c r="I195" i="38"/>
  <c r="I199" i="38"/>
  <c r="I201" i="38"/>
  <c r="I205" i="38"/>
  <c r="H87" i="40"/>
  <c r="H88" i="40"/>
  <c r="H83" i="40"/>
  <c r="H84" i="40"/>
  <c r="H90" i="40"/>
  <c r="M327" i="40"/>
  <c r="N320" i="40"/>
  <c r="N327" i="40"/>
  <c r="O320" i="40"/>
  <c r="O327" i="40"/>
  <c r="P320" i="40"/>
  <c r="P327" i="40"/>
  <c r="Q320" i="40"/>
  <c r="Q327" i="40"/>
  <c r="R320" i="40"/>
  <c r="R327" i="40"/>
  <c r="S320" i="40"/>
  <c r="S327" i="40"/>
  <c r="T320" i="40"/>
  <c r="T327" i="40"/>
  <c r="U320" i="40"/>
  <c r="U327" i="40"/>
  <c r="V320" i="40"/>
  <c r="BA58" i="31"/>
  <c r="BA64" i="31"/>
  <c r="O188" i="40"/>
  <c r="O191" i="40"/>
  <c r="P188" i="40"/>
  <c r="P191" i="40"/>
  <c r="Q188" i="40"/>
  <c r="Q191" i="40"/>
  <c r="R188" i="40"/>
  <c r="R191" i="40"/>
  <c r="S188" i="40"/>
  <c r="S191" i="40"/>
  <c r="T188" i="40"/>
  <c r="T191" i="40"/>
  <c r="U188" i="40"/>
  <c r="U191" i="40"/>
  <c r="V188" i="40"/>
  <c r="V191" i="40"/>
  <c r="W188" i="40"/>
  <c r="W191" i="40"/>
  <c r="X188" i="40"/>
  <c r="X191" i="40"/>
  <c r="N87" i="40"/>
  <c r="N88" i="40"/>
  <c r="N83" i="40"/>
  <c r="N434" i="38"/>
  <c r="O427" i="38"/>
  <c r="O434" i="38"/>
  <c r="P427" i="38"/>
  <c r="P434" i="38"/>
  <c r="Q427" i="38"/>
  <c r="Q434" i="38"/>
  <c r="R427" i="38"/>
  <c r="R434" i="38"/>
  <c r="S427" i="38"/>
  <c r="K52" i="39"/>
  <c r="K180" i="40"/>
  <c r="K181" i="40"/>
  <c r="K176" i="40"/>
  <c r="K177" i="40"/>
  <c r="K183" i="40"/>
  <c r="G52" i="39"/>
  <c r="G55" i="39"/>
  <c r="G58" i="39"/>
  <c r="G60" i="39"/>
  <c r="S19" i="32"/>
  <c r="I189" i="40"/>
  <c r="I191" i="40"/>
  <c r="J188" i="40"/>
  <c r="J191" i="40"/>
  <c r="K188" i="40"/>
  <c r="K191" i="40"/>
  <c r="L188" i="40"/>
  <c r="L191" i="40"/>
  <c r="M188" i="40"/>
  <c r="M191" i="40"/>
  <c r="N188" i="40"/>
  <c r="N191" i="40"/>
  <c r="I87" i="40"/>
  <c r="I88" i="40"/>
  <c r="G143" i="40"/>
  <c r="H140" i="40"/>
  <c r="H143" i="40"/>
  <c r="I140" i="40"/>
  <c r="I143" i="40"/>
  <c r="J140" i="40"/>
  <c r="J143" i="40"/>
  <c r="K140" i="40"/>
  <c r="K143" i="40"/>
  <c r="L140" i="40"/>
  <c r="L143" i="40"/>
  <c r="M140" i="40"/>
  <c r="M143" i="40"/>
  <c r="N140" i="40"/>
  <c r="N143" i="40"/>
  <c r="O140" i="40"/>
  <c r="O143" i="40"/>
  <c r="P140" i="40"/>
  <c r="P143" i="40"/>
  <c r="Q140" i="40"/>
  <c r="Q143" i="40"/>
  <c r="R140" i="40"/>
  <c r="R143" i="40"/>
  <c r="F294" i="38"/>
  <c r="F306" i="38"/>
  <c r="F399" i="38"/>
  <c r="F428" i="38"/>
  <c r="F434" i="38"/>
  <c r="G427" i="38"/>
  <c r="G434" i="38"/>
  <c r="H427" i="38"/>
  <c r="H434" i="38"/>
  <c r="I427" i="38"/>
  <c r="I434" i="38"/>
  <c r="J427" i="38"/>
  <c r="J434" i="38"/>
  <c r="K427" i="38"/>
  <c r="K434" i="38"/>
  <c r="L427" i="38"/>
  <c r="L434" i="38"/>
  <c r="M427" i="38"/>
  <c r="M434" i="38"/>
  <c r="N427" i="38"/>
  <c r="I58" i="31"/>
  <c r="I64" i="31"/>
  <c r="I82" i="31"/>
  <c r="I17" i="32"/>
  <c r="I67" i="31"/>
  <c r="I71" i="31"/>
  <c r="I79" i="31"/>
  <c r="I13" i="32"/>
  <c r="F223" i="40"/>
  <c r="F267" i="40"/>
  <c r="F268" i="40"/>
  <c r="D268" i="40"/>
  <c r="D271" i="40"/>
  <c r="F271" i="40"/>
  <c r="F281" i="40"/>
  <c r="F292" i="40"/>
  <c r="F321" i="40"/>
  <c r="F327" i="40"/>
  <c r="G320" i="40"/>
  <c r="G327" i="40"/>
  <c r="H320" i="40"/>
  <c r="H327" i="40"/>
  <c r="I320" i="40"/>
  <c r="I327" i="40"/>
  <c r="J320" i="40"/>
  <c r="J327" i="40"/>
  <c r="K320" i="40"/>
  <c r="K327" i="40"/>
  <c r="L320" i="40"/>
  <c r="L327" i="40"/>
  <c r="M320" i="40"/>
  <c r="K201" i="38"/>
  <c r="K205" i="38"/>
  <c r="F36" i="39"/>
  <c r="I36" i="39"/>
  <c r="K195" i="38"/>
  <c r="K199" i="38"/>
  <c r="L87" i="40"/>
  <c r="L88" i="40"/>
  <c r="L83" i="40"/>
  <c r="H367" i="40"/>
  <c r="I360" i="40"/>
  <c r="I367" i="40"/>
  <c r="J360" i="40"/>
  <c r="J367" i="40"/>
  <c r="K360" i="40"/>
  <c r="K367" i="40"/>
  <c r="L360" i="40"/>
  <c r="L367" i="40"/>
  <c r="M360" i="40"/>
  <c r="M367" i="40"/>
  <c r="N360" i="40"/>
  <c r="N367" i="40"/>
  <c r="O360" i="40"/>
  <c r="O367" i="40"/>
  <c r="P360" i="40"/>
  <c r="P367" i="40"/>
  <c r="Q360" i="40"/>
  <c r="Q367" i="40"/>
  <c r="R360" i="40"/>
  <c r="R367" i="40"/>
  <c r="S360" i="40"/>
  <c r="S367" i="40"/>
  <c r="T360" i="40"/>
  <c r="T367" i="40"/>
  <c r="U360" i="40"/>
  <c r="U367" i="40"/>
  <c r="V360" i="40"/>
  <c r="V367" i="40"/>
  <c r="W360" i="40"/>
  <c r="W367" i="40"/>
  <c r="X360" i="40"/>
  <c r="X367" i="40"/>
  <c r="K387" i="38"/>
  <c r="K394" i="38"/>
  <c r="L387" i="38"/>
  <c r="L394" i="38"/>
  <c r="M387" i="38"/>
  <c r="M394" i="38"/>
  <c r="N387" i="38"/>
  <c r="N394" i="38"/>
  <c r="O387" i="38"/>
  <c r="O394" i="38"/>
  <c r="P387" i="38"/>
  <c r="P394" i="38"/>
  <c r="Q387" i="38"/>
  <c r="Q394" i="38"/>
  <c r="R387" i="38"/>
  <c r="R394" i="38"/>
  <c r="S387" i="38"/>
  <c r="S394" i="38"/>
  <c r="T387" i="38"/>
  <c r="T394" i="38"/>
  <c r="U387" i="38"/>
  <c r="U394" i="38"/>
  <c r="V387" i="38"/>
  <c r="V394" i="38"/>
  <c r="W387" i="38"/>
  <c r="W394" i="38"/>
  <c r="J87" i="40"/>
  <c r="J88" i="40"/>
  <c r="J83" i="40"/>
  <c r="J84" i="40"/>
  <c r="F334" i="38"/>
  <c r="F335" i="38"/>
  <c r="D335" i="38"/>
  <c r="D338" i="38"/>
  <c r="F338" i="38"/>
  <c r="F348" i="38"/>
  <c r="F359" i="38"/>
  <c r="F388" i="38"/>
  <c r="F394" i="38"/>
  <c r="G387" i="38"/>
  <c r="G394" i="38"/>
  <c r="H387" i="38"/>
  <c r="H394" i="38"/>
  <c r="I387" i="38"/>
  <c r="I394" i="38"/>
  <c r="J387" i="38"/>
  <c r="J394" i="38"/>
  <c r="F367" i="40"/>
  <c r="G360" i="40"/>
  <c r="G367" i="40"/>
  <c r="H360" i="40"/>
  <c r="H13" i="32"/>
  <c r="F290" i="38"/>
  <c r="F291" i="38"/>
  <c r="F295" i="38"/>
  <c r="G295" i="38"/>
  <c r="G303" i="38"/>
  <c r="G23" i="39"/>
  <c r="G26" i="39"/>
  <c r="G28" i="39"/>
  <c r="S17" i="32"/>
  <c r="F142" i="40"/>
  <c r="F143" i="40"/>
  <c r="G140" i="40"/>
  <c r="K87" i="40"/>
  <c r="K88" i="40"/>
  <c r="K83" i="40"/>
  <c r="K84" i="40"/>
  <c r="K90" i="40"/>
  <c r="G18" i="39"/>
  <c r="K18" i="39"/>
  <c r="F87" i="40"/>
  <c r="F88" i="40"/>
  <c r="F83" i="40"/>
  <c r="F84" i="40"/>
  <c r="F90" i="40"/>
  <c r="F137" i="40"/>
  <c r="F250" i="40"/>
  <c r="F253" i="40"/>
  <c r="F322" i="40"/>
  <c r="F362" i="40"/>
  <c r="F335" i="40"/>
  <c r="F348" i="40"/>
  <c r="F352" i="40"/>
  <c r="D354" i="40"/>
  <c r="D355" i="40"/>
  <c r="E56" i="42"/>
  <c r="H67" i="31"/>
  <c r="H71" i="31"/>
  <c r="H79" i="31"/>
  <c r="AZ79" i="31"/>
  <c r="AZ80" i="31"/>
  <c r="H82" i="31"/>
  <c r="H17" i="32"/>
  <c r="G17" i="32"/>
  <c r="G58" i="31"/>
  <c r="H58" i="31"/>
  <c r="H64" i="31"/>
  <c r="H32" i="32"/>
  <c r="H36" i="32"/>
  <c r="H23" i="32"/>
  <c r="T294" i="38"/>
  <c r="T306" i="38"/>
  <c r="T308" i="38"/>
  <c r="T3" i="42"/>
</calcChain>
</file>

<file path=xl/sharedStrings.xml><?xml version="1.0" encoding="utf-8"?>
<sst xmlns="http://schemas.openxmlformats.org/spreadsheetml/2006/main" count="3093" uniqueCount="801">
  <si>
    <t>1. Summary Pro Forma</t>
  </si>
  <si>
    <t>Phase I</t>
  </si>
  <si>
    <t>Phase II</t>
  </si>
  <si>
    <t>Phase III</t>
  </si>
  <si>
    <t>Sale</t>
  </si>
  <si>
    <t>2020-2021</t>
  </si>
  <si>
    <t xml:space="preserve">Net Operating Income </t>
  </si>
  <si>
    <t>Market-Rate Rental Housing</t>
  </si>
  <si>
    <t>Market-Rate For Sale Housing</t>
  </si>
  <si>
    <t>-</t>
  </si>
  <si>
    <t>Workforce Rental Housing</t>
  </si>
  <si>
    <t>Affordable Rental Housing</t>
  </si>
  <si>
    <t>Affordable For-Sale Housing</t>
  </si>
  <si>
    <t>Office/Commercial</t>
  </si>
  <si>
    <t>Retail</t>
  </si>
  <si>
    <t>Community Facility</t>
  </si>
  <si>
    <t>Hotel</t>
  </si>
  <si>
    <t>Underground Parking</t>
  </si>
  <si>
    <t>Industrial</t>
  </si>
  <si>
    <t>Demolition (included in Hard Costs below)</t>
  </si>
  <si>
    <t>Remediation</t>
  </si>
  <si>
    <t>Development Fees</t>
  </si>
  <si>
    <t>Other</t>
  </si>
  <si>
    <t>Total Net Operating Income</t>
  </si>
  <si>
    <t>Gross Sale Proceeds</t>
  </si>
  <si>
    <t>Less: Sales Cost</t>
  </si>
  <si>
    <t>Total Income</t>
  </si>
  <si>
    <t>Development Costs</t>
  </si>
  <si>
    <t>Hard Costs</t>
  </si>
  <si>
    <t>Structured Parking</t>
  </si>
  <si>
    <t>Surface Parking</t>
  </si>
  <si>
    <t>Land Acquisition</t>
  </si>
  <si>
    <t>Total Infrastructure</t>
  </si>
  <si>
    <t>Soft Costs and Reserves</t>
  </si>
  <si>
    <t>Total Unlevered Development Costs</t>
  </si>
  <si>
    <t>Tax Credits &amp; TIF Subsidies</t>
  </si>
  <si>
    <t>TDC Net of Subsidies</t>
  </si>
  <si>
    <t>Financing Costs</t>
  </si>
  <si>
    <t>Levered TDC Net of Subsidies</t>
  </si>
  <si>
    <t>Annual Cash Flow</t>
  </si>
  <si>
    <t>Net Operating Income</t>
  </si>
  <si>
    <t xml:space="preserve">Total Asset Value </t>
  </si>
  <si>
    <t>Total Costs of Sale</t>
  </si>
  <si>
    <t>Total Development Costs (net of Subsidies)</t>
  </si>
  <si>
    <t>Unlevered Net Cash Flow</t>
  </si>
  <si>
    <t>Capitalized Financing Costs</t>
  </si>
  <si>
    <t>Loan Funding and Refinancing</t>
  </si>
  <si>
    <t>Perm Loan Debt Service, Repayment, &amp; Origination Fees</t>
  </si>
  <si>
    <t>Levered Net Cash Flow</t>
  </si>
  <si>
    <t>Check</t>
  </si>
  <si>
    <t>Net Present Value</t>
  </si>
  <si>
    <t>Blended Perm Loan to Value Ratio (LVR)</t>
  </si>
  <si>
    <t>Unlevered IRR Before Taxes</t>
  </si>
  <si>
    <r>
      <t>Current Site Value</t>
    </r>
    <r>
      <rPr>
        <b/>
        <vertAlign val="superscript"/>
        <sz val="12"/>
        <rFont val="Arial"/>
        <family val="2"/>
      </rPr>
      <t>2</t>
    </r>
    <r>
      <rPr>
        <b/>
        <sz val="12"/>
        <rFont val="Arial"/>
        <family val="2"/>
      </rPr>
      <t xml:space="preserve"> (start of Year 0)</t>
    </r>
  </si>
  <si>
    <t>Levered IRR Before Taxes</t>
  </si>
  <si>
    <r>
      <t>Levered IRR after Opportunity Zone Benefits</t>
    </r>
    <r>
      <rPr>
        <b/>
        <vertAlign val="superscript"/>
        <sz val="12"/>
        <rFont val="Arial"/>
        <family val="2"/>
      </rPr>
      <t>1</t>
    </r>
  </si>
  <si>
    <t>Projected Site Value (end of Year 10)</t>
  </si>
  <si>
    <t>1. As the project is located in an Opportunity Zone, we expect an investor would evaluate the returns incorporating the post-tax benefit. For reference, therefore, we have provided the "pre-tax" equivalent IRR, or the IRR that would have to be achieved in the absence of Opportunity Zone benefits in order to achieve the same post-tax return.</t>
  </si>
  <si>
    <t>2. We are proposing a discounted sale of City-owned parcels in exchange for the construction of specific public benefits, including public park space improvements and community facility space. Therefore, we have incorporated these "in-kind' acquisition costs as part of our current site value.</t>
  </si>
  <si>
    <t>2. Multiyear Development Program</t>
  </si>
  <si>
    <t>Year-by-Year Cumulative Absorption</t>
  </si>
  <si>
    <t>Total Buildout</t>
  </si>
  <si>
    <t>Project Buildout by Development Units</t>
  </si>
  <si>
    <t>(units)</t>
  </si>
  <si>
    <t>N/A</t>
  </si>
  <si>
    <t>(rooms)</t>
  </si>
  <si>
    <t>(spaces)</t>
  </si>
  <si>
    <r>
      <t>Project Buildout by Area</t>
    </r>
    <r>
      <rPr>
        <b/>
        <vertAlign val="superscript"/>
        <sz val="12"/>
        <rFont val="Arial"/>
        <family val="2"/>
      </rPr>
      <t>3</t>
    </r>
  </si>
  <si>
    <t>(s.f.)</t>
  </si>
  <si>
    <t>Light Industrial/Flex</t>
  </si>
  <si>
    <t>Total</t>
  </si>
  <si>
    <t xml:space="preserve">3. All buildout figures presented are for net rentable square feet. See the Parcel Breakdown or Assumptions tab for the buildout by gross square footage. </t>
  </si>
  <si>
    <t>3. Unit Development and Infrastructure Costs</t>
  </si>
  <si>
    <t>4. Equity and Financing Sources</t>
  </si>
  <si>
    <t>Unit Hard Cost</t>
  </si>
  <si>
    <r>
      <t>Unit TDC</t>
    </r>
    <r>
      <rPr>
        <b/>
        <vertAlign val="superscript"/>
        <sz val="12"/>
        <rFont val="Arial"/>
        <family val="2"/>
      </rPr>
      <t>4</t>
    </r>
  </si>
  <si>
    <r>
      <t>TDC</t>
    </r>
    <r>
      <rPr>
        <b/>
        <vertAlign val="superscript"/>
        <sz val="12"/>
        <rFont val="Arial"/>
        <family val="2"/>
      </rPr>
      <t>4</t>
    </r>
  </si>
  <si>
    <t>Amount</t>
  </si>
  <si>
    <t>Equity Sources (total)</t>
  </si>
  <si>
    <t>Construction Phase</t>
  </si>
  <si>
    <t>Permanent Phase</t>
  </si>
  <si>
    <t>Opportunity Zone Fund Equity</t>
  </si>
  <si>
    <t>Retail and Community Facility</t>
  </si>
  <si>
    <t>Financing Sources (total)</t>
  </si>
  <si>
    <t>Construction Loan / EB-5 Bridge</t>
  </si>
  <si>
    <t>Permanent Bank Loan</t>
  </si>
  <si>
    <t>EB-5 Senior Loan</t>
  </si>
  <si>
    <t xml:space="preserve"> Light Industrial/Flex</t>
  </si>
  <si>
    <t>Industrial Revenue Bond Loan</t>
  </si>
  <si>
    <t>4. TDC includes pro-rated acquisition and infrastructure costs, hard costs, soft costs, financing costs, reserves, and developer fee.</t>
  </si>
  <si>
    <t>Infrastructure Costs</t>
  </si>
  <si>
    <t>Public</t>
  </si>
  <si>
    <t>Private</t>
  </si>
  <si>
    <t>Roads</t>
  </si>
  <si>
    <t>Utilities</t>
  </si>
  <si>
    <t>Public Subsidies (total)</t>
  </si>
  <si>
    <t>Other Hardscaping (not incl. surf. pkg.)</t>
  </si>
  <si>
    <t>Miami Forever Bond</t>
  </si>
  <si>
    <t>Landscaping</t>
  </si>
  <si>
    <t>Low-Income Housing Credit Equity</t>
  </si>
  <si>
    <t>Decking and Additional Support</t>
  </si>
  <si>
    <t>New Markets Tax Credit Equity</t>
  </si>
  <si>
    <t>New Transit Station</t>
  </si>
  <si>
    <t>Resliency Fund</t>
  </si>
  <si>
    <t>Acquisition Taxes and Fees</t>
  </si>
  <si>
    <t>Total Infrastructure and Acquisition Costs</t>
  </si>
  <si>
    <t>Total Development Costs</t>
  </si>
  <si>
    <t>Total Sources</t>
  </si>
  <si>
    <t>Combined Pre-Tax Returns</t>
  </si>
  <si>
    <t>Combined Pre-Tax Equivalent Opportunity Zone Returns</t>
  </si>
  <si>
    <t>Levered IRR</t>
  </si>
  <si>
    <t>Unlevered IRR</t>
  </si>
  <si>
    <t>Project (Unlevered) Returns</t>
  </si>
  <si>
    <t>Total Cost less Subsidies</t>
  </si>
  <si>
    <t>Total Value</t>
  </si>
  <si>
    <t>Yield-to-Cost</t>
  </si>
  <si>
    <t>Blended Exit Cap</t>
  </si>
  <si>
    <t>Equity Returns</t>
  </si>
  <si>
    <t>Opportunity Zone Levered Pre-Tax IRR</t>
  </si>
  <si>
    <t>Opportunity Zone Unlevered Pre-Tax IRR</t>
  </si>
  <si>
    <t>Equity Multiple</t>
  </si>
  <si>
    <t>Phase</t>
  </si>
  <si>
    <t>Development Mix</t>
  </si>
  <si>
    <t>Global</t>
  </si>
  <si>
    <t>Timing Assumptions</t>
  </si>
  <si>
    <t>I</t>
  </si>
  <si>
    <t>II</t>
  </si>
  <si>
    <t>III</t>
  </si>
  <si>
    <t>NSF</t>
  </si>
  <si>
    <t>Predevelopment Closing</t>
  </si>
  <si>
    <t>Affordable Residential</t>
  </si>
  <si>
    <t>Predevelopment Period</t>
  </si>
  <si>
    <t>Market Rate Residential</t>
  </si>
  <si>
    <t>Construction Closing</t>
  </si>
  <si>
    <t>Construction Period</t>
  </si>
  <si>
    <t>Construction Completion</t>
  </si>
  <si>
    <t>Lease-up Period</t>
  </si>
  <si>
    <t>Office</t>
  </si>
  <si>
    <t>Stabilization</t>
  </si>
  <si>
    <t>Partnership Hold Period</t>
  </si>
  <si>
    <t>Structural Parking</t>
  </si>
  <si>
    <t>Project Sale</t>
  </si>
  <si>
    <t>Total NSF</t>
  </si>
  <si>
    <t>LIHTC Affordable Unit Mix (50% AMI)</t>
  </si>
  <si>
    <t>GSF</t>
  </si>
  <si>
    <t>Studio Units</t>
  </si>
  <si>
    <t>Average Size</t>
  </si>
  <si>
    <t>Rent PSF</t>
  </si>
  <si>
    <t>Rent PU</t>
  </si>
  <si>
    <t>1-BR Units</t>
  </si>
  <si>
    <t>2-BR Units</t>
  </si>
  <si>
    <t>Total GSF</t>
  </si>
  <si>
    <t>Units</t>
  </si>
  <si>
    <t>3-BR Units</t>
  </si>
  <si>
    <t>Live-Work Units (4-BR)</t>
  </si>
  <si>
    <t>Operating Assumptions</t>
  </si>
  <si>
    <t>Vacancy</t>
  </si>
  <si>
    <t>Annual LIHTC Affordable Gross Rent</t>
  </si>
  <si>
    <t>Affordable Residential Vacancy</t>
  </si>
  <si>
    <t>Total RSF</t>
  </si>
  <si>
    <t>Market Rate Residential Vacancy</t>
  </si>
  <si>
    <t>Total Units</t>
  </si>
  <si>
    <t>Retail Vacancy</t>
  </si>
  <si>
    <t>Blended Rent PSF</t>
  </si>
  <si>
    <t>Community Facility Vacancy</t>
  </si>
  <si>
    <t>Blended Rent PU</t>
  </si>
  <si>
    <t>Office Vacancy</t>
  </si>
  <si>
    <t>Industrial Vacancy</t>
  </si>
  <si>
    <t>Market Resi Mix</t>
  </si>
  <si>
    <t>Parking Vacancy</t>
  </si>
  <si>
    <t>Rent Growth</t>
  </si>
  <si>
    <t>Affordable Residential Growth</t>
  </si>
  <si>
    <t>Market Rate Residential Growth</t>
  </si>
  <si>
    <t>Retail Growth</t>
  </si>
  <si>
    <t>every…</t>
  </si>
  <si>
    <t>Hotel Growth</t>
  </si>
  <si>
    <t>Community Facility Growth</t>
  </si>
  <si>
    <t>Office Growth</t>
  </si>
  <si>
    <t>Industrial Growth</t>
  </si>
  <si>
    <t>Parking Growth</t>
  </si>
  <si>
    <t>Expense Growth</t>
  </si>
  <si>
    <t>Live Work Units</t>
  </si>
  <si>
    <t>Annual Market Resi Gross Rent</t>
  </si>
  <si>
    <t>Cost Growth</t>
  </si>
  <si>
    <t>Inflation</t>
  </si>
  <si>
    <t>Years to Inflate</t>
  </si>
  <si>
    <t>Amenity Fees</t>
  </si>
  <si>
    <t>CAM + Expense Reimbursement Rate</t>
  </si>
  <si>
    <t>Laundry-Amenity / Aff. Occ. Mo.</t>
  </si>
  <si>
    <t>Retail Reimbursement</t>
  </si>
  <si>
    <t>Laundry-Amenity / MR Occ. Mo.</t>
  </si>
  <si>
    <t>Community Facility Reimbursement</t>
  </si>
  <si>
    <t>Office Reimbursement</t>
  </si>
  <si>
    <t>Hotel Mix</t>
  </si>
  <si>
    <t>II - Limited-Service Hotel</t>
  </si>
  <si>
    <t>Industrial Reimbursement</t>
  </si>
  <si>
    <t>Keys</t>
  </si>
  <si>
    <t>Operating Expenses and Replacement Reserves PU (Annual)</t>
  </si>
  <si>
    <t>RevPAR</t>
  </si>
  <si>
    <t>Occupancy</t>
  </si>
  <si>
    <t>Stabilized ADR</t>
  </si>
  <si>
    <t>Parking</t>
  </si>
  <si>
    <t>Annual Hotel Revenue</t>
  </si>
  <si>
    <t>Hotel Operating Expenses</t>
  </si>
  <si>
    <t>Total Keys</t>
  </si>
  <si>
    <t>Departmental Expenses (% of Relevant Revenue)</t>
  </si>
  <si>
    <t>Blended RevPAR PSF</t>
  </si>
  <si>
    <t>Room Expenses</t>
  </si>
  <si>
    <t>F&amp;B</t>
  </si>
  <si>
    <t>F&amp;B + Other Expenses</t>
  </si>
  <si>
    <t>Per Occupied Room Night</t>
  </si>
  <si>
    <t>Undistributed Expenses (% of Total Revenue)</t>
  </si>
  <si>
    <t>Annual per Key</t>
  </si>
  <si>
    <t>G&amp;A</t>
  </si>
  <si>
    <t>Miscellaneous</t>
  </si>
  <si>
    <t>Telecom</t>
  </si>
  <si>
    <t>Marketing</t>
  </si>
  <si>
    <t>Franchise Fees</t>
  </si>
  <si>
    <t>Annual F&amp;B Revenue</t>
  </si>
  <si>
    <t>Utility Costs</t>
  </si>
  <si>
    <t>Conference Space</t>
  </si>
  <si>
    <t>Maintenance</t>
  </si>
  <si>
    <t>Square Footage</t>
  </si>
  <si>
    <t>Insurance</t>
  </si>
  <si>
    <t>Number of Events per Year</t>
  </si>
  <si>
    <t>Management Fees</t>
  </si>
  <si>
    <t>Guests / Event</t>
  </si>
  <si>
    <t>Reserves (% of Total Revenue)</t>
  </si>
  <si>
    <t>Revenue / Guest</t>
  </si>
  <si>
    <t>FF&amp;E Reserve</t>
  </si>
  <si>
    <t>Annual Revenue PSF</t>
  </si>
  <si>
    <t>Conference Space (% of Relevant Revenue)</t>
  </si>
  <si>
    <t>Annual Conference Revenue</t>
  </si>
  <si>
    <t>Expenses</t>
  </si>
  <si>
    <t>Ramp-Up</t>
  </si>
  <si>
    <t>Year 1 Occupancy</t>
  </si>
  <si>
    <t>Year 1 ADR</t>
  </si>
  <si>
    <t>Operating Expenses and Replacement Reserves PSF</t>
  </si>
  <si>
    <t>Year 2 Occupancy</t>
  </si>
  <si>
    <t>Year 2 ADR</t>
  </si>
  <si>
    <t>Retail Mix</t>
  </si>
  <si>
    <t>Traditional Retail</t>
  </si>
  <si>
    <t>Exit Assumptions</t>
  </si>
  <si>
    <t>Annual Rent</t>
  </si>
  <si>
    <t>Cap Rate</t>
  </si>
  <si>
    <t>Food Hall</t>
  </si>
  <si>
    <t>Annual Retail Rent</t>
  </si>
  <si>
    <t>Sale Costs</t>
  </si>
  <si>
    <t>Financing</t>
  </si>
  <si>
    <t>LIBOR Forecast (Construction)</t>
  </si>
  <si>
    <t>Community Facility Mix</t>
  </si>
  <si>
    <t>Construction Loan</t>
  </si>
  <si>
    <t>LTC</t>
  </si>
  <si>
    <t>Rate</t>
  </si>
  <si>
    <t>All-in Rate</t>
  </si>
  <si>
    <t>Origination Fee</t>
  </si>
  <si>
    <t>Average Utilization (Draw)</t>
  </si>
  <si>
    <t>Permanent Senior Bank Loan</t>
  </si>
  <si>
    <t>LTV</t>
  </si>
  <si>
    <t>DSCR</t>
  </si>
  <si>
    <t>Annual Community Facility Rent</t>
  </si>
  <si>
    <t>Amortization</t>
  </si>
  <si>
    <t>EB-5 Loan</t>
  </si>
  <si>
    <t>Office Mix</t>
  </si>
  <si>
    <t>Conventional Office</t>
  </si>
  <si>
    <t>IO</t>
  </si>
  <si>
    <t>Tax-Exempt Industrial Revenue Bond Loan</t>
  </si>
  <si>
    <t>Annual Office Rent</t>
  </si>
  <si>
    <t>Average Utilization</t>
  </si>
  <si>
    <t>Low-Income Housing Tax Credit Equity</t>
  </si>
  <si>
    <t>Parking Mix</t>
  </si>
  <si>
    <t>9% Credit Allocation / Affordable Unit</t>
  </si>
  <si>
    <t>Structural Parking - Revenue</t>
  </si>
  <si>
    <t>Total Allocation</t>
  </si>
  <si>
    <t>Spaces</t>
  </si>
  <si>
    <t>Credit Pricing</t>
  </si>
  <si>
    <t>SF / Space</t>
  </si>
  <si>
    <t>Historic Tax Credit Equity</t>
  </si>
  <si>
    <t>Credit as % of Qualified Rehabilitation Expenditures (QREs)</t>
  </si>
  <si>
    <t>QREs (Gut Rehab Hard Costs, Associated Developer Fee)</t>
  </si>
  <si>
    <t>Monthly Rent / Space</t>
  </si>
  <si>
    <t>Credits</t>
  </si>
  <si>
    <t>Structural Parking - Non-Revenue</t>
  </si>
  <si>
    <t>Federal New Markets Tax Credit Equity</t>
  </si>
  <si>
    <t>Allocation</t>
  </si>
  <si>
    <t>Pricing</t>
  </si>
  <si>
    <t>Florida State New Markets Tax Credit Equity</t>
  </si>
  <si>
    <t>Surface Parking - Revenue</t>
  </si>
  <si>
    <t>Opportunity Zones</t>
  </si>
  <si>
    <t>Marginal Tax Rate</t>
  </si>
  <si>
    <t>Depreciable Life</t>
  </si>
  <si>
    <t>Depreciable % of costs</t>
  </si>
  <si>
    <t>Surface Parking - Non-Revenue</t>
  </si>
  <si>
    <t>Annual Parking Rent</t>
  </si>
  <si>
    <t>Total RSF - Structural</t>
  </si>
  <si>
    <t>Total RSF - Surface</t>
  </si>
  <si>
    <t>Light Industrial/Flex Mix</t>
  </si>
  <si>
    <t>Urban Fulfillment Center</t>
  </si>
  <si>
    <t>Annual Industrial Rent</t>
  </si>
  <si>
    <t>Project Timeline</t>
  </si>
  <si>
    <t>Financial Performance</t>
  </si>
  <si>
    <t>Total Stabilized Value</t>
  </si>
  <si>
    <t>Development Mix - Residential Mix (Units)</t>
  </si>
  <si>
    <t>Avg Unit Size (sqft）</t>
  </si>
  <si>
    <t>Levered IRR before Opportunity Zone Benefit</t>
  </si>
  <si>
    <t>Market Rate</t>
  </si>
  <si>
    <t>Levered IRR after Opportunity Zone Benefit</t>
  </si>
  <si>
    <t>Financing Assumption</t>
  </si>
  <si>
    <t>Subtotal</t>
  </si>
  <si>
    <t>Rate (30 year am.)</t>
  </si>
  <si>
    <t>Affordable Housing Units</t>
  </si>
  <si>
    <t>Stabilized Mixed-Use Component NOI</t>
  </si>
  <si>
    <t>Estimated Mixed-Use Component Value</t>
  </si>
  <si>
    <t>Maximum LTV</t>
  </si>
  <si>
    <t>Maximum Loan by LTV Test</t>
  </si>
  <si>
    <t>Minimum DSCR</t>
  </si>
  <si>
    <t>Maximum Loan by DSCR Test</t>
  </si>
  <si>
    <t>Development Mix - Commercial (sqft)</t>
  </si>
  <si>
    <t>Rate (I/O)</t>
  </si>
  <si>
    <t>Stabilized Hotel Component NOI</t>
  </si>
  <si>
    <t>Estimated Hotel Component Value</t>
  </si>
  <si>
    <t>Conventional Retail</t>
  </si>
  <si>
    <t>IRB Loan</t>
  </si>
  <si>
    <t>Light Industrial</t>
  </si>
  <si>
    <t>Stabilized Industrial Component NOI</t>
  </si>
  <si>
    <t>Estimated Industrial Component Value</t>
  </si>
  <si>
    <t>Development Mix - Others</t>
  </si>
  <si>
    <t>Avg Unit Size (sqft)</t>
  </si>
  <si>
    <t>Hotel (Rooms)</t>
  </si>
  <si>
    <t>Full Service Hotel</t>
  </si>
  <si>
    <t>Limited Service Hotel</t>
  </si>
  <si>
    <t>Construction Loan Amount</t>
  </si>
  <si>
    <t>Boutique Hotel</t>
  </si>
  <si>
    <t>Total Permanent Loan Amount</t>
  </si>
  <si>
    <t>Projected Annual Debt Service</t>
  </si>
  <si>
    <t>Community Space (sqft)</t>
  </si>
  <si>
    <t>Sources &amp; Uses</t>
  </si>
  <si>
    <t>%</t>
  </si>
  <si>
    <t>Predevelopment</t>
  </si>
  <si>
    <t>Sources</t>
  </si>
  <si>
    <t>Parking (space)</t>
  </si>
  <si>
    <t>Uses</t>
  </si>
  <si>
    <t>Acquisition Costs</t>
  </si>
  <si>
    <t>Market Rent Assumption - Residential</t>
  </si>
  <si>
    <t>Market Rent</t>
  </si>
  <si>
    <t>Rental Growth</t>
  </si>
  <si>
    <t>Hard Costs (Demolition)</t>
  </si>
  <si>
    <t>(%)</t>
  </si>
  <si>
    <t>（%）</t>
  </si>
  <si>
    <t>Soft Costs</t>
  </si>
  <si>
    <t>Reserves</t>
  </si>
  <si>
    <t>Developer Fee</t>
  </si>
  <si>
    <t>Total Uses</t>
  </si>
  <si>
    <t>Construction</t>
  </si>
  <si>
    <t>Blended</t>
  </si>
  <si>
    <t>Affordable Housing Units (50% AMI)</t>
  </si>
  <si>
    <t>Senior Construction Loan</t>
  </si>
  <si>
    <t>TIF Loan (TIID)</t>
  </si>
  <si>
    <t>Market Rent Assumption - Commercial</t>
  </si>
  <si>
    <t>Lease Type</t>
  </si>
  <si>
    <t>Mod. Gross</t>
  </si>
  <si>
    <t>NNN</t>
  </si>
  <si>
    <t>Permanent</t>
  </si>
  <si>
    <t>Senior Permanent Bank Loan</t>
  </si>
  <si>
    <t>Market Rent Assumption - Hotel</t>
  </si>
  <si>
    <t>Type</t>
  </si>
  <si>
    <t>Full Service</t>
  </si>
  <si>
    <t>Limited Service</t>
  </si>
  <si>
    <t>Boutique</t>
  </si>
  <si>
    <t>Market Rent Assumption - Others</t>
  </si>
  <si>
    <t xml:space="preserve">Market Rent </t>
  </si>
  <si>
    <t>Per Unit</t>
  </si>
  <si>
    <t>OpEx Only</t>
  </si>
  <si>
    <t>Predevelopment Sources</t>
  </si>
  <si>
    <t>Predevelopment Uses</t>
  </si>
  <si>
    <t>PSF</t>
  </si>
  <si>
    <t>Construction Sources</t>
  </si>
  <si>
    <t>Permanent Sources</t>
  </si>
  <si>
    <t>Senior Permanent Loan</t>
  </si>
  <si>
    <t>Federal Low-Income Housing Tax Credit Equity</t>
  </si>
  <si>
    <t>Federal and State New Markets Tax Credit Equity</t>
  </si>
  <si>
    <t>Construction Uses</t>
  </si>
  <si>
    <t>Permanent Uses</t>
  </si>
  <si>
    <t>Expenditures during Construction (excluding Predevelopment)</t>
  </si>
  <si>
    <t>Sources ($mm)</t>
  </si>
  <si>
    <t>Uses ($mm)</t>
  </si>
  <si>
    <t>Senior Bank Loan</t>
  </si>
  <si>
    <t>Acquisition</t>
  </si>
  <si>
    <t>Senior EB-5 Loan</t>
  </si>
  <si>
    <t>Infrastructure</t>
  </si>
  <si>
    <t>Senior IRB Loan</t>
  </si>
  <si>
    <t>TIF Loan</t>
  </si>
  <si>
    <t>LIHTC Equity</t>
  </si>
  <si>
    <t>NMTC Equity</t>
  </si>
  <si>
    <t>HTC Equity</t>
  </si>
  <si>
    <t>Fund Equity</t>
  </si>
  <si>
    <t>Combined Breakdown by Asset Type</t>
  </si>
  <si>
    <t>Phase I Breakdown by Asset Type</t>
  </si>
  <si>
    <t>Phase II Breakdown by Asset Type</t>
  </si>
  <si>
    <t>Phase III Breakdown by Asset Type</t>
  </si>
  <si>
    <t>Square Footages</t>
  </si>
  <si>
    <t>Gross Square Footage</t>
  </si>
  <si>
    <t>Overall Percentage</t>
  </si>
  <si>
    <t>Site Acquisition Price</t>
  </si>
  <si>
    <t>Acquisition Subtotal</t>
  </si>
  <si>
    <t>Roads &amp; Transit Station</t>
  </si>
  <si>
    <t>Public Park Space</t>
  </si>
  <si>
    <t>Hard Costs Subtotal</t>
  </si>
  <si>
    <t>Unit Cost</t>
  </si>
  <si>
    <t>Demolition</t>
  </si>
  <si>
    <r>
      <t>Owner's Contingency</t>
    </r>
    <r>
      <rPr>
        <vertAlign val="superscript"/>
        <sz val="12"/>
        <color theme="1"/>
        <rFont val="Arial"/>
        <family val="2"/>
      </rPr>
      <t>1</t>
    </r>
  </si>
  <si>
    <t>1. Customary to exclude demolition from owner's contingency</t>
  </si>
  <si>
    <t>% before Closing</t>
  </si>
  <si>
    <t>Architectural &amp; Engineering</t>
  </si>
  <si>
    <t>Permits</t>
  </si>
  <si>
    <t>Environmental/Geotechnical</t>
  </si>
  <si>
    <t>Bank Legal</t>
  </si>
  <si>
    <t>Developer Legal</t>
  </si>
  <si>
    <t>Taxes During Construction</t>
  </si>
  <si>
    <t>Accounting</t>
  </si>
  <si>
    <t>Title &amp; Survey</t>
  </si>
  <si>
    <t>Appraisal</t>
  </si>
  <si>
    <t>Construction Monitoring &amp; Testing</t>
  </si>
  <si>
    <t>Construction Inspections</t>
  </si>
  <si>
    <t>LEED Certification Fee</t>
  </si>
  <si>
    <t>Soft Cost Contingency</t>
  </si>
  <si>
    <t>Soft Costs Subtotal</t>
  </si>
  <si>
    <t>Construction Senior Loan Origination Fee</t>
  </si>
  <si>
    <t>Construction Senior Loan Capitalized Interest</t>
  </si>
  <si>
    <t>Financing Costs Subtotal</t>
  </si>
  <si>
    <t>Capitalized Operating Reserve</t>
  </si>
  <si>
    <t>Lease-Up Reserve</t>
  </si>
  <si>
    <t>Reserves Subtotal</t>
  </si>
  <si>
    <t>Developer Fee Subtotal</t>
  </si>
  <si>
    <t>Total Development Budget</t>
  </si>
  <si>
    <t>Total Development Budget (excl Parking Hard Costs)</t>
  </si>
  <si>
    <t>TDC PSF</t>
  </si>
  <si>
    <t>Hard Cost PSF</t>
  </si>
  <si>
    <t>TDC PU</t>
  </si>
  <si>
    <t>Hard Cost PU</t>
  </si>
  <si>
    <t>Hard Cost Total</t>
  </si>
  <si>
    <t>PGSF</t>
  </si>
  <si>
    <t>Gross Square Footages</t>
  </si>
  <si>
    <t>Efficiency</t>
  </si>
  <si>
    <t>Net Square Footages</t>
  </si>
  <si>
    <t xml:space="preserve">Parcel Area  </t>
  </si>
  <si>
    <t>Original Site or Developable</t>
  </si>
  <si>
    <t>Site Area</t>
  </si>
  <si>
    <t>Parking Square Footage</t>
  </si>
  <si>
    <t>(-) Parking</t>
  </si>
  <si>
    <t>Resi</t>
  </si>
  <si>
    <t>Blend excl. Parking</t>
  </si>
  <si>
    <t>Acquisition Cost</t>
  </si>
  <si>
    <t>Parcel Area 1</t>
  </si>
  <si>
    <t>Original Site</t>
  </si>
  <si>
    <t>Parcel Area 2</t>
  </si>
  <si>
    <t>Parcel Area 3</t>
  </si>
  <si>
    <t>Parcel Area 4</t>
  </si>
  <si>
    <t>Parcel Area 5 A</t>
  </si>
  <si>
    <t>Parcel Area 5</t>
  </si>
  <si>
    <t>Parcel Area 6</t>
  </si>
  <si>
    <t>Parcel Area 7</t>
  </si>
  <si>
    <t>Parcel Area 8</t>
  </si>
  <si>
    <t>Parcel Area 9</t>
  </si>
  <si>
    <t xml:space="preserve"> </t>
  </si>
  <si>
    <t>Developable</t>
  </si>
  <si>
    <t>test</t>
  </si>
  <si>
    <t>Studio</t>
  </si>
  <si>
    <t>1-BR</t>
  </si>
  <si>
    <t>2-BR</t>
  </si>
  <si>
    <t>3-BR</t>
  </si>
  <si>
    <t>Live-Work</t>
  </si>
  <si>
    <t>MR Resi</t>
  </si>
  <si>
    <t>Public Benefit Space</t>
  </si>
  <si>
    <t>SF</t>
  </si>
  <si>
    <t>NPV</t>
  </si>
  <si>
    <t>Affordable Housing</t>
  </si>
  <si>
    <t>Structural</t>
  </si>
  <si>
    <t>Surface</t>
  </si>
  <si>
    <t>BLOCK</t>
  </si>
  <si>
    <t>Wynwood or Edgewater</t>
  </si>
  <si>
    <t># on Map</t>
  </si>
  <si>
    <t>Required</t>
  </si>
  <si>
    <t>Lot Size</t>
  </si>
  <si>
    <t xml:space="preserve">2019 Land Value	</t>
  </si>
  <si>
    <t>2019 Building Value</t>
  </si>
  <si>
    <t>Extra Feature Value</t>
  </si>
  <si>
    <t>2019 Market Value</t>
  </si>
  <si>
    <t>Muni Zone</t>
  </si>
  <si>
    <t>Acquitsition Cost</t>
  </si>
  <si>
    <t>Wynwood</t>
  </si>
  <si>
    <t>ACQUIRED</t>
  </si>
  <si>
    <t>T6-8-O</t>
  </si>
  <si>
    <t>ACQUISITION TOTALS</t>
  </si>
  <si>
    <t>OWN</t>
  </si>
  <si>
    <t>T5-O</t>
  </si>
  <si>
    <t>Edgewater</t>
  </si>
  <si>
    <t>T6-8-O; T6-12-O</t>
  </si>
  <si>
    <t>T6-12-O</t>
  </si>
  <si>
    <t>25 (split)</t>
  </si>
  <si>
    <t>Property Address</t>
  </si>
  <si>
    <t>Study Area Parcel #</t>
  </si>
  <si>
    <t>LAND SF</t>
  </si>
  <si>
    <t>BLDG(S) SF</t>
  </si>
  <si>
    <t xml:space="preserve">STORIES </t>
  </si>
  <si>
    <t>ESTIMATED CF (SF*STORIES*12)</t>
  </si>
  <si>
    <t>COST PER UNIT (RSMEANS)</t>
  </si>
  <si>
    <t xml:space="preserve">UNIT </t>
  </si>
  <si>
    <t xml:space="preserve"> TOTAL (G*D) </t>
  </si>
  <si>
    <t>28 NE 29 ST</t>
  </si>
  <si>
    <t>CF</t>
  </si>
  <si>
    <t>50 NE 29 ST</t>
  </si>
  <si>
    <t>80 NE 29 ST; 82 NE 29 ST</t>
  </si>
  <si>
    <t>2811 N MIAMI AVE
Miami, FL 33137-3931</t>
  </si>
  <si>
    <t>25 NE 28 ST</t>
  </si>
  <si>
    <t>31 NE 28 ST</t>
  </si>
  <si>
    <t>101 NE 28 ST</t>
  </si>
  <si>
    <t>2751 N MIAMI AVE
Miami, FL 33137-4439</t>
  </si>
  <si>
    <t>28 NE 28 ST
Miami, FL 33137-4411</t>
  </si>
  <si>
    <t>42 NE 28 ST</t>
  </si>
  <si>
    <t>100 NE 28 ST</t>
  </si>
  <si>
    <t>45 NE 27 ST</t>
  </si>
  <si>
    <t>85 NE 27 ST</t>
  </si>
  <si>
    <t>2637 N MIAMI AV</t>
  </si>
  <si>
    <t>62 NE 27 ST</t>
  </si>
  <si>
    <t>2605 N MIAMI AVE</t>
  </si>
  <si>
    <t>21 NE 26 ST</t>
  </si>
  <si>
    <t>35 NE 26 ST
Miami, FL 33137-4405</t>
  </si>
  <si>
    <t>45 NE 26 ST
Miami, FL 33137-4405</t>
  </si>
  <si>
    <t>127 NE 27 ST</t>
  </si>
  <si>
    <t>148 NE 28 ST</t>
  </si>
  <si>
    <t>125 NE 26 ST</t>
  </si>
  <si>
    <t>130 NE 27 ST</t>
  </si>
  <si>
    <t>150 NE 27 ST</t>
  </si>
  <si>
    <t>156 NE 27 ST</t>
  </si>
  <si>
    <t>186 NE 27 ST
Miami, FL 33137-4421</t>
  </si>
  <si>
    <t>E21</t>
  </si>
  <si>
    <t>192 NE 27 ST
Miami, FL 33137-4421</t>
  </si>
  <si>
    <t>E22</t>
  </si>
  <si>
    <t>157 NE 26 ST</t>
  </si>
  <si>
    <t>161 NE 26 ST</t>
  </si>
  <si>
    <t>167 NE 26 ST</t>
  </si>
  <si>
    <t>189 NE 26 ST</t>
  </si>
  <si>
    <t>TOTAL</t>
  </si>
  <si>
    <t>Infrastructure Budget - Itemized</t>
  </si>
  <si>
    <t>Source</t>
  </si>
  <si>
    <t>Public Landscape &amp; Park</t>
  </si>
  <si>
    <t>High End</t>
  </si>
  <si>
    <t>Low End</t>
  </si>
  <si>
    <t>Others</t>
  </si>
  <si>
    <t>New Streets</t>
  </si>
  <si>
    <t>Existing Road Upgrade</t>
  </si>
  <si>
    <t>High</t>
  </si>
  <si>
    <t>Medium</t>
  </si>
  <si>
    <t>Low</t>
  </si>
  <si>
    <t>Utilities Connection</t>
  </si>
  <si>
    <t>Infrastructure Cost - Private</t>
  </si>
  <si>
    <t>Infrastructure Cost - Public</t>
  </si>
  <si>
    <t>Public Realm Assumption</t>
  </si>
  <si>
    <t>Cost Per Unit</t>
  </si>
  <si>
    <t>Public Landscape</t>
  </si>
  <si>
    <t>Street</t>
  </si>
  <si>
    <r>
      <t>New Transit Station</t>
    </r>
    <r>
      <rPr>
        <vertAlign val="superscript"/>
        <sz val="12"/>
        <color rgb="FF000000"/>
        <rFont val="Arial"/>
        <family val="2"/>
      </rPr>
      <t>1</t>
    </r>
  </si>
  <si>
    <t>Per site</t>
  </si>
  <si>
    <t>Acquisition Cost - Summary</t>
  </si>
  <si>
    <t>Parcel #</t>
  </si>
  <si>
    <t>* To acquire from the city and county at $1 acquisiton cost each phase</t>
  </si>
  <si>
    <t>Millage Rate</t>
  </si>
  <si>
    <t>Project Value</t>
  </si>
  <si>
    <t>Loan Sizing</t>
  </si>
  <si>
    <t>% NOI</t>
  </si>
  <si>
    <t>% Value</t>
  </si>
  <si>
    <t>Affordable Value</t>
  </si>
  <si>
    <t>Market Resi Value</t>
  </si>
  <si>
    <t>Retail Value</t>
  </si>
  <si>
    <t>Office Value</t>
  </si>
  <si>
    <t>Parking Value</t>
  </si>
  <si>
    <t>LTV Constraint Max. Proceeds</t>
  </si>
  <si>
    <t>Affordable NOI</t>
  </si>
  <si>
    <t>Market Resi NOI</t>
  </si>
  <si>
    <t>Retail NOI</t>
  </si>
  <si>
    <t>Community Facility NOI</t>
  </si>
  <si>
    <t>Office NOI</t>
  </si>
  <si>
    <t>Parking NOI</t>
  </si>
  <si>
    <t>Max Annual Payment</t>
  </si>
  <si>
    <t>DSCR Constraint Max. Proceeds</t>
  </si>
  <si>
    <t>Max Permanent Loan Proceeds</t>
  </si>
  <si>
    <t>Hotel Value</t>
  </si>
  <si>
    <t>Hotel Cash Flow after Reserves</t>
  </si>
  <si>
    <t>Industrial Value</t>
  </si>
  <si>
    <t>Industrial NOI</t>
  </si>
  <si>
    <r>
      <t>Total Stabilized NOI</t>
    </r>
    <r>
      <rPr>
        <vertAlign val="superscript"/>
        <sz val="12"/>
        <rFont val="Arial"/>
        <family val="2"/>
      </rPr>
      <t>1</t>
    </r>
  </si>
  <si>
    <t>Total Loan Size</t>
  </si>
  <si>
    <t>1. Stabilized NOI incorporates hotel reserves (stabilized value is based on hotel EBITDA before reserves).</t>
  </si>
  <si>
    <t>Full Build-Out</t>
  </si>
  <si>
    <t>Cost</t>
  </si>
  <si>
    <t>Total Subsidies</t>
  </si>
  <si>
    <t>Yield-to-Cost after Subsidies</t>
  </si>
  <si>
    <t>Exit Cap Rate</t>
  </si>
  <si>
    <t>IRR</t>
  </si>
  <si>
    <t>Levered IRR without Opportunity Zone</t>
  </si>
  <si>
    <t>Levered IRR with Opportunity Zone</t>
  </si>
  <si>
    <t>Year from Completion</t>
  </si>
  <si>
    <t>Year from Stabilization</t>
  </si>
  <si>
    <t>Mixed-Use Component</t>
  </si>
  <si>
    <t>Space Absorbed</t>
  </si>
  <si>
    <t>Total On-Line Space EOP</t>
  </si>
  <si>
    <t>Units Brought On-Line</t>
  </si>
  <si>
    <t>Total On-Line Units</t>
  </si>
  <si>
    <t>% On-Line</t>
  </si>
  <si>
    <t>Revenue Growth Factor</t>
  </si>
  <si>
    <t>Expense Growth Factor</t>
  </si>
  <si>
    <t>Gross Revenue</t>
  </si>
  <si>
    <t>Less: Vacancy</t>
  </si>
  <si>
    <t>Net Revenue</t>
  </si>
  <si>
    <t>Operating Expenses and Replacement Reserves</t>
  </si>
  <si>
    <t>PILOT (including TIF) and Taxes</t>
  </si>
  <si>
    <t>Total Expenses</t>
  </si>
  <si>
    <t>NOI</t>
  </si>
  <si>
    <t>Operating Margin</t>
  </si>
  <si>
    <t>Market Residential</t>
  </si>
  <si>
    <t>Amenity Fees and Laundry</t>
  </si>
  <si>
    <t>Expense / CAM Reimbursement</t>
  </si>
  <si>
    <t>Space Leased</t>
  </si>
  <si>
    <t>Mixed-Use Component NOI</t>
  </si>
  <si>
    <t>Debt Service</t>
  </si>
  <si>
    <t>Senior Loan Balance BOP</t>
  </si>
  <si>
    <t>Funding</t>
  </si>
  <si>
    <t>Senior Loan Balance EOP</t>
  </si>
  <si>
    <t>Interest</t>
  </si>
  <si>
    <t>Total Debt Service</t>
  </si>
  <si>
    <t>Cash Flow after Debt Service</t>
  </si>
  <si>
    <t>Exit</t>
  </si>
  <si>
    <r>
      <t>Plus: Refinance Proceeds</t>
    </r>
    <r>
      <rPr>
        <vertAlign val="superscript"/>
        <sz val="12"/>
        <rFont val="Arial"/>
        <family val="2"/>
      </rPr>
      <t>1</t>
    </r>
  </si>
  <si>
    <t>Less: Sale Costs</t>
  </si>
  <si>
    <t>Less: Outstanding Debt</t>
  </si>
  <si>
    <t>Net Sale Proceeds</t>
  </si>
  <si>
    <t>1. For simplicity, all refinance proceeds modelled as part of the mixed-income component.</t>
  </si>
  <si>
    <t>Total Cash Flow to Equity</t>
  </si>
  <si>
    <t>Hotel Component</t>
  </si>
  <si>
    <t>Rooms Absorbed</t>
  </si>
  <si>
    <t>Total Available Rooms</t>
  </si>
  <si>
    <t>% Available</t>
  </si>
  <si>
    <t>Base ADR</t>
  </si>
  <si>
    <t>Growth Factor</t>
  </si>
  <si>
    <t>Adjusted ADR</t>
  </si>
  <si>
    <t>Total Room Revenue</t>
  </si>
  <si>
    <t>F&amp;B and Miscellaneous Revenue</t>
  </si>
  <si>
    <t>Total Hotel Operational Revenue</t>
  </si>
  <si>
    <t>Conference Space Revenue</t>
  </si>
  <si>
    <t>Total Hotel Component Revenue</t>
  </si>
  <si>
    <t>Departmental Expenses</t>
  </si>
  <si>
    <t>Undistributed Expenses</t>
  </si>
  <si>
    <t>Total Operating Expenses</t>
  </si>
  <si>
    <t>Hotel EBITDA (before Reserves)</t>
  </si>
  <si>
    <t>Industrial Component</t>
  </si>
  <si>
    <t>Capital Events</t>
  </si>
  <si>
    <t>Total Phase Cash Flows</t>
  </si>
  <si>
    <t>Total Loan Proceeds</t>
  </si>
  <si>
    <t>Total Debt Service and Origination Fees</t>
  </si>
  <si>
    <t>Levered Development Costs and Cash Flows</t>
  </si>
  <si>
    <t>Levered Development Costs</t>
  </si>
  <si>
    <t>Total Costs</t>
  </si>
  <si>
    <t>Draw Schedule</t>
  </si>
  <si>
    <t>Equity</t>
  </si>
  <si>
    <t>Total Draws</t>
  </si>
  <si>
    <t>Public Subsidies</t>
  </si>
  <si>
    <t>Equity Cash Flows</t>
  </si>
  <si>
    <t>Equity Draws</t>
  </si>
  <si>
    <t>Cash to Equity</t>
  </si>
  <si>
    <t>Total Equity Cash Flows</t>
  </si>
  <si>
    <t>PnL</t>
  </si>
  <si>
    <t>Unlevered Development Costs and Cash Flows</t>
  </si>
  <si>
    <t>Unlevered Development Costs</t>
  </si>
  <si>
    <t>Unlevered Opportunity Zone Cash Flows</t>
  </si>
  <si>
    <t>Post-Tax Non-OZ Cash Flows</t>
  </si>
  <si>
    <t>Equity Investment</t>
  </si>
  <si>
    <t>Deferred Prior Capital Gains</t>
  </si>
  <si>
    <t>Payment of Prior Capital Gains</t>
  </si>
  <si>
    <t>Income Taxes</t>
  </si>
  <si>
    <t>Cash Flow</t>
  </si>
  <si>
    <t>Sale Value</t>
  </si>
  <si>
    <t>Capital Gains Taxes</t>
  </si>
  <si>
    <t>Post-Tax Non-OZ Unlevered IRR</t>
  </si>
  <si>
    <t>Post-Tax OZ Cash Flows</t>
  </si>
  <si>
    <t>Reduction of Prior Capital Gains</t>
  </si>
  <si>
    <t>Post-Tax OZ Unlevered IRR</t>
  </si>
  <si>
    <t>"Gross-Up" Pre-Tax OZ Unlevered IRR</t>
  </si>
  <si>
    <t>Eligible Prior Capital Gains Reductions</t>
  </si>
  <si>
    <t>Tax Basis</t>
  </si>
  <si>
    <t>Balance BOP</t>
  </si>
  <si>
    <t>Depreciation</t>
  </si>
  <si>
    <t>Cash Flow to Equity</t>
  </si>
  <si>
    <t>Capital Gains</t>
  </si>
  <si>
    <t>Balance EOP</t>
  </si>
  <si>
    <t>Levered Opportunity Zone Cash Flows</t>
  </si>
  <si>
    <t>Post-Tax Levered Non-OZ Cash Flows</t>
  </si>
  <si>
    <t>Benefit of Income Tax Losses / (Gains)</t>
  </si>
  <si>
    <t>Cash Flow (Return on Equity)</t>
  </si>
  <si>
    <t>Sale and Refi Proceeds (Return of Equity)</t>
  </si>
  <si>
    <t>Post-Tax Non-OZ Levered IRR</t>
  </si>
  <si>
    <t>Post-Tax Levered OZ Cash Flows</t>
  </si>
  <si>
    <t>Post-Tax OZ Levered IRR</t>
  </si>
  <si>
    <t>"Gross-Up" Pre-Tax OZ Levered IRR</t>
  </si>
  <si>
    <t>NOI less Interest</t>
  </si>
  <si>
    <t>Sale Value and Refi (Return of Equity)</t>
  </si>
  <si>
    <t>Levered Cash Flows</t>
  </si>
  <si>
    <t>Total Levered Cash Flows</t>
  </si>
  <si>
    <t>Unlevered Cash Flows</t>
  </si>
  <si>
    <t>Total Unlevered Cash Flows</t>
  </si>
  <si>
    <t>OZ Unlevered Post-Tax Cash Flows</t>
  </si>
  <si>
    <t>Total OZ Unlevered Post-Tax Cash Flows</t>
  </si>
  <si>
    <t>OZ Unlevered Post-Tax IRR</t>
  </si>
  <si>
    <t>Pre-Tax Equivalent IRR</t>
  </si>
  <si>
    <t>OZ Levered Post-Tax Cash Flows</t>
  </si>
  <si>
    <t>Return of Equity and Exposure</t>
  </si>
  <si>
    <t>Phase I Equity Fundings</t>
  </si>
  <si>
    <t>Phase I Return of / on Equity</t>
  </si>
  <si>
    <t>Phase II Equity Fundings</t>
  </si>
  <si>
    <t>Phase II Return of / on Equity</t>
  </si>
  <si>
    <t>Phase III Equity Fundings</t>
  </si>
  <si>
    <t>Phase III Return of / on Equity</t>
  </si>
  <si>
    <t>Combined Equity Fundings</t>
  </si>
  <si>
    <t>Combined Return of / on Equity</t>
  </si>
  <si>
    <t>Total Equity Exposure</t>
  </si>
  <si>
    <t>Combined</t>
  </si>
  <si>
    <t>Unlevered</t>
  </si>
  <si>
    <t>Levered</t>
  </si>
  <si>
    <t>Opportunity Zone Levered</t>
  </si>
  <si>
    <t>Public Benefits</t>
  </si>
  <si>
    <t>Public Parks</t>
  </si>
  <si>
    <t>Sports Museum and Community Recreation Space</t>
  </si>
  <si>
    <t>Discounted Rent at Charter School</t>
  </si>
  <si>
    <t>Discounted Rent at Test Kitchen</t>
  </si>
  <si>
    <t>Discounted Rent in Affordable Units</t>
  </si>
  <si>
    <t>Charter School Public Benefit Value</t>
  </si>
  <si>
    <t>Charter School Revenue</t>
  </si>
  <si>
    <t>Market Rate Equivalent Revenue</t>
  </si>
  <si>
    <t>Test Kitchen Public Benefit Value</t>
  </si>
  <si>
    <t>Affordable Housing Public Benefit Value</t>
  </si>
  <si>
    <t>Affordable Housing Revenue</t>
  </si>
  <si>
    <t>5A</t>
  </si>
  <si>
    <t xml:space="preserve">PARCEL </t>
  </si>
  <si>
    <t>Area 1 Totals:</t>
  </si>
  <si>
    <t>Area 2 Totals:</t>
  </si>
  <si>
    <t>Area 3 Totals:</t>
  </si>
  <si>
    <t>Area 4 Totals:</t>
  </si>
  <si>
    <t>Area 5 Totals:</t>
  </si>
  <si>
    <t>Area 6 Totals:</t>
  </si>
  <si>
    <t>2731 NE 2ND</t>
  </si>
  <si>
    <t>2805 NE 2ND</t>
  </si>
  <si>
    <t>T6-36-A0</t>
  </si>
  <si>
    <t>2800 BISCAYNE*</t>
  </si>
  <si>
    <t>Area 7 Totals:</t>
  </si>
  <si>
    <t>2545 N MIAMI</t>
  </si>
  <si>
    <t>2534 N MIAMI</t>
  </si>
  <si>
    <t>T6-8-0</t>
  </si>
  <si>
    <t>2600 N MIAMI</t>
  </si>
  <si>
    <t>Building Square Footage</t>
  </si>
  <si>
    <t>2610 N MIAMI</t>
  </si>
  <si>
    <t>2618 N MIAMI</t>
  </si>
  <si>
    <t>2632 N MIAMI</t>
  </si>
  <si>
    <t>Property Not Acquired Within Study Area</t>
  </si>
  <si>
    <t>Area 8 Totals:</t>
  </si>
  <si>
    <t>Area 9 Totals:</t>
  </si>
  <si>
    <t>496 NE 29th</t>
  </si>
  <si>
    <t>T6-36a-L</t>
  </si>
  <si>
    <t>Dry Utility Construction</t>
  </si>
  <si>
    <t>Public Space</t>
  </si>
  <si>
    <t>Museum</t>
  </si>
  <si>
    <t/>
  </si>
  <si>
    <t>29th W</t>
  </si>
  <si>
    <t>28th W</t>
  </si>
  <si>
    <t>29th West Block Total</t>
  </si>
  <si>
    <t>28th West Block Total</t>
  </si>
  <si>
    <t>27th West Block Total</t>
  </si>
  <si>
    <t>27th W</t>
  </si>
  <si>
    <t>28th E</t>
  </si>
  <si>
    <t>27th E</t>
  </si>
  <si>
    <t>28th East Block Total</t>
  </si>
  <si>
    <t>27th East Block Total</t>
  </si>
  <si>
    <t>Cash Flow Roll Up</t>
  </si>
  <si>
    <t>Budget</t>
  </si>
  <si>
    <t>I - Boutique Hotel</t>
  </si>
  <si>
    <t>III - Full Service Hotel</t>
  </si>
  <si>
    <t xml:space="preserve">   For Sale Market Rate Housing</t>
  </si>
  <si>
    <t>Market Ramp</t>
  </si>
  <si>
    <t xml:space="preserve">I </t>
  </si>
  <si>
    <t>Museum Value</t>
  </si>
  <si>
    <t>Public Spaces</t>
  </si>
  <si>
    <t>Light Industrial/Flex Component</t>
  </si>
  <si>
    <t>TIID Loan</t>
  </si>
  <si>
    <t>PILOT (including TIID) and Taxes</t>
  </si>
  <si>
    <t>NRD</t>
  </si>
  <si>
    <t>Miami Forever Fund</t>
  </si>
  <si>
    <t>Taxes Per Phase</t>
  </si>
  <si>
    <t>Total Taxes</t>
  </si>
  <si>
    <t>TIID Loan Origination Fee</t>
  </si>
  <si>
    <t>TIID Loan Capitalized Interest</t>
  </si>
  <si>
    <t>TIID Loan (Tranportation Infrastructure Improvement District)</t>
  </si>
  <si>
    <t>Team Code: 2019-281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</si>
</sst>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6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_);\(&quot;$&quot;#,##0.0\)"/>
    <numFmt numFmtId="165" formatCode="0&quot; years&quot;"/>
    <numFmt numFmtId="166" formatCode="0.0%"/>
    <numFmt numFmtId="167" formatCode="&quot;L + &quot;0"/>
    <numFmt numFmtId="168" formatCode="0.00&quot;x&quot;"/>
    <numFmt numFmtId="169" formatCode="0.0&quot;x&quot;"/>
    <numFmt numFmtId="170" formatCode="&quot;$&quot;#,##0.000_);[Red]\(&quot;$&quot;#,##0.000\)"/>
    <numFmt numFmtId="171" formatCode="&quot;$&quot;#,##0.0\ &quot;pgsf&quot;"/>
    <numFmt numFmtId="172" formatCode="&quot;$&quot;#,##0.00"/>
    <numFmt numFmtId="173" formatCode="0.0&quot; years&quot;"/>
    <numFmt numFmtId="174" formatCode="&quot;$&quot;#,##0.0_);[Red]\(&quot;$&quot;#,##0.0\)"/>
    <numFmt numFmtId="175" formatCode="_(* #,##0.0000_);_(* \(#,##0.0000\);_(* &quot;-&quot;??_);_(@_)"/>
    <numFmt numFmtId="176" formatCode="_(&quot;$&quot;* #,##0_);_(&quot;$&quot;* \(#,##0\);_(&quot;$&quot;* &quot;-&quot;??_);_(@_)"/>
    <numFmt numFmtId="177" formatCode="_-&quot;$&quot;* #,##0_-;\-&quot;$&quot;* #,##0_-;_-&quot;$&quot;* &quot;-&quot;??_-;_-@_-"/>
    <numFmt numFmtId="178" formatCode="0.0000%"/>
    <numFmt numFmtId="179" formatCode="&quot;$&quot;#,##0.00;[Red]&quot;$&quot;#,##0.00"/>
    <numFmt numFmtId="180" formatCode="&quot;$&quot;#,##0"/>
    <numFmt numFmtId="181" formatCode="#,##0_ ;\-#,##0\ "/>
  </numFmts>
  <fonts count="82">
    <font>
      <sz val="10"/>
      <name val="Arial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2"/>
      <color theme="0"/>
      <name val="Arial"/>
      <family val="2"/>
    </font>
    <font>
      <sz val="12"/>
      <color theme="0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i/>
      <sz val="12"/>
      <color theme="1"/>
      <name val="Arial"/>
      <family val="2"/>
    </font>
    <font>
      <b/>
      <sz val="12"/>
      <name val="Arial"/>
      <family val="2"/>
    </font>
    <font>
      <i/>
      <sz val="12"/>
      <name val="Arial"/>
      <family val="2"/>
    </font>
    <font>
      <sz val="12"/>
      <color rgb="FF0000FF"/>
      <name val="Arial"/>
      <family val="2"/>
    </font>
    <font>
      <b/>
      <sz val="12"/>
      <color theme="1"/>
      <name val="Arial"/>
      <family val="2"/>
    </font>
    <font>
      <b/>
      <sz val="12"/>
      <color rgb="FF0000FF"/>
      <name val="Arial"/>
      <family val="2"/>
    </font>
    <font>
      <sz val="12"/>
      <color rgb="FF00B050"/>
      <name val="Arial"/>
      <family val="2"/>
    </font>
    <font>
      <b/>
      <sz val="12"/>
      <color rgb="FF00B050"/>
      <name val="Arial"/>
      <family val="2"/>
    </font>
    <font>
      <i/>
      <sz val="10"/>
      <name val="Arial"/>
      <family val="2"/>
    </font>
    <font>
      <i/>
      <sz val="12"/>
      <color theme="0" tint="-4.9989318521683403E-2"/>
      <name val="Arial"/>
      <family val="2"/>
    </font>
    <font>
      <b/>
      <i/>
      <sz val="12"/>
      <name val="Arial"/>
      <family val="2"/>
    </font>
    <font>
      <b/>
      <sz val="12"/>
      <color theme="3"/>
      <name val="Arial"/>
      <family val="2"/>
    </font>
    <font>
      <sz val="12"/>
      <color theme="3"/>
      <name val="Arial"/>
      <family val="2"/>
    </font>
    <font>
      <b/>
      <u/>
      <sz val="12"/>
      <name val="Arial"/>
      <family val="2"/>
    </font>
    <font>
      <u/>
      <sz val="12"/>
      <name val="Arial"/>
      <family val="2"/>
    </font>
    <font>
      <u/>
      <sz val="12"/>
      <color theme="1"/>
      <name val="Arial"/>
      <family val="2"/>
    </font>
    <font>
      <u/>
      <sz val="12"/>
      <color rgb="FF0000FF"/>
      <name val="Arial"/>
      <family val="2"/>
    </font>
    <font>
      <vertAlign val="superscript"/>
      <sz val="12"/>
      <name val="Arial"/>
      <family val="2"/>
    </font>
    <font>
      <b/>
      <i/>
      <sz val="12"/>
      <color theme="0"/>
      <name val="Arial"/>
      <family val="2"/>
    </font>
    <font>
      <i/>
      <sz val="12"/>
      <color theme="0"/>
      <name val="Arial"/>
      <family val="2"/>
    </font>
    <font>
      <i/>
      <sz val="12"/>
      <color rgb="FF0000FF"/>
      <name val="Arial"/>
      <family val="2"/>
    </font>
    <font>
      <vertAlign val="superscript"/>
      <sz val="12"/>
      <color theme="1"/>
      <name val="Arial"/>
      <family val="2"/>
    </font>
    <font>
      <i/>
      <sz val="10"/>
      <color theme="1"/>
      <name val="Arial"/>
      <family val="2"/>
    </font>
    <font>
      <b/>
      <sz val="12"/>
      <color rgb="FFFF0000"/>
      <name val="Arial"/>
      <family val="2"/>
    </font>
    <font>
      <b/>
      <sz val="20"/>
      <name val="Arial"/>
      <family val="2"/>
    </font>
    <font>
      <sz val="12"/>
      <color indexed="12"/>
      <name val="Arial"/>
      <family val="2"/>
    </font>
    <font>
      <b/>
      <sz val="12"/>
      <color indexed="9"/>
      <name val="Arial"/>
      <family val="2"/>
    </font>
    <font>
      <b/>
      <vertAlign val="superscript"/>
      <sz val="12"/>
      <name val="Arial"/>
      <family val="2"/>
    </font>
    <font>
      <b/>
      <i/>
      <sz val="12"/>
      <color rgb="FFFF0000"/>
      <name val="Arial"/>
      <family val="2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rgb="FF271BC9"/>
      <name val="Calibri"/>
      <family val="2"/>
      <scheme val="minor"/>
    </font>
    <font>
      <sz val="12"/>
      <color rgb="FF000000"/>
      <name val="Arial"/>
      <family val="2"/>
    </font>
    <font>
      <sz val="12"/>
      <color rgb="FF271BC9"/>
      <name val="Arial"/>
      <family val="2"/>
    </font>
    <font>
      <u/>
      <sz val="10"/>
      <color theme="11"/>
      <name val="Arial"/>
      <family val="2"/>
    </font>
    <font>
      <vertAlign val="superscript"/>
      <sz val="12"/>
      <color rgb="FF000000"/>
      <name val="Arial"/>
      <family val="2"/>
    </font>
    <font>
      <i/>
      <sz val="12"/>
      <color rgb="FF00B05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1"/>
      <color theme="1"/>
      <name val="Arial"/>
      <family val="2"/>
    </font>
    <font>
      <i/>
      <u/>
      <sz val="12"/>
      <name val="Arial"/>
      <family val="2"/>
    </font>
    <font>
      <b/>
      <i/>
      <sz val="11"/>
      <color theme="1"/>
      <name val="Arial"/>
      <family val="2"/>
    </font>
    <font>
      <b/>
      <sz val="12"/>
      <color rgb="FFFFFFFF"/>
      <name val="Arial"/>
      <family val="2"/>
    </font>
    <font>
      <b/>
      <sz val="16"/>
      <color theme="3"/>
      <name val="Arial"/>
      <family val="2"/>
    </font>
    <font>
      <sz val="10"/>
      <name val="Montserrat"/>
      <family val="3"/>
    </font>
    <font>
      <b/>
      <sz val="10"/>
      <color theme="0"/>
      <name val="Montserrat"/>
      <family val="3"/>
    </font>
    <font>
      <sz val="10"/>
      <color theme="0"/>
      <name val="Montserrat"/>
      <family val="3"/>
    </font>
    <font>
      <sz val="10"/>
      <color theme="1"/>
      <name val="Montserrat"/>
      <family val="3"/>
    </font>
    <font>
      <b/>
      <sz val="10"/>
      <name val="Montserrat"/>
      <family val="3"/>
    </font>
    <font>
      <sz val="8"/>
      <name val="Arial"/>
      <family val="2"/>
    </font>
    <font>
      <sz val="10"/>
      <name val="Arial"/>
      <family val="2"/>
    </font>
    <font>
      <sz val="12"/>
      <color rgb="FFFF0000"/>
      <name val="Arial"/>
      <family val="2"/>
    </font>
    <font>
      <b/>
      <sz val="11"/>
      <name val="Calibri"/>
      <family val="2"/>
      <scheme val="minor"/>
    </font>
    <font>
      <b/>
      <sz val="12"/>
      <color rgb="FF305496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Arial"/>
      <family val="2"/>
    </font>
    <font>
      <b/>
      <sz val="10"/>
      <color rgb="FFFF0000"/>
      <name val="Arial"/>
      <family val="2"/>
    </font>
    <font>
      <sz val="48"/>
      <name val="Arial"/>
      <family val="2"/>
    </font>
    <font>
      <b/>
      <sz val="11"/>
      <color theme="5"/>
      <name val="Calibri"/>
      <family val="2"/>
      <scheme val="minor"/>
    </font>
    <font>
      <sz val="11"/>
      <color theme="5"/>
      <name val="Calibri"/>
      <family val="2"/>
      <scheme val="minor"/>
    </font>
    <font>
      <sz val="10"/>
      <color theme="5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rgb="FFFFFFFF"/>
      <name val="Arial"/>
      <family val="2"/>
    </font>
    <font>
      <b/>
      <sz val="12"/>
      <color rgb="FF1F497D"/>
      <name val="Arial"/>
      <family val="2"/>
    </font>
    <font>
      <sz val="12"/>
      <color rgb="FF1F497D"/>
      <name val="Arial"/>
      <family val="2"/>
    </font>
    <font>
      <b/>
      <i/>
      <sz val="12"/>
      <color theme="1"/>
      <name val="Arial"/>
      <family val="2"/>
    </font>
    <font>
      <sz val="11"/>
      <color theme="1"/>
      <name val="Arial"/>
      <family val="2"/>
    </font>
    <font>
      <b/>
      <sz val="10"/>
      <color rgb="FF004DD6"/>
      <name val="Arial"/>
      <family val="2"/>
    </font>
    <font>
      <sz val="11"/>
      <color rgb="FF004DD6"/>
      <name val="Calibri"/>
      <family val="2"/>
      <scheme val="minor"/>
    </font>
    <font>
      <b/>
      <sz val="11"/>
      <color rgb="FF004DD6"/>
      <name val="Calibri"/>
      <family val="2"/>
      <scheme val="minor"/>
    </font>
    <font>
      <sz val="10"/>
      <color rgb="FF004DD6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rgb="FF871531"/>
        <bgColor indexed="64"/>
      </patternFill>
    </fill>
    <fill>
      <patternFill patternType="solid">
        <fgColor rgb="FFDBDBDB"/>
        <bgColor indexed="64"/>
      </patternFill>
    </fill>
    <fill>
      <patternFill patternType="solid">
        <fgColor rgb="FF004DD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5FFFF"/>
        <bgColor indexed="64"/>
      </patternFill>
    </fill>
    <fill>
      <patternFill patternType="solid">
        <fgColor rgb="FFFFFD78"/>
        <bgColor indexed="64"/>
      </patternFill>
    </fill>
    <fill>
      <patternFill patternType="solid">
        <fgColor rgb="FFFF8FD1"/>
        <bgColor indexed="64"/>
      </patternFill>
    </fill>
    <fill>
      <patternFill patternType="solid">
        <fgColor rgb="FF9FF5FF"/>
        <bgColor indexed="64"/>
      </patternFill>
    </fill>
    <fill>
      <patternFill patternType="solid">
        <fgColor rgb="FF004DD6"/>
        <bgColor rgb="FF000000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D5FFFF"/>
        <bgColor rgb="FF000000"/>
      </patternFill>
    </fill>
  </fills>
  <borders count="5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thin">
        <color rgb="FF376F9D"/>
      </top>
      <bottom style="thin">
        <color rgb="FF376F9D"/>
      </bottom>
      <diagonal/>
    </border>
    <border>
      <left/>
      <right/>
      <top style="thin">
        <color rgb="FF376F9D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rgb="FF000000"/>
      </right>
      <top style="thin">
        <color auto="1"/>
      </top>
      <bottom/>
      <diagonal/>
    </border>
    <border>
      <left/>
      <right/>
      <top/>
      <bottom style="medium">
        <color theme="3"/>
      </bottom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 style="medium">
        <color rgb="FFDDDDDD"/>
      </bottom>
      <diagonal/>
    </border>
    <border>
      <left style="medium">
        <color rgb="FFDDDDDD"/>
      </left>
      <right/>
      <top style="medium">
        <color rgb="FFDDDDDD"/>
      </top>
      <bottom style="medium">
        <color rgb="FFDDDDDD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DDDDDD"/>
      </left>
      <right/>
      <top style="medium">
        <color rgb="FFDDDDDD"/>
      </top>
      <bottom/>
      <diagonal/>
    </border>
    <border>
      <left style="medium">
        <color rgb="FFDDDDDD"/>
      </left>
      <right style="medium">
        <color rgb="FFDDDDDD"/>
      </right>
      <top/>
      <bottom style="medium">
        <color rgb="FFDDDDDD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auto="1"/>
      </left>
      <right/>
      <top/>
      <bottom style="thin">
        <color rgb="FF000000"/>
      </bottom>
      <diagonal/>
    </border>
    <border>
      <left/>
      <right style="medium">
        <color auto="1"/>
      </right>
      <top/>
      <bottom style="thin">
        <color rgb="FF000000"/>
      </bottom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/>
      <diagonal/>
    </border>
    <border>
      <left style="medium">
        <color rgb="FFDDDDDD"/>
      </left>
      <right style="medium">
        <color rgb="FFDDDDDD"/>
      </right>
      <top/>
      <bottom/>
      <diagonal/>
    </border>
  </borders>
  <cellStyleXfs count="8">
    <xf numFmtId="0" fontId="0" fillId="0" borderId="0"/>
    <xf numFmtId="0" fontId="2" fillId="0" borderId="0"/>
    <xf numFmtId="0" fontId="38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44" fontId="60" fillId="0" borderId="0" applyFont="0" applyFill="0" applyBorder="0" applyAlignment="0" applyProtection="0"/>
    <xf numFmtId="9" fontId="72" fillId="0" borderId="0" applyFont="0" applyFill="0" applyBorder="0" applyAlignment="0" applyProtection="0"/>
  </cellStyleXfs>
  <cellXfs count="936">
    <xf numFmtId="0" fontId="0" fillId="0" borderId="0" xfId="0"/>
    <xf numFmtId="0" fontId="2" fillId="0" borderId="0" xfId="0" applyFont="1"/>
    <xf numFmtId="9" fontId="0" fillId="0" borderId="0" xfId="0" applyNumberFormat="1"/>
    <xf numFmtId="8" fontId="2" fillId="0" borderId="0" xfId="0" applyNumberFormat="1" applyFont="1" applyAlignment="1">
      <alignment vertical="center"/>
    </xf>
    <xf numFmtId="8" fontId="0" fillId="0" borderId="0" xfId="0" applyNumberFormat="1"/>
    <xf numFmtId="0" fontId="2" fillId="0" borderId="0" xfId="0" applyFont="1" applyAlignment="1">
      <alignment horizontal="left" indent="1"/>
    </xf>
    <xf numFmtId="0" fontId="2" fillId="0" borderId="0" xfId="0" applyFont="1" applyAlignment="1">
      <alignment horizontal="left"/>
    </xf>
    <xf numFmtId="5" fontId="5" fillId="0" borderId="0" xfId="0" applyNumberFormat="1" applyFont="1"/>
    <xf numFmtId="0" fontId="7" fillId="0" borderId="0" xfId="0" applyFont="1"/>
    <xf numFmtId="0" fontId="6" fillId="0" borderId="0" xfId="0" applyFont="1"/>
    <xf numFmtId="37" fontId="10" fillId="0" borderId="0" xfId="0" applyNumberFormat="1" applyFont="1"/>
    <xf numFmtId="37" fontId="8" fillId="0" borderId="0" xfId="0" applyNumberFormat="1" applyFont="1"/>
    <xf numFmtId="8" fontId="6" fillId="0" borderId="0" xfId="0" applyNumberFormat="1" applyFont="1"/>
    <xf numFmtId="5" fontId="8" fillId="2" borderId="0" xfId="0" applyNumberFormat="1" applyFont="1" applyFill="1"/>
    <xf numFmtId="37" fontId="13" fillId="0" borderId="0" xfId="0" applyNumberFormat="1" applyFont="1"/>
    <xf numFmtId="0" fontId="5" fillId="0" borderId="0" xfId="0" applyFont="1"/>
    <xf numFmtId="5" fontId="6" fillId="0" borderId="0" xfId="0" applyNumberFormat="1" applyFont="1"/>
    <xf numFmtId="0" fontId="8" fillId="2" borderId="8" xfId="0" applyFont="1" applyFill="1" applyBorder="1"/>
    <xf numFmtId="5" fontId="8" fillId="2" borderId="8" xfId="0" applyNumberFormat="1" applyFont="1" applyFill="1" applyBorder="1"/>
    <xf numFmtId="5" fontId="6" fillId="2" borderId="0" xfId="0" applyNumberFormat="1" applyFont="1" applyFill="1"/>
    <xf numFmtId="5" fontId="10" fillId="0" borderId="0" xfId="0" applyNumberFormat="1" applyFont="1"/>
    <xf numFmtId="0" fontId="6" fillId="0" borderId="0" xfId="0" applyFont="1"/>
    <xf numFmtId="37" fontId="6" fillId="0" borderId="0" xfId="0" applyNumberFormat="1" applyFont="1"/>
    <xf numFmtId="5" fontId="11" fillId="0" borderId="0" xfId="0" applyNumberFormat="1" applyFont="1"/>
    <xf numFmtId="9" fontId="10" fillId="0" borderId="0" xfId="0" applyNumberFormat="1" applyFont="1"/>
    <xf numFmtId="9" fontId="9" fillId="0" borderId="0" xfId="0" applyNumberFormat="1" applyFont="1"/>
    <xf numFmtId="5" fontId="8" fillId="0" borderId="0" xfId="0" applyNumberFormat="1" applyFont="1"/>
    <xf numFmtId="164" fontId="6" fillId="0" borderId="0" xfId="0" applyNumberFormat="1" applyFont="1"/>
    <xf numFmtId="0" fontId="8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14" fontId="6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37" fontId="8" fillId="0" borderId="0" xfId="0" applyNumberFormat="1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 vertical="center" indent="1"/>
    </xf>
    <xf numFmtId="37" fontId="6" fillId="0" borderId="0" xfId="0" applyNumberFormat="1" applyFont="1" applyBorder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5" xfId="0" applyFont="1" applyBorder="1" applyAlignment="1">
      <alignment horizontal="left" vertical="center" indent="1"/>
    </xf>
    <xf numFmtId="0" fontId="6" fillId="0" borderId="5" xfId="0" applyFont="1" applyBorder="1" applyAlignment="1">
      <alignment vertical="center"/>
    </xf>
    <xf numFmtId="0" fontId="6" fillId="0" borderId="1" xfId="0" applyFont="1" applyBorder="1" applyAlignment="1">
      <alignment horizontal="left" vertical="center" indent="1"/>
    </xf>
    <xf numFmtId="0" fontId="6" fillId="0" borderId="1" xfId="0" applyFont="1" applyBorder="1" applyAlignment="1">
      <alignment vertical="center"/>
    </xf>
    <xf numFmtId="0" fontId="8" fillId="0" borderId="0" xfId="0" applyFont="1" applyBorder="1" applyAlignment="1">
      <alignment horizontal="left" vertical="center"/>
    </xf>
    <xf numFmtId="164" fontId="7" fillId="0" borderId="0" xfId="0" applyNumberFormat="1" applyFont="1"/>
    <xf numFmtId="164" fontId="7" fillId="0" borderId="3" xfId="0" applyNumberFormat="1" applyFont="1" applyBorder="1"/>
    <xf numFmtId="9" fontId="6" fillId="0" borderId="0" xfId="0" applyNumberFormat="1" applyFont="1"/>
    <xf numFmtId="165" fontId="13" fillId="0" borderId="0" xfId="0" applyNumberFormat="1" applyFont="1"/>
    <xf numFmtId="168" fontId="13" fillId="0" borderId="0" xfId="0" applyNumberFormat="1" applyFont="1"/>
    <xf numFmtId="166" fontId="13" fillId="0" borderId="0" xfId="0" applyNumberFormat="1" applyFont="1"/>
    <xf numFmtId="166" fontId="6" fillId="0" borderId="0" xfId="0" applyNumberFormat="1" applyFont="1"/>
    <xf numFmtId="0" fontId="8" fillId="0" borderId="0" xfId="0" applyFont="1"/>
    <xf numFmtId="0" fontId="8" fillId="0" borderId="5" xfId="0" applyFont="1" applyBorder="1"/>
    <xf numFmtId="5" fontId="8" fillId="0" borderId="5" xfId="0" applyNumberFormat="1" applyFont="1" applyBorder="1"/>
    <xf numFmtId="0" fontId="8" fillId="0" borderId="1" xfId="0" applyFont="1" applyBorder="1"/>
    <xf numFmtId="5" fontId="6" fillId="2" borderId="8" xfId="0" applyNumberFormat="1" applyFont="1" applyFill="1" applyBorder="1"/>
    <xf numFmtId="37" fontId="8" fillId="0" borderId="3" xfId="0" applyNumberFormat="1" applyFont="1" applyBorder="1" applyAlignment="1">
      <alignment horizontal="center" vertical="center"/>
    </xf>
    <xf numFmtId="37" fontId="6" fillId="0" borderId="3" xfId="0" applyNumberFormat="1" applyFont="1" applyBorder="1" applyAlignment="1">
      <alignment horizontal="center" vertical="center"/>
    </xf>
    <xf numFmtId="0" fontId="11" fillId="0" borderId="0" xfId="0" applyFont="1"/>
    <xf numFmtId="0" fontId="6" fillId="2" borderId="8" xfId="0" applyFont="1" applyFill="1" applyBorder="1"/>
    <xf numFmtId="0" fontId="8" fillId="3" borderId="8" xfId="0" applyFont="1" applyFill="1" applyBorder="1"/>
    <xf numFmtId="5" fontId="8" fillId="3" borderId="8" xfId="0" applyNumberFormat="1" applyFont="1" applyFill="1" applyBorder="1"/>
    <xf numFmtId="0" fontId="16" fillId="0" borderId="0" xfId="0" applyFont="1"/>
    <xf numFmtId="0" fontId="8" fillId="3" borderId="0" xfId="0" applyFont="1" applyFill="1" applyBorder="1"/>
    <xf numFmtId="5" fontId="8" fillId="3" borderId="0" xfId="0" applyNumberFormat="1" applyFont="1" applyFill="1" applyBorder="1"/>
    <xf numFmtId="0" fontId="17" fillId="3" borderId="0" xfId="0" applyFont="1" applyFill="1" applyBorder="1"/>
    <xf numFmtId="9" fontId="8" fillId="3" borderId="0" xfId="0" applyNumberFormat="1" applyFont="1" applyFill="1" applyBorder="1"/>
    <xf numFmtId="9" fontId="17" fillId="3" borderId="0" xfId="0" applyNumberFormat="1" applyFont="1" applyFill="1" applyBorder="1"/>
    <xf numFmtId="0" fontId="9" fillId="0" borderId="0" xfId="0" applyFont="1"/>
    <xf numFmtId="37" fontId="9" fillId="0" borderId="0" xfId="0" applyNumberFormat="1" applyFont="1"/>
    <xf numFmtId="0" fontId="18" fillId="2" borderId="0" xfId="0" applyFont="1" applyFill="1"/>
    <xf numFmtId="0" fontId="19" fillId="2" borderId="0" xfId="0" applyFont="1" applyFill="1"/>
    <xf numFmtId="14" fontId="18" fillId="2" borderId="0" xfId="0" applyNumberFormat="1" applyFont="1" applyFill="1" applyAlignment="1">
      <alignment horizontal="center"/>
    </xf>
    <xf numFmtId="37" fontId="6" fillId="2" borderId="0" xfId="0" applyNumberFormat="1" applyFont="1" applyFill="1"/>
    <xf numFmtId="9" fontId="8" fillId="0" borderId="0" xfId="0" applyNumberFormat="1" applyFont="1"/>
    <xf numFmtId="9" fontId="13" fillId="0" borderId="0" xfId="0" applyNumberFormat="1" applyFont="1"/>
    <xf numFmtId="10" fontId="13" fillId="0" borderId="0" xfId="0" applyNumberFormat="1" applyFont="1"/>
    <xf numFmtId="0" fontId="21" fillId="0" borderId="0" xfId="0" applyFont="1" applyAlignment="1">
      <alignment horizontal="left" vertical="center"/>
    </xf>
    <xf numFmtId="0" fontId="21" fillId="0" borderId="0" xfId="0" applyFont="1" applyAlignment="1">
      <alignment vertical="center"/>
    </xf>
    <xf numFmtId="0" fontId="6" fillId="0" borderId="0" xfId="0" applyFont="1" applyBorder="1"/>
    <xf numFmtId="0" fontId="22" fillId="0" borderId="1" xfId="0" applyFont="1" applyBorder="1"/>
    <xf numFmtId="5" fontId="23" fillId="0" borderId="1" xfId="0" applyNumberFormat="1" applyFont="1" applyBorder="1"/>
    <xf numFmtId="5" fontId="20" fillId="0" borderId="1" xfId="0" applyNumberFormat="1" applyFont="1" applyBorder="1"/>
    <xf numFmtId="0" fontId="11" fillId="0" borderId="1" xfId="0" applyFont="1" applyBorder="1"/>
    <xf numFmtId="5" fontId="8" fillId="0" borderId="1" xfId="0" applyNumberFormat="1" applyFont="1" applyBorder="1" applyAlignment="1">
      <alignment horizontal="center"/>
    </xf>
    <xf numFmtId="165" fontId="13" fillId="0" borderId="0" xfId="0" applyNumberFormat="1" applyFont="1" applyAlignment="1">
      <alignment horizontal="right"/>
    </xf>
    <xf numFmtId="0" fontId="5" fillId="0" borderId="0" xfId="0" applyFont="1" applyAlignment="1">
      <alignment horizontal="left" indent="1"/>
    </xf>
    <xf numFmtId="168" fontId="9" fillId="0" borderId="0" xfId="0" applyNumberFormat="1" applyFont="1"/>
    <xf numFmtId="5" fontId="27" fillId="0" borderId="0" xfId="0" applyNumberFormat="1" applyFont="1"/>
    <xf numFmtId="5" fontId="17" fillId="0" borderId="0" xfId="0" applyNumberFormat="1" applyFont="1"/>
    <xf numFmtId="5" fontId="9" fillId="0" borderId="0" xfId="0" applyNumberFormat="1" applyFont="1"/>
    <xf numFmtId="9" fontId="27" fillId="0" borderId="0" xfId="0" applyNumberFormat="1" applyFont="1"/>
    <xf numFmtId="0" fontId="17" fillId="2" borderId="8" xfId="0" applyFont="1" applyFill="1" applyBorder="1"/>
    <xf numFmtId="5" fontId="17" fillId="2" borderId="8" xfId="0" applyNumberFormat="1" applyFont="1" applyFill="1" applyBorder="1"/>
    <xf numFmtId="6" fontId="6" fillId="0" borderId="0" xfId="0" applyNumberFormat="1" applyFont="1" applyAlignment="1">
      <alignment vertical="center"/>
    </xf>
    <xf numFmtId="0" fontId="0" fillId="0" borderId="0" xfId="0" applyAlignment="1">
      <alignment horizontal="center"/>
    </xf>
    <xf numFmtId="0" fontId="31" fillId="0" borderId="0" xfId="0" applyFont="1"/>
    <xf numFmtId="0" fontId="6" fillId="2" borderId="0" xfId="0" applyFont="1" applyFill="1"/>
    <xf numFmtId="0" fontId="15" fillId="0" borderId="0" xfId="0" applyFont="1"/>
    <xf numFmtId="37" fontId="10" fillId="2" borderId="0" xfId="0" applyNumberFormat="1" applyFont="1" applyFill="1"/>
    <xf numFmtId="0" fontId="29" fillId="0" borderId="0" xfId="0" applyFont="1" applyAlignment="1"/>
    <xf numFmtId="0" fontId="5" fillId="0" borderId="0" xfId="0" applyFont="1" applyAlignment="1">
      <alignment wrapText="1"/>
    </xf>
    <xf numFmtId="5" fontId="6" fillId="0" borderId="0" xfId="0" applyNumberFormat="1" applyFont="1" applyAlignment="1">
      <alignment vertical="center"/>
    </xf>
    <xf numFmtId="37" fontId="6" fillId="0" borderId="0" xfId="0" applyNumberFormat="1" applyFont="1" applyAlignment="1">
      <alignment vertical="center"/>
    </xf>
    <xf numFmtId="0" fontId="9" fillId="0" borderId="0" xfId="0" applyNumberFormat="1" applyFont="1" applyAlignment="1">
      <alignment horizontal="center"/>
    </xf>
    <xf numFmtId="9" fontId="6" fillId="0" borderId="0" xfId="0" applyNumberFormat="1" applyFont="1" applyAlignment="1">
      <alignment vertical="center"/>
    </xf>
    <xf numFmtId="0" fontId="6" fillId="0" borderId="5" xfId="1" applyFont="1" applyBorder="1"/>
    <xf numFmtId="0" fontId="6" fillId="0" borderId="0" xfId="1" applyFont="1"/>
    <xf numFmtId="0" fontId="6" fillId="0" borderId="1" xfId="1" applyFont="1" applyBorder="1" applyAlignment="1">
      <alignment horizontal="center"/>
    </xf>
    <xf numFmtId="0" fontId="8" fillId="0" borderId="0" xfId="1" applyFont="1" applyBorder="1" applyAlignment="1">
      <alignment horizontal="center"/>
    </xf>
    <xf numFmtId="0" fontId="6" fillId="0" borderId="1" xfId="1" applyFont="1" applyFill="1" applyBorder="1"/>
    <xf numFmtId="0" fontId="8" fillId="0" borderId="0" xfId="1" applyFont="1" applyBorder="1" applyAlignment="1">
      <alignment horizontal="left"/>
    </xf>
    <xf numFmtId="0" fontId="6" fillId="0" borderId="0" xfId="1" applyFont="1" applyFill="1" applyBorder="1"/>
    <xf numFmtId="0" fontId="8" fillId="0" borderId="1" xfId="1" applyFont="1" applyBorder="1" applyAlignment="1">
      <alignment horizontal="right"/>
    </xf>
    <xf numFmtId="0" fontId="8" fillId="0" borderId="1" xfId="1" applyFont="1" applyBorder="1"/>
    <xf numFmtId="0" fontId="6" fillId="0" borderId="5" xfId="1" applyFont="1" applyFill="1" applyBorder="1" applyAlignment="1"/>
    <xf numFmtId="0" fontId="6" fillId="0" borderId="0" xfId="1" applyFont="1" applyAlignment="1">
      <alignment horizontal="center"/>
    </xf>
    <xf numFmtId="0" fontId="8" fillId="0" borderId="0" xfId="1" applyFont="1" applyBorder="1" applyAlignment="1">
      <alignment horizontal="left" vertical="center"/>
    </xf>
    <xf numFmtId="0" fontId="6" fillId="0" borderId="0" xfId="1" applyFont="1" applyBorder="1" applyAlignment="1">
      <alignment vertical="center"/>
    </xf>
    <xf numFmtId="0" fontId="6" fillId="0" borderId="0" xfId="1" applyFont="1" applyAlignment="1">
      <alignment wrapText="1"/>
    </xf>
    <xf numFmtId="0" fontId="6" fillId="0" borderId="1" xfId="1" applyFont="1" applyBorder="1" applyAlignment="1">
      <alignment horizontal="center" wrapText="1"/>
    </xf>
    <xf numFmtId="0" fontId="6" fillId="0" borderId="0" xfId="1" applyFont="1" applyBorder="1"/>
    <xf numFmtId="0" fontId="6" fillId="0" borderId="0" xfId="1" applyFont="1" applyFill="1" applyAlignment="1">
      <alignment horizontal="center"/>
    </xf>
    <xf numFmtId="0" fontId="6" fillId="0" borderId="0" xfId="1" applyFont="1" applyFill="1"/>
    <xf numFmtId="37" fontId="6" fillId="0" borderId="0" xfId="1" applyNumberFormat="1" applyFont="1" applyBorder="1" applyAlignment="1">
      <alignment horizontal="center"/>
    </xf>
    <xf numFmtId="0" fontId="6" fillId="0" borderId="1" xfId="1" applyFont="1" applyFill="1" applyBorder="1" applyAlignment="1"/>
    <xf numFmtId="0" fontId="8" fillId="0" borderId="5" xfId="1" applyFont="1" applyBorder="1"/>
    <xf numFmtId="0" fontId="6" fillId="0" borderId="5" xfId="1" applyFont="1" applyFill="1" applyBorder="1"/>
    <xf numFmtId="0" fontId="8" fillId="0" borderId="0" xfId="1" applyFont="1" applyBorder="1"/>
    <xf numFmtId="0" fontId="8" fillId="0" borderId="0" xfId="1" applyFont="1" applyBorder="1" applyAlignment="1">
      <alignment horizontal="right"/>
    </xf>
    <xf numFmtId="0" fontId="6" fillId="0" borderId="0" xfId="1" applyFont="1" applyBorder="1" applyAlignment="1">
      <alignment horizontal="left"/>
    </xf>
    <xf numFmtId="0" fontId="8" fillId="0" borderId="0" xfId="1" applyFont="1" applyBorder="1" applyAlignment="1"/>
    <xf numFmtId="0" fontId="8" fillId="0" borderId="5" xfId="1" applyFont="1" applyBorder="1" applyAlignment="1">
      <alignment horizontal="center"/>
    </xf>
    <xf numFmtId="5" fontId="8" fillId="2" borderId="3" xfId="1" applyNumberFormat="1" applyFont="1" applyFill="1" applyBorder="1" applyAlignment="1">
      <alignment horizontal="center"/>
    </xf>
    <xf numFmtId="0" fontId="6" fillId="0" borderId="0" xfId="1" applyFont="1" applyBorder="1" applyAlignment="1">
      <alignment horizontal="left" vertical="center" indent="1"/>
    </xf>
    <xf numFmtId="0" fontId="6" fillId="0" borderId="0" xfId="1" applyFont="1" applyAlignment="1">
      <alignment horizontal="left" indent="1"/>
    </xf>
    <xf numFmtId="0" fontId="6" fillId="0" borderId="0" xfId="1" applyFont="1" applyBorder="1" applyAlignment="1">
      <alignment horizontal="left" vertical="center" indent="2"/>
    </xf>
    <xf numFmtId="0" fontId="6" fillId="0" borderId="0" xfId="1" applyFont="1" applyAlignment="1">
      <alignment horizontal="left" indent="2"/>
    </xf>
    <xf numFmtId="0" fontId="8" fillId="2" borderId="0" xfId="1" applyFont="1" applyFill="1" applyBorder="1" applyAlignment="1">
      <alignment horizontal="left"/>
    </xf>
    <xf numFmtId="0" fontId="6" fillId="2" borderId="0" xfId="1" applyFont="1" applyFill="1" applyBorder="1" applyAlignment="1">
      <alignment horizontal="left"/>
    </xf>
    <xf numFmtId="37" fontId="6" fillId="2" borderId="5" xfId="1" applyNumberFormat="1" applyFont="1" applyFill="1" applyBorder="1" applyAlignment="1">
      <alignment horizontal="center"/>
    </xf>
    <xf numFmtId="37" fontId="6" fillId="2" borderId="0" xfId="1" applyNumberFormat="1" applyFont="1" applyFill="1" applyBorder="1" applyAlignment="1">
      <alignment horizontal="center"/>
    </xf>
    <xf numFmtId="0" fontId="8" fillId="0" borderId="0" xfId="1" applyFont="1" applyFill="1" applyBorder="1"/>
    <xf numFmtId="0" fontId="8" fillId="0" borderId="1" xfId="1" applyFont="1" applyFill="1" applyBorder="1"/>
    <xf numFmtId="0" fontId="6" fillId="2" borderId="3" xfId="1" applyFont="1" applyFill="1" applyBorder="1"/>
    <xf numFmtId="37" fontId="8" fillId="2" borderId="3" xfId="1" applyNumberFormat="1" applyFont="1" applyFill="1" applyBorder="1" applyAlignment="1">
      <alignment horizontal="center"/>
    </xf>
    <xf numFmtId="9" fontId="12" fillId="0" borderId="0" xfId="1" applyNumberFormat="1" applyFont="1" applyBorder="1"/>
    <xf numFmtId="37" fontId="8" fillId="0" borderId="0" xfId="1" applyNumberFormat="1" applyFont="1" applyBorder="1" applyAlignment="1">
      <alignment horizontal="center"/>
    </xf>
    <xf numFmtId="166" fontId="8" fillId="0" borderId="0" xfId="1" applyNumberFormat="1" applyFont="1" applyBorder="1" applyAlignment="1">
      <alignment horizontal="center"/>
    </xf>
    <xf numFmtId="166" fontId="8" fillId="0" borderId="1" xfId="1" applyNumberFormat="1" applyFont="1" applyBorder="1" applyAlignment="1">
      <alignment horizontal="center"/>
    </xf>
    <xf numFmtId="0" fontId="8" fillId="0" borderId="0" xfId="1" applyFont="1"/>
    <xf numFmtId="5" fontId="6" fillId="0" borderId="1" xfId="1" applyNumberFormat="1" applyFont="1" applyFill="1" applyBorder="1"/>
    <xf numFmtId="7" fontId="6" fillId="0" borderId="1" xfId="1" applyNumberFormat="1" applyFont="1" applyFill="1" applyBorder="1"/>
    <xf numFmtId="0" fontId="6" fillId="0" borderId="5" xfId="1" applyFont="1" applyBorder="1" applyAlignment="1">
      <alignment horizontal="center"/>
    </xf>
    <xf numFmtId="0" fontId="6" fillId="0" borderId="5" xfId="1" applyFont="1" applyBorder="1" applyAlignment="1"/>
    <xf numFmtId="0" fontId="6" fillId="2" borderId="0" xfId="0" applyFont="1" applyFill="1" applyBorder="1"/>
    <xf numFmtId="0" fontId="3" fillId="2" borderId="0" xfId="0" applyFont="1" applyFill="1" applyBorder="1" applyAlignment="1">
      <alignment wrapText="1"/>
    </xf>
    <xf numFmtId="5" fontId="6" fillId="2" borderId="0" xfId="0" applyNumberFormat="1" applyFont="1" applyFill="1" applyBorder="1"/>
    <xf numFmtId="0" fontId="3" fillId="2" borderId="0" xfId="0" applyFont="1" applyFill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8" fillId="0" borderId="3" xfId="1" applyFont="1" applyBorder="1" applyAlignment="1">
      <alignment horizontal="left"/>
    </xf>
    <xf numFmtId="0" fontId="6" fillId="0" borderId="1" xfId="1" applyFont="1" applyBorder="1" applyAlignment="1"/>
    <xf numFmtId="0" fontId="6" fillId="0" borderId="1" xfId="1" applyFont="1" applyBorder="1" applyAlignment="1">
      <alignment horizontal="right"/>
    </xf>
    <xf numFmtId="0" fontId="6" fillId="0" borderId="0" xfId="1" applyFont="1" applyBorder="1" applyAlignment="1">
      <alignment horizontal="right" vertical="center"/>
    </xf>
    <xf numFmtId="0" fontId="6" fillId="0" borderId="0" xfId="1" applyFont="1" applyBorder="1" applyAlignment="1">
      <alignment horizontal="left" indent="2"/>
    </xf>
    <xf numFmtId="37" fontId="6" fillId="2" borderId="0" xfId="0" applyNumberFormat="1" applyFont="1" applyFill="1" applyBorder="1"/>
    <xf numFmtId="37" fontId="8" fillId="2" borderId="0" xfId="0" applyNumberFormat="1" applyFont="1" applyFill="1" applyBorder="1"/>
    <xf numFmtId="166" fontId="27" fillId="2" borderId="0" xfId="0" applyNumberFormat="1" applyFont="1" applyFill="1"/>
    <xf numFmtId="166" fontId="35" fillId="2" borderId="0" xfId="0" applyNumberFormat="1" applyFont="1" applyFill="1"/>
    <xf numFmtId="9" fontId="12" fillId="2" borderId="0" xfId="0" applyNumberFormat="1" applyFont="1" applyFill="1" applyBorder="1" applyAlignment="1">
      <alignment horizontal="center" wrapText="1"/>
    </xf>
    <xf numFmtId="166" fontId="9" fillId="2" borderId="0" xfId="0" applyNumberFormat="1" applyFont="1" applyFill="1"/>
    <xf numFmtId="37" fontId="9" fillId="0" borderId="0" xfId="0" applyNumberFormat="1" applyFont="1" applyBorder="1" applyAlignment="1">
      <alignment horizontal="center" vertical="center"/>
    </xf>
    <xf numFmtId="41" fontId="9" fillId="0" borderId="0" xfId="0" applyNumberFormat="1" applyFont="1" applyAlignment="1">
      <alignment vertical="center"/>
    </xf>
    <xf numFmtId="0" fontId="6" fillId="0" borderId="1" xfId="0" applyFont="1" applyBorder="1" applyAlignment="1">
      <alignment horizontal="center"/>
    </xf>
    <xf numFmtId="0" fontId="9" fillId="2" borderId="0" xfId="0" applyFont="1" applyFill="1" applyBorder="1"/>
    <xf numFmtId="10" fontId="9" fillId="2" borderId="0" xfId="0" applyNumberFormat="1" applyFont="1" applyFill="1" applyBorder="1"/>
    <xf numFmtId="37" fontId="6" fillId="0" borderId="3" xfId="0" applyNumberFormat="1" applyFont="1" applyBorder="1"/>
    <xf numFmtId="0" fontId="6" fillId="0" borderId="1" xfId="1" applyFont="1" applyBorder="1" applyAlignment="1">
      <alignment horizontal="left" indent="1"/>
    </xf>
    <xf numFmtId="0" fontId="30" fillId="0" borderId="0" xfId="1" applyFont="1" applyBorder="1" applyAlignment="1">
      <alignment horizontal="left" indent="2"/>
    </xf>
    <xf numFmtId="0" fontId="8" fillId="0" borderId="1" xfId="1" applyFont="1" applyBorder="1" applyAlignment="1">
      <alignment wrapText="1"/>
    </xf>
    <xf numFmtId="5" fontId="6" fillId="0" borderId="5" xfId="1" applyNumberFormat="1" applyFont="1" applyBorder="1" applyAlignment="1"/>
    <xf numFmtId="5" fontId="6" fillId="0" borderId="1" xfId="1" applyNumberFormat="1" applyFont="1" applyBorder="1" applyAlignment="1"/>
    <xf numFmtId="0" fontId="8" fillId="0" borderId="3" xfId="1" applyFont="1" applyBorder="1"/>
    <xf numFmtId="0" fontId="6" fillId="2" borderId="0" xfId="1" applyFont="1" applyFill="1" applyBorder="1"/>
    <xf numFmtId="37" fontId="8" fillId="2" borderId="0" xfId="1" applyNumberFormat="1" applyFont="1" applyFill="1" applyBorder="1" applyAlignment="1">
      <alignment horizontal="center"/>
    </xf>
    <xf numFmtId="0" fontId="8" fillId="0" borderId="1" xfId="1" applyFont="1" applyBorder="1" applyAlignment="1">
      <alignment horizontal="left"/>
    </xf>
    <xf numFmtId="0" fontId="9" fillId="2" borderId="0" xfId="1" applyFont="1" applyFill="1" applyBorder="1" applyAlignment="1">
      <alignment horizontal="left"/>
    </xf>
    <xf numFmtId="42" fontId="9" fillId="2" borderId="0" xfId="1" applyNumberFormat="1" applyFont="1" applyFill="1" applyBorder="1" applyAlignment="1">
      <alignment horizontal="center"/>
    </xf>
    <xf numFmtId="0" fontId="6" fillId="0" borderId="1" xfId="1" applyFont="1" applyBorder="1" applyAlignment="1">
      <alignment vertical="center"/>
    </xf>
    <xf numFmtId="3" fontId="6" fillId="0" borderId="0" xfId="1" applyNumberFormat="1" applyFont="1" applyBorder="1" applyAlignment="1">
      <alignment horizontal="right"/>
    </xf>
    <xf numFmtId="0" fontId="8" fillId="0" borderId="10" xfId="1" applyFont="1" applyBorder="1" applyAlignment="1">
      <alignment vertical="center"/>
    </xf>
    <xf numFmtId="0" fontId="6" fillId="0" borderId="10" xfId="1" applyFont="1" applyBorder="1" applyAlignment="1">
      <alignment vertical="center"/>
    </xf>
    <xf numFmtId="4" fontId="9" fillId="0" borderId="0" xfId="0" applyNumberFormat="1" applyFont="1"/>
    <xf numFmtId="0" fontId="39" fillId="2" borderId="0" xfId="0" applyFont="1" applyFill="1" applyBorder="1" applyAlignment="1">
      <alignment horizontal="center"/>
    </xf>
    <xf numFmtId="0" fontId="41" fillId="2" borderId="0" xfId="0" applyFont="1" applyFill="1" applyBorder="1" applyAlignment="1">
      <alignment horizontal="center"/>
    </xf>
    <xf numFmtId="0" fontId="40" fillId="2" borderId="14" xfId="0" applyFont="1" applyFill="1" applyBorder="1" applyAlignment="1">
      <alignment horizontal="left"/>
    </xf>
    <xf numFmtId="0" fontId="37" fillId="2" borderId="5" xfId="0" applyFont="1" applyFill="1" applyBorder="1" applyAlignment="1">
      <alignment horizontal="center"/>
    </xf>
    <xf numFmtId="0" fontId="37" fillId="2" borderId="1" xfId="0" applyFont="1" applyFill="1" applyBorder="1" applyAlignment="1">
      <alignment horizontal="center"/>
    </xf>
    <xf numFmtId="0" fontId="41" fillId="2" borderId="7" xfId="0" applyFont="1" applyFill="1" applyBorder="1" applyAlignment="1">
      <alignment horizontal="center"/>
    </xf>
    <xf numFmtId="0" fontId="42" fillId="2" borderId="14" xfId="0" applyFont="1" applyFill="1" applyBorder="1" applyAlignment="1">
      <alignment horizontal="left" indent="1"/>
    </xf>
    <xf numFmtId="0" fontId="42" fillId="2" borderId="14" xfId="0" applyFont="1" applyFill="1" applyBorder="1" applyAlignment="1">
      <alignment horizontal="left"/>
    </xf>
    <xf numFmtId="0" fontId="42" fillId="2" borderId="14" xfId="0" applyFont="1" applyFill="1" applyBorder="1" applyAlignment="1">
      <alignment horizontal="left" indent="2"/>
    </xf>
    <xf numFmtId="0" fontId="5" fillId="2" borderId="16" xfId="0" applyFont="1" applyFill="1" applyBorder="1" applyAlignment="1">
      <alignment horizontal="left" vertical="top"/>
    </xf>
    <xf numFmtId="0" fontId="5" fillId="2" borderId="18" xfId="0" applyFont="1" applyFill="1" applyBorder="1" applyAlignment="1">
      <alignment horizontal="left" vertical="top"/>
    </xf>
    <xf numFmtId="0" fontId="11" fillId="2" borderId="20" xfId="0" applyFont="1" applyFill="1" applyBorder="1" applyAlignment="1">
      <alignment horizontal="left" vertical="top"/>
    </xf>
    <xf numFmtId="0" fontId="22" fillId="2" borderId="0" xfId="0" applyFont="1" applyFill="1" applyBorder="1" applyAlignment="1">
      <alignment horizontal="center"/>
    </xf>
    <xf numFmtId="0" fontId="22" fillId="2" borderId="15" xfId="0" applyFont="1" applyFill="1" applyBorder="1" applyAlignment="1">
      <alignment horizontal="center"/>
    </xf>
    <xf numFmtId="3" fontId="6" fillId="2" borderId="0" xfId="0" applyNumberFormat="1" applyFont="1" applyFill="1"/>
    <xf numFmtId="0" fontId="36" fillId="2" borderId="0" xfId="0" applyFont="1" applyFill="1" applyBorder="1" applyAlignment="1">
      <alignment horizontal="left" vertical="top"/>
    </xf>
    <xf numFmtId="3" fontId="36" fillId="2" borderId="0" xfId="0" applyNumberFormat="1" applyFont="1" applyFill="1" applyBorder="1" applyAlignment="1">
      <alignment horizontal="center"/>
    </xf>
    <xf numFmtId="0" fontId="41" fillId="2" borderId="0" xfId="0" applyFont="1" applyFill="1" applyAlignment="1">
      <alignment horizontal="center"/>
    </xf>
    <xf numFmtId="172" fontId="41" fillId="2" borderId="0" xfId="0" applyNumberFormat="1" applyFont="1" applyFill="1" applyAlignment="1">
      <alignment horizontal="center"/>
    </xf>
    <xf numFmtId="3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38" fillId="2" borderId="0" xfId="2" applyFont="1" applyFill="1"/>
    <xf numFmtId="0" fontId="6" fillId="0" borderId="14" xfId="0" applyFont="1" applyBorder="1" applyAlignment="1">
      <alignment horizontal="left" vertical="center"/>
    </xf>
    <xf numFmtId="5" fontId="6" fillId="2" borderId="15" xfId="0" applyNumberFormat="1" applyFont="1" applyFill="1" applyBorder="1"/>
    <xf numFmtId="5" fontId="6" fillId="2" borderId="7" xfId="0" applyNumberFormat="1" applyFont="1" applyFill="1" applyBorder="1"/>
    <xf numFmtId="5" fontId="6" fillId="2" borderId="21" xfId="0" applyNumberFormat="1" applyFont="1" applyFill="1" applyBorder="1"/>
    <xf numFmtId="5" fontId="6" fillId="2" borderId="5" xfId="0" applyNumberFormat="1" applyFont="1" applyFill="1" applyBorder="1"/>
    <xf numFmtId="5" fontId="6" fillId="2" borderId="17" xfId="0" applyNumberFormat="1" applyFont="1" applyFill="1" applyBorder="1"/>
    <xf numFmtId="5" fontId="6" fillId="2" borderId="1" xfId="0" applyNumberFormat="1" applyFont="1" applyFill="1" applyBorder="1"/>
    <xf numFmtId="5" fontId="6" fillId="2" borderId="19" xfId="0" applyNumberFormat="1" applyFont="1" applyFill="1" applyBorder="1"/>
    <xf numFmtId="0" fontId="43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11" fillId="2" borderId="14" xfId="0" applyFont="1" applyFill="1" applyBorder="1"/>
    <xf numFmtId="0" fontId="11" fillId="2" borderId="0" xfId="0" applyFont="1" applyFill="1" applyBorder="1" applyAlignment="1">
      <alignment horizontal="center"/>
    </xf>
    <xf numFmtId="0" fontId="11" fillId="2" borderId="15" xfId="0" applyFont="1" applyFill="1" applyBorder="1"/>
    <xf numFmtId="0" fontId="4" fillId="2" borderId="0" xfId="0" applyFont="1" applyFill="1"/>
    <xf numFmtId="3" fontId="5" fillId="2" borderId="15" xfId="0" applyNumberFormat="1" applyFont="1" applyFill="1" applyBorder="1" applyAlignment="1">
      <alignment horizontal="right"/>
    </xf>
    <xf numFmtId="0" fontId="5" fillId="2" borderId="15" xfId="0" applyFont="1" applyFill="1" applyBorder="1" applyAlignment="1">
      <alignment horizontal="right"/>
    </xf>
    <xf numFmtId="0" fontId="29" fillId="0" borderId="0" xfId="0" applyFont="1" applyFill="1" applyBorder="1" applyAlignment="1">
      <alignment horizontal="left" indent="1"/>
    </xf>
    <xf numFmtId="166" fontId="6" fillId="2" borderId="0" xfId="0" applyNumberFormat="1" applyFont="1" applyFill="1"/>
    <xf numFmtId="166" fontId="6" fillId="0" borderId="0" xfId="0" applyNumberFormat="1" applyFont="1" applyAlignment="1">
      <alignment vertical="center"/>
    </xf>
    <xf numFmtId="174" fontId="46" fillId="0" borderId="0" xfId="0" applyNumberFormat="1" applyFont="1"/>
    <xf numFmtId="8" fontId="38" fillId="2" borderId="0" xfId="2" applyNumberFormat="1" applyFont="1" applyFill="1"/>
    <xf numFmtId="6" fontId="8" fillId="0" borderId="0" xfId="0" applyNumberFormat="1" applyFont="1"/>
    <xf numFmtId="9" fontId="12" fillId="0" borderId="0" xfId="0" applyNumberFormat="1" applyFont="1"/>
    <xf numFmtId="5" fontId="6" fillId="2" borderId="0" xfId="1" applyNumberFormat="1" applyFont="1" applyFill="1" applyBorder="1"/>
    <xf numFmtId="7" fontId="6" fillId="0" borderId="0" xfId="0" applyNumberFormat="1" applyFont="1"/>
    <xf numFmtId="0" fontId="20" fillId="0" borderId="0" xfId="0" applyFont="1" applyAlignment="1">
      <alignment horizontal="center"/>
    </xf>
    <xf numFmtId="0" fontId="5" fillId="2" borderId="0" xfId="0" applyFont="1" applyFill="1"/>
    <xf numFmtId="0" fontId="6" fillId="0" borderId="1" xfId="0" applyFont="1" applyBorder="1"/>
    <xf numFmtId="37" fontId="6" fillId="2" borderId="1" xfId="0" applyNumberFormat="1" applyFont="1" applyFill="1" applyBorder="1"/>
    <xf numFmtId="0" fontId="6" fillId="0" borderId="5" xfId="0" applyFont="1" applyBorder="1"/>
    <xf numFmtId="5" fontId="6" fillId="0" borderId="5" xfId="0" applyNumberFormat="1" applyFont="1" applyBorder="1"/>
    <xf numFmtId="14" fontId="9" fillId="2" borderId="0" xfId="0" applyNumberFormat="1" applyFont="1" applyFill="1" applyBorder="1"/>
    <xf numFmtId="37" fontId="8" fillId="2" borderId="1" xfId="0" applyNumberFormat="1" applyFont="1" applyFill="1" applyBorder="1"/>
    <xf numFmtId="0" fontId="8" fillId="0" borderId="0" xfId="0" applyFont="1" applyBorder="1"/>
    <xf numFmtId="0" fontId="8" fillId="2" borderId="0" xfId="1" applyFont="1" applyFill="1" applyBorder="1" applyAlignment="1">
      <alignment horizontal="center" vertical="center"/>
    </xf>
    <xf numFmtId="0" fontId="47" fillId="2" borderId="0" xfId="1" applyFont="1" applyFill="1"/>
    <xf numFmtId="0" fontId="12" fillId="2" borderId="0" xfId="1" applyFont="1" applyFill="1" applyBorder="1" applyAlignment="1">
      <alignment horizontal="center" vertical="center"/>
    </xf>
    <xf numFmtId="0" fontId="6" fillId="2" borderId="25" xfId="1" applyFont="1" applyFill="1" applyBorder="1" applyAlignment="1">
      <alignment horizontal="left" vertical="center"/>
    </xf>
    <xf numFmtId="14" fontId="6" fillId="2" borderId="0" xfId="1" applyNumberFormat="1" applyFont="1" applyFill="1" applyBorder="1" applyAlignment="1">
      <alignment horizontal="center" vertical="center"/>
    </xf>
    <xf numFmtId="14" fontId="6" fillId="2" borderId="27" xfId="1" applyNumberFormat="1" applyFont="1" applyFill="1" applyBorder="1" applyAlignment="1">
      <alignment horizontal="center" vertical="center"/>
    </xf>
    <xf numFmtId="14" fontId="10" fillId="2" borderId="0" xfId="1" applyNumberFormat="1" applyFont="1" applyFill="1" applyBorder="1" applyAlignment="1">
      <alignment horizontal="center" vertical="center"/>
    </xf>
    <xf numFmtId="0" fontId="8" fillId="2" borderId="25" xfId="1" applyFont="1" applyFill="1" applyBorder="1" applyAlignment="1">
      <alignment vertical="center"/>
    </xf>
    <xf numFmtId="0" fontId="8" fillId="2" borderId="0" xfId="1" applyFont="1" applyFill="1" applyBorder="1" applyAlignment="1">
      <alignment vertical="center"/>
    </xf>
    <xf numFmtId="0" fontId="47" fillId="2" borderId="0" xfId="1" applyFont="1" applyFill="1" applyBorder="1"/>
    <xf numFmtId="0" fontId="47" fillId="2" borderId="27" xfId="1" applyFont="1" applyFill="1" applyBorder="1"/>
    <xf numFmtId="0" fontId="6" fillId="2" borderId="0" xfId="1" applyFont="1" applyFill="1" applyBorder="1" applyAlignment="1">
      <alignment vertical="center"/>
    </xf>
    <xf numFmtId="0" fontId="6" fillId="2" borderId="30" xfId="1" applyFont="1" applyFill="1" applyBorder="1" applyAlignment="1">
      <alignment vertical="center"/>
    </xf>
    <xf numFmtId="0" fontId="6" fillId="2" borderId="5" xfId="1" applyFont="1" applyFill="1" applyBorder="1" applyAlignment="1">
      <alignment vertical="center"/>
    </xf>
    <xf numFmtId="5" fontId="6" fillId="2" borderId="5" xfId="1" applyNumberFormat="1" applyFont="1" applyFill="1" applyBorder="1" applyAlignment="1">
      <alignment vertical="center"/>
    </xf>
    <xf numFmtId="5" fontId="6" fillId="2" borderId="31" xfId="1" applyNumberFormat="1" applyFont="1" applyFill="1" applyBorder="1" applyAlignment="1">
      <alignment vertical="center"/>
    </xf>
    <xf numFmtId="0" fontId="6" fillId="2" borderId="25" xfId="1" applyFont="1" applyFill="1" applyBorder="1" applyAlignment="1">
      <alignment vertical="center"/>
    </xf>
    <xf numFmtId="5" fontId="6" fillId="2" borderId="0" xfId="1" applyNumberFormat="1" applyFont="1" applyFill="1" applyBorder="1" applyAlignment="1">
      <alignment vertical="center"/>
    </xf>
    <xf numFmtId="5" fontId="6" fillId="2" borderId="27" xfId="1" applyNumberFormat="1" applyFont="1" applyFill="1" applyBorder="1" applyAlignment="1">
      <alignment vertical="center"/>
    </xf>
    <xf numFmtId="166" fontId="6" fillId="2" borderId="5" xfId="1" applyNumberFormat="1" applyFont="1" applyFill="1" applyBorder="1" applyAlignment="1">
      <alignment vertical="center"/>
    </xf>
    <xf numFmtId="166" fontId="6" fillId="2" borderId="31" xfId="1" applyNumberFormat="1" applyFont="1" applyFill="1" applyBorder="1" applyAlignment="1">
      <alignment vertical="center"/>
    </xf>
    <xf numFmtId="0" fontId="6" fillId="2" borderId="26" xfId="1" applyFont="1" applyFill="1" applyBorder="1" applyAlignment="1">
      <alignment vertical="center"/>
    </xf>
    <xf numFmtId="0" fontId="6" fillId="2" borderId="1" xfId="1" applyFont="1" applyFill="1" applyBorder="1" applyAlignment="1">
      <alignment vertical="center"/>
    </xf>
    <xf numFmtId="14" fontId="6" fillId="2" borderId="1" xfId="1" applyNumberFormat="1" applyFont="1" applyFill="1" applyBorder="1" applyAlignment="1">
      <alignment horizontal="center" vertical="center"/>
    </xf>
    <xf numFmtId="14" fontId="6" fillId="2" borderId="28" xfId="1" applyNumberFormat="1" applyFont="1" applyFill="1" applyBorder="1" applyAlignment="1">
      <alignment horizontal="center" vertical="center"/>
    </xf>
    <xf numFmtId="166" fontId="6" fillId="2" borderId="1" xfId="1" applyNumberFormat="1" applyFont="1" applyFill="1" applyBorder="1" applyAlignment="1">
      <alignment vertical="center"/>
    </xf>
    <xf numFmtId="166" fontId="6" fillId="2" borderId="28" xfId="1" applyNumberFormat="1" applyFont="1" applyFill="1" applyBorder="1" applyAlignment="1">
      <alignment vertical="center"/>
    </xf>
    <xf numFmtId="37" fontId="8" fillId="2" borderId="0" xfId="1" applyNumberFormat="1" applyFont="1" applyFill="1" applyBorder="1" applyAlignment="1">
      <alignment horizontal="center" vertical="center"/>
    </xf>
    <xf numFmtId="37" fontId="6" fillId="2" borderId="0" xfId="1" applyNumberFormat="1" applyFont="1" applyFill="1" applyBorder="1" applyAlignment="1">
      <alignment horizontal="center" vertical="center"/>
    </xf>
    <xf numFmtId="0" fontId="6" fillId="2" borderId="27" xfId="1" applyFont="1" applyFill="1" applyBorder="1" applyAlignment="1">
      <alignment vertical="center"/>
    </xf>
    <xf numFmtId="166" fontId="6" fillId="2" borderId="0" xfId="1" applyNumberFormat="1" applyFont="1" applyFill="1" applyBorder="1" applyAlignment="1">
      <alignment vertical="center"/>
    </xf>
    <xf numFmtId="166" fontId="6" fillId="2" borderId="27" xfId="1" applyNumberFormat="1" applyFont="1" applyFill="1" applyBorder="1" applyAlignment="1">
      <alignment vertical="center"/>
    </xf>
    <xf numFmtId="0" fontId="8" fillId="2" borderId="25" xfId="1" applyFont="1" applyFill="1" applyBorder="1" applyAlignment="1">
      <alignment horizontal="left" vertical="center"/>
    </xf>
    <xf numFmtId="37" fontId="6" fillId="2" borderId="27" xfId="1" applyNumberFormat="1" applyFont="1" applyFill="1" applyBorder="1" applyAlignment="1">
      <alignment horizontal="center" vertical="center"/>
    </xf>
    <xf numFmtId="0" fontId="6" fillId="2" borderId="25" xfId="1" applyFont="1" applyFill="1" applyBorder="1" applyAlignment="1">
      <alignment horizontal="left" vertical="center" indent="1"/>
    </xf>
    <xf numFmtId="37" fontId="9" fillId="2" borderId="0" xfId="1" applyNumberFormat="1" applyFont="1" applyFill="1" applyBorder="1" applyAlignment="1">
      <alignment horizontal="center" vertical="center"/>
    </xf>
    <xf numFmtId="169" fontId="6" fillId="2" borderId="1" xfId="1" applyNumberFormat="1" applyFont="1" applyFill="1" applyBorder="1" applyAlignment="1">
      <alignment vertical="center"/>
    </xf>
    <xf numFmtId="169" fontId="6" fillId="2" borderId="28" xfId="1" applyNumberFormat="1" applyFont="1" applyFill="1" applyBorder="1" applyAlignment="1">
      <alignment vertical="center"/>
    </xf>
    <xf numFmtId="0" fontId="11" fillId="2" borderId="25" xfId="1" applyFont="1" applyFill="1" applyBorder="1"/>
    <xf numFmtId="0" fontId="5" fillId="2" borderId="0" xfId="1" applyFont="1" applyFill="1" applyBorder="1"/>
    <xf numFmtId="0" fontId="5" fillId="2" borderId="27" xfId="1" applyFont="1" applyFill="1" applyBorder="1"/>
    <xf numFmtId="0" fontId="6" fillId="2" borderId="4" xfId="1" applyFont="1" applyFill="1" applyBorder="1" applyAlignment="1">
      <alignment horizontal="left" vertical="center"/>
    </xf>
    <xf numFmtId="0" fontId="47" fillId="2" borderId="3" xfId="1" applyFont="1" applyFill="1" applyBorder="1"/>
    <xf numFmtId="37" fontId="8" fillId="2" borderId="3" xfId="1" applyNumberFormat="1" applyFont="1" applyFill="1" applyBorder="1" applyAlignment="1">
      <alignment horizontal="center" vertical="center"/>
    </xf>
    <xf numFmtId="37" fontId="6" fillId="2" borderId="3" xfId="1" applyNumberFormat="1" applyFont="1" applyFill="1" applyBorder="1" applyAlignment="1">
      <alignment horizontal="center" vertical="center"/>
    </xf>
    <xf numFmtId="37" fontId="6" fillId="2" borderId="29" xfId="1" applyNumberFormat="1" applyFont="1" applyFill="1" applyBorder="1" applyAlignment="1">
      <alignment horizontal="center" vertical="center"/>
    </xf>
    <xf numFmtId="0" fontId="5" fillId="2" borderId="25" xfId="1" applyFont="1" applyFill="1" applyBorder="1" applyAlignment="1">
      <alignment horizontal="left" indent="1"/>
    </xf>
    <xf numFmtId="10" fontId="5" fillId="2" borderId="0" xfId="1" applyNumberFormat="1" applyFont="1" applyFill="1" applyBorder="1"/>
    <xf numFmtId="10" fontId="5" fillId="2" borderId="27" xfId="1" applyNumberFormat="1" applyFont="1" applyFill="1" applyBorder="1"/>
    <xf numFmtId="5" fontId="5" fillId="2" borderId="0" xfId="1" applyNumberFormat="1" applyFont="1" applyFill="1" applyBorder="1"/>
    <xf numFmtId="5" fontId="5" fillId="2" borderId="27" xfId="1" applyNumberFormat="1" applyFont="1" applyFill="1" applyBorder="1"/>
    <xf numFmtId="9" fontId="5" fillId="2" borderId="0" xfId="1" applyNumberFormat="1" applyFont="1" applyFill="1" applyBorder="1"/>
    <xf numFmtId="9" fontId="5" fillId="2" borderId="27" xfId="1" applyNumberFormat="1" applyFont="1" applyFill="1" applyBorder="1"/>
    <xf numFmtId="0" fontId="6" fillId="2" borderId="0" xfId="1" applyFont="1" applyFill="1" applyAlignment="1">
      <alignment vertical="center"/>
    </xf>
    <xf numFmtId="5" fontId="6" fillId="2" borderId="0" xfId="1" applyNumberFormat="1" applyFont="1" applyFill="1" applyBorder="1" applyAlignment="1">
      <alignment horizontal="left" vertical="center" indent="1"/>
    </xf>
    <xf numFmtId="0" fontId="21" fillId="2" borderId="0" xfId="1" applyFont="1" applyFill="1" applyBorder="1" applyAlignment="1">
      <alignment horizontal="left" vertical="center" indent="1"/>
    </xf>
    <xf numFmtId="0" fontId="6" fillId="5" borderId="4" xfId="1" applyFont="1" applyFill="1" applyBorder="1" applyAlignment="1">
      <alignment horizontal="left" vertical="center"/>
    </xf>
    <xf numFmtId="0" fontId="48" fillId="5" borderId="3" xfId="1" applyFont="1" applyFill="1" applyBorder="1"/>
    <xf numFmtId="37" fontId="8" fillId="5" borderId="3" xfId="1" applyNumberFormat="1" applyFont="1" applyFill="1" applyBorder="1" applyAlignment="1">
      <alignment horizontal="center" vertical="center"/>
    </xf>
    <xf numFmtId="37" fontId="6" fillId="5" borderId="3" xfId="1" applyNumberFormat="1" applyFont="1" applyFill="1" applyBorder="1" applyAlignment="1">
      <alignment horizontal="center" vertical="center"/>
    </xf>
    <xf numFmtId="37" fontId="6" fillId="5" borderId="29" xfId="1" applyNumberFormat="1" applyFont="1" applyFill="1" applyBorder="1" applyAlignment="1">
      <alignment horizontal="center" vertical="center"/>
    </xf>
    <xf numFmtId="0" fontId="49" fillId="2" borderId="0" xfId="1" applyFont="1" applyFill="1"/>
    <xf numFmtId="5" fontId="11" fillId="2" borderId="0" xfId="1" applyNumberFormat="1" applyFont="1" applyFill="1" applyBorder="1"/>
    <xf numFmtId="5" fontId="11" fillId="2" borderId="27" xfId="1" applyNumberFormat="1" applyFont="1" applyFill="1" applyBorder="1"/>
    <xf numFmtId="0" fontId="11" fillId="2" borderId="26" xfId="1" applyFont="1" applyFill="1" applyBorder="1"/>
    <xf numFmtId="0" fontId="47" fillId="2" borderId="1" xfId="1" applyFont="1" applyFill="1" applyBorder="1"/>
    <xf numFmtId="5" fontId="11" fillId="2" borderId="1" xfId="1" applyNumberFormat="1" applyFont="1" applyFill="1" applyBorder="1"/>
    <xf numFmtId="5" fontId="11" fillId="2" borderId="28" xfId="1" applyNumberFormat="1" applyFont="1" applyFill="1" applyBorder="1"/>
    <xf numFmtId="0" fontId="21" fillId="2" borderId="25" xfId="1" applyFont="1" applyFill="1" applyBorder="1" applyAlignment="1">
      <alignment horizontal="left" vertical="center" indent="1"/>
    </xf>
    <xf numFmtId="5" fontId="6" fillId="2" borderId="0" xfId="1" applyNumberFormat="1" applyFont="1" applyFill="1" applyBorder="1" applyAlignment="1">
      <alignment horizontal="center" vertical="center"/>
    </xf>
    <xf numFmtId="9" fontId="9" fillId="2" borderId="0" xfId="1" applyNumberFormat="1" applyFont="1" applyFill="1" applyBorder="1" applyAlignment="1">
      <alignment horizontal="center" vertical="center"/>
    </xf>
    <xf numFmtId="9" fontId="9" fillId="2" borderId="27" xfId="1" applyNumberFormat="1" applyFont="1" applyFill="1" applyBorder="1" applyAlignment="1">
      <alignment horizontal="center" vertical="center"/>
    </xf>
    <xf numFmtId="5" fontId="9" fillId="2" borderId="0" xfId="1" applyNumberFormat="1" applyFont="1" applyFill="1" applyBorder="1" applyAlignment="1">
      <alignment horizontal="center" vertical="center"/>
    </xf>
    <xf numFmtId="5" fontId="9" fillId="2" borderId="27" xfId="1" applyNumberFormat="1" applyFont="1" applyFill="1" applyBorder="1" applyAlignment="1">
      <alignment horizontal="center" vertical="center"/>
    </xf>
    <xf numFmtId="0" fontId="21" fillId="2" borderId="0" xfId="1" applyFont="1" applyFill="1" applyBorder="1" applyAlignment="1">
      <alignment horizontal="center" vertical="center"/>
    </xf>
    <xf numFmtId="0" fontId="50" fillId="2" borderId="0" xfId="1" applyFont="1" applyFill="1" applyBorder="1" applyAlignment="1">
      <alignment horizontal="center" vertical="center"/>
    </xf>
    <xf numFmtId="0" fontId="50" fillId="2" borderId="27" xfId="1" applyFont="1" applyFill="1" applyBorder="1" applyAlignment="1">
      <alignment horizontal="center" vertical="center"/>
    </xf>
    <xf numFmtId="0" fontId="8" fillId="5" borderId="30" xfId="1" applyFont="1" applyFill="1" applyBorder="1" applyAlignment="1">
      <alignment horizontal="left" vertical="center"/>
    </xf>
    <xf numFmtId="0" fontId="47" fillId="2" borderId="5" xfId="1" applyFont="1" applyFill="1" applyBorder="1"/>
    <xf numFmtId="0" fontId="47" fillId="2" borderId="31" xfId="1" applyFont="1" applyFill="1" applyBorder="1"/>
    <xf numFmtId="0" fontId="6" fillId="5" borderId="25" xfId="1" applyFont="1" applyFill="1" applyBorder="1" applyAlignment="1">
      <alignment horizontal="left" vertical="center" indent="1"/>
    </xf>
    <xf numFmtId="5" fontId="5" fillId="2" borderId="0" xfId="1" applyNumberFormat="1" applyFont="1" applyFill="1" applyBorder="1" applyAlignment="1">
      <alignment horizontal="center"/>
    </xf>
    <xf numFmtId="9" fontId="5" fillId="2" borderId="0" xfId="1" applyNumberFormat="1" applyFont="1" applyFill="1" applyBorder="1" applyAlignment="1">
      <alignment horizontal="center"/>
    </xf>
    <xf numFmtId="9" fontId="5" fillId="2" borderId="27" xfId="1" applyNumberFormat="1" applyFont="1" applyFill="1" applyBorder="1" applyAlignment="1">
      <alignment horizontal="center"/>
    </xf>
    <xf numFmtId="0" fontId="49" fillId="2" borderId="0" xfId="1" applyFont="1" applyFill="1" applyBorder="1" applyAlignment="1">
      <alignment horizontal="center"/>
    </xf>
    <xf numFmtId="0" fontId="51" fillId="2" borderId="0" xfId="1" applyFont="1" applyFill="1" applyBorder="1" applyAlignment="1">
      <alignment horizontal="center"/>
    </xf>
    <xf numFmtId="0" fontId="51" fillId="2" borderId="27" xfId="1" applyFont="1" applyFill="1" applyBorder="1" applyAlignment="1">
      <alignment horizontal="center"/>
    </xf>
    <xf numFmtId="5" fontId="5" fillId="2" borderId="3" xfId="1" applyNumberFormat="1" applyFont="1" applyFill="1" applyBorder="1" applyAlignment="1">
      <alignment horizontal="center"/>
    </xf>
    <xf numFmtId="5" fontId="5" fillId="2" borderId="29" xfId="1" applyNumberFormat="1" applyFont="1" applyFill="1" applyBorder="1" applyAlignment="1">
      <alignment horizontal="center"/>
    </xf>
    <xf numFmtId="0" fontId="5" fillId="2" borderId="5" xfId="1" applyFont="1" applyFill="1" applyBorder="1"/>
    <xf numFmtId="0" fontId="5" fillId="2" borderId="31" xfId="1" applyFont="1" applyFill="1" applyBorder="1"/>
    <xf numFmtId="9" fontId="6" fillId="2" borderId="0" xfId="1" applyNumberFormat="1" applyFont="1" applyFill="1" applyBorder="1" applyAlignment="1">
      <alignment horizontal="center" vertical="center"/>
    </xf>
    <xf numFmtId="9" fontId="6" fillId="2" borderId="27" xfId="1" applyNumberFormat="1" applyFont="1" applyFill="1" applyBorder="1" applyAlignment="1">
      <alignment horizontal="center" vertical="center"/>
    </xf>
    <xf numFmtId="9" fontId="5" fillId="2" borderId="3" xfId="1" applyNumberFormat="1" applyFont="1" applyFill="1" applyBorder="1" applyAlignment="1">
      <alignment horizontal="center"/>
    </xf>
    <xf numFmtId="9" fontId="6" fillId="2" borderId="29" xfId="1" applyNumberFormat="1" applyFont="1" applyFill="1" applyBorder="1" applyAlignment="1">
      <alignment horizontal="center" vertical="center"/>
    </xf>
    <xf numFmtId="9" fontId="5" fillId="2" borderId="29" xfId="1" applyNumberFormat="1" applyFont="1" applyFill="1" applyBorder="1" applyAlignment="1">
      <alignment horizontal="center"/>
    </xf>
    <xf numFmtId="5" fontId="5" fillId="2" borderId="27" xfId="1" applyNumberFormat="1" applyFont="1" applyFill="1" applyBorder="1" applyAlignment="1">
      <alignment horizontal="center"/>
    </xf>
    <xf numFmtId="0" fontId="5" fillId="2" borderId="0" xfId="1" applyFont="1" applyFill="1" applyBorder="1" applyAlignment="1">
      <alignment horizontal="center"/>
    </xf>
    <xf numFmtId="0" fontId="5" fillId="2" borderId="27" xfId="1" applyFont="1" applyFill="1" applyBorder="1" applyAlignment="1">
      <alignment horizontal="center"/>
    </xf>
    <xf numFmtId="0" fontId="5" fillId="2" borderId="1" xfId="1" applyFont="1" applyFill="1" applyBorder="1" applyAlignment="1">
      <alignment horizontal="center"/>
    </xf>
    <xf numFmtId="5" fontId="5" fillId="2" borderId="1" xfId="1" applyNumberFormat="1" applyFont="1" applyFill="1" applyBorder="1" applyAlignment="1">
      <alignment horizontal="center"/>
    </xf>
    <xf numFmtId="5" fontId="5" fillId="2" borderId="28" xfId="1" applyNumberFormat="1" applyFont="1" applyFill="1" applyBorder="1" applyAlignment="1">
      <alignment horizontal="center"/>
    </xf>
    <xf numFmtId="0" fontId="6" fillId="2" borderId="26" xfId="1" applyFont="1" applyFill="1" applyBorder="1" applyAlignment="1">
      <alignment horizontal="left" vertical="center" indent="1"/>
    </xf>
    <xf numFmtId="0" fontId="8" fillId="5" borderId="25" xfId="1" applyFont="1" applyFill="1" applyBorder="1" applyAlignment="1">
      <alignment horizontal="left" vertical="center"/>
    </xf>
    <xf numFmtId="0" fontId="48" fillId="5" borderId="0" xfId="1" applyFont="1" applyFill="1"/>
    <xf numFmtId="37" fontId="8" fillId="5" borderId="0" xfId="1" applyNumberFormat="1" applyFont="1" applyFill="1" applyAlignment="1">
      <alignment horizontal="center" vertical="center"/>
    </xf>
    <xf numFmtId="0" fontId="48" fillId="5" borderId="27" xfId="1" applyFont="1" applyFill="1" applyBorder="1"/>
    <xf numFmtId="37" fontId="9" fillId="5" borderId="0" xfId="1" applyNumberFormat="1" applyFont="1" applyFill="1" applyAlignment="1">
      <alignment horizontal="center" vertical="center"/>
    </xf>
    <xf numFmtId="37" fontId="6" fillId="5" borderId="0" xfId="1" applyNumberFormat="1" applyFont="1" applyFill="1" applyAlignment="1">
      <alignment horizontal="center" vertical="center"/>
    </xf>
    <xf numFmtId="9" fontId="6" fillId="5" borderId="0" xfId="1" applyNumberFormat="1" applyFont="1" applyFill="1" applyAlignment="1">
      <alignment horizontal="center" vertical="center"/>
    </xf>
    <xf numFmtId="9" fontId="6" fillId="5" borderId="27" xfId="1" applyNumberFormat="1" applyFont="1" applyFill="1" applyBorder="1" applyAlignment="1">
      <alignment horizontal="center" vertical="center"/>
    </xf>
    <xf numFmtId="9" fontId="6" fillId="5" borderId="3" xfId="1" applyNumberFormat="1" applyFont="1" applyFill="1" applyBorder="1" applyAlignment="1">
      <alignment horizontal="center" vertical="center"/>
    </xf>
    <xf numFmtId="9" fontId="6" fillId="5" borderId="29" xfId="1" applyNumberFormat="1" applyFont="1" applyFill="1" applyBorder="1" applyAlignment="1">
      <alignment horizontal="center" vertical="center"/>
    </xf>
    <xf numFmtId="37" fontId="6" fillId="6" borderId="3" xfId="1" applyNumberFormat="1" applyFont="1" applyFill="1" applyBorder="1" applyAlignment="1">
      <alignment horizontal="center" vertical="center"/>
    </xf>
    <xf numFmtId="0" fontId="6" fillId="0" borderId="0" xfId="0" applyNumberFormat="1" applyFont="1"/>
    <xf numFmtId="0" fontId="54" fillId="0" borderId="0" xfId="0" applyFont="1"/>
    <xf numFmtId="0" fontId="54" fillId="2" borderId="0" xfId="0" applyFont="1" applyFill="1"/>
    <xf numFmtId="0" fontId="55" fillId="2" borderId="0" xfId="0" applyFont="1" applyFill="1" applyAlignment="1">
      <alignment horizontal="center"/>
    </xf>
    <xf numFmtId="0" fontId="57" fillId="4" borderId="0" xfId="0" applyFont="1" applyFill="1"/>
    <xf numFmtId="164" fontId="58" fillId="4" borderId="0" xfId="0" applyNumberFormat="1" applyFont="1" applyFill="1"/>
    <xf numFmtId="164" fontId="54" fillId="4" borderId="0" xfId="0" applyNumberFormat="1" applyFont="1" applyFill="1"/>
    <xf numFmtId="5" fontId="54" fillId="2" borderId="0" xfId="0" applyNumberFormat="1" applyFont="1" applyFill="1"/>
    <xf numFmtId="0" fontId="57" fillId="0" borderId="0" xfId="0" applyFont="1"/>
    <xf numFmtId="164" fontId="58" fillId="0" borderId="0" xfId="0" applyNumberFormat="1" applyFont="1"/>
    <xf numFmtId="164" fontId="54" fillId="2" borderId="0" xfId="0" applyNumberFormat="1" applyFont="1" applyFill="1"/>
    <xf numFmtId="164" fontId="54" fillId="0" borderId="0" xfId="0" applyNumberFormat="1" applyFont="1"/>
    <xf numFmtId="0" fontId="55" fillId="7" borderId="0" xfId="0" applyFont="1" applyFill="1" applyBorder="1"/>
    <xf numFmtId="0" fontId="56" fillId="7" borderId="0" xfId="0" applyFont="1" applyFill="1"/>
    <xf numFmtId="0" fontId="55" fillId="7" borderId="0" xfId="0" applyFont="1" applyFill="1" applyBorder="1" applyAlignment="1">
      <alignment horizontal="center"/>
    </xf>
    <xf numFmtId="0" fontId="55" fillId="7" borderId="0" xfId="0" applyFont="1" applyFill="1"/>
    <xf numFmtId="0" fontId="55" fillId="7" borderId="8" xfId="0" applyFont="1" applyFill="1" applyBorder="1"/>
    <xf numFmtId="164" fontId="55" fillId="7" borderId="8" xfId="0" applyNumberFormat="1" applyFont="1" applyFill="1" applyBorder="1"/>
    <xf numFmtId="164" fontId="56" fillId="7" borderId="8" xfId="0" applyNumberFormat="1" applyFont="1" applyFill="1" applyBorder="1"/>
    <xf numFmtId="168" fontId="5" fillId="2" borderId="0" xfId="1" applyNumberFormat="1" applyFont="1" applyFill="1" applyBorder="1"/>
    <xf numFmtId="0" fontId="29" fillId="2" borderId="0" xfId="1" applyFont="1" applyFill="1"/>
    <xf numFmtId="7" fontId="47" fillId="2" borderId="0" xfId="1" applyNumberFormat="1" applyFont="1" applyFill="1"/>
    <xf numFmtId="0" fontId="6" fillId="0" borderId="1" xfId="1" applyFont="1" applyBorder="1"/>
    <xf numFmtId="0" fontId="6" fillId="2" borderId="4" xfId="1" applyFont="1" applyFill="1" applyBorder="1" applyAlignment="1">
      <alignment horizontal="left" vertical="center" indent="1"/>
    </xf>
    <xf numFmtId="0" fontId="8" fillId="2" borderId="3" xfId="1" applyFont="1" applyFill="1" applyBorder="1" applyAlignment="1">
      <alignment horizontal="center" vertical="center"/>
    </xf>
    <xf numFmtId="5" fontId="6" fillId="2" borderId="3" xfId="1" applyNumberFormat="1" applyFont="1" applyFill="1" applyBorder="1" applyAlignment="1">
      <alignment horizontal="center" vertical="center"/>
    </xf>
    <xf numFmtId="5" fontId="9" fillId="2" borderId="3" xfId="1" applyNumberFormat="1" applyFont="1" applyFill="1" applyBorder="1" applyAlignment="1">
      <alignment horizontal="center" vertical="center"/>
    </xf>
    <xf numFmtId="5" fontId="9" fillId="2" borderId="29" xfId="1" applyNumberFormat="1" applyFont="1" applyFill="1" applyBorder="1" applyAlignment="1">
      <alignment horizontal="center" vertical="center"/>
    </xf>
    <xf numFmtId="164" fontId="5" fillId="2" borderId="0" xfId="1" applyNumberFormat="1" applyFont="1" applyFill="1" applyBorder="1" applyAlignment="1">
      <alignment horizontal="center"/>
    </xf>
    <xf numFmtId="164" fontId="5" fillId="2" borderId="3" xfId="1" applyNumberFormat="1" applyFont="1" applyFill="1" applyBorder="1" applyAlignment="1">
      <alignment horizontal="center"/>
    </xf>
    <xf numFmtId="164" fontId="6" fillId="6" borderId="0" xfId="1" applyNumberFormat="1" applyFont="1" applyFill="1" applyAlignment="1">
      <alignment horizontal="center" vertical="center"/>
    </xf>
    <xf numFmtId="164" fontId="6" fillId="6" borderId="3" xfId="1" applyNumberFormat="1" applyFont="1" applyFill="1" applyBorder="1" applyAlignment="1">
      <alignment horizontal="center" vertical="center"/>
    </xf>
    <xf numFmtId="164" fontId="48" fillId="6" borderId="0" xfId="1" applyNumberFormat="1" applyFont="1" applyFill="1"/>
    <xf numFmtId="0" fontId="29" fillId="2" borderId="0" xfId="0" applyFont="1" applyFill="1" applyBorder="1" applyAlignment="1">
      <alignment horizontal="left" indent="1"/>
    </xf>
    <xf numFmtId="8" fontId="6" fillId="2" borderId="0" xfId="1" applyNumberFormat="1" applyFont="1" applyFill="1" applyBorder="1"/>
    <xf numFmtId="0" fontId="6" fillId="2" borderId="0" xfId="1" applyFont="1" applyFill="1" applyBorder="1" applyAlignment="1">
      <alignment horizontal="center"/>
    </xf>
    <xf numFmtId="0" fontId="6" fillId="2" borderId="0" xfId="1" applyFont="1" applyFill="1" applyBorder="1" applyAlignment="1">
      <alignment wrapText="1"/>
    </xf>
    <xf numFmtId="0" fontId="61" fillId="0" borderId="0" xfId="0" applyFont="1"/>
    <xf numFmtId="0" fontId="62" fillId="0" borderId="0" xfId="0" applyFont="1" applyAlignment="1">
      <alignment horizontal="left"/>
    </xf>
    <xf numFmtId="0" fontId="63" fillId="8" borderId="0" xfId="0" applyFont="1" applyFill="1" applyAlignment="1">
      <alignment horizontal="left"/>
    </xf>
    <xf numFmtId="0" fontId="64" fillId="0" borderId="0" xfId="0" applyFont="1" applyAlignment="1">
      <alignment horizontal="left"/>
    </xf>
    <xf numFmtId="0" fontId="64" fillId="0" borderId="0" xfId="0" applyFont="1"/>
    <xf numFmtId="6" fontId="64" fillId="0" borderId="0" xfId="0" applyNumberFormat="1" applyFont="1" applyAlignment="1">
      <alignment horizontal="right" vertical="top"/>
    </xf>
    <xf numFmtId="0" fontId="64" fillId="0" borderId="34" xfId="0" applyFont="1" applyBorder="1"/>
    <xf numFmtId="6" fontId="64" fillId="0" borderId="34" xfId="0" applyNumberFormat="1" applyFont="1" applyBorder="1" applyAlignment="1">
      <alignment horizontal="right" vertical="top"/>
    </xf>
    <xf numFmtId="0" fontId="0" fillId="0" borderId="0" xfId="0" applyAlignment="1">
      <alignment vertical="center"/>
    </xf>
    <xf numFmtId="0" fontId="0" fillId="0" borderId="0" xfId="0" applyAlignment="1">
      <alignment horizontal="right"/>
    </xf>
    <xf numFmtId="176" fontId="62" fillId="0" borderId="0" xfId="6" applyNumberFormat="1" applyFont="1" applyFill="1" applyAlignment="1">
      <alignment horizontal="right"/>
    </xf>
    <xf numFmtId="6" fontId="64" fillId="0" borderId="0" xfId="0" applyNumberFormat="1" applyFont="1" applyAlignment="1">
      <alignment horizontal="right"/>
    </xf>
    <xf numFmtId="6" fontId="64" fillId="0" borderId="34" xfId="0" applyNumberFormat="1" applyFont="1" applyBorder="1" applyAlignment="1">
      <alignment horizontal="right"/>
    </xf>
    <xf numFmtId="0" fontId="0" fillId="0" borderId="0" xfId="0" applyAlignment="1">
      <alignment horizontal="right" vertical="center"/>
    </xf>
    <xf numFmtId="6" fontId="64" fillId="0" borderId="0" xfId="0" applyNumberFormat="1" applyFont="1" applyAlignment="1">
      <alignment horizontal="right" vertical="top" indent="1"/>
    </xf>
    <xf numFmtId="6" fontId="64" fillId="0" borderId="0" xfId="0" applyNumberFormat="1" applyFont="1" applyAlignment="1">
      <alignment horizontal="right" indent="1"/>
    </xf>
    <xf numFmtId="6" fontId="64" fillId="0" borderId="35" xfId="0" applyNumberFormat="1" applyFont="1" applyBorder="1" applyAlignment="1">
      <alignment horizontal="right" indent="1"/>
    </xf>
    <xf numFmtId="0" fontId="64" fillId="0" borderId="0" xfId="0" applyFont="1" applyAlignment="1">
      <alignment horizontal="right" indent="1"/>
    </xf>
    <xf numFmtId="0" fontId="0" fillId="0" borderId="0" xfId="0" applyAlignment="1">
      <alignment horizontal="right" indent="1"/>
    </xf>
    <xf numFmtId="176" fontId="62" fillId="0" borderId="0" xfId="6" applyNumberFormat="1" applyFont="1" applyFill="1" applyAlignment="1">
      <alignment horizontal="right" wrapText="1" indent="1"/>
    </xf>
    <xf numFmtId="0" fontId="62" fillId="0" borderId="0" xfId="0" applyFont="1" applyAlignment="1">
      <alignment horizontal="left" wrapText="1"/>
    </xf>
    <xf numFmtId="6" fontId="64" fillId="0" borderId="39" xfId="0" applyNumberFormat="1" applyFont="1" applyBorder="1" applyAlignment="1">
      <alignment horizontal="right" indent="1"/>
    </xf>
    <xf numFmtId="6" fontId="64" fillId="0" borderId="40" xfId="0" applyNumberFormat="1" applyFont="1" applyBorder="1" applyAlignment="1">
      <alignment horizontal="right"/>
    </xf>
    <xf numFmtId="0" fontId="65" fillId="0" borderId="0" xfId="0" applyFont="1"/>
    <xf numFmtId="0" fontId="66" fillId="0" borderId="0" xfId="0" applyFont="1"/>
    <xf numFmtId="175" fontId="62" fillId="0" borderId="0" xfId="5" applyNumberFormat="1" applyFont="1" applyFill="1" applyAlignment="1">
      <alignment horizontal="right"/>
    </xf>
    <xf numFmtId="3" fontId="64" fillId="0" borderId="34" xfId="0" applyNumberFormat="1" applyFont="1" applyBorder="1" applyAlignment="1">
      <alignment horizontal="right"/>
    </xf>
    <xf numFmtId="3" fontId="64" fillId="0" borderId="0" xfId="0" applyNumberFormat="1" applyFont="1" applyAlignment="1">
      <alignment horizontal="right"/>
    </xf>
    <xf numFmtId="0" fontId="64" fillId="0" borderId="34" xfId="0" applyFont="1" applyBorder="1" applyAlignment="1">
      <alignment horizontal="right"/>
    </xf>
    <xf numFmtId="3" fontId="64" fillId="0" borderId="0" xfId="0" applyNumberFormat="1" applyFont="1" applyAlignment="1">
      <alignment horizontal="right" vertical="top"/>
    </xf>
    <xf numFmtId="3" fontId="64" fillId="0" borderId="34" xfId="0" applyNumberFormat="1" applyFont="1" applyBorder="1" applyAlignment="1">
      <alignment horizontal="right" vertical="top"/>
    </xf>
    <xf numFmtId="4" fontId="64" fillId="0" borderId="0" xfId="0" applyNumberFormat="1" applyFont="1" applyAlignment="1">
      <alignment horizontal="right"/>
    </xf>
    <xf numFmtId="0" fontId="0" fillId="0" borderId="0" xfId="0" applyAlignment="1"/>
    <xf numFmtId="0" fontId="66" fillId="0" borderId="0" xfId="0" applyFont="1" applyAlignment="1">
      <alignment vertical="center"/>
    </xf>
    <xf numFmtId="0" fontId="0" fillId="0" borderId="0" xfId="0" applyAlignment="1">
      <alignment wrapText="1"/>
    </xf>
    <xf numFmtId="4" fontId="0" fillId="0" borderId="0" xfId="0" applyNumberFormat="1"/>
    <xf numFmtId="3" fontId="0" fillId="0" borderId="0" xfId="0" applyNumberFormat="1"/>
    <xf numFmtId="0" fontId="66" fillId="0" borderId="0" xfId="0" applyFont="1" applyBorder="1"/>
    <xf numFmtId="8" fontId="66" fillId="0" borderId="0" xfId="0" applyNumberFormat="1" applyFont="1" applyBorder="1"/>
    <xf numFmtId="6" fontId="0" fillId="0" borderId="0" xfId="0" applyNumberFormat="1"/>
    <xf numFmtId="0" fontId="65" fillId="0" borderId="44" xfId="0" applyFont="1" applyBorder="1" applyAlignment="1">
      <alignment wrapText="1"/>
    </xf>
    <xf numFmtId="0" fontId="3" fillId="9" borderId="0" xfId="0" applyFont="1" applyFill="1"/>
    <xf numFmtId="0" fontId="4" fillId="9" borderId="0" xfId="0" applyFont="1" applyFill="1"/>
    <xf numFmtId="0" fontId="3" fillId="9" borderId="0" xfId="0" applyFont="1" applyFill="1" applyAlignment="1">
      <alignment horizontal="center"/>
    </xf>
    <xf numFmtId="0" fontId="3" fillId="9" borderId="1" xfId="0" applyFont="1" applyFill="1" applyBorder="1"/>
    <xf numFmtId="0" fontId="8" fillId="10" borderId="5" xfId="1" applyFont="1" applyFill="1" applyBorder="1" applyAlignment="1">
      <alignment horizontal="center"/>
    </xf>
    <xf numFmtId="0" fontId="8" fillId="10" borderId="0" xfId="1" applyFont="1" applyFill="1" applyBorder="1" applyAlignment="1">
      <alignment horizontal="center"/>
    </xf>
    <xf numFmtId="0" fontId="6" fillId="10" borderId="0" xfId="1" applyFont="1" applyFill="1" applyBorder="1"/>
    <xf numFmtId="5" fontId="6" fillId="10" borderId="0" xfId="1" applyNumberFormat="1" applyFont="1" applyFill="1" applyBorder="1" applyAlignment="1">
      <alignment horizontal="center"/>
    </xf>
    <xf numFmtId="37" fontId="6" fillId="10" borderId="0" xfId="1" applyNumberFormat="1" applyFont="1" applyFill="1" applyBorder="1" applyAlignment="1">
      <alignment horizontal="center"/>
    </xf>
    <xf numFmtId="37" fontId="6" fillId="10" borderId="5" xfId="1" applyNumberFormat="1" applyFont="1" applyFill="1" applyBorder="1" applyAlignment="1">
      <alignment horizontal="center"/>
    </xf>
    <xf numFmtId="0" fontId="8" fillId="0" borderId="3" xfId="1" applyFont="1" applyFill="1" applyBorder="1" applyAlignment="1">
      <alignment horizontal="left"/>
    </xf>
    <xf numFmtId="0" fontId="6" fillId="0" borderId="3" xfId="1" applyFont="1" applyFill="1" applyBorder="1" applyAlignment="1">
      <alignment horizontal="center"/>
    </xf>
    <xf numFmtId="0" fontId="6" fillId="0" borderId="3" xfId="1" applyFont="1" applyFill="1" applyBorder="1"/>
    <xf numFmtId="0" fontId="8" fillId="0" borderId="0" xfId="1" applyFont="1" applyFill="1" applyBorder="1" applyAlignment="1">
      <alignment horizontal="left"/>
    </xf>
    <xf numFmtId="0" fontId="6" fillId="0" borderId="6" xfId="1" applyFont="1" applyFill="1" applyBorder="1"/>
    <xf numFmtId="0" fontId="6" fillId="0" borderId="2" xfId="1" applyFont="1" applyFill="1" applyBorder="1" applyAlignment="1"/>
    <xf numFmtId="0" fontId="8" fillId="11" borderId="5" xfId="1" applyFont="1" applyFill="1" applyBorder="1" applyAlignment="1">
      <alignment horizontal="left"/>
    </xf>
    <xf numFmtId="0" fontId="6" fillId="11" borderId="3" xfId="1" applyFont="1" applyFill="1" applyBorder="1"/>
    <xf numFmtId="37" fontId="8" fillId="11" borderId="3" xfId="1" applyNumberFormat="1" applyFont="1" applyFill="1" applyBorder="1" applyAlignment="1">
      <alignment horizontal="center"/>
    </xf>
    <xf numFmtId="0" fontId="8" fillId="11" borderId="3" xfId="1" applyFont="1" applyFill="1" applyBorder="1" applyAlignment="1">
      <alignment horizontal="left"/>
    </xf>
    <xf numFmtId="0" fontId="8" fillId="11" borderId="1" xfId="1" applyFont="1" applyFill="1" applyBorder="1" applyAlignment="1">
      <alignment horizontal="left"/>
    </xf>
    <xf numFmtId="0" fontId="8" fillId="11" borderId="3" xfId="1" applyFont="1" applyFill="1" applyBorder="1" applyAlignment="1"/>
    <xf numFmtId="0" fontId="6" fillId="11" borderId="3" xfId="1" applyFont="1" applyFill="1" applyBorder="1" applyAlignment="1"/>
    <xf numFmtId="0" fontId="8" fillId="12" borderId="5" xfId="1" applyFont="1" applyFill="1" applyBorder="1" applyAlignment="1">
      <alignment horizontal="center"/>
    </xf>
    <xf numFmtId="0" fontId="8" fillId="12" borderId="0" xfId="1" applyFont="1" applyFill="1" applyBorder="1" applyAlignment="1">
      <alignment horizontal="center"/>
    </xf>
    <xf numFmtId="5" fontId="6" fillId="12" borderId="0" xfId="1" applyNumberFormat="1" applyFont="1" applyFill="1" applyBorder="1" applyAlignment="1">
      <alignment horizontal="center"/>
    </xf>
    <xf numFmtId="37" fontId="6" fillId="12" borderId="0" xfId="1" applyNumberFormat="1" applyFont="1" applyFill="1" applyBorder="1" applyAlignment="1">
      <alignment horizontal="center"/>
    </xf>
    <xf numFmtId="37" fontId="6" fillId="12" borderId="5" xfId="1" applyNumberFormat="1" applyFont="1" applyFill="1" applyBorder="1" applyAlignment="1">
      <alignment horizontal="center"/>
    </xf>
    <xf numFmtId="0" fontId="8" fillId="13" borderId="5" xfId="1" applyFont="1" applyFill="1" applyBorder="1" applyAlignment="1">
      <alignment horizontal="center"/>
    </xf>
    <xf numFmtId="0" fontId="8" fillId="13" borderId="0" xfId="1" applyFont="1" applyFill="1" applyBorder="1" applyAlignment="1">
      <alignment horizontal="center"/>
    </xf>
    <xf numFmtId="0" fontId="6" fillId="13" borderId="0" xfId="1" applyFont="1" applyFill="1" applyBorder="1"/>
    <xf numFmtId="5" fontId="6" fillId="13" borderId="0" xfId="1" applyNumberFormat="1" applyFont="1" applyFill="1" applyBorder="1" applyAlignment="1">
      <alignment horizontal="center"/>
    </xf>
    <xf numFmtId="37" fontId="6" fillId="13" borderId="0" xfId="1" applyNumberFormat="1" applyFont="1" applyFill="1" applyBorder="1" applyAlignment="1">
      <alignment horizontal="center"/>
    </xf>
    <xf numFmtId="37" fontId="6" fillId="13" borderId="5" xfId="1" applyNumberFormat="1" applyFont="1" applyFill="1" applyBorder="1" applyAlignment="1">
      <alignment horizontal="center"/>
    </xf>
    <xf numFmtId="0" fontId="8" fillId="14" borderId="5" xfId="1" applyFont="1" applyFill="1" applyBorder="1" applyAlignment="1">
      <alignment horizontal="center"/>
    </xf>
    <xf numFmtId="0" fontId="8" fillId="14" borderId="0" xfId="1" applyFont="1" applyFill="1" applyBorder="1" applyAlignment="1">
      <alignment horizontal="center"/>
    </xf>
    <xf numFmtId="0" fontId="6" fillId="14" borderId="0" xfId="1" applyFont="1" applyFill="1" applyBorder="1"/>
    <xf numFmtId="5" fontId="6" fillId="14" borderId="0" xfId="1" applyNumberFormat="1" applyFont="1" applyFill="1" applyBorder="1" applyAlignment="1">
      <alignment horizontal="center"/>
    </xf>
    <xf numFmtId="37" fontId="6" fillId="14" borderId="0" xfId="1" applyNumberFormat="1" applyFont="1" applyFill="1" applyBorder="1" applyAlignment="1">
      <alignment horizontal="center"/>
    </xf>
    <xf numFmtId="37" fontId="6" fillId="14" borderId="5" xfId="1" applyNumberFormat="1" applyFont="1" applyFill="1" applyBorder="1" applyAlignment="1">
      <alignment horizontal="center"/>
    </xf>
    <xf numFmtId="0" fontId="6" fillId="11" borderId="5" xfId="0" applyFont="1" applyFill="1" applyBorder="1" applyAlignment="1">
      <alignment vertical="center"/>
    </xf>
    <xf numFmtId="166" fontId="6" fillId="11" borderId="5" xfId="0" applyNumberFormat="1" applyFont="1" applyFill="1" applyBorder="1" applyAlignment="1">
      <alignment vertical="center"/>
    </xf>
    <xf numFmtId="0" fontId="6" fillId="11" borderId="1" xfId="0" applyFont="1" applyFill="1" applyBorder="1" applyAlignment="1">
      <alignment vertical="center"/>
    </xf>
    <xf numFmtId="166" fontId="6" fillId="11" borderId="1" xfId="0" applyNumberFormat="1" applyFont="1" applyFill="1" applyBorder="1" applyAlignment="1">
      <alignment vertical="center"/>
    </xf>
    <xf numFmtId="5" fontId="6" fillId="11" borderId="5" xfId="0" applyNumberFormat="1" applyFont="1" applyFill="1" applyBorder="1" applyAlignment="1">
      <alignment vertical="center"/>
    </xf>
    <xf numFmtId="0" fontId="6" fillId="11" borderId="0" xfId="0" applyFont="1" applyFill="1" applyBorder="1" applyAlignment="1">
      <alignment vertical="center"/>
    </xf>
    <xf numFmtId="5" fontId="6" fillId="11" borderId="0" xfId="0" applyNumberFormat="1" applyFont="1" applyFill="1" applyBorder="1" applyAlignment="1">
      <alignment vertical="center"/>
    </xf>
    <xf numFmtId="166" fontId="6" fillId="11" borderId="0" xfId="0" applyNumberFormat="1" applyFont="1" applyFill="1" applyBorder="1" applyAlignment="1">
      <alignment vertical="center"/>
    </xf>
    <xf numFmtId="169" fontId="6" fillId="11" borderId="1" xfId="0" applyNumberFormat="1" applyFont="1" applyFill="1" applyBorder="1" applyAlignment="1">
      <alignment vertical="center"/>
    </xf>
    <xf numFmtId="0" fontId="3" fillId="9" borderId="30" xfId="1" applyFont="1" applyFill="1" applyBorder="1"/>
    <xf numFmtId="0" fontId="3" fillId="9" borderId="5" xfId="1" applyFont="1" applyFill="1" applyBorder="1"/>
    <xf numFmtId="0" fontId="3" fillId="9" borderId="25" xfId="1" applyFont="1" applyFill="1" applyBorder="1"/>
    <xf numFmtId="0" fontId="3" fillId="9" borderId="0" xfId="1" applyFont="1" applyFill="1" applyBorder="1"/>
    <xf numFmtId="0" fontId="3" fillId="9" borderId="0" xfId="1" applyFont="1" applyFill="1" applyBorder="1" applyAlignment="1">
      <alignment horizontal="center"/>
    </xf>
    <xf numFmtId="0" fontId="3" fillId="9" borderId="27" xfId="1" applyFont="1" applyFill="1" applyBorder="1" applyAlignment="1">
      <alignment horizontal="center"/>
    </xf>
    <xf numFmtId="0" fontId="3" fillId="9" borderId="0" xfId="1" applyFont="1" applyFill="1" applyBorder="1" applyAlignment="1">
      <alignment horizontal="center" vertical="center"/>
    </xf>
    <xf numFmtId="0" fontId="3" fillId="9" borderId="27" xfId="1" applyFont="1" applyFill="1" applyBorder="1" applyAlignment="1">
      <alignment horizontal="center" vertical="center"/>
    </xf>
    <xf numFmtId="0" fontId="3" fillId="9" borderId="5" xfId="1" applyFont="1" applyFill="1" applyBorder="1" applyAlignment="1"/>
    <xf numFmtId="0" fontId="3" fillId="9" borderId="26" xfId="1" applyFont="1" applyFill="1" applyBorder="1"/>
    <xf numFmtId="0" fontId="3" fillId="9" borderId="1" xfId="1" applyFont="1" applyFill="1" applyBorder="1"/>
    <xf numFmtId="0" fontId="3" fillId="9" borderId="1" xfId="1" applyFont="1" applyFill="1" applyBorder="1" applyAlignment="1">
      <alignment horizontal="center" vertical="center" wrapText="1"/>
    </xf>
    <xf numFmtId="0" fontId="3" fillId="9" borderId="1" xfId="1" applyFont="1" applyFill="1" applyBorder="1" applyAlignment="1">
      <alignment horizontal="center" vertical="center"/>
    </xf>
    <xf numFmtId="0" fontId="3" fillId="9" borderId="28" xfId="1" applyFont="1" applyFill="1" applyBorder="1" applyAlignment="1">
      <alignment horizontal="center" vertical="center"/>
    </xf>
    <xf numFmtId="0" fontId="52" fillId="15" borderId="30" xfId="1" applyFont="1" applyFill="1" applyBorder="1"/>
    <xf numFmtId="0" fontId="52" fillId="15" borderId="5" xfId="1" applyFont="1" applyFill="1" applyBorder="1"/>
    <xf numFmtId="0" fontId="52" fillId="15" borderId="25" xfId="1" applyFont="1" applyFill="1" applyBorder="1"/>
    <xf numFmtId="0" fontId="52" fillId="15" borderId="0" xfId="1" applyFont="1" applyFill="1" applyBorder="1"/>
    <xf numFmtId="0" fontId="52" fillId="15" borderId="0" xfId="1" applyFont="1" applyFill="1" applyBorder="1" applyAlignment="1">
      <alignment horizontal="center" vertical="center" wrapText="1"/>
    </xf>
    <xf numFmtId="0" fontId="52" fillId="15" borderId="0" xfId="1" applyFont="1" applyFill="1" applyBorder="1" applyAlignment="1">
      <alignment horizontal="center" vertical="center"/>
    </xf>
    <xf numFmtId="0" fontId="52" fillId="15" borderId="27" xfId="1" applyFont="1" applyFill="1" applyBorder="1" applyAlignment="1">
      <alignment horizontal="center" vertical="center"/>
    </xf>
    <xf numFmtId="0" fontId="52" fillId="15" borderId="5" xfId="1" applyFont="1" applyFill="1" applyBorder="1" applyAlignment="1"/>
    <xf numFmtId="0" fontId="52" fillId="15" borderId="32" xfId="1" applyFont="1" applyFill="1" applyBorder="1" applyAlignment="1"/>
    <xf numFmtId="0" fontId="52" fillId="15" borderId="0" xfId="1" applyFont="1" applyFill="1"/>
    <xf numFmtId="0" fontId="52" fillId="15" borderId="0" xfId="1" applyFont="1" applyFill="1" applyAlignment="1">
      <alignment horizontal="center" vertical="center" wrapText="1"/>
    </xf>
    <xf numFmtId="0" fontId="52" fillId="15" borderId="0" xfId="1" applyFont="1" applyFill="1" applyAlignment="1">
      <alignment horizontal="center" vertical="center"/>
    </xf>
    <xf numFmtId="0" fontId="3" fillId="9" borderId="1" xfId="1" applyFont="1" applyFill="1" applyBorder="1" applyAlignment="1">
      <alignment horizontal="center"/>
    </xf>
    <xf numFmtId="0" fontId="3" fillId="9" borderId="28" xfId="1" applyFont="1" applyFill="1" applyBorder="1" applyAlignment="1">
      <alignment horizontal="center"/>
    </xf>
    <xf numFmtId="0" fontId="3" fillId="9" borderId="0" xfId="0" applyFont="1" applyFill="1" applyBorder="1"/>
    <xf numFmtId="0" fontId="4" fillId="9" borderId="0" xfId="0" applyFont="1" applyFill="1" applyBorder="1"/>
    <xf numFmtId="0" fontId="3" fillId="9" borderId="0" xfId="0" applyFont="1" applyFill="1" applyBorder="1" applyAlignment="1">
      <alignment horizontal="center"/>
    </xf>
    <xf numFmtId="0" fontId="14" fillId="9" borderId="0" xfId="0" applyFont="1" applyFill="1" applyBorder="1" applyAlignment="1">
      <alignment horizontal="center"/>
    </xf>
    <xf numFmtId="0" fontId="30" fillId="0" borderId="0" xfId="0" applyFont="1"/>
    <xf numFmtId="0" fontId="4" fillId="9" borderId="0" xfId="0" applyFont="1" applyFill="1" applyBorder="1" applyAlignment="1">
      <alignment horizontal="center"/>
    </xf>
    <xf numFmtId="0" fontId="3" fillId="9" borderId="0" xfId="0" applyFont="1" applyFill="1" applyAlignment="1">
      <alignment horizontal="right"/>
    </xf>
    <xf numFmtId="0" fontId="11" fillId="11" borderId="5" xfId="0" applyFont="1" applyFill="1" applyBorder="1"/>
    <xf numFmtId="164" fontId="6" fillId="11" borderId="5" xfId="0" applyNumberFormat="1" applyFont="1" applyFill="1" applyBorder="1"/>
    <xf numFmtId="0" fontId="11" fillId="11" borderId="0" xfId="0" applyFont="1" applyFill="1" applyBorder="1"/>
    <xf numFmtId="164" fontId="6" fillId="11" borderId="0" xfId="0" applyNumberFormat="1" applyFont="1" applyFill="1" applyBorder="1"/>
    <xf numFmtId="5" fontId="6" fillId="11" borderId="0" xfId="0" applyNumberFormat="1" applyFont="1" applyFill="1" applyBorder="1"/>
    <xf numFmtId="0" fontId="6" fillId="11" borderId="0" xfId="0" applyFont="1" applyFill="1" applyBorder="1"/>
    <xf numFmtId="0" fontId="11" fillId="11" borderId="1" xfId="0" applyFont="1" applyFill="1" applyBorder="1"/>
    <xf numFmtId="5" fontId="6" fillId="11" borderId="1" xfId="0" applyNumberFormat="1" applyFont="1" applyFill="1" applyBorder="1"/>
    <xf numFmtId="0" fontId="6" fillId="11" borderId="1" xfId="0" applyFont="1" applyFill="1" applyBorder="1"/>
    <xf numFmtId="0" fontId="3" fillId="9" borderId="0" xfId="0" applyFont="1" applyFill="1" applyAlignment="1">
      <alignment horizontal="center" wrapText="1"/>
    </xf>
    <xf numFmtId="0" fontId="11" fillId="11" borderId="3" xfId="0" applyFont="1" applyFill="1" applyBorder="1"/>
    <xf numFmtId="0" fontId="8" fillId="11" borderId="3" xfId="0" applyFont="1" applyFill="1" applyBorder="1"/>
    <xf numFmtId="37" fontId="8" fillId="11" borderId="3" xfId="0" applyNumberFormat="1" applyFont="1" applyFill="1" applyBorder="1"/>
    <xf numFmtId="0" fontId="8" fillId="11" borderId="3" xfId="0" applyFont="1" applyFill="1" applyBorder="1" applyAlignment="1">
      <alignment horizontal="right"/>
    </xf>
    <xf numFmtId="5" fontId="8" fillId="11" borderId="3" xfId="0" applyNumberFormat="1" applyFont="1" applyFill="1" applyBorder="1"/>
    <xf numFmtId="41" fontId="9" fillId="11" borderId="3" xfId="0" applyNumberFormat="1" applyFont="1" applyFill="1" applyBorder="1"/>
    <xf numFmtId="0" fontId="6" fillId="0" borderId="0" xfId="0" applyFont="1" applyFill="1"/>
    <xf numFmtId="0" fontId="3" fillId="9" borderId="0" xfId="0" applyFont="1" applyFill="1" applyBorder="1" applyAlignment="1">
      <alignment wrapText="1"/>
    </xf>
    <xf numFmtId="0" fontId="3" fillId="9" borderId="11" xfId="0" applyFont="1" applyFill="1" applyBorder="1" applyAlignment="1">
      <alignment wrapText="1"/>
    </xf>
    <xf numFmtId="0" fontId="3" fillId="9" borderId="12" xfId="0" applyFont="1" applyFill="1" applyBorder="1" applyAlignment="1">
      <alignment wrapText="1"/>
    </xf>
    <xf numFmtId="0" fontId="3" fillId="9" borderId="13" xfId="0" applyFont="1" applyFill="1" applyBorder="1" applyAlignment="1">
      <alignment wrapText="1"/>
    </xf>
    <xf numFmtId="0" fontId="6" fillId="11" borderId="8" xfId="0" applyFont="1" applyFill="1" applyBorder="1"/>
    <xf numFmtId="5" fontId="8" fillId="11" borderId="8" xfId="0" applyNumberFormat="1" applyFont="1" applyFill="1" applyBorder="1"/>
    <xf numFmtId="5" fontId="6" fillId="11" borderId="8" xfId="0" applyNumberFormat="1" applyFont="1" applyFill="1" applyBorder="1"/>
    <xf numFmtId="9" fontId="6" fillId="11" borderId="8" xfId="0" applyNumberFormat="1" applyFont="1" applyFill="1" applyBorder="1"/>
    <xf numFmtId="0" fontId="42" fillId="2" borderId="46" xfId="0" applyFont="1" applyFill="1" applyBorder="1" applyAlignment="1">
      <alignment horizontal="left"/>
    </xf>
    <xf numFmtId="0" fontId="5" fillId="2" borderId="47" xfId="0" applyFont="1" applyFill="1" applyBorder="1" applyAlignment="1">
      <alignment horizontal="right"/>
    </xf>
    <xf numFmtId="5" fontId="6" fillId="0" borderId="0" xfId="1" applyNumberFormat="1" applyFont="1" applyBorder="1" applyAlignment="1">
      <alignment horizontal="center"/>
    </xf>
    <xf numFmtId="0" fontId="6" fillId="0" borderId="0" xfId="1" applyFont="1" applyBorder="1" applyAlignment="1">
      <alignment horizontal="center"/>
    </xf>
    <xf numFmtId="171" fontId="6" fillId="0" borderId="0" xfId="1" applyNumberFormat="1" applyFont="1" applyFill="1" applyBorder="1" applyAlignment="1">
      <alignment horizontal="center"/>
    </xf>
    <xf numFmtId="0" fontId="6" fillId="0" borderId="0" xfId="1" applyFont="1" applyFill="1" applyBorder="1" applyAlignment="1">
      <alignment horizontal="center"/>
    </xf>
    <xf numFmtId="5" fontId="6" fillId="0" borderId="0" xfId="1" applyNumberFormat="1" applyFont="1" applyBorder="1" applyAlignment="1"/>
    <xf numFmtId="0" fontId="6" fillId="0" borderId="0" xfId="1" applyFont="1" applyBorder="1" applyAlignment="1"/>
    <xf numFmtId="0" fontId="6" fillId="0" borderId="0" xfId="1" applyFont="1" applyFill="1" applyBorder="1" applyAlignment="1"/>
    <xf numFmtId="5" fontId="6" fillId="0" borderId="0" xfId="1" applyNumberFormat="1" applyFont="1" applyBorder="1" applyAlignment="1">
      <alignment horizontal="right"/>
    </xf>
    <xf numFmtId="0" fontId="6" fillId="0" borderId="0" xfId="1" applyFont="1" applyBorder="1" applyAlignment="1">
      <alignment horizontal="right"/>
    </xf>
    <xf numFmtId="0" fontId="6" fillId="0" borderId="3" xfId="1" applyFont="1" applyFill="1" applyBorder="1" applyAlignment="1"/>
    <xf numFmtId="0" fontId="6" fillId="0" borderId="0" xfId="1" applyFont="1" applyBorder="1" applyAlignment="1">
      <alignment horizontal="left" indent="1"/>
    </xf>
    <xf numFmtId="0" fontId="8" fillId="2" borderId="3" xfId="1" applyFont="1" applyFill="1" applyBorder="1" applyAlignment="1">
      <alignment horizontal="left"/>
    </xf>
    <xf numFmtId="0" fontId="6" fillId="0" borderId="0" xfId="1" applyFont="1" applyAlignment="1">
      <alignment horizontal="center"/>
    </xf>
    <xf numFmtId="0" fontId="8" fillId="0" borderId="1" xfId="1" applyFont="1" applyBorder="1" applyAlignment="1">
      <alignment horizontal="center"/>
    </xf>
    <xf numFmtId="0" fontId="8" fillId="0" borderId="1" xfId="1" applyFont="1" applyBorder="1" applyAlignment="1">
      <alignment horizontal="center" wrapText="1"/>
    </xf>
    <xf numFmtId="0" fontId="8" fillId="0" borderId="7" xfId="0" applyFont="1" applyBorder="1" applyAlignment="1">
      <alignment horizontal="center" vertical="center"/>
    </xf>
    <xf numFmtId="0" fontId="3" fillId="9" borderId="0" xfId="1" applyFont="1" applyFill="1" applyBorder="1" applyAlignment="1">
      <alignment horizontal="center" vertical="center" wrapText="1"/>
    </xf>
    <xf numFmtId="0" fontId="3" fillId="9" borderId="5" xfId="1" applyFont="1" applyFill="1" applyBorder="1" applyAlignment="1">
      <alignment horizontal="center"/>
    </xf>
    <xf numFmtId="0" fontId="3" fillId="9" borderId="31" xfId="1" applyFont="1" applyFill="1" applyBorder="1" applyAlignment="1">
      <alignment horizontal="center"/>
    </xf>
    <xf numFmtId="0" fontId="52" fillId="15" borderId="5" xfId="1" applyFont="1" applyFill="1" applyBorder="1" applyAlignment="1">
      <alignment horizontal="center"/>
    </xf>
    <xf numFmtId="0" fontId="55" fillId="7" borderId="0" xfId="0" applyFont="1" applyFill="1" applyAlignment="1">
      <alignment horizontal="center"/>
    </xf>
    <xf numFmtId="0" fontId="3" fillId="9" borderId="0" xfId="0" applyFont="1" applyFill="1" applyBorder="1" applyAlignment="1">
      <alignment horizontal="center" wrapText="1"/>
    </xf>
    <xf numFmtId="0" fontId="6" fillId="12" borderId="0" xfId="0" applyFont="1" applyFill="1" applyAlignment="1">
      <alignment horizontal="right"/>
    </xf>
    <xf numFmtId="37" fontId="6" fillId="12" borderId="0" xfId="0" applyNumberFormat="1" applyFont="1" applyFill="1"/>
    <xf numFmtId="5" fontId="6" fillId="12" borderId="0" xfId="0" applyNumberFormat="1" applyFont="1" applyFill="1"/>
    <xf numFmtId="37" fontId="8" fillId="12" borderId="0" xfId="0" applyNumberFormat="1" applyFont="1" applyFill="1"/>
    <xf numFmtId="0" fontId="6" fillId="14" borderId="0" xfId="0" applyFont="1" applyFill="1" applyAlignment="1">
      <alignment horizontal="right"/>
    </xf>
    <xf numFmtId="0" fontId="5" fillId="14" borderId="0" xfId="0" applyFont="1" applyFill="1" applyBorder="1" applyAlignment="1">
      <alignment horizontal="left" vertical="center"/>
    </xf>
    <xf numFmtId="0" fontId="5" fillId="12" borderId="0" xfId="0" applyFont="1" applyFill="1" applyBorder="1" applyAlignment="1">
      <alignment horizontal="left" vertical="center"/>
    </xf>
    <xf numFmtId="37" fontId="6" fillId="14" borderId="0" xfId="0" applyNumberFormat="1" applyFont="1" applyFill="1"/>
    <xf numFmtId="5" fontId="6" fillId="14" borderId="0" xfId="0" applyNumberFormat="1" applyFont="1" applyFill="1"/>
    <xf numFmtId="37" fontId="8" fillId="14" borderId="0" xfId="0" applyNumberFormat="1" applyFont="1" applyFill="1"/>
    <xf numFmtId="0" fontId="6" fillId="14" borderId="0" xfId="0" applyFont="1" applyFill="1" applyBorder="1" applyAlignment="1">
      <alignment horizontal="left" vertical="center"/>
    </xf>
    <xf numFmtId="0" fontId="5" fillId="13" borderId="0" xfId="0" applyFont="1" applyFill="1" applyBorder="1" applyAlignment="1">
      <alignment horizontal="left" vertical="center"/>
    </xf>
    <xf numFmtId="0" fontId="6" fillId="13" borderId="0" xfId="0" applyFont="1" applyFill="1" applyAlignment="1">
      <alignment horizontal="right"/>
    </xf>
    <xf numFmtId="37" fontId="6" fillId="13" borderId="0" xfId="0" applyNumberFormat="1" applyFont="1" applyFill="1"/>
    <xf numFmtId="5" fontId="6" fillId="13" borderId="0" xfId="0" applyNumberFormat="1" applyFont="1" applyFill="1"/>
    <xf numFmtId="37" fontId="8" fillId="13" borderId="0" xfId="0" applyNumberFormat="1" applyFont="1" applyFill="1"/>
    <xf numFmtId="0" fontId="3" fillId="9" borderId="0" xfId="0" applyFont="1" applyFill="1" applyBorder="1" applyAlignment="1">
      <alignment horizontal="center" wrapText="1"/>
    </xf>
    <xf numFmtId="0" fontId="67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0" xfId="0" applyBorder="1"/>
    <xf numFmtId="0" fontId="2" fillId="0" borderId="11" xfId="0" applyFont="1" applyBorder="1" applyAlignment="1">
      <alignment vertical="center"/>
    </xf>
    <xf numFmtId="0" fontId="0" fillId="0" borderId="13" xfId="0" applyBorder="1"/>
    <xf numFmtId="0" fontId="0" fillId="0" borderId="14" xfId="0" applyBorder="1" applyAlignment="1">
      <alignment horizontal="center" vertical="center"/>
    </xf>
    <xf numFmtId="6" fontId="0" fillId="0" borderId="15" xfId="0" applyNumberFormat="1" applyBorder="1"/>
    <xf numFmtId="0" fontId="2" fillId="0" borderId="14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66" fillId="0" borderId="0" xfId="0" applyFont="1" applyBorder="1" applyAlignment="1">
      <alignment vertical="center"/>
    </xf>
    <xf numFmtId="6" fontId="64" fillId="0" borderId="0" xfId="0" applyNumberFormat="1" applyFont="1" applyBorder="1" applyAlignment="1">
      <alignment horizontal="right" indent="1"/>
    </xf>
    <xf numFmtId="3" fontId="64" fillId="0" borderId="0" xfId="0" applyNumberFormat="1" applyFont="1" applyBorder="1" applyAlignment="1">
      <alignment horizontal="right"/>
    </xf>
    <xf numFmtId="3" fontId="64" fillId="0" borderId="0" xfId="0" applyNumberFormat="1" applyFont="1" applyBorder="1" applyAlignment="1">
      <alignment horizontal="right" vertical="top"/>
    </xf>
    <xf numFmtId="6" fontId="64" fillId="0" borderId="0" xfId="0" applyNumberFormat="1" applyFont="1" applyBorder="1" applyAlignment="1">
      <alignment horizontal="right"/>
    </xf>
    <xf numFmtId="6" fontId="64" fillId="0" borderId="0" xfId="0" applyNumberFormat="1" applyFont="1" applyBorder="1" applyAlignment="1">
      <alignment horizontal="right" vertical="top"/>
    </xf>
    <xf numFmtId="6" fontId="64" fillId="0" borderId="35" xfId="0" applyNumberFormat="1" applyFont="1" applyBorder="1" applyAlignment="1">
      <alignment horizontal="right" vertical="top" indent="1"/>
    </xf>
    <xf numFmtId="0" fontId="64" fillId="0" borderId="0" xfId="0" applyFont="1" applyBorder="1"/>
    <xf numFmtId="6" fontId="0" fillId="0" borderId="0" xfId="0" applyNumberFormat="1" applyBorder="1" applyAlignment="1">
      <alignment horizontal="right" vertical="center"/>
    </xf>
    <xf numFmtId="3" fontId="64" fillId="0" borderId="48" xfId="0" applyNumberFormat="1" applyFont="1" applyBorder="1" applyAlignment="1">
      <alignment horizontal="right" vertical="top"/>
    </xf>
    <xf numFmtId="6" fontId="64" fillId="0" borderId="48" xfId="0" applyNumberFormat="1" applyFont="1" applyBorder="1" applyAlignment="1">
      <alignment horizontal="right"/>
    </xf>
    <xf numFmtId="0" fontId="70" fillId="0" borderId="0" xfId="0" applyFont="1"/>
    <xf numFmtId="0" fontId="70" fillId="0" borderId="0" xfId="0" applyFont="1" applyAlignment="1">
      <alignment vertical="center"/>
    </xf>
    <xf numFmtId="0" fontId="2" fillId="0" borderId="43" xfId="0" applyFont="1" applyBorder="1" applyAlignment="1">
      <alignment horizontal="center"/>
    </xf>
    <xf numFmtId="0" fontId="62" fillId="0" borderId="0" xfId="0" applyFont="1" applyAlignment="1">
      <alignment horizontal="left" vertical="center"/>
    </xf>
    <xf numFmtId="0" fontId="64" fillId="0" borderId="0" xfId="0" applyFont="1" applyAlignment="1">
      <alignment horizontal="left" vertical="center"/>
    </xf>
    <xf numFmtId="3" fontId="64" fillId="0" borderId="0" xfId="0" applyNumberFormat="1" applyFont="1" applyBorder="1" applyAlignment="1">
      <alignment horizontal="right" vertical="center"/>
    </xf>
    <xf numFmtId="6" fontId="64" fillId="0" borderId="0" xfId="0" applyNumberFormat="1" applyFont="1" applyBorder="1" applyAlignment="1">
      <alignment horizontal="right" vertical="center"/>
    </xf>
    <xf numFmtId="6" fontId="64" fillId="0" borderId="0" xfId="0" applyNumberFormat="1" applyFont="1" applyAlignment="1">
      <alignment horizontal="right" vertical="center"/>
    </xf>
    <xf numFmtId="0" fontId="64" fillId="0" borderId="0" xfId="0" applyFont="1" applyAlignment="1">
      <alignment vertical="center"/>
    </xf>
    <xf numFmtId="6" fontId="2" fillId="0" borderId="15" xfId="0" applyNumberFormat="1" applyFont="1" applyBorder="1"/>
    <xf numFmtId="3" fontId="64" fillId="0" borderId="40" xfId="0" applyNumberFormat="1" applyFont="1" applyBorder="1" applyAlignment="1">
      <alignment horizontal="right"/>
    </xf>
    <xf numFmtId="0" fontId="68" fillId="0" borderId="0" xfId="0" applyFont="1" applyBorder="1" applyAlignment="1">
      <alignment horizontal="left"/>
    </xf>
    <xf numFmtId="0" fontId="69" fillId="0" borderId="0" xfId="0" applyFont="1" applyBorder="1" applyAlignment="1">
      <alignment horizontal="left"/>
    </xf>
    <xf numFmtId="3" fontId="69" fillId="0" borderId="0" xfId="0" applyNumberFormat="1" applyFont="1" applyBorder="1" applyAlignment="1">
      <alignment horizontal="right" vertical="top"/>
    </xf>
    <xf numFmtId="6" fontId="69" fillId="0" borderId="0" xfId="0" applyNumberFormat="1" applyFont="1" applyBorder="1" applyAlignment="1">
      <alignment horizontal="right"/>
    </xf>
    <xf numFmtId="6" fontId="69" fillId="0" borderId="0" xfId="0" applyNumberFormat="1" applyFont="1" applyBorder="1" applyAlignment="1">
      <alignment horizontal="right" indent="1"/>
    </xf>
    <xf numFmtId="0" fontId="69" fillId="0" borderId="0" xfId="0" applyFont="1" applyBorder="1"/>
    <xf numFmtId="6" fontId="64" fillId="0" borderId="49" xfId="0" applyNumberFormat="1" applyFont="1" applyBorder="1" applyAlignment="1">
      <alignment horizontal="right"/>
    </xf>
    <xf numFmtId="0" fontId="25" fillId="9" borderId="0" xfId="0" applyFont="1" applyFill="1" applyBorder="1" applyAlignment="1">
      <alignment horizontal="center" wrapText="1"/>
    </xf>
    <xf numFmtId="0" fontId="6" fillId="9" borderId="0" xfId="0" applyFont="1" applyFill="1"/>
    <xf numFmtId="6" fontId="0" fillId="0" borderId="21" xfId="0" applyNumberFormat="1" applyBorder="1"/>
    <xf numFmtId="6" fontId="0" fillId="0" borderId="43" xfId="0" applyNumberFormat="1" applyBorder="1" applyAlignment="1">
      <alignment horizontal="center"/>
    </xf>
    <xf numFmtId="0" fontId="6" fillId="14" borderId="0" xfId="1" applyFont="1" applyFill="1" applyBorder="1" applyAlignment="1">
      <alignment horizontal="center"/>
    </xf>
    <xf numFmtId="0" fontId="6" fillId="12" borderId="0" xfId="1" applyFont="1" applyFill="1" applyBorder="1" applyAlignment="1">
      <alignment horizontal="center"/>
    </xf>
    <xf numFmtId="0" fontId="6" fillId="13" borderId="0" xfId="1" applyFont="1" applyFill="1" applyBorder="1" applyAlignment="1">
      <alignment horizontal="center"/>
    </xf>
    <xf numFmtId="14" fontId="3" fillId="9" borderId="0" xfId="0" applyNumberFormat="1" applyFont="1" applyFill="1" applyAlignment="1">
      <alignment horizontal="center"/>
    </xf>
    <xf numFmtId="37" fontId="6" fillId="0" borderId="0" xfId="0" applyNumberFormat="1" applyFont="1" applyFill="1"/>
    <xf numFmtId="9" fontId="12" fillId="16" borderId="0" xfId="0" applyNumberFormat="1" applyFont="1" applyFill="1" applyBorder="1" applyAlignment="1">
      <alignment horizontal="center" wrapText="1"/>
    </xf>
    <xf numFmtId="0" fontId="6" fillId="0" borderId="0" xfId="0" quotePrefix="1" applyFont="1"/>
    <xf numFmtId="37" fontId="5" fillId="0" borderId="0" xfId="0" applyNumberFormat="1" applyFont="1" applyFill="1" applyBorder="1"/>
    <xf numFmtId="0" fontId="6" fillId="0" borderId="25" xfId="1" applyFont="1" applyFill="1" applyBorder="1" applyAlignment="1">
      <alignment horizontal="left" vertical="center" indent="1"/>
    </xf>
    <xf numFmtId="0" fontId="8" fillId="0" borderId="0" xfId="0" applyFont="1" applyFill="1"/>
    <xf numFmtId="0" fontId="3" fillId="9" borderId="0" xfId="0" applyFont="1" applyFill="1" applyBorder="1" applyAlignment="1">
      <alignment horizontal="center" wrapText="1"/>
    </xf>
    <xf numFmtId="0" fontId="52" fillId="15" borderId="0" xfId="0" applyFont="1" applyFill="1"/>
    <xf numFmtId="0" fontId="73" fillId="15" borderId="0" xfId="0" applyFont="1" applyFill="1"/>
    <xf numFmtId="14" fontId="52" fillId="15" borderId="0" xfId="0" applyNumberFormat="1" applyFont="1" applyFill="1" applyAlignment="1">
      <alignment horizontal="center"/>
    </xf>
    <xf numFmtId="0" fontId="9" fillId="0" borderId="0" xfId="0" applyFont="1" applyAlignment="1">
      <alignment horizontal="center"/>
    </xf>
    <xf numFmtId="0" fontId="74" fillId="5" borderId="0" xfId="0" applyFont="1" applyFill="1"/>
    <xf numFmtId="0" fontId="75" fillId="5" borderId="0" xfId="0" applyFont="1" applyFill="1"/>
    <xf numFmtId="14" fontId="74" fillId="5" borderId="0" xfId="0" applyNumberFormat="1" applyFont="1" applyFill="1" applyAlignment="1">
      <alignment horizontal="center"/>
    </xf>
    <xf numFmtId="0" fontId="42" fillId="0" borderId="0" xfId="0" applyFont="1"/>
    <xf numFmtId="37" fontId="6" fillId="5" borderId="0" xfId="0" applyNumberFormat="1" applyFont="1" applyFill="1"/>
    <xf numFmtId="0" fontId="6" fillId="5" borderId="8" xfId="0" applyFont="1" applyFill="1" applyBorder="1"/>
    <xf numFmtId="5" fontId="6" fillId="5" borderId="8" xfId="0" applyNumberFormat="1" applyFont="1" applyFill="1" applyBorder="1"/>
    <xf numFmtId="0" fontId="65" fillId="0" borderId="0" xfId="0" applyFont="1" applyAlignment="1"/>
    <xf numFmtId="178" fontId="0" fillId="0" borderId="0" xfId="7" applyNumberFormat="1" applyFont="1" applyAlignment="1"/>
    <xf numFmtId="179" fontId="0" fillId="0" borderId="0" xfId="0" applyNumberFormat="1"/>
    <xf numFmtId="0" fontId="6" fillId="0" borderId="0" xfId="1" applyFont="1" applyBorder="1" applyAlignment="1"/>
    <xf numFmtId="0" fontId="6" fillId="0" borderId="0" xfId="1" applyFont="1" applyFill="1" applyBorder="1" applyAlignment="1"/>
    <xf numFmtId="0" fontId="3" fillId="9" borderId="0" xfId="0" applyFont="1" applyFill="1" applyBorder="1" applyAlignment="1">
      <alignment horizontal="center" wrapText="1"/>
    </xf>
    <xf numFmtId="0" fontId="6" fillId="5" borderId="26" xfId="1" applyFont="1" applyFill="1" applyBorder="1" applyAlignment="1">
      <alignment horizontal="left" vertical="center"/>
    </xf>
    <xf numFmtId="0" fontId="48" fillId="5" borderId="1" xfId="1" applyFont="1" applyFill="1" applyBorder="1"/>
    <xf numFmtId="37" fontId="8" fillId="5" borderId="1" xfId="1" applyNumberFormat="1" applyFont="1" applyFill="1" applyBorder="1" applyAlignment="1">
      <alignment horizontal="center" vertical="center"/>
    </xf>
    <xf numFmtId="37" fontId="6" fillId="5" borderId="1" xfId="1" applyNumberFormat="1" applyFont="1" applyFill="1" applyBorder="1" applyAlignment="1">
      <alignment horizontal="center" vertical="center"/>
    </xf>
    <xf numFmtId="37" fontId="6" fillId="5" borderId="28" xfId="1" applyNumberFormat="1" applyFont="1" applyFill="1" applyBorder="1" applyAlignment="1">
      <alignment horizontal="center" vertical="center"/>
    </xf>
    <xf numFmtId="0" fontId="6" fillId="0" borderId="26" xfId="1" applyFont="1" applyFill="1" applyBorder="1" applyAlignment="1">
      <alignment horizontal="left" vertical="center" indent="1"/>
    </xf>
    <xf numFmtId="37" fontId="9" fillId="2" borderId="1" xfId="1" applyNumberFormat="1" applyFont="1" applyFill="1" applyBorder="1" applyAlignment="1">
      <alignment horizontal="center" vertical="center"/>
    </xf>
    <xf numFmtId="37" fontId="8" fillId="2" borderId="1" xfId="1" applyNumberFormat="1" applyFont="1" applyFill="1" applyBorder="1" applyAlignment="1">
      <alignment horizontal="center" vertical="center"/>
    </xf>
    <xf numFmtId="37" fontId="6" fillId="2" borderId="1" xfId="1" applyNumberFormat="1" applyFont="1" applyFill="1" applyBorder="1" applyAlignment="1">
      <alignment horizontal="center" vertical="center"/>
    </xf>
    <xf numFmtId="37" fontId="6" fillId="2" borderId="28" xfId="1" applyNumberFormat="1" applyFont="1" applyFill="1" applyBorder="1" applyAlignment="1">
      <alignment horizontal="center" vertical="center"/>
    </xf>
    <xf numFmtId="5" fontId="5" fillId="0" borderId="8" xfId="0" applyNumberFormat="1" applyFont="1" applyFill="1" applyBorder="1"/>
    <xf numFmtId="5" fontId="6" fillId="5" borderId="0" xfId="0" applyNumberFormat="1" applyFont="1" applyFill="1" applyBorder="1"/>
    <xf numFmtId="0" fontId="8" fillId="17" borderId="3" xfId="0" applyFont="1" applyFill="1" applyBorder="1"/>
    <xf numFmtId="5" fontId="8" fillId="17" borderId="3" xfId="0" applyNumberFormat="1" applyFont="1" applyFill="1" applyBorder="1"/>
    <xf numFmtId="180" fontId="8" fillId="17" borderId="3" xfId="0" applyNumberFormat="1" applyFont="1" applyFill="1" applyBorder="1"/>
    <xf numFmtId="0" fontId="17" fillId="17" borderId="0" xfId="0" applyFont="1" applyFill="1"/>
    <xf numFmtId="0" fontId="8" fillId="17" borderId="0" xfId="0" applyFont="1" applyFill="1"/>
    <xf numFmtId="9" fontId="8" fillId="17" borderId="0" xfId="0" applyNumberFormat="1" applyFont="1" applyFill="1"/>
    <xf numFmtId="9" fontId="8" fillId="17" borderId="0" xfId="7" applyFont="1" applyFill="1"/>
    <xf numFmtId="5" fontId="8" fillId="17" borderId="0" xfId="0" applyNumberFormat="1" applyFont="1" applyFill="1"/>
    <xf numFmtId="0" fontId="8" fillId="17" borderId="8" xfId="0" applyFont="1" applyFill="1" applyBorder="1"/>
    <xf numFmtId="5" fontId="8" fillId="17" borderId="8" xfId="0" applyNumberFormat="1" applyFont="1" applyFill="1" applyBorder="1"/>
    <xf numFmtId="0" fontId="8" fillId="11" borderId="8" xfId="0" applyFont="1" applyFill="1" applyBorder="1"/>
    <xf numFmtId="0" fontId="17" fillId="11" borderId="0" xfId="0" applyFont="1" applyFill="1" applyBorder="1"/>
    <xf numFmtId="0" fontId="8" fillId="11" borderId="0" xfId="0" applyFont="1" applyFill="1" applyBorder="1"/>
    <xf numFmtId="9" fontId="8" fillId="11" borderId="0" xfId="0" applyNumberFormat="1" applyFont="1" applyFill="1" applyBorder="1"/>
    <xf numFmtId="9" fontId="17" fillId="11" borderId="0" xfId="0" applyNumberFormat="1" applyFont="1" applyFill="1" applyBorder="1"/>
    <xf numFmtId="5" fontId="8" fillId="11" borderId="0" xfId="0" applyNumberFormat="1" applyFont="1" applyFill="1" applyBorder="1"/>
    <xf numFmtId="0" fontId="5" fillId="0" borderId="0" xfId="0" applyFont="1" applyFill="1"/>
    <xf numFmtId="0" fontId="25" fillId="9" borderId="0" xfId="0" applyFont="1" applyFill="1"/>
    <xf numFmtId="0" fontId="26" fillId="9" borderId="0" xfId="0" applyFont="1" applyFill="1"/>
    <xf numFmtId="0" fontId="25" fillId="9" borderId="0" xfId="0" applyFont="1" applyFill="1" applyAlignment="1">
      <alignment horizontal="center"/>
    </xf>
    <xf numFmtId="172" fontId="8" fillId="11" borderId="0" xfId="0" applyNumberFormat="1" applyFont="1" applyFill="1" applyBorder="1"/>
    <xf numFmtId="172" fontId="6" fillId="2" borderId="8" xfId="0" applyNumberFormat="1" applyFont="1" applyFill="1" applyBorder="1"/>
    <xf numFmtId="37" fontId="6" fillId="5" borderId="0" xfId="0" applyNumberFormat="1" applyFont="1" applyFill="1" applyAlignment="1">
      <alignment horizontal="right"/>
    </xf>
    <xf numFmtId="179" fontId="2" fillId="0" borderId="0" xfId="0" applyNumberFormat="1" applyFont="1"/>
    <xf numFmtId="179" fontId="65" fillId="0" borderId="0" xfId="0" applyNumberFormat="1" applyFont="1"/>
    <xf numFmtId="179" fontId="0" fillId="0" borderId="1" xfId="0" applyNumberFormat="1" applyBorder="1"/>
    <xf numFmtId="5" fontId="8" fillId="2" borderId="0" xfId="0" applyNumberFormat="1" applyFont="1" applyFill="1" applyBorder="1"/>
    <xf numFmtId="5" fontId="8" fillId="5" borderId="0" xfId="0" applyNumberFormat="1" applyFont="1" applyFill="1" applyBorder="1"/>
    <xf numFmtId="5" fontId="6" fillId="2" borderId="8" xfId="0" applyNumberFormat="1" applyFont="1" applyFill="1" applyBorder="1" applyAlignment="1">
      <alignment horizontal="right"/>
    </xf>
    <xf numFmtId="0" fontId="8" fillId="11" borderId="5" xfId="0" applyFont="1" applyFill="1" applyBorder="1"/>
    <xf numFmtId="166" fontId="8" fillId="11" borderId="5" xfId="0" applyNumberFormat="1" applyFont="1" applyFill="1" applyBorder="1"/>
    <xf numFmtId="0" fontId="8" fillId="11" borderId="1" xfId="0" applyFont="1" applyFill="1" applyBorder="1"/>
    <xf numFmtId="169" fontId="8" fillId="11" borderId="1" xfId="0" applyNumberFormat="1" applyFont="1" applyFill="1" applyBorder="1"/>
    <xf numFmtId="5" fontId="2" fillId="11" borderId="8" xfId="0" applyNumberFormat="1" applyFont="1" applyFill="1" applyBorder="1"/>
    <xf numFmtId="166" fontId="8" fillId="11" borderId="3" xfId="0" applyNumberFormat="1" applyFont="1" applyFill="1" applyBorder="1"/>
    <xf numFmtId="166" fontId="8" fillId="11" borderId="1" xfId="0" applyNumberFormat="1" applyFont="1" applyFill="1" applyBorder="1"/>
    <xf numFmtId="0" fontId="8" fillId="0" borderId="8" xfId="0" applyFont="1" applyFill="1" applyBorder="1"/>
    <xf numFmtId="5" fontId="8" fillId="0" borderId="8" xfId="0" applyNumberFormat="1" applyFont="1" applyFill="1" applyBorder="1"/>
    <xf numFmtId="37" fontId="5" fillId="0" borderId="0" xfId="0" applyNumberFormat="1" applyFont="1"/>
    <xf numFmtId="181" fontId="5" fillId="0" borderId="0" xfId="0" applyNumberFormat="1" applyFont="1"/>
    <xf numFmtId="37" fontId="5" fillId="5" borderId="0" xfId="0" applyNumberFormat="1" applyFont="1" applyFill="1"/>
    <xf numFmtId="0" fontId="5" fillId="5" borderId="8" xfId="0" applyFont="1" applyFill="1" applyBorder="1"/>
    <xf numFmtId="5" fontId="5" fillId="5" borderId="8" xfId="0" applyNumberFormat="1" applyFont="1" applyFill="1" applyBorder="1"/>
    <xf numFmtId="5" fontId="5" fillId="5" borderId="8" xfId="0" applyNumberFormat="1" applyFont="1" applyFill="1" applyBorder="1" applyAlignment="1">
      <alignment horizontal="center"/>
    </xf>
    <xf numFmtId="0" fontId="11" fillId="17" borderId="8" xfId="0" applyFont="1" applyFill="1" applyBorder="1"/>
    <xf numFmtId="5" fontId="11" fillId="17" borderId="8" xfId="0" applyNumberFormat="1" applyFont="1" applyFill="1" applyBorder="1"/>
    <xf numFmtId="0" fontId="76" fillId="17" borderId="0" xfId="0" applyFont="1" applyFill="1"/>
    <xf numFmtId="0" fontId="11" fillId="17" borderId="0" xfId="0" applyFont="1" applyFill="1"/>
    <xf numFmtId="9" fontId="11" fillId="17" borderId="0" xfId="0" applyNumberFormat="1" applyFont="1" applyFill="1"/>
    <xf numFmtId="9" fontId="76" fillId="17" borderId="0" xfId="0" applyNumberFormat="1" applyFont="1" applyFill="1"/>
    <xf numFmtId="5" fontId="11" fillId="17" borderId="0" xfId="0" applyNumberFormat="1" applyFont="1" applyFill="1"/>
    <xf numFmtId="5" fontId="11" fillId="17" borderId="0" xfId="0" applyNumberFormat="1" applyFont="1" applyFill="1" applyAlignment="1">
      <alignment horizontal="center"/>
    </xf>
    <xf numFmtId="9" fontId="5" fillId="0" borderId="0" xfId="0" applyNumberFormat="1" applyFont="1"/>
    <xf numFmtId="5" fontId="11" fillId="17" borderId="8" xfId="0" applyNumberFormat="1" applyFont="1" applyFill="1" applyBorder="1" applyAlignment="1">
      <alignment horizontal="center"/>
    </xf>
    <xf numFmtId="0" fontId="11" fillId="5" borderId="0" xfId="0" applyFont="1" applyFill="1"/>
    <xf numFmtId="0" fontId="5" fillId="5" borderId="0" xfId="0" applyFont="1" applyFill="1"/>
    <xf numFmtId="14" fontId="11" fillId="5" borderId="0" xfId="0" applyNumberFormat="1" applyFont="1" applyFill="1" applyAlignment="1">
      <alignment horizontal="center"/>
    </xf>
    <xf numFmtId="37" fontId="5" fillId="0" borderId="0" xfId="0" applyNumberFormat="1" applyFont="1" applyFill="1"/>
    <xf numFmtId="0" fontId="18" fillId="0" borderId="0" xfId="0" applyFont="1" applyFill="1"/>
    <xf numFmtId="37" fontId="5" fillId="2" borderId="0" xfId="0" applyNumberFormat="1" applyFont="1" applyFill="1"/>
    <xf numFmtId="0" fontId="5" fillId="2" borderId="8" xfId="0" applyFont="1" applyFill="1" applyBorder="1"/>
    <xf numFmtId="5" fontId="5" fillId="2" borderId="8" xfId="0" applyNumberFormat="1" applyFont="1" applyFill="1" applyBorder="1"/>
    <xf numFmtId="5" fontId="8" fillId="0" borderId="0" xfId="0" applyNumberFormat="1" applyFont="1" applyFill="1"/>
    <xf numFmtId="5" fontId="8" fillId="11" borderId="0" xfId="0" applyNumberFormat="1" applyFont="1" applyFill="1" applyBorder="1" applyAlignment="1">
      <alignment horizontal="center"/>
    </xf>
    <xf numFmtId="9" fontId="76" fillId="11" borderId="0" xfId="0" applyNumberFormat="1" applyFont="1" applyFill="1" applyBorder="1"/>
    <xf numFmtId="172" fontId="6" fillId="0" borderId="0" xfId="0" applyNumberFormat="1" applyFont="1"/>
    <xf numFmtId="37" fontId="77" fillId="0" borderId="0" xfId="0" applyNumberFormat="1" applyFont="1" applyFill="1"/>
    <xf numFmtId="172" fontId="6" fillId="2" borderId="0" xfId="0" applyNumberFormat="1" applyFont="1" applyFill="1"/>
    <xf numFmtId="0" fontId="5" fillId="2" borderId="25" xfId="1" applyFont="1" applyFill="1" applyBorder="1" applyAlignment="1">
      <alignment horizontal="left" vertical="center" indent="1"/>
    </xf>
    <xf numFmtId="0" fontId="11" fillId="0" borderId="7" xfId="0" applyFont="1" applyBorder="1" applyAlignment="1">
      <alignment horizontal="center" vertical="center"/>
    </xf>
    <xf numFmtId="14" fontId="5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37" fontId="11" fillId="0" borderId="0" xfId="0" applyNumberFormat="1" applyFont="1" applyBorder="1" applyAlignment="1">
      <alignment horizontal="center" vertical="center"/>
    </xf>
    <xf numFmtId="37" fontId="5" fillId="0" borderId="0" xfId="0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5" fontId="11" fillId="0" borderId="0" xfId="0" applyNumberFormat="1" applyFont="1" applyBorder="1" applyAlignment="1">
      <alignment horizontal="center" vertical="center"/>
    </xf>
    <xf numFmtId="5" fontId="5" fillId="0" borderId="0" xfId="0" applyNumberFormat="1" applyFont="1" applyBorder="1" applyAlignment="1">
      <alignment horizontal="center" vertical="center"/>
    </xf>
    <xf numFmtId="164" fontId="5" fillId="0" borderId="0" xfId="0" applyNumberFormat="1" applyFont="1" applyBorder="1" applyAlignment="1">
      <alignment horizontal="center" vertical="center"/>
    </xf>
    <xf numFmtId="5" fontId="11" fillId="0" borderId="3" xfId="0" applyNumberFormat="1" applyFont="1" applyBorder="1" applyAlignment="1">
      <alignment horizontal="center" vertical="center"/>
    </xf>
    <xf numFmtId="5" fontId="5" fillId="0" borderId="3" xfId="0" applyNumberFormat="1" applyFont="1" applyBorder="1" applyAlignment="1">
      <alignment horizontal="center" vertical="center"/>
    </xf>
    <xf numFmtId="37" fontId="11" fillId="0" borderId="5" xfId="0" applyNumberFormat="1" applyFont="1" applyBorder="1" applyAlignment="1">
      <alignment horizontal="center" vertical="center"/>
    </xf>
    <xf numFmtId="37" fontId="5" fillId="0" borderId="5" xfId="0" applyNumberFormat="1" applyFont="1" applyBorder="1" applyAlignment="1">
      <alignment horizontal="center" vertical="center"/>
    </xf>
    <xf numFmtId="164" fontId="11" fillId="0" borderId="0" xfId="0" applyNumberFormat="1" applyFont="1" applyBorder="1" applyAlignment="1">
      <alignment horizontal="center" vertical="center"/>
    </xf>
    <xf numFmtId="5" fontId="11" fillId="0" borderId="1" xfId="0" applyNumberFormat="1" applyFont="1" applyBorder="1" applyAlignment="1">
      <alignment horizontal="center" vertical="center"/>
    </xf>
    <xf numFmtId="5" fontId="5" fillId="0" borderId="1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11" fillId="0" borderId="7" xfId="0" applyFont="1" applyBorder="1" applyAlignment="1">
      <alignment horizontal="center" vertical="center" wrapText="1"/>
    </xf>
    <xf numFmtId="9" fontId="11" fillId="0" borderId="0" xfId="0" applyNumberFormat="1" applyFont="1" applyBorder="1" applyAlignment="1">
      <alignment horizontal="center" vertical="center"/>
    </xf>
    <xf numFmtId="9" fontId="5" fillId="0" borderId="0" xfId="0" applyNumberFormat="1" applyFont="1" applyBorder="1" applyAlignment="1">
      <alignment horizontal="center" vertical="center"/>
    </xf>
    <xf numFmtId="164" fontId="11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6" fontId="5" fillId="0" borderId="0" xfId="0" applyNumberFormat="1" applyFont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 indent="1"/>
    </xf>
    <xf numFmtId="0" fontId="5" fillId="0" borderId="3" xfId="0" applyFont="1" applyBorder="1" applyAlignment="1">
      <alignment vertical="center"/>
    </xf>
    <xf numFmtId="37" fontId="11" fillId="0" borderId="3" xfId="0" applyNumberFormat="1" applyFont="1" applyBorder="1" applyAlignment="1">
      <alignment horizontal="center" vertical="center"/>
    </xf>
    <xf numFmtId="37" fontId="5" fillId="0" borderId="3" xfId="0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166" fontId="11" fillId="0" borderId="0" xfId="0" applyNumberFormat="1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5" fillId="0" borderId="0" xfId="0" applyFont="1" applyAlignment="1">
      <alignment horizontal="left" vertical="center" indent="2"/>
    </xf>
    <xf numFmtId="165" fontId="11" fillId="0" borderId="0" xfId="0" applyNumberFormat="1" applyFont="1" applyBorder="1" applyAlignment="1">
      <alignment horizontal="center" vertical="center"/>
    </xf>
    <xf numFmtId="165" fontId="5" fillId="0" borderId="0" xfId="0" applyNumberFormat="1" applyFont="1" applyBorder="1" applyAlignment="1">
      <alignment horizontal="center" vertical="center"/>
    </xf>
    <xf numFmtId="0" fontId="5" fillId="0" borderId="0" xfId="0" applyFont="1" applyAlignment="1">
      <alignment horizontal="left" vertical="center" indent="1"/>
    </xf>
    <xf numFmtId="0" fontId="22" fillId="0" borderId="0" xfId="0" applyFont="1" applyAlignment="1">
      <alignment horizontal="left" vertical="center"/>
    </xf>
    <xf numFmtId="166" fontId="5" fillId="0" borderId="0" xfId="0" applyNumberFormat="1" applyFont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 indent="1"/>
    </xf>
    <xf numFmtId="0" fontId="22" fillId="0" borderId="0" xfId="0" applyFont="1" applyAlignment="1">
      <alignment vertical="center"/>
    </xf>
    <xf numFmtId="10" fontId="11" fillId="0" borderId="0" xfId="0" applyNumberFormat="1" applyFont="1" applyBorder="1" applyAlignment="1">
      <alignment horizontal="center" vertical="center"/>
    </xf>
    <xf numFmtId="10" fontId="5" fillId="0" borderId="0" xfId="0" applyNumberFormat="1" applyFont="1" applyBorder="1" applyAlignment="1">
      <alignment horizontal="center" vertical="center"/>
    </xf>
    <xf numFmtId="167" fontId="5" fillId="0" borderId="0" xfId="0" applyNumberFormat="1" applyFont="1" applyBorder="1" applyAlignment="1">
      <alignment horizontal="center" vertical="center"/>
    </xf>
    <xf numFmtId="166" fontId="5" fillId="0" borderId="0" xfId="0" applyNumberFormat="1" applyFont="1" applyAlignment="1">
      <alignment vertical="center"/>
    </xf>
    <xf numFmtId="168" fontId="5" fillId="0" borderId="0" xfId="0" applyNumberFormat="1" applyFont="1" applyBorder="1" applyAlignment="1">
      <alignment horizontal="center" vertical="center"/>
    </xf>
    <xf numFmtId="8" fontId="5" fillId="0" borderId="0" xfId="0" applyNumberFormat="1" applyFont="1" applyBorder="1" applyAlignment="1">
      <alignment horizontal="center" vertical="center"/>
    </xf>
    <xf numFmtId="173" fontId="11" fillId="0" borderId="0" xfId="0" applyNumberFormat="1" applyFont="1" applyBorder="1" applyAlignment="1">
      <alignment horizontal="center" vertical="center"/>
    </xf>
    <xf numFmtId="173" fontId="5" fillId="0" borderId="0" xfId="0" applyNumberFormat="1" applyFont="1" applyBorder="1" applyAlignment="1">
      <alignment horizontal="center" vertical="center"/>
    </xf>
    <xf numFmtId="6" fontId="5" fillId="0" borderId="0" xfId="0" applyNumberFormat="1" applyFont="1" applyAlignment="1">
      <alignment vertical="center"/>
    </xf>
    <xf numFmtId="0" fontId="5" fillId="0" borderId="0" xfId="0" applyFont="1" applyFill="1" applyAlignment="1">
      <alignment vertical="center"/>
    </xf>
    <xf numFmtId="164" fontId="11" fillId="0" borderId="0" xfId="0" applyNumberFormat="1" applyFont="1" applyFill="1" applyBorder="1" applyAlignment="1">
      <alignment horizontal="center" vertical="center"/>
    </xf>
    <xf numFmtId="164" fontId="5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 applyAlignment="1">
      <alignment horizontal="left" vertical="center"/>
    </xf>
    <xf numFmtId="0" fontId="11" fillId="0" borderId="0" xfId="0" applyFont="1" applyFill="1" applyAlignment="1">
      <alignment vertical="center"/>
    </xf>
    <xf numFmtId="0" fontId="11" fillId="2" borderId="25" xfId="1" applyFont="1" applyFill="1" applyBorder="1" applyAlignment="1">
      <alignment horizontal="left" vertical="center"/>
    </xf>
    <xf numFmtId="0" fontId="11" fillId="2" borderId="0" xfId="1" applyFont="1" applyFill="1" applyBorder="1" applyAlignment="1">
      <alignment horizontal="center" vertical="center"/>
    </xf>
    <xf numFmtId="37" fontId="11" fillId="2" borderId="0" xfId="1" applyNumberFormat="1" applyFont="1" applyFill="1" applyBorder="1" applyAlignment="1">
      <alignment horizontal="center" vertical="center"/>
    </xf>
    <xf numFmtId="37" fontId="7" fillId="2" borderId="0" xfId="1" applyNumberFormat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left" vertical="center"/>
    </xf>
    <xf numFmtId="37" fontId="11" fillId="2" borderId="3" xfId="1" applyNumberFormat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vertical="center"/>
    </xf>
    <xf numFmtId="37" fontId="5" fillId="2" borderId="0" xfId="1" applyNumberFormat="1" applyFont="1" applyFill="1" applyBorder="1" applyAlignment="1">
      <alignment horizontal="center" vertical="center"/>
    </xf>
    <xf numFmtId="37" fontId="5" fillId="2" borderId="27" xfId="1" applyNumberFormat="1" applyFont="1" applyFill="1" applyBorder="1" applyAlignment="1">
      <alignment horizontal="center" vertical="center"/>
    </xf>
    <xf numFmtId="0" fontId="5" fillId="5" borderId="4" xfId="1" applyFont="1" applyFill="1" applyBorder="1" applyAlignment="1">
      <alignment horizontal="left" vertical="center"/>
    </xf>
    <xf numFmtId="0" fontId="47" fillId="5" borderId="3" xfId="1" applyFont="1" applyFill="1" applyBorder="1"/>
    <xf numFmtId="37" fontId="11" fillId="5" borderId="3" xfId="1" applyNumberFormat="1" applyFont="1" applyFill="1" applyBorder="1" applyAlignment="1">
      <alignment horizontal="center" vertical="center"/>
    </xf>
    <xf numFmtId="37" fontId="5" fillId="5" borderId="3" xfId="1" applyNumberFormat="1" applyFont="1" applyFill="1" applyBorder="1" applyAlignment="1">
      <alignment horizontal="center" vertical="center"/>
    </xf>
    <xf numFmtId="37" fontId="5" fillId="5" borderId="29" xfId="1" applyNumberFormat="1" applyFont="1" applyFill="1" applyBorder="1" applyAlignment="1">
      <alignment horizontal="center" vertical="center"/>
    </xf>
    <xf numFmtId="0" fontId="11" fillId="2" borderId="30" xfId="1" applyFont="1" applyFill="1" applyBorder="1" applyAlignment="1">
      <alignment horizontal="left" vertical="center"/>
    </xf>
    <xf numFmtId="37" fontId="11" fillId="2" borderId="5" xfId="1" applyNumberFormat="1" applyFont="1" applyFill="1" applyBorder="1" applyAlignment="1">
      <alignment horizontal="center" vertical="center"/>
    </xf>
    <xf numFmtId="0" fontId="5" fillId="0" borderId="25" xfId="1" applyFont="1" applyFill="1" applyBorder="1" applyAlignment="1">
      <alignment horizontal="left" vertical="center" indent="1"/>
    </xf>
    <xf numFmtId="0" fontId="5" fillId="5" borderId="25" xfId="1" applyFont="1" applyFill="1" applyBorder="1" applyAlignment="1">
      <alignment horizontal="left" vertical="center" indent="1"/>
    </xf>
    <xf numFmtId="0" fontId="11" fillId="5" borderId="30" xfId="1" applyFont="1" applyFill="1" applyBorder="1" applyAlignment="1">
      <alignment horizontal="left" vertical="center"/>
    </xf>
    <xf numFmtId="164" fontId="5" fillId="2" borderId="5" xfId="1" applyNumberFormat="1" applyFont="1" applyFill="1" applyBorder="1"/>
    <xf numFmtId="166" fontId="5" fillId="0" borderId="0" xfId="0" applyNumberFormat="1" applyFont="1"/>
    <xf numFmtId="0" fontId="5" fillId="9" borderId="0" xfId="0" applyFont="1" applyFill="1"/>
    <xf numFmtId="14" fontId="11" fillId="9" borderId="0" xfId="0" applyNumberFormat="1" applyFont="1" applyFill="1" applyAlignment="1">
      <alignment horizontal="center"/>
    </xf>
    <xf numFmtId="5" fontId="5" fillId="2" borderId="0" xfId="0" applyNumberFormat="1" applyFont="1" applyFill="1"/>
    <xf numFmtId="0" fontId="5" fillId="2" borderId="14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center"/>
    </xf>
    <xf numFmtId="5" fontId="5" fillId="2" borderId="0" xfId="0" applyNumberFormat="1" applyFont="1" applyFill="1" applyBorder="1"/>
    <xf numFmtId="5" fontId="5" fillId="2" borderId="15" xfId="0" applyNumberFormat="1" applyFont="1" applyFill="1" applyBorder="1"/>
    <xf numFmtId="5" fontId="6" fillId="0" borderId="0" xfId="1" applyNumberFormat="1" applyFont="1" applyAlignment="1">
      <alignment horizontal="center"/>
    </xf>
    <xf numFmtId="0" fontId="6" fillId="0" borderId="0" xfId="1" applyFont="1" applyAlignment="1">
      <alignment horizontal="center"/>
    </xf>
    <xf numFmtId="0" fontId="3" fillId="9" borderId="0" xfId="0" applyFont="1" applyFill="1" applyAlignment="1">
      <alignment horizontal="center" vertical="center"/>
    </xf>
    <xf numFmtId="0" fontId="8" fillId="0" borderId="1" xfId="1" applyFont="1" applyBorder="1" applyAlignment="1">
      <alignment horizontal="center"/>
    </xf>
    <xf numFmtId="0" fontId="32" fillId="0" borderId="1" xfId="1" applyFont="1" applyBorder="1" applyAlignment="1">
      <alignment horizontal="center" wrapText="1"/>
    </xf>
    <xf numFmtId="0" fontId="6" fillId="0" borderId="1" xfId="1" applyFont="1" applyBorder="1" applyAlignment="1">
      <alignment wrapText="1"/>
    </xf>
    <xf numFmtId="0" fontId="8" fillId="0" borderId="1" xfId="1" applyFont="1" applyBorder="1" applyAlignment="1">
      <alignment horizontal="center" wrapText="1"/>
    </xf>
    <xf numFmtId="0" fontId="15" fillId="0" borderId="5" xfId="1" applyFont="1" applyBorder="1" applyAlignment="1">
      <alignment horizontal="left"/>
    </xf>
    <xf numFmtId="5" fontId="6" fillId="0" borderId="0" xfId="1" applyNumberFormat="1" applyFont="1" applyBorder="1" applyAlignment="1">
      <alignment horizontal="center"/>
    </xf>
    <xf numFmtId="0" fontId="6" fillId="0" borderId="0" xfId="1" applyFont="1" applyBorder="1" applyAlignment="1">
      <alignment horizontal="center"/>
    </xf>
    <xf numFmtId="5" fontId="6" fillId="0" borderId="0" xfId="1" applyNumberFormat="1" applyFont="1" applyAlignment="1">
      <alignment horizontal="right"/>
    </xf>
    <xf numFmtId="5" fontId="6" fillId="0" borderId="0" xfId="1" applyNumberFormat="1" applyFont="1" applyBorder="1" applyAlignment="1"/>
    <xf numFmtId="0" fontId="6" fillId="0" borderId="0" xfId="1" applyFont="1" applyBorder="1" applyAlignment="1"/>
    <xf numFmtId="0" fontId="9" fillId="0" borderId="5" xfId="1" applyFont="1" applyBorder="1" applyAlignment="1">
      <alignment horizontal="left" wrapText="1"/>
    </xf>
    <xf numFmtId="0" fontId="6" fillId="0" borderId="0" xfId="1" applyFont="1" applyBorder="1" applyAlignment="1">
      <alignment horizontal="left" indent="1"/>
    </xf>
    <xf numFmtId="0" fontId="6" fillId="2" borderId="5" xfId="1" applyFont="1" applyFill="1" applyBorder="1" applyAlignment="1">
      <alignment horizontal="left"/>
    </xf>
    <xf numFmtId="0" fontId="8" fillId="2" borderId="3" xfId="1" applyFont="1" applyFill="1" applyBorder="1" applyAlignment="1">
      <alignment horizontal="left"/>
    </xf>
    <xf numFmtId="5" fontId="6" fillId="0" borderId="0" xfId="1" applyNumberFormat="1" applyFont="1" applyBorder="1" applyAlignment="1">
      <alignment horizontal="right"/>
    </xf>
    <xf numFmtId="0" fontId="6" fillId="0" borderId="0" xfId="1" applyFont="1" applyBorder="1" applyAlignment="1">
      <alignment horizontal="right"/>
    </xf>
    <xf numFmtId="0" fontId="33" fillId="11" borderId="3" xfId="1" applyFont="1" applyFill="1" applyBorder="1" applyAlignment="1">
      <alignment horizontal="center"/>
    </xf>
    <xf numFmtId="5" fontId="8" fillId="11" borderId="3" xfId="1" applyNumberFormat="1" applyFont="1" applyFill="1" applyBorder="1" applyAlignment="1">
      <alignment horizontal="right"/>
    </xf>
    <xf numFmtId="0" fontId="8" fillId="11" borderId="3" xfId="1" applyFont="1" applyFill="1" applyBorder="1" applyAlignment="1">
      <alignment horizontal="right"/>
    </xf>
    <xf numFmtId="5" fontId="8" fillId="0" borderId="3" xfId="1" applyNumberFormat="1" applyFont="1" applyBorder="1" applyAlignment="1">
      <alignment horizontal="right"/>
    </xf>
    <xf numFmtId="0" fontId="6" fillId="0" borderId="3" xfId="1" applyFont="1" applyFill="1" applyBorder="1" applyAlignment="1"/>
    <xf numFmtId="5" fontId="6" fillId="0" borderId="3" xfId="1" applyNumberFormat="1" applyFont="1" applyBorder="1" applyAlignment="1"/>
    <xf numFmtId="0" fontId="6" fillId="0" borderId="3" xfId="1" applyFont="1" applyBorder="1" applyAlignment="1"/>
    <xf numFmtId="0" fontId="8" fillId="0" borderId="3" xfId="1" applyFont="1" applyFill="1" applyBorder="1" applyAlignment="1">
      <alignment horizontal="center"/>
    </xf>
    <xf numFmtId="0" fontId="8" fillId="0" borderId="3" xfId="1" applyFont="1" applyBorder="1" applyAlignment="1">
      <alignment horizontal="center"/>
    </xf>
    <xf numFmtId="5" fontId="6" fillId="0" borderId="0" xfId="1" applyNumberFormat="1" applyFont="1" applyFill="1" applyBorder="1" applyAlignment="1"/>
    <xf numFmtId="0" fontId="6" fillId="0" borderId="0" xfId="1" applyFont="1" applyFill="1" applyBorder="1" applyAlignment="1"/>
    <xf numFmtId="0" fontId="8" fillId="0" borderId="10" xfId="1" applyFont="1" applyBorder="1" applyAlignment="1">
      <alignment horizontal="center" vertical="center"/>
    </xf>
    <xf numFmtId="5" fontId="6" fillId="0" borderId="0" xfId="1" applyNumberFormat="1" applyFont="1" applyFill="1" applyBorder="1" applyAlignment="1">
      <alignment horizontal="center"/>
    </xf>
    <xf numFmtId="171" fontId="6" fillId="0" borderId="0" xfId="1" applyNumberFormat="1" applyFont="1" applyFill="1" applyBorder="1" applyAlignment="1">
      <alignment horizontal="center"/>
    </xf>
    <xf numFmtId="0" fontId="15" fillId="0" borderId="5" xfId="1" applyFont="1" applyBorder="1" applyAlignment="1">
      <alignment horizontal="left" vertical="center" wrapText="1"/>
    </xf>
    <xf numFmtId="5" fontId="6" fillId="0" borderId="5" xfId="1" applyNumberFormat="1" applyFont="1" applyFill="1" applyBorder="1" applyAlignment="1">
      <alignment horizontal="center"/>
    </xf>
    <xf numFmtId="0" fontId="6" fillId="0" borderId="0" xfId="1" applyFont="1" applyFill="1" applyBorder="1" applyAlignment="1">
      <alignment horizontal="center"/>
    </xf>
    <xf numFmtId="5" fontId="8" fillId="11" borderId="3" xfId="1" applyNumberFormat="1" applyFont="1" applyFill="1" applyBorder="1" applyAlignment="1">
      <alignment horizontal="center"/>
    </xf>
    <xf numFmtId="0" fontId="8" fillId="11" borderId="3" xfId="1" applyFont="1" applyFill="1" applyBorder="1" applyAlignment="1">
      <alignment horizontal="center"/>
    </xf>
    <xf numFmtId="0" fontId="8" fillId="0" borderId="7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3" fillId="9" borderId="5" xfId="1" applyFont="1" applyFill="1" applyBorder="1" applyAlignment="1">
      <alignment horizontal="center"/>
    </xf>
    <xf numFmtId="0" fontId="3" fillId="9" borderId="31" xfId="1" applyFont="1" applyFill="1" applyBorder="1" applyAlignment="1">
      <alignment horizontal="center"/>
    </xf>
    <xf numFmtId="0" fontId="3" fillId="9" borderId="5" xfId="1" applyFont="1" applyFill="1" applyBorder="1" applyAlignment="1">
      <alignment horizontal="center" vertical="center" wrapText="1"/>
    </xf>
    <xf numFmtId="0" fontId="3" fillId="9" borderId="0" xfId="1" applyFont="1" applyFill="1" applyBorder="1" applyAlignment="1">
      <alignment horizontal="center" vertical="center" wrapText="1"/>
    </xf>
    <xf numFmtId="0" fontId="52" fillId="15" borderId="5" xfId="1" applyFont="1" applyFill="1" applyBorder="1" applyAlignment="1">
      <alignment horizontal="center"/>
    </xf>
    <xf numFmtId="0" fontId="52" fillId="15" borderId="31" xfId="1" applyFont="1" applyFill="1" applyBorder="1" applyAlignment="1">
      <alignment horizontal="center"/>
    </xf>
    <xf numFmtId="0" fontId="55" fillId="7" borderId="0" xfId="0" applyFont="1" applyFill="1" applyAlignment="1">
      <alignment horizontal="center"/>
    </xf>
    <xf numFmtId="0" fontId="8" fillId="0" borderId="0" xfId="0" applyFont="1" applyAlignment="1">
      <alignment horizontal="center"/>
    </xf>
    <xf numFmtId="0" fontId="6" fillId="2" borderId="0" xfId="0" applyFont="1" applyFill="1" applyBorder="1" applyAlignment="1">
      <alignment horizontal="center" wrapText="1"/>
    </xf>
    <xf numFmtId="0" fontId="3" fillId="9" borderId="0" xfId="0" applyFont="1" applyFill="1" applyBorder="1" applyAlignment="1">
      <alignment horizontal="center" wrapText="1"/>
    </xf>
    <xf numFmtId="0" fontId="65" fillId="0" borderId="41" xfId="0" applyFont="1" applyBorder="1" applyAlignment="1">
      <alignment horizontal="center" vertical="center"/>
    </xf>
    <xf numFmtId="0" fontId="65" fillId="0" borderId="42" xfId="0" applyFont="1" applyBorder="1" applyAlignment="1">
      <alignment horizontal="center" vertical="center"/>
    </xf>
    <xf numFmtId="0" fontId="3" fillId="9" borderId="22" xfId="0" applyFont="1" applyFill="1" applyBorder="1" applyAlignment="1">
      <alignment horizontal="left" wrapText="1"/>
    </xf>
    <xf numFmtId="0" fontId="53" fillId="0" borderId="33" xfId="0" applyFont="1" applyBorder="1" applyAlignment="1">
      <alignment horizontal="center"/>
    </xf>
    <xf numFmtId="0" fontId="15" fillId="0" borderId="9" xfId="0" applyFont="1" applyBorder="1" applyAlignment="1">
      <alignment horizontal="left"/>
    </xf>
    <xf numFmtId="3" fontId="71" fillId="2" borderId="0" xfId="0" applyNumberFormat="1" applyFont="1" applyFill="1" applyAlignment="1">
      <alignment horizontal="right"/>
    </xf>
    <xf numFmtId="5" fontId="8" fillId="11" borderId="1" xfId="0" applyNumberFormat="1" applyFont="1" applyFill="1" applyBorder="1"/>
    <xf numFmtId="0" fontId="6" fillId="2" borderId="14" xfId="0" applyFont="1" applyFill="1" applyBorder="1" applyAlignment="1">
      <alignment horizontal="left"/>
    </xf>
    <xf numFmtId="177" fontId="6" fillId="2" borderId="15" xfId="0" applyNumberFormat="1" applyFont="1" applyFill="1" applyBorder="1"/>
    <xf numFmtId="177" fontId="6" fillId="2" borderId="15" xfId="0" applyNumberFormat="1" applyFont="1" applyFill="1" applyBorder="1" applyAlignment="1">
      <alignment horizontal="right"/>
    </xf>
    <xf numFmtId="0" fontId="8" fillId="2" borderId="24" xfId="0" applyFont="1" applyFill="1" applyBorder="1"/>
    <xf numFmtId="0" fontId="8" fillId="2" borderId="10" xfId="0" applyFont="1" applyFill="1" applyBorder="1"/>
    <xf numFmtId="177" fontId="8" fillId="2" borderId="23" xfId="0" applyNumberFormat="1" applyFont="1" applyFill="1" applyBorder="1"/>
    <xf numFmtId="5" fontId="6" fillId="2" borderId="0" xfId="0" applyNumberFormat="1" applyFont="1" applyFill="1" applyBorder="1" applyAlignment="1">
      <alignment horizontal="center"/>
    </xf>
    <xf numFmtId="3" fontId="6" fillId="2" borderId="0" xfId="0" applyNumberFormat="1" applyFont="1" applyFill="1" applyBorder="1" applyAlignment="1">
      <alignment horizontal="center"/>
    </xf>
    <xf numFmtId="5" fontId="6" fillId="2" borderId="45" xfId="0" applyNumberFormat="1" applyFont="1" applyFill="1" applyBorder="1" applyAlignment="1">
      <alignment horizontal="center"/>
    </xf>
    <xf numFmtId="0" fontId="6" fillId="2" borderId="45" xfId="0" applyFont="1" applyFill="1" applyBorder="1" applyAlignment="1">
      <alignment horizontal="center"/>
    </xf>
    <xf numFmtId="0" fontId="78" fillId="0" borderId="36" xfId="0" applyFont="1" applyBorder="1"/>
    <xf numFmtId="0" fontId="78" fillId="0" borderId="37" xfId="0" applyFont="1" applyBorder="1"/>
    <xf numFmtId="8" fontId="78" fillId="0" borderId="38" xfId="0" applyNumberFormat="1" applyFont="1" applyBorder="1"/>
    <xf numFmtId="6" fontId="79" fillId="0" borderId="3" xfId="0" applyNumberFormat="1" applyFont="1" applyBorder="1" applyAlignment="1">
      <alignment horizontal="right"/>
    </xf>
    <xf numFmtId="0" fontId="80" fillId="0" borderId="4" xfId="0" applyFont="1" applyBorder="1" applyAlignment="1">
      <alignment horizontal="left"/>
    </xf>
    <xf numFmtId="0" fontId="79" fillId="0" borderId="3" xfId="0" applyFont="1" applyBorder="1" applyAlignment="1">
      <alignment horizontal="left"/>
    </xf>
    <xf numFmtId="3" fontId="79" fillId="0" borderId="3" xfId="0" applyNumberFormat="1" applyFont="1" applyBorder="1" applyAlignment="1">
      <alignment horizontal="right" vertical="top"/>
    </xf>
    <xf numFmtId="6" fontId="79" fillId="0" borderId="3" xfId="0" applyNumberFormat="1" applyFont="1" applyBorder="1" applyAlignment="1">
      <alignment horizontal="right" indent="1"/>
    </xf>
    <xf numFmtId="0" fontId="79" fillId="0" borderId="29" xfId="0" applyFont="1" applyBorder="1"/>
    <xf numFmtId="0" fontId="81" fillId="0" borderId="0" xfId="0" applyFont="1"/>
    <xf numFmtId="0" fontId="81" fillId="0" borderId="0" xfId="0" applyFont="1" applyAlignment="1">
      <alignment vertical="center"/>
    </xf>
    <xf numFmtId="37" fontId="8" fillId="0" borderId="0" xfId="0" applyNumberFormat="1" applyFont="1" applyFill="1"/>
    <xf numFmtId="37" fontId="61" fillId="0" borderId="0" xfId="0" applyNumberFormat="1" applyFont="1" applyFill="1"/>
    <xf numFmtId="44" fontId="6" fillId="14" borderId="0" xfId="6" applyFont="1" applyFill="1"/>
    <xf numFmtId="44" fontId="6" fillId="12" borderId="0" xfId="6" applyFont="1" applyFill="1"/>
    <xf numFmtId="44" fontId="6" fillId="13" borderId="0" xfId="6" applyFont="1" applyFill="1"/>
    <xf numFmtId="41" fontId="9" fillId="14" borderId="0" xfId="0" applyNumberFormat="1" applyFont="1" applyFill="1"/>
    <xf numFmtId="41" fontId="6" fillId="12" borderId="0" xfId="0" applyNumberFormat="1" applyFont="1" applyFill="1"/>
    <xf numFmtId="41" fontId="6" fillId="13" borderId="0" xfId="0" applyNumberFormat="1" applyFont="1" applyFill="1"/>
    <xf numFmtId="41" fontId="6" fillId="14" borderId="0" xfId="0" applyNumberFormat="1" applyFont="1" applyFill="1"/>
    <xf numFmtId="0" fontId="6" fillId="0" borderId="0" xfId="0" applyFont="1" applyFill="1" applyAlignment="1">
      <alignment horizontal="right"/>
    </xf>
    <xf numFmtId="37" fontId="10" fillId="0" borderId="0" xfId="0" applyNumberFormat="1" applyFont="1" applyFill="1"/>
    <xf numFmtId="37" fontId="6" fillId="0" borderId="0" xfId="0" applyNumberFormat="1" applyFont="1" applyFill="1" applyBorder="1"/>
    <xf numFmtId="5" fontId="6" fillId="0" borderId="0" xfId="0" applyNumberFormat="1" applyFont="1" applyFill="1"/>
    <xf numFmtId="41" fontId="10" fillId="0" borderId="0" xfId="0" applyNumberFormat="1" applyFont="1" applyFill="1"/>
    <xf numFmtId="166" fontId="9" fillId="0" borderId="0" xfId="0" applyNumberFormat="1" applyFont="1" applyFill="1"/>
    <xf numFmtId="166" fontId="27" fillId="0" borderId="0" xfId="0" applyNumberFormat="1" applyFont="1" applyFill="1"/>
    <xf numFmtId="5" fontId="10" fillId="0" borderId="0" xfId="0" applyNumberFormat="1" applyFont="1" applyFill="1"/>
    <xf numFmtId="164" fontId="7" fillId="0" borderId="0" xfId="0" applyNumberFormat="1" applyFont="1" applyFill="1"/>
    <xf numFmtId="5" fontId="11" fillId="0" borderId="0" xfId="0" applyNumberFormat="1" applyFont="1" applyFill="1"/>
    <xf numFmtId="164" fontId="9" fillId="0" borderId="0" xfId="0" applyNumberFormat="1" applyFont="1"/>
    <xf numFmtId="10" fontId="6" fillId="0" borderId="0" xfId="0" applyNumberFormat="1" applyFont="1"/>
    <xf numFmtId="170" fontId="6" fillId="0" borderId="0" xfId="0" applyNumberFormat="1" applyFont="1"/>
    <xf numFmtId="164" fontId="9" fillId="0" borderId="3" xfId="0" applyNumberFormat="1" applyFont="1" applyBorder="1"/>
    <xf numFmtId="166" fontId="6" fillId="0" borderId="0" xfId="0" applyNumberFormat="1" applyFont="1" applyFill="1"/>
    <xf numFmtId="37" fontId="6" fillId="0" borderId="5" xfId="1" applyNumberFormat="1" applyFont="1" applyFill="1" applyBorder="1" applyAlignment="1">
      <alignment horizontal="center"/>
    </xf>
    <xf numFmtId="0" fontId="6" fillId="0" borderId="0" xfId="1" applyFont="1" applyFill="1" applyBorder="1" applyAlignment="1">
      <alignment vertical="center"/>
    </xf>
  </cellXfs>
  <cellStyles count="8">
    <cellStyle name="Comma" xfId="5" builtinId="3"/>
    <cellStyle name="Currency" xfId="6" builtinId="4"/>
    <cellStyle name="Followed Hyperlink" xfId="4" builtinId="9" hidden="1"/>
    <cellStyle name="Followed Hyperlink" xfId="3" builtinId="9" hidden="1"/>
    <cellStyle name="Hyperlink" xfId="2" builtinId="8"/>
    <cellStyle name="Normal" xfId="0" builtinId="0"/>
    <cellStyle name="Normal 2" xfId="1" xr:uid="{00000000-0005-0000-0000-000005000000}"/>
    <cellStyle name="Percent" xfId="7" builtinId="5"/>
  </cellStyles>
  <dxfs count="0"/>
  <tableStyles count="0" defaultTableStyle="TableStyleMedium9" defaultPivotStyle="PivotStyleLight16"/>
  <colors>
    <mruColors>
      <color rgb="FF9FF5FF"/>
      <color rgb="FF004DD6"/>
      <color rgb="FFFF8FD1"/>
      <color rgb="FFFFFD78"/>
      <color rgb="FFD5FFFF"/>
      <color rgb="FFFFADD6"/>
      <color rgb="FFFF4F79"/>
      <color rgb="FFFFFC00"/>
      <color rgb="FF00FA41"/>
      <color rgb="FF00FD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Montserrat" panose="00000500000000000000" pitchFamily="50" charset="0"/>
                <a:ea typeface="+mn-ea"/>
                <a:cs typeface="Arial" panose="020B0604020202020204" pitchFamily="34" charset="0"/>
              </a:defRPr>
            </a:pPr>
            <a:r>
              <a:rPr lang="en-US" b="1">
                <a:latin typeface="Montserrat" panose="00000500000000000000" pitchFamily="50" charset="0"/>
              </a:rPr>
              <a:t>Public Benefits by SF</a:t>
            </a:r>
          </a:p>
        </c:rich>
      </c:tx>
      <c:layout>
        <c:manualLayout>
          <c:xMode val="edge"/>
          <c:yMode val="edge"/>
          <c:x val="0.56272579765148201"/>
          <c:y val="5.007229984912270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Montserrat" panose="00000500000000000000" pitchFamily="50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7489127226109201E-2"/>
          <c:y val="4.5732464649918501E-2"/>
          <c:w val="0.35252087306796898"/>
          <c:h val="0.70476896233951203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0E30-4B18-A587-6B5E5F46E3E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0E30-4B18-A587-6B5E5F46E3E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A5A6-420A-93C2-6C65434906A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0E30-4B18-A587-6B5E5F46E3EF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A5A6-420A-93C2-6C65434906AA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0E30-4B18-A587-6B5E5F46E3EF}"/>
              </c:ext>
            </c:extLst>
          </c:dPt>
          <c:dLbls>
            <c:dLbl>
              <c:idx val="0"/>
              <c:layout>
                <c:manualLayout>
                  <c:x val="0.12999358265162"/>
                  <c:y val="-0.1328753983877090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E30-4B18-A587-6B5E5F46E3EF}"/>
                </c:ext>
              </c:extLst>
            </c:dLbl>
            <c:dLbl>
              <c:idx val="1"/>
              <c:layout>
                <c:manualLayout>
                  <c:x val="0.13752944251548199"/>
                  <c:y val="-8.59781989567526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E30-4B18-A587-6B5E5F46E3EF}"/>
                </c:ext>
              </c:extLst>
            </c:dLbl>
            <c:dLbl>
              <c:idx val="2"/>
              <c:layout>
                <c:manualLayout>
                  <c:x val="0.13941340748144701"/>
                  <c:y val="9.7702498814491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5A6-420A-93C2-6C65434906AA}"/>
                </c:ext>
              </c:extLst>
            </c:dLbl>
            <c:dLbl>
              <c:idx val="3"/>
              <c:layout>
                <c:manualLayout>
                  <c:x val="0.13941340748144701"/>
                  <c:y val="0.1680482979609259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E30-4B18-A587-6B5E5F46E3EF}"/>
                </c:ext>
              </c:extLst>
            </c:dLbl>
            <c:dLbl>
              <c:idx val="4"/>
              <c:layout>
                <c:manualLayout>
                  <c:x val="-7.1590668706689203E-2"/>
                  <c:y val="0.2697843997977016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5A6-420A-93C2-6C65434906AA}"/>
                </c:ext>
              </c:extLst>
            </c:dLbl>
            <c:dLbl>
              <c:idx val="5"/>
              <c:layout>
                <c:manualLayout>
                  <c:x val="0.13187754761758499"/>
                  <c:y val="-8.98862989093324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E30-4B18-A587-6B5E5F46E3E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Montserrat" panose="00000500000000000000" pitchFamily="50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'Parcel Breakdown'!$B$33:$B$37</c:f>
              <c:strCache>
                <c:ptCount val="5"/>
                <c:pt idx="0">
                  <c:v>Museum</c:v>
                </c:pt>
                <c:pt idx="1">
                  <c:v>New Transit Station</c:v>
                </c:pt>
                <c:pt idx="2">
                  <c:v>Market Ramp</c:v>
                </c:pt>
                <c:pt idx="3">
                  <c:v>Public Space</c:v>
                </c:pt>
                <c:pt idx="4">
                  <c:v>Affordable Housing</c:v>
                </c:pt>
              </c:strCache>
            </c:strRef>
          </c:cat>
          <c:val>
            <c:numRef>
              <c:f>'Parcel Breakdown'!$F$33:$F$37</c:f>
              <c:numCache>
                <c:formatCode>#,##0_);\(#,##0\)</c:formatCode>
                <c:ptCount val="5"/>
                <c:pt idx="0">
                  <c:v>125425</c:v>
                </c:pt>
                <c:pt idx="1">
                  <c:v>72403</c:v>
                </c:pt>
                <c:pt idx="2">
                  <c:v>101034</c:v>
                </c:pt>
                <c:pt idx="3">
                  <c:v>110811</c:v>
                </c:pt>
                <c:pt idx="4">
                  <c:v>999679.99999999988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A6-420A-93C2-6C65434906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105"/>
        <c:holeSize val="38"/>
      </c:doughnut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56854145182129601"/>
          <c:y val="0.64044414455426701"/>
          <c:w val="0.43145854817870399"/>
          <c:h val="0.3595558554457329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ontserrat" panose="00000500000000000000" pitchFamily="50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Montserrat" panose="00000500000000000000" pitchFamily="50" charset="0"/>
                <a:ea typeface="+mn-ea"/>
                <a:cs typeface="Arial" panose="020B0604020202020204" pitchFamily="34" charset="0"/>
              </a:defRPr>
            </a:pPr>
            <a:r>
              <a:rPr lang="en-US" b="1">
                <a:solidFill>
                  <a:sysClr val="windowText" lastClr="000000"/>
                </a:solidFill>
                <a:latin typeface="Montserrat" panose="00000500000000000000" pitchFamily="50" charset="0"/>
                <a:cs typeface="Arial" panose="020B0604020202020204" pitchFamily="34" charset="0"/>
              </a:rPr>
              <a:t>Project Breakdown by Gross SF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Montserrat" panose="00000500000000000000" pitchFamily="50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7099202192041499"/>
          <c:y val="0.179483128160035"/>
          <c:w val="0.51764808384183303"/>
          <c:h val="0.36843670720621702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04F-4498-9B4C-5AB6146207B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04F-4498-9B4C-5AB6146207B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E04F-4498-9B4C-5AB6146207B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E04F-4498-9B4C-5AB6146207B9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E04F-4498-9B4C-5AB6146207B9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E04F-4498-9B4C-5AB6146207B9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E04F-4498-9B4C-5AB6146207B9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E04F-4498-9B4C-5AB6146207B9}"/>
              </c:ext>
            </c:extLst>
          </c:dPt>
          <c:dLbls>
            <c:dLbl>
              <c:idx val="0"/>
              <c:layout>
                <c:manualLayout>
                  <c:x val="0.12589004733006701"/>
                  <c:y val="-0.1249717787693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04F-4498-9B4C-5AB6146207B9}"/>
                </c:ext>
              </c:extLst>
            </c:dLbl>
            <c:dLbl>
              <c:idx val="1"/>
              <c:layout>
                <c:manualLayout>
                  <c:x val="0.15901900715376799"/>
                  <c:y val="0.11789790449935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04F-4498-9B4C-5AB6146207B9}"/>
                </c:ext>
              </c:extLst>
            </c:dLbl>
            <c:dLbl>
              <c:idx val="2"/>
              <c:layout>
                <c:manualLayout>
                  <c:x val="-0.12589004733006701"/>
                  <c:y val="9.66762816894713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04F-4498-9B4C-5AB6146207B9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04F-4498-9B4C-5AB6146207B9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04F-4498-9B4C-5AB6146207B9}"/>
                </c:ext>
              </c:extLst>
            </c:dLbl>
            <c:dLbl>
              <c:idx val="5"/>
              <c:layout>
                <c:manualLayout>
                  <c:x val="-0.205399550906951"/>
                  <c:y val="-8.72444493295229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04F-4498-9B4C-5AB6146207B9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E04F-4498-9B4C-5AB6146207B9}"/>
                </c:ext>
              </c:extLst>
            </c:dLbl>
            <c:dLbl>
              <c:idx val="7"/>
              <c:layout>
                <c:manualLayout>
                  <c:x val="-0.12920294331243701"/>
                  <c:y val="-0.1108240302293939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E04F-4498-9B4C-5AB6146207B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Montserrat" panose="00000500000000000000" pitchFamily="50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'Loan Sizing'!$B$126:$B$133</c:f>
              <c:strCache>
                <c:ptCount val="8"/>
                <c:pt idx="0">
                  <c:v>Affordable Residential</c:v>
                </c:pt>
                <c:pt idx="1">
                  <c:v>Market Rate Residential</c:v>
                </c:pt>
                <c:pt idx="2">
                  <c:v>Retail</c:v>
                </c:pt>
                <c:pt idx="3">
                  <c:v>Hotel</c:v>
                </c:pt>
                <c:pt idx="4">
                  <c:v>Museum</c:v>
                </c:pt>
                <c:pt idx="5">
                  <c:v>Office</c:v>
                </c:pt>
                <c:pt idx="6">
                  <c:v>Light Industrial</c:v>
                </c:pt>
                <c:pt idx="7">
                  <c:v>Parking</c:v>
                </c:pt>
              </c:strCache>
            </c:strRef>
          </c:cat>
          <c:val>
            <c:numRef>
              <c:f>'Loan Sizing'!$H$126:$H$133</c:f>
              <c:numCache>
                <c:formatCode>#,##0_);\(#,##0\)</c:formatCode>
                <c:ptCount val="8"/>
                <c:pt idx="0">
                  <c:v>299512.80000000005</c:v>
                </c:pt>
                <c:pt idx="1">
                  <c:v>449269.19999999995</c:v>
                </c:pt>
                <c:pt idx="2">
                  <c:v>125925</c:v>
                </c:pt>
                <c:pt idx="3">
                  <c:v>0</c:v>
                </c:pt>
                <c:pt idx="4">
                  <c:v>0</c:v>
                </c:pt>
                <c:pt idx="5">
                  <c:v>308760</c:v>
                </c:pt>
                <c:pt idx="6">
                  <c:v>0</c:v>
                </c:pt>
                <c:pt idx="7">
                  <c:v>143198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E04F-4498-9B4C-5AB6146207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38"/>
      </c:doughnut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ysClr val="windowText" lastClr="000000"/>
              </a:solidFill>
              <a:latin typeface="Montserrat" panose="00000500000000000000" pitchFamily="50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'Loan Sizing'!$B$149</c:f>
              <c:strCache>
                <c:ptCount val="1"/>
                <c:pt idx="0">
                  <c:v>Levered IRR with Opportunity Zone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Montserrat" panose="00000500000000000000" pitchFamily="50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'Loan Sizing'!$E$149</c:f>
              <c:numCache>
                <c:formatCode>0.0%</c:formatCode>
                <c:ptCount val="1"/>
                <c:pt idx="0">
                  <c:v>0.32970544661755119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28-4758-A854-0EA1567219E2}"/>
            </c:ext>
          </c:extLst>
        </c:ser>
        <c:ser>
          <c:idx val="1"/>
          <c:order val="1"/>
          <c:tx>
            <c:strRef>
              <c:f>'Loan Sizing'!$B$148</c:f>
              <c:strCache>
                <c:ptCount val="1"/>
                <c:pt idx="0">
                  <c:v>Levered IRR without Opportunity Zone</c:v>
                </c:pt>
              </c:strCache>
            </c:strRef>
          </c:tx>
          <c:spPr>
            <a:solidFill>
              <a:srgbClr val="871531">
                <a:alpha val="75000"/>
              </a:srgb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0-8D97-1049-9D6B-D04593413F2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Montserrat" panose="00000500000000000000" pitchFamily="50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'Loan Sizing'!$E$148</c:f>
              <c:numCache>
                <c:formatCode>0.0%</c:formatCode>
                <c:ptCount val="1"/>
                <c:pt idx="0">
                  <c:v>0.25394836654862729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728-4758-A854-0EA1567219E2}"/>
            </c:ext>
          </c:extLst>
        </c:ser>
        <c:ser>
          <c:idx val="2"/>
          <c:order val="2"/>
          <c:tx>
            <c:strRef>
              <c:f>'Loan Sizing'!$B$147</c:f>
              <c:strCache>
                <c:ptCount val="1"/>
                <c:pt idx="0">
                  <c:v>Unlevered IRR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Montserrat" panose="00000500000000000000" pitchFamily="50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'Loan Sizing'!$E$147</c:f>
              <c:numCache>
                <c:formatCode>0.0%</c:formatCode>
                <c:ptCount val="1"/>
                <c:pt idx="0">
                  <c:v>0.13786783674743441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728-4758-A854-0EA1567219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-1546512000"/>
        <c:axId val="-1546509168"/>
      </c:barChart>
      <c:catAx>
        <c:axId val="-1546512000"/>
        <c:scaling>
          <c:orientation val="minMax"/>
        </c:scaling>
        <c:delete val="1"/>
        <c:axPos val="l"/>
        <c:majorTickMark val="none"/>
        <c:minorTickMark val="none"/>
        <c:tickLblPos val="nextTo"/>
        <c:crossAx val="-1546509168"/>
        <c:crosses val="autoZero"/>
        <c:auto val="1"/>
        <c:lblAlgn val="ctr"/>
        <c:lblOffset val="100"/>
        <c:noMultiLvlLbl val="0"/>
      </c:catAx>
      <c:valAx>
        <c:axId val="-1546509168"/>
        <c:scaling>
          <c:orientation val="minMax"/>
        </c:scaling>
        <c:delete val="0"/>
        <c:axPos val="b"/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ontserrat" panose="00000500000000000000" pitchFamily="50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-15465120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0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ontserrat" panose="00000500000000000000" pitchFamily="50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'Loan Sizing'!$E$78</c:f>
              <c:strCache>
                <c:ptCount val="1"/>
                <c:pt idx="0">
                  <c:v>Yield-to-Cost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'Loan Sizing'!$B$166:$B$173</c:f>
              <c:strCache>
                <c:ptCount val="8"/>
                <c:pt idx="0">
                  <c:v>Affordable Residential</c:v>
                </c:pt>
                <c:pt idx="1">
                  <c:v>Market Rate Residential</c:v>
                </c:pt>
                <c:pt idx="2">
                  <c:v>Retail</c:v>
                </c:pt>
                <c:pt idx="3">
                  <c:v>Hotel</c:v>
                </c:pt>
                <c:pt idx="4">
                  <c:v>Museum</c:v>
                </c:pt>
                <c:pt idx="5">
                  <c:v>Office</c:v>
                </c:pt>
                <c:pt idx="6">
                  <c:v>Industrial</c:v>
                </c:pt>
                <c:pt idx="7">
                  <c:v>Parking</c:v>
                </c:pt>
              </c:strCache>
            </c:strRef>
          </c:cat>
          <c:val>
            <c:numRef>
              <c:f>'Loan Sizing'!$E$166:$E$173</c:f>
              <c:numCache>
                <c:formatCode>0.0%</c:formatCode>
                <c:ptCount val="8"/>
                <c:pt idx="0">
                  <c:v>2.214241945363234E-2</c:v>
                </c:pt>
                <c:pt idx="1">
                  <c:v>8.1924039763588322E-2</c:v>
                </c:pt>
                <c:pt idx="2">
                  <c:v>0.19642198515978962</c:v>
                </c:pt>
                <c:pt idx="3">
                  <c:v>0</c:v>
                </c:pt>
                <c:pt idx="4">
                  <c:v>3.9724449693898788E-2</c:v>
                </c:pt>
                <c:pt idx="5">
                  <c:v>8.3404355286620144E-2</c:v>
                </c:pt>
                <c:pt idx="6">
                  <c:v>6.7139436155090992E-2</c:v>
                </c:pt>
                <c:pt idx="7">
                  <c:v>5.6730439833444481E-2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23-4070-B4DC-1EE2A73370B9}"/>
            </c:ext>
          </c:extLst>
        </c:ser>
        <c:ser>
          <c:idx val="3"/>
          <c:order val="1"/>
          <c:tx>
            <c:strRef>
              <c:f>'Loan Sizing'!$F$78</c:f>
              <c:strCache>
                <c:ptCount val="1"/>
                <c:pt idx="0">
                  <c:v>Yield-to-Cost after Subsidies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'Loan Sizing'!$B$166:$B$173</c:f>
              <c:strCache>
                <c:ptCount val="8"/>
                <c:pt idx="0">
                  <c:v>Affordable Residential</c:v>
                </c:pt>
                <c:pt idx="1">
                  <c:v>Market Rate Residential</c:v>
                </c:pt>
                <c:pt idx="2">
                  <c:v>Retail</c:v>
                </c:pt>
                <c:pt idx="3">
                  <c:v>Hotel</c:v>
                </c:pt>
                <c:pt idx="4">
                  <c:v>Museum</c:v>
                </c:pt>
                <c:pt idx="5">
                  <c:v>Office</c:v>
                </c:pt>
                <c:pt idx="6">
                  <c:v>Industrial</c:v>
                </c:pt>
                <c:pt idx="7">
                  <c:v>Parking</c:v>
                </c:pt>
              </c:strCache>
            </c:strRef>
          </c:cat>
          <c:val>
            <c:numRef>
              <c:f>'Loan Sizing'!$F$166:$F$173</c:f>
              <c:numCache>
                <c:formatCode>0.0%</c:formatCode>
                <c:ptCount val="8"/>
                <c:pt idx="0">
                  <c:v>3.0902814134744546E-2</c:v>
                </c:pt>
                <c:pt idx="1">
                  <c:v>8.9989867253089384E-2</c:v>
                </c:pt>
                <c:pt idx="2">
                  <c:v>0.19705533711011278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5.6860084292479074E-2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A23-4070-B4DC-1EE2A73370B9}"/>
            </c:ext>
          </c:extLst>
        </c:ser>
        <c:ser>
          <c:idx val="4"/>
          <c:order val="2"/>
          <c:tx>
            <c:strRef>
              <c:f>'Loan Sizing'!$G$78</c:f>
              <c:strCache>
                <c:ptCount val="1"/>
                <c:pt idx="0">
                  <c:v>Exit Cap Rate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'Loan Sizing'!$B$166:$B$173</c:f>
              <c:strCache>
                <c:ptCount val="8"/>
                <c:pt idx="0">
                  <c:v>Affordable Residential</c:v>
                </c:pt>
                <c:pt idx="1">
                  <c:v>Market Rate Residential</c:v>
                </c:pt>
                <c:pt idx="2">
                  <c:v>Retail</c:v>
                </c:pt>
                <c:pt idx="3">
                  <c:v>Hotel</c:v>
                </c:pt>
                <c:pt idx="4">
                  <c:v>Museum</c:v>
                </c:pt>
                <c:pt idx="5">
                  <c:v>Office</c:v>
                </c:pt>
                <c:pt idx="6">
                  <c:v>Industrial</c:v>
                </c:pt>
                <c:pt idx="7">
                  <c:v>Parking</c:v>
                </c:pt>
              </c:strCache>
            </c:strRef>
          </c:cat>
          <c:val>
            <c:numRef>
              <c:f>'Loan Sizing'!$G$166:$G$173</c:f>
              <c:numCache>
                <c:formatCode>0.0%</c:formatCode>
                <c:ptCount val="8"/>
                <c:pt idx="0">
                  <c:v>5.7500000000000002E-2</c:v>
                </c:pt>
                <c:pt idx="1">
                  <c:v>5.5E-2</c:v>
                </c:pt>
                <c:pt idx="2">
                  <c:v>0.06</c:v>
                </c:pt>
                <c:pt idx="3">
                  <c:v>6.5000000000000002E-2</c:v>
                </c:pt>
                <c:pt idx="4">
                  <c:v>6.7500000000000004E-2</c:v>
                </c:pt>
                <c:pt idx="5">
                  <c:v>6.5000000000000002E-2</c:v>
                </c:pt>
                <c:pt idx="6">
                  <c:v>5.5E-2</c:v>
                </c:pt>
                <c:pt idx="7">
                  <c:v>6.5000000000000002E-2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A23-4070-B4DC-1EE2A73370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1582914656"/>
        <c:axId val="-1582912880"/>
      </c:barChart>
      <c:catAx>
        <c:axId val="-1582914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ontserrat" panose="00000500000000000000" pitchFamily="50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-1582912880"/>
        <c:crosses val="autoZero"/>
        <c:auto val="1"/>
        <c:lblAlgn val="ctr"/>
        <c:lblOffset val="100"/>
        <c:noMultiLvlLbl val="0"/>
      </c:catAx>
      <c:valAx>
        <c:axId val="-1582912880"/>
        <c:scaling>
          <c:orientation val="minMax"/>
        </c:scaling>
        <c:delete val="0"/>
        <c:axPos val="l"/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ontserrat" panose="00000500000000000000" pitchFamily="50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-1582914656"/>
        <c:crossesAt val="1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ontserrat" panose="00000500000000000000" pitchFamily="50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Montserrat" panose="00000500000000000000" pitchFamily="50" charset="0"/>
                <a:ea typeface="+mn-ea"/>
                <a:cs typeface="Arial" panose="020B0604020202020204" pitchFamily="34" charset="0"/>
              </a:defRPr>
            </a:pPr>
            <a:r>
              <a:rPr lang="en-US" b="1">
                <a:solidFill>
                  <a:sysClr val="windowText" lastClr="000000"/>
                </a:solidFill>
                <a:latin typeface="Montserrat" panose="00000500000000000000" pitchFamily="50" charset="0"/>
                <a:cs typeface="Arial" panose="020B0604020202020204" pitchFamily="34" charset="0"/>
              </a:rPr>
              <a:t>Project Breakdown by Gross SF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Montserrat" panose="00000500000000000000" pitchFamily="50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5111464602619399"/>
          <c:y val="0.16533537962011299"/>
          <c:w val="0.53089966777131303"/>
          <c:h val="0.37786853956616501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0C85-466C-A97D-F034941B111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0C85-466C-A97D-F034941B111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0C85-466C-A97D-F034941B1117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0C85-466C-A97D-F034941B1117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0C85-466C-A97D-F034941B1117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0C85-466C-A97D-F034941B1117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0C85-466C-A97D-F034941B1117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0C85-466C-A97D-F034941B1117}"/>
              </c:ext>
            </c:extLst>
          </c:dPt>
          <c:dLbls>
            <c:dLbl>
              <c:idx val="0"/>
              <c:layout>
                <c:manualLayout>
                  <c:x val="0.15239329545921873"/>
                  <c:y val="-6.475595410630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C85-466C-A97D-F034941B1117}"/>
                </c:ext>
              </c:extLst>
            </c:dLbl>
            <c:dLbl>
              <c:idx val="1"/>
              <c:layout>
                <c:manualLayout>
                  <c:x val="-0.19682162937025965"/>
                  <c:y val="4.09998923707978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C85-466C-A97D-F034941B1117}"/>
                </c:ext>
              </c:extLst>
            </c:dLbl>
            <c:dLbl>
              <c:idx val="2"/>
              <c:layout>
                <c:manualLayout>
                  <c:x val="-0.18228548935745215"/>
                  <c:y val="-6.12186169286877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C85-466C-A97D-F034941B1117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C85-466C-A97D-F034941B1117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C85-466C-A97D-F034941B1117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C85-466C-A97D-F034941B1117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0C85-466C-A97D-F034941B1117}"/>
                </c:ext>
              </c:extLst>
            </c:dLbl>
            <c:dLbl>
              <c:idx val="7"/>
              <c:layout>
                <c:manualLayout>
                  <c:x val="-6.9484234459177618E-2"/>
                  <c:y val="-0.1036446436818526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0C85-466C-A97D-F034941B111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Montserrat" panose="00000500000000000000" pitchFamily="50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'Loan Sizing'!$B$155:$B$162</c:f>
              <c:strCache>
                <c:ptCount val="8"/>
                <c:pt idx="0">
                  <c:v>Affordable Residential</c:v>
                </c:pt>
                <c:pt idx="1">
                  <c:v>Market Rate Residential</c:v>
                </c:pt>
                <c:pt idx="2">
                  <c:v>Retail</c:v>
                </c:pt>
                <c:pt idx="3">
                  <c:v>Hotel</c:v>
                </c:pt>
                <c:pt idx="4">
                  <c:v>Museum</c:v>
                </c:pt>
                <c:pt idx="5">
                  <c:v>Office</c:v>
                </c:pt>
                <c:pt idx="6">
                  <c:v>Industrial</c:v>
                </c:pt>
                <c:pt idx="7">
                  <c:v>Parking</c:v>
                </c:pt>
              </c:strCache>
            </c:strRef>
          </c:cat>
          <c:val>
            <c:numRef>
              <c:f>'Loan Sizing'!$H$155:$H$162</c:f>
              <c:numCache>
                <c:formatCode>#,##0_);\(#,##0\)</c:formatCode>
                <c:ptCount val="8"/>
                <c:pt idx="0">
                  <c:v>344086</c:v>
                </c:pt>
                <c:pt idx="1">
                  <c:v>516129</c:v>
                </c:pt>
                <c:pt idx="2">
                  <c:v>40599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118490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0C85-466C-A97D-F034941B11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38"/>
      </c:doughnut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ysClr val="windowText" lastClr="000000"/>
              </a:solidFill>
              <a:latin typeface="Montserrat" panose="00000500000000000000" pitchFamily="50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1"/>
          <c:order val="0"/>
          <c:tx>
            <c:strRef>
              <c:f>'Loan Sizing'!$B$176:$B$178</c:f>
              <c:strCache>
                <c:ptCount val="3"/>
                <c:pt idx="0">
                  <c:v>Unlevered IRR</c:v>
                </c:pt>
                <c:pt idx="1">
                  <c:v>Levered IRR without Opportunity Zone</c:v>
                </c:pt>
                <c:pt idx="2">
                  <c:v>Levered IRR with Opportunity Zone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Montserrat" panose="00000500000000000000" pitchFamily="50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'Loan Sizing'!$E$176:$E$178</c:f>
              <c:numCache>
                <c:formatCode>0.0%</c:formatCode>
                <c:ptCount val="3"/>
                <c:pt idx="0">
                  <c:v>0.14871588484395204</c:v>
                </c:pt>
                <c:pt idx="1">
                  <c:v>0.23400000000000001</c:v>
                </c:pt>
                <c:pt idx="2">
                  <c:v>0.32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EF5-462F-B37F-C2A8342265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-1582867920"/>
        <c:axId val="-1582835344"/>
      </c:barChart>
      <c:catAx>
        <c:axId val="-1582867920"/>
        <c:scaling>
          <c:orientation val="minMax"/>
        </c:scaling>
        <c:delete val="1"/>
        <c:axPos val="l"/>
        <c:majorTickMark val="none"/>
        <c:minorTickMark val="none"/>
        <c:tickLblPos val="nextTo"/>
        <c:crossAx val="-1582835344"/>
        <c:crosses val="autoZero"/>
        <c:auto val="1"/>
        <c:lblAlgn val="ctr"/>
        <c:lblOffset val="100"/>
        <c:noMultiLvlLbl val="0"/>
      </c:catAx>
      <c:valAx>
        <c:axId val="-1582835344"/>
        <c:scaling>
          <c:orientation val="minMax"/>
        </c:scaling>
        <c:delete val="0"/>
        <c:axPos val="b"/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ontserrat" panose="00000500000000000000" pitchFamily="50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-15828679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Montserrat" panose="00000500000000000000" pitchFamily="50" charset="0"/>
                <a:ea typeface="+mn-ea"/>
                <a:cs typeface="Arial" panose="020B0604020202020204" pitchFamily="34" charset="0"/>
              </a:defRPr>
            </a:pPr>
            <a:r>
              <a:rPr lang="en-US" b="1">
                <a:latin typeface="Montserrat" panose="00000500000000000000" pitchFamily="50" charset="0"/>
              </a:rPr>
              <a:t>Public Benefits by NPV </a:t>
            </a:r>
          </a:p>
          <a:p>
            <a:pPr>
              <a:defRPr b="1">
                <a:latin typeface="Montserrat" panose="00000500000000000000" pitchFamily="50" charset="0"/>
              </a:defRPr>
            </a:pPr>
            <a:r>
              <a:rPr lang="en-US" b="1">
                <a:latin typeface="Montserrat" panose="00000500000000000000" pitchFamily="50" charset="0"/>
              </a:rPr>
              <a:t>of Cost / Foregone Revenue</a:t>
            </a:r>
          </a:p>
        </c:rich>
      </c:tx>
      <c:layout>
        <c:manualLayout>
          <c:xMode val="edge"/>
          <c:yMode val="edge"/>
          <c:x val="0.61623360063472299"/>
          <c:y val="7.187070540516550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Montserrat" panose="00000500000000000000" pitchFamily="50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5373635211314901"/>
          <c:y val="0.21580659160736401"/>
          <c:w val="0.326480678874635"/>
          <c:h val="0.67980913385904496"/>
        </c:manualLayout>
      </c:layout>
      <c:doughnutChart>
        <c:varyColors val="1"/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38"/>
      </c:doughnut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66257051812195999"/>
          <c:y val="0.32094879495790901"/>
          <c:w val="0.33742948187804001"/>
          <c:h val="0.6789889433011300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ontserrat" panose="00000500000000000000" pitchFamily="50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'Loan Sizing'!$E$78</c:f>
              <c:strCache>
                <c:ptCount val="1"/>
                <c:pt idx="0">
                  <c:v>Yield-to-Cost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'Loan Sizing'!$B$79:$B$86</c:f>
              <c:strCache>
                <c:ptCount val="8"/>
                <c:pt idx="0">
                  <c:v>Affordable Residential</c:v>
                </c:pt>
                <c:pt idx="1">
                  <c:v>Market Rate Residential</c:v>
                </c:pt>
                <c:pt idx="2">
                  <c:v>Retail</c:v>
                </c:pt>
                <c:pt idx="3">
                  <c:v>Hotel</c:v>
                </c:pt>
                <c:pt idx="4">
                  <c:v>Museum</c:v>
                </c:pt>
                <c:pt idx="5">
                  <c:v>Office</c:v>
                </c:pt>
                <c:pt idx="6">
                  <c:v>Light Industrial</c:v>
                </c:pt>
                <c:pt idx="7">
                  <c:v>Parking</c:v>
                </c:pt>
              </c:strCache>
            </c:strRef>
          </c:cat>
          <c:val>
            <c:numRef>
              <c:f>'Loan Sizing'!$E$79:$E$86</c:f>
              <c:numCache>
                <c:formatCode>0.0%</c:formatCode>
                <c:ptCount val="8"/>
                <c:pt idx="0">
                  <c:v>6.3772463185622658E-2</c:v>
                </c:pt>
                <c:pt idx="1">
                  <c:v>6.8016862565397906E-2</c:v>
                </c:pt>
                <c:pt idx="2">
                  <c:v>0.14398834455879175</c:v>
                </c:pt>
                <c:pt idx="3">
                  <c:v>2.0291931683596273E-2</c:v>
                </c:pt>
                <c:pt idx="4">
                  <c:v>0.01</c:v>
                </c:pt>
                <c:pt idx="5">
                  <c:v>8.0522430195818354E-2</c:v>
                </c:pt>
                <c:pt idx="6">
                  <c:v>6.6961007915969317E-2</c:v>
                </c:pt>
                <c:pt idx="7">
                  <c:v>0.86551784910440632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40-494B-B848-2F3B452C4600}"/>
            </c:ext>
          </c:extLst>
        </c:ser>
        <c:ser>
          <c:idx val="3"/>
          <c:order val="1"/>
          <c:tx>
            <c:strRef>
              <c:f>'Loan Sizing'!$F$78</c:f>
              <c:strCache>
                <c:ptCount val="1"/>
                <c:pt idx="0">
                  <c:v>Yield-to-Cost after Subsidies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'Loan Sizing'!$B$79:$B$86</c:f>
              <c:strCache>
                <c:ptCount val="8"/>
                <c:pt idx="0">
                  <c:v>Affordable Residential</c:v>
                </c:pt>
                <c:pt idx="1">
                  <c:v>Market Rate Residential</c:v>
                </c:pt>
                <c:pt idx="2">
                  <c:v>Retail</c:v>
                </c:pt>
                <c:pt idx="3">
                  <c:v>Hotel</c:v>
                </c:pt>
                <c:pt idx="4">
                  <c:v>Museum</c:v>
                </c:pt>
                <c:pt idx="5">
                  <c:v>Office</c:v>
                </c:pt>
                <c:pt idx="6">
                  <c:v>Light Industrial</c:v>
                </c:pt>
                <c:pt idx="7">
                  <c:v>Parking</c:v>
                </c:pt>
              </c:strCache>
            </c:strRef>
          </c:cat>
          <c:val>
            <c:numRef>
              <c:f>'Loan Sizing'!$F$79:$F$86</c:f>
              <c:numCache>
                <c:formatCode>0.0%</c:formatCode>
                <c:ptCount val="8"/>
                <c:pt idx="0">
                  <c:v>0.16545655114881583</c:v>
                </c:pt>
                <c:pt idx="1">
                  <c:v>7.7859507085899837E-2</c:v>
                </c:pt>
                <c:pt idx="2">
                  <c:v>8.9597196651548028E-2</c:v>
                </c:pt>
                <c:pt idx="3">
                  <c:v>2.0392393215283133E-2</c:v>
                </c:pt>
                <c:pt idx="4">
                  <c:v>7.7992348144355059E-2</c:v>
                </c:pt>
                <c:pt idx="5">
                  <c:v>0.12817464324133387</c:v>
                </c:pt>
                <c:pt idx="6">
                  <c:v>8.1597070572992217E-2</c:v>
                </c:pt>
                <c:pt idx="7">
                  <c:v>0.93242344088915974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D40-494B-B848-2F3B452C4600}"/>
            </c:ext>
          </c:extLst>
        </c:ser>
        <c:ser>
          <c:idx val="4"/>
          <c:order val="2"/>
          <c:tx>
            <c:strRef>
              <c:f>'Loan Sizing'!$G$78</c:f>
              <c:strCache>
                <c:ptCount val="1"/>
                <c:pt idx="0">
                  <c:v>Exit Cap Rate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'Loan Sizing'!$B$79:$B$86</c:f>
              <c:strCache>
                <c:ptCount val="8"/>
                <c:pt idx="0">
                  <c:v>Affordable Residential</c:v>
                </c:pt>
                <c:pt idx="1">
                  <c:v>Market Rate Residential</c:v>
                </c:pt>
                <c:pt idx="2">
                  <c:v>Retail</c:v>
                </c:pt>
                <c:pt idx="3">
                  <c:v>Hotel</c:v>
                </c:pt>
                <c:pt idx="4">
                  <c:v>Museum</c:v>
                </c:pt>
                <c:pt idx="5">
                  <c:v>Office</c:v>
                </c:pt>
                <c:pt idx="6">
                  <c:v>Light Industrial</c:v>
                </c:pt>
                <c:pt idx="7">
                  <c:v>Parking</c:v>
                </c:pt>
              </c:strCache>
            </c:strRef>
          </c:cat>
          <c:val>
            <c:numRef>
              <c:f>'Loan Sizing'!$G$79:$G$86</c:f>
              <c:numCache>
                <c:formatCode>0.0%</c:formatCode>
                <c:ptCount val="8"/>
                <c:pt idx="0">
                  <c:v>5.7500000000000002E-2</c:v>
                </c:pt>
                <c:pt idx="1">
                  <c:v>5.5E-2</c:v>
                </c:pt>
                <c:pt idx="2">
                  <c:v>0.06</c:v>
                </c:pt>
                <c:pt idx="3">
                  <c:v>6.5000000000000002E-2</c:v>
                </c:pt>
                <c:pt idx="4">
                  <c:v>6.7500000000000004E-2</c:v>
                </c:pt>
                <c:pt idx="5">
                  <c:v>6.5000000000000002E-2</c:v>
                </c:pt>
                <c:pt idx="6">
                  <c:v>5.5E-2</c:v>
                </c:pt>
                <c:pt idx="7">
                  <c:v>6.5000000000000002E-2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D40-494B-B848-2F3B452C46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1546545328"/>
        <c:axId val="-1546543008"/>
      </c:barChart>
      <c:catAx>
        <c:axId val="-1546545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-1546543008"/>
        <c:crosses val="autoZero"/>
        <c:auto val="1"/>
        <c:lblAlgn val="ctr"/>
        <c:lblOffset val="100"/>
        <c:noMultiLvlLbl val="0"/>
      </c:catAx>
      <c:valAx>
        <c:axId val="-1546543008"/>
        <c:scaling>
          <c:orientation val="minMax"/>
        </c:scaling>
        <c:delete val="0"/>
        <c:axPos val="l"/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ontserrat" panose="00000500000000000000" pitchFamily="50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-1546545328"/>
        <c:crossesAt val="1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ontserrat" panose="00000500000000000000" pitchFamily="50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Montserrat" panose="00000500000000000000" pitchFamily="50" charset="0"/>
                <a:ea typeface="+mn-ea"/>
                <a:cs typeface="Arial" panose="020B0604020202020204" pitchFamily="34" charset="0"/>
              </a:defRPr>
            </a:pPr>
            <a:r>
              <a:rPr lang="en-US" b="1">
                <a:solidFill>
                  <a:sysClr val="windowText" lastClr="000000"/>
                </a:solidFill>
                <a:latin typeface="Montserrat" panose="00000500000000000000" pitchFamily="50" charset="0"/>
                <a:cs typeface="Arial" panose="020B0604020202020204" pitchFamily="34" charset="0"/>
              </a:rPr>
              <a:t>Project Breakdown by Gross SF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Montserrat" panose="00000500000000000000" pitchFamily="50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5442754200856499"/>
          <c:y val="0.19598868551238699"/>
          <c:w val="0.49114517684082198"/>
          <c:h val="0.34957329305618301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54CD-4E08-B981-BF20889CBC0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54CD-4E08-B981-BF20889CBC0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54CD-4E08-B981-BF20889CBC0E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54CD-4E08-B981-BF20889CBC0E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54CD-4E08-B981-BF20889CBC0E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54CD-4E08-B981-BF20889CBC0E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54CD-4E08-B981-BF20889CBC0E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54CD-4E08-B981-BF20889CBC0E}"/>
              </c:ext>
            </c:extLst>
          </c:dPt>
          <c:dLbls>
            <c:dLbl>
              <c:idx val="0"/>
              <c:layout>
                <c:manualLayout>
                  <c:x val="0.15239321518902799"/>
                  <c:y val="-0.1131820093334310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4CD-4E08-B981-BF20889CBC0E}"/>
                </c:ext>
              </c:extLst>
            </c:dLbl>
            <c:dLbl>
              <c:idx val="1"/>
              <c:layout>
                <c:manualLayout>
                  <c:x val="0.200430206933396"/>
                  <c:y val="-6.4843859513944904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ysClr val="windowText" lastClr="000000"/>
                      </a:solidFill>
                      <a:latin typeface="Montserrat" panose="00000500000000000000" pitchFamily="50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0901060752773401"/>
                      <c:h val="8.2764344325071501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54CD-4E08-B981-BF20889CBC0E}"/>
                </c:ext>
              </c:extLst>
            </c:dLbl>
            <c:dLbl>
              <c:idx val="2"/>
              <c:layout>
                <c:manualLayout>
                  <c:x val="0.23852851073065301"/>
                  <c:y val="9.90342581667521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4CD-4E08-B981-BF20889CBC0E}"/>
                </c:ext>
              </c:extLst>
            </c:dLbl>
            <c:dLbl>
              <c:idx val="3"/>
              <c:layout>
                <c:manualLayout>
                  <c:x val="2.9816063841331598E-2"/>
                  <c:y val="0.1178979263889910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4CD-4E08-B981-BF20889CBC0E}"/>
                </c:ext>
              </c:extLst>
            </c:dLbl>
            <c:dLbl>
              <c:idx val="4"/>
              <c:layout>
                <c:manualLayout>
                  <c:x val="-0.13914163125954701"/>
                  <c:y val="9.43183411111925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4CD-4E08-B981-BF20889CBC0E}"/>
                </c:ext>
              </c:extLst>
            </c:dLbl>
            <c:dLbl>
              <c:idx val="5"/>
              <c:layout>
                <c:manualLayout>
                  <c:x val="-0.202086654924581"/>
                  <c:y val="-1.17897926388991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4CD-4E08-B981-BF20889CBC0E}"/>
                </c:ext>
              </c:extLst>
            </c:dLbl>
            <c:dLbl>
              <c:idx val="6"/>
              <c:layout>
                <c:manualLayout>
                  <c:x val="-0.24515430269539301"/>
                  <c:y val="-8.252854847229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54CD-4E08-B981-BF20889CBC0E}"/>
                </c:ext>
              </c:extLst>
            </c:dLbl>
            <c:dLbl>
              <c:idx val="7"/>
              <c:layout>
                <c:manualLayout>
                  <c:x val="-0.13251583929480701"/>
                  <c:y val="-0.11553996786121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54CD-4E08-B981-BF20889CBC0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Montserrat" panose="00000500000000000000" pitchFamily="50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'Loan Sizing'!$B$79:$B$86</c:f>
              <c:strCache>
                <c:ptCount val="8"/>
                <c:pt idx="0">
                  <c:v>Affordable Residential</c:v>
                </c:pt>
                <c:pt idx="1">
                  <c:v>Market Rate Residential</c:v>
                </c:pt>
                <c:pt idx="2">
                  <c:v>Retail</c:v>
                </c:pt>
                <c:pt idx="3">
                  <c:v>Hotel</c:v>
                </c:pt>
                <c:pt idx="4">
                  <c:v>Museum</c:v>
                </c:pt>
                <c:pt idx="5">
                  <c:v>Office</c:v>
                </c:pt>
                <c:pt idx="6">
                  <c:v>Light Industrial</c:v>
                </c:pt>
                <c:pt idx="7">
                  <c:v>Parking</c:v>
                </c:pt>
              </c:strCache>
            </c:strRef>
          </c:cat>
          <c:val>
            <c:numRef>
              <c:f>'Loan Sizing'!$H$68:$H$75</c:f>
              <c:numCache>
                <c:formatCode>#,##0_);\(#,##0\)</c:formatCode>
                <c:ptCount val="8"/>
                <c:pt idx="0">
                  <c:v>999680</c:v>
                </c:pt>
                <c:pt idx="1">
                  <c:v>1499520</c:v>
                </c:pt>
                <c:pt idx="2">
                  <c:v>277030</c:v>
                </c:pt>
                <c:pt idx="3">
                  <c:v>79256</c:v>
                </c:pt>
                <c:pt idx="4">
                  <c:v>125425</c:v>
                </c:pt>
                <c:pt idx="5">
                  <c:v>632937</c:v>
                </c:pt>
                <c:pt idx="6">
                  <c:v>37784</c:v>
                </c:pt>
                <c:pt idx="7">
                  <c:v>516204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B2-451F-BD40-270E827F6F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38"/>
      </c:doughnut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34185851899463"/>
          <c:y val="0.650593992033071"/>
          <c:w val="0.67530880364282897"/>
          <c:h val="0.3187525471057919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ysClr val="windowText" lastClr="000000"/>
              </a:solidFill>
              <a:latin typeface="Montserrat" panose="00000500000000000000" pitchFamily="50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'Loan Sizing'!$B$91</c:f>
              <c:strCache>
                <c:ptCount val="1"/>
                <c:pt idx="0">
                  <c:v>Levered IRR with Opportunity Zone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Montserrat" panose="00000500000000000000" pitchFamily="50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'Loan Sizing'!$E$91</c:f>
              <c:numCache>
                <c:formatCode>0.0%</c:formatCode>
                <c:ptCount val="1"/>
                <c:pt idx="0">
                  <c:v>0.30439856080056854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DD-4816-A7EF-60F6D419F023}"/>
            </c:ext>
          </c:extLst>
        </c:ser>
        <c:ser>
          <c:idx val="1"/>
          <c:order val="1"/>
          <c:tx>
            <c:strRef>
              <c:f>'Loan Sizing'!$B$90</c:f>
              <c:strCache>
                <c:ptCount val="1"/>
                <c:pt idx="0">
                  <c:v>Levered IRR without Opportunity Zone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Montserrat" panose="00000500000000000000" pitchFamily="50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'Loan Sizing'!$E$90</c:f>
              <c:numCache>
                <c:formatCode>0.0%</c:formatCode>
                <c:ptCount val="1"/>
                <c:pt idx="0">
                  <c:v>0.16318184493039323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9DD-4816-A7EF-60F6D419F023}"/>
            </c:ext>
          </c:extLst>
        </c:ser>
        <c:ser>
          <c:idx val="2"/>
          <c:order val="2"/>
          <c:tx>
            <c:strRef>
              <c:f>'Loan Sizing'!$B$89</c:f>
              <c:strCache>
                <c:ptCount val="1"/>
                <c:pt idx="0">
                  <c:v>Unlevered IRR</c:v>
                </c:pt>
              </c:strCache>
            </c:strRef>
          </c:tx>
          <c:spPr>
            <a:solidFill>
              <a:srgbClr val="87153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0-1405-274A-AAE7-F8EFF260149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Montserrat" panose="00000500000000000000" pitchFamily="50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'Loan Sizing'!$E$89</c:f>
              <c:numCache>
                <c:formatCode>0.0%</c:formatCode>
                <c:ptCount val="1"/>
                <c:pt idx="0">
                  <c:v>0.13026177012390683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9DD-4816-A7EF-60F6D419F0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-1545392992"/>
        <c:axId val="-1545390160"/>
      </c:barChart>
      <c:catAx>
        <c:axId val="-1545392992"/>
        <c:scaling>
          <c:orientation val="minMax"/>
        </c:scaling>
        <c:delete val="1"/>
        <c:axPos val="l"/>
        <c:majorTickMark val="none"/>
        <c:minorTickMark val="none"/>
        <c:tickLblPos val="nextTo"/>
        <c:crossAx val="-1545390160"/>
        <c:crosses val="autoZero"/>
        <c:auto val="1"/>
        <c:lblAlgn val="ctr"/>
        <c:lblOffset val="100"/>
        <c:noMultiLvlLbl val="0"/>
      </c:catAx>
      <c:valAx>
        <c:axId val="-1545390160"/>
        <c:scaling>
          <c:orientation val="minMax"/>
        </c:scaling>
        <c:delete val="0"/>
        <c:axPos val="b"/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ontserrat" panose="00000500000000000000" pitchFamily="50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-15453929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0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ontserrat" panose="00000500000000000000" pitchFamily="50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'Loan Sizing'!$E$78</c:f>
              <c:strCache>
                <c:ptCount val="1"/>
                <c:pt idx="0">
                  <c:v>Yield-to-Cost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'Loan Sizing'!$B$108:$B$115</c:f>
              <c:strCache>
                <c:ptCount val="8"/>
                <c:pt idx="0">
                  <c:v>Affordable Residential</c:v>
                </c:pt>
                <c:pt idx="1">
                  <c:v>Market Rate Residential</c:v>
                </c:pt>
                <c:pt idx="2">
                  <c:v>Retail</c:v>
                </c:pt>
                <c:pt idx="3">
                  <c:v>Hotel</c:v>
                </c:pt>
                <c:pt idx="4">
                  <c:v>Museum</c:v>
                </c:pt>
                <c:pt idx="5">
                  <c:v>Office</c:v>
                </c:pt>
                <c:pt idx="6">
                  <c:v>Light Industrial</c:v>
                </c:pt>
                <c:pt idx="7">
                  <c:v>Parking</c:v>
                </c:pt>
              </c:strCache>
            </c:strRef>
          </c:cat>
          <c:val>
            <c:numRef>
              <c:f>'Loan Sizing'!$E$108:$E$115</c:f>
              <c:numCache>
                <c:formatCode>0.0%</c:formatCode>
                <c:ptCount val="8"/>
                <c:pt idx="0">
                  <c:v>3.9783733067260867E-3</c:v>
                </c:pt>
                <c:pt idx="1">
                  <c:v>1.4609756218590817E-2</c:v>
                </c:pt>
                <c:pt idx="2">
                  <c:v>0.10777273542018873</c:v>
                </c:pt>
                <c:pt idx="3">
                  <c:v>8.8583987071695208E-2</c:v>
                </c:pt>
                <c:pt idx="4">
                  <c:v>6.8735885348604017E-2</c:v>
                </c:pt>
                <c:pt idx="5">
                  <c:v>0.14434404788753635</c:v>
                </c:pt>
                <c:pt idx="6">
                  <c:v>0</c:v>
                </c:pt>
                <c:pt idx="7">
                  <c:v>5.1693942893015606E-2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8A-4BED-B8D0-3C30989A428A}"/>
            </c:ext>
          </c:extLst>
        </c:ser>
        <c:ser>
          <c:idx val="3"/>
          <c:order val="1"/>
          <c:tx>
            <c:strRef>
              <c:f>'Loan Sizing'!$F$78</c:f>
              <c:strCache>
                <c:ptCount val="1"/>
                <c:pt idx="0">
                  <c:v>Yield-to-Cost after Subsidies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'Loan Sizing'!$B$108:$B$115</c:f>
              <c:strCache>
                <c:ptCount val="8"/>
                <c:pt idx="0">
                  <c:v>Affordable Residential</c:v>
                </c:pt>
                <c:pt idx="1">
                  <c:v>Market Rate Residential</c:v>
                </c:pt>
                <c:pt idx="2">
                  <c:v>Retail</c:v>
                </c:pt>
                <c:pt idx="3">
                  <c:v>Hotel</c:v>
                </c:pt>
                <c:pt idx="4">
                  <c:v>Museum</c:v>
                </c:pt>
                <c:pt idx="5">
                  <c:v>Office</c:v>
                </c:pt>
                <c:pt idx="6">
                  <c:v>Light Industrial</c:v>
                </c:pt>
                <c:pt idx="7">
                  <c:v>Parking</c:v>
                </c:pt>
              </c:strCache>
            </c:strRef>
          </c:cat>
          <c:val>
            <c:numRef>
              <c:f>'Loan Sizing'!$F$108:$F$115</c:f>
              <c:numCache>
                <c:formatCode>0.0%</c:formatCode>
                <c:ptCount val="8"/>
                <c:pt idx="0">
                  <c:v>4.2468606397606532E-3</c:v>
                </c:pt>
                <c:pt idx="1">
                  <c:v>1.7538823767810657E-2</c:v>
                </c:pt>
                <c:pt idx="2">
                  <c:v>0.10872492430849326</c:v>
                </c:pt>
                <c:pt idx="3">
                  <c:v>9.0600592031507665E-2</c:v>
                </c:pt>
                <c:pt idx="4">
                  <c:v>0.10232007858785076</c:v>
                </c:pt>
                <c:pt idx="5">
                  <c:v>0.1456193500124712</c:v>
                </c:pt>
                <c:pt idx="6">
                  <c:v>0</c:v>
                </c:pt>
                <c:pt idx="7">
                  <c:v>5.2150666922738599E-2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38A-4BED-B8D0-3C30989A428A}"/>
            </c:ext>
          </c:extLst>
        </c:ser>
        <c:ser>
          <c:idx val="4"/>
          <c:order val="2"/>
          <c:tx>
            <c:strRef>
              <c:f>'Loan Sizing'!$G$78</c:f>
              <c:strCache>
                <c:ptCount val="1"/>
                <c:pt idx="0">
                  <c:v>Exit Cap Rate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'Loan Sizing'!$B$108:$B$115</c:f>
              <c:strCache>
                <c:ptCount val="8"/>
                <c:pt idx="0">
                  <c:v>Affordable Residential</c:v>
                </c:pt>
                <c:pt idx="1">
                  <c:v>Market Rate Residential</c:v>
                </c:pt>
                <c:pt idx="2">
                  <c:v>Retail</c:v>
                </c:pt>
                <c:pt idx="3">
                  <c:v>Hotel</c:v>
                </c:pt>
                <c:pt idx="4">
                  <c:v>Museum</c:v>
                </c:pt>
                <c:pt idx="5">
                  <c:v>Office</c:v>
                </c:pt>
                <c:pt idx="6">
                  <c:v>Light Industrial</c:v>
                </c:pt>
                <c:pt idx="7">
                  <c:v>Parking</c:v>
                </c:pt>
              </c:strCache>
            </c:strRef>
          </c:cat>
          <c:val>
            <c:numRef>
              <c:f>'Loan Sizing'!$G$108:$G$115</c:f>
              <c:numCache>
                <c:formatCode>0.0%</c:formatCode>
                <c:ptCount val="8"/>
                <c:pt idx="0">
                  <c:v>5.7500000000000002E-2</c:v>
                </c:pt>
                <c:pt idx="1">
                  <c:v>5.5E-2</c:v>
                </c:pt>
                <c:pt idx="2">
                  <c:v>0.06</c:v>
                </c:pt>
                <c:pt idx="3">
                  <c:v>6.5000000000000002E-2</c:v>
                </c:pt>
                <c:pt idx="4">
                  <c:v>6.7500000000000004E-2</c:v>
                </c:pt>
                <c:pt idx="5">
                  <c:v>6.5000000000000002E-2</c:v>
                </c:pt>
                <c:pt idx="6">
                  <c:v>0</c:v>
                </c:pt>
                <c:pt idx="7">
                  <c:v>6.5000000000000002E-2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38A-4BED-B8D0-3C30989A42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1545360480"/>
        <c:axId val="-1545358160"/>
      </c:barChart>
      <c:catAx>
        <c:axId val="-1545360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ontserrat" panose="00000500000000000000" pitchFamily="50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-1545358160"/>
        <c:crosses val="autoZero"/>
        <c:auto val="1"/>
        <c:lblAlgn val="ctr"/>
        <c:lblOffset val="100"/>
        <c:noMultiLvlLbl val="0"/>
      </c:catAx>
      <c:valAx>
        <c:axId val="-1545358160"/>
        <c:scaling>
          <c:orientation val="minMax"/>
        </c:scaling>
        <c:delete val="0"/>
        <c:axPos val="r"/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ontserrat" panose="00000500000000000000" pitchFamily="50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-1545360480"/>
        <c:crosses val="max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ontserrat" panose="00000500000000000000" pitchFamily="50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Montserrat" panose="00000500000000000000" pitchFamily="50" charset="0"/>
                <a:ea typeface="+mn-ea"/>
                <a:cs typeface="Arial" panose="020B0604020202020204" pitchFamily="34" charset="0"/>
              </a:defRPr>
            </a:pPr>
            <a:r>
              <a:rPr lang="en-US" b="1">
                <a:solidFill>
                  <a:sysClr val="windowText" lastClr="000000"/>
                </a:solidFill>
                <a:latin typeface="Montserrat" panose="00000500000000000000" pitchFamily="50" charset="0"/>
                <a:cs typeface="Arial" panose="020B0604020202020204" pitchFamily="34" charset="0"/>
              </a:rPr>
              <a:t>Project Breakdown by Gross SF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Montserrat" panose="00000500000000000000" pitchFamily="50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6436622995567499"/>
          <c:y val="0.17476721198006101"/>
          <c:w val="0.49114491598287102"/>
          <c:h val="0.34957304248631998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4A8F-48A4-9D0B-2A92FB7BD7B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4A8F-48A4-9D0B-2A92FB7BD7B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4A8F-48A4-9D0B-2A92FB7BD7BB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4A8F-48A4-9D0B-2A92FB7BD7BB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4A8F-48A4-9D0B-2A92FB7BD7BB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4A8F-48A4-9D0B-2A92FB7BD7BB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4A8F-48A4-9D0B-2A92FB7BD7BB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4A8F-48A4-9D0B-2A92FB7BD7BB}"/>
              </c:ext>
            </c:extLst>
          </c:dPt>
          <c:dLbls>
            <c:dLbl>
              <c:idx val="0"/>
              <c:layout>
                <c:manualLayout>
                  <c:x val="0.17227059108324899"/>
                  <c:y val="-0.11553994640936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A8F-48A4-9D0B-2A92FB7BD7BB}"/>
                </c:ext>
              </c:extLst>
            </c:dLbl>
            <c:dLbl>
              <c:idx val="1"/>
              <c:layout>
                <c:manualLayout>
                  <c:x val="0.16728686998055367"/>
                  <c:y val="9.185307683794895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A8F-48A4-9D0B-2A92FB7BD7BB}"/>
                </c:ext>
              </c:extLst>
            </c:dLbl>
            <c:dLbl>
              <c:idx val="2"/>
              <c:layout>
                <c:manualLayout>
                  <c:x val="8.6048656683097066E-2"/>
                  <c:y val="0.1257634887199090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A8F-48A4-9D0B-2A92FB7BD7BB}"/>
                </c:ext>
              </c:extLst>
            </c:dLbl>
            <c:dLbl>
              <c:idx val="3"/>
              <c:layout>
                <c:manualLayout>
                  <c:x val="-0.13251583929480701"/>
                  <c:y val="0.1131819883193810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A8F-48A4-9D0B-2A92FB7BD7BB}"/>
                </c:ext>
              </c:extLst>
            </c:dLbl>
            <c:dLbl>
              <c:idx val="4"/>
              <c:layout>
                <c:manualLayout>
                  <c:x val="-0.14967928419098422"/>
                  <c:y val="5.86322891022870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A8F-48A4-9D0B-2A92FB7BD7BB}"/>
                </c:ext>
              </c:extLst>
            </c:dLbl>
            <c:dLbl>
              <c:idx val="5"/>
              <c:layout>
                <c:manualLayout>
                  <c:x val="-0.202086654924581"/>
                  <c:y val="-8.25285331495486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A8F-48A4-9D0B-2A92FB7BD7BB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4A8F-48A4-9D0B-2A92FB7BD7BB}"/>
                </c:ext>
              </c:extLst>
            </c:dLbl>
            <c:dLbl>
              <c:idx val="7"/>
              <c:layout>
                <c:manualLayout>
                  <c:x val="-0.12257715134769701"/>
                  <c:y val="-0.1061081140494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4A8F-48A4-9D0B-2A92FB7BD7B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Montserrat" panose="00000500000000000000" pitchFamily="50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'Loan Sizing'!$B$97:$B$104</c:f>
              <c:strCache>
                <c:ptCount val="8"/>
                <c:pt idx="0">
                  <c:v>Affordable Residential</c:v>
                </c:pt>
                <c:pt idx="1">
                  <c:v>Market Rate Residential</c:v>
                </c:pt>
                <c:pt idx="2">
                  <c:v>Retail</c:v>
                </c:pt>
                <c:pt idx="3">
                  <c:v>Hotel</c:v>
                </c:pt>
                <c:pt idx="4">
                  <c:v>Museum</c:v>
                </c:pt>
                <c:pt idx="5">
                  <c:v>Office</c:v>
                </c:pt>
                <c:pt idx="6">
                  <c:v>Light Industrial</c:v>
                </c:pt>
                <c:pt idx="7">
                  <c:v>Parking</c:v>
                </c:pt>
              </c:strCache>
            </c:strRef>
          </c:cat>
          <c:val>
            <c:numRef>
              <c:f>'Loan Sizing'!$H$97:$H$104</c:f>
              <c:numCache>
                <c:formatCode>#,##0_);\(#,##0\)</c:formatCode>
                <c:ptCount val="8"/>
                <c:pt idx="0">
                  <c:v>356081.2</c:v>
                </c:pt>
                <c:pt idx="1">
                  <c:v>534121.80000000005</c:v>
                </c:pt>
                <c:pt idx="2">
                  <c:v>110506</c:v>
                </c:pt>
                <c:pt idx="3">
                  <c:v>79256</c:v>
                </c:pt>
                <c:pt idx="4">
                  <c:v>125425</c:v>
                </c:pt>
                <c:pt idx="5">
                  <c:v>324177</c:v>
                </c:pt>
                <c:pt idx="6">
                  <c:v>37784</c:v>
                </c:pt>
                <c:pt idx="7">
                  <c:v>254516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4A8F-48A4-9D0B-2A92FB7BD7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38"/>
      </c:doughnut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ysClr val="windowText" lastClr="000000"/>
              </a:solidFill>
              <a:latin typeface="Montserrat" panose="00000500000000000000" pitchFamily="50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'Loan Sizing'!$B$120</c:f>
              <c:strCache>
                <c:ptCount val="1"/>
                <c:pt idx="0">
                  <c:v>Levered IRR with Opportunity Zone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Montserrat" panose="00000500000000000000" pitchFamily="50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'Loan Sizing'!$E$120</c:f>
              <c:numCache>
                <c:formatCode>0.0%</c:formatCode>
                <c:ptCount val="1"/>
                <c:pt idx="0">
                  <c:v>0.29690186695228693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14-418D-9C32-A16414CCB83D}"/>
            </c:ext>
          </c:extLst>
        </c:ser>
        <c:ser>
          <c:idx val="1"/>
          <c:order val="1"/>
          <c:tx>
            <c:strRef>
              <c:f>'Loan Sizing'!$B$119</c:f>
              <c:strCache>
                <c:ptCount val="1"/>
                <c:pt idx="0">
                  <c:v>Levered IRR without Opportunity Zone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Montserrat" panose="00000500000000000000" pitchFamily="50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'Loan Sizing'!$E$119</c:f>
              <c:numCache>
                <c:formatCode>0.0%</c:formatCode>
                <c:ptCount val="1"/>
                <c:pt idx="0">
                  <c:v>0.20216207550226173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214-418D-9C32-A16414CCB83D}"/>
            </c:ext>
          </c:extLst>
        </c:ser>
        <c:ser>
          <c:idx val="2"/>
          <c:order val="2"/>
          <c:tx>
            <c:strRef>
              <c:f>'Loan Sizing'!$B$118</c:f>
              <c:strCache>
                <c:ptCount val="1"/>
                <c:pt idx="0">
                  <c:v>Unlevered IRR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Montserrat" panose="00000500000000000000" pitchFamily="50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'Loan Sizing'!$E$118</c:f>
              <c:numCache>
                <c:formatCode>0.0%</c:formatCode>
                <c:ptCount val="1"/>
                <c:pt idx="0">
                  <c:v>0.13222313628872229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14-418D-9C32-A16414CCB8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-1545317072"/>
        <c:axId val="-1545314240"/>
      </c:barChart>
      <c:catAx>
        <c:axId val="-1545317072"/>
        <c:scaling>
          <c:orientation val="minMax"/>
        </c:scaling>
        <c:delete val="1"/>
        <c:axPos val="l"/>
        <c:majorTickMark val="none"/>
        <c:minorTickMark val="none"/>
        <c:tickLblPos val="nextTo"/>
        <c:crossAx val="-1545314240"/>
        <c:crosses val="autoZero"/>
        <c:auto val="1"/>
        <c:lblAlgn val="ctr"/>
        <c:lblOffset val="100"/>
        <c:noMultiLvlLbl val="0"/>
      </c:catAx>
      <c:valAx>
        <c:axId val="-1545314240"/>
        <c:scaling>
          <c:orientation val="minMax"/>
        </c:scaling>
        <c:delete val="0"/>
        <c:axPos val="b"/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ontserrat" panose="00000500000000000000" pitchFamily="50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-15453170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0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ontserrat" panose="00000500000000000000" pitchFamily="50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'Loan Sizing'!$E$78</c:f>
              <c:strCache>
                <c:ptCount val="1"/>
                <c:pt idx="0">
                  <c:v>Yield-to-Cost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'Loan Sizing'!$B$137:$B$144</c:f>
              <c:strCache>
                <c:ptCount val="8"/>
                <c:pt idx="0">
                  <c:v>Affordable Residential</c:v>
                </c:pt>
                <c:pt idx="1">
                  <c:v>Market Rate Residential</c:v>
                </c:pt>
                <c:pt idx="2">
                  <c:v>Retail</c:v>
                </c:pt>
                <c:pt idx="3">
                  <c:v>Hotel</c:v>
                </c:pt>
                <c:pt idx="4">
                  <c:v>Museum</c:v>
                </c:pt>
                <c:pt idx="5">
                  <c:v>Office</c:v>
                </c:pt>
                <c:pt idx="6">
                  <c:v>Light Industrial</c:v>
                </c:pt>
                <c:pt idx="7">
                  <c:v>Parking</c:v>
                </c:pt>
              </c:strCache>
            </c:strRef>
          </c:cat>
          <c:val>
            <c:numRef>
              <c:f>'Loan Sizing'!$E$137:$E$144</c:f>
              <c:numCache>
                <c:formatCode>0.0%</c:formatCode>
                <c:ptCount val="8"/>
                <c:pt idx="0">
                  <c:v>0.11756988000321116</c:v>
                </c:pt>
                <c:pt idx="1">
                  <c:v>0.12606605087818307</c:v>
                </c:pt>
                <c:pt idx="2">
                  <c:v>0.20930337676488819</c:v>
                </c:pt>
                <c:pt idx="3">
                  <c:v>0</c:v>
                </c:pt>
                <c:pt idx="4" formatCode="General">
                  <c:v>0</c:v>
                </c:pt>
                <c:pt idx="5">
                  <c:v>8.0920664766031589E-2</c:v>
                </c:pt>
                <c:pt idx="6">
                  <c:v>0</c:v>
                </c:pt>
                <c:pt idx="7">
                  <c:v>0.17663519155157892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C8-4218-AC4F-EC613C0B228E}"/>
            </c:ext>
          </c:extLst>
        </c:ser>
        <c:ser>
          <c:idx val="3"/>
          <c:order val="1"/>
          <c:tx>
            <c:strRef>
              <c:f>'Loan Sizing'!$F$78</c:f>
              <c:strCache>
                <c:ptCount val="1"/>
                <c:pt idx="0">
                  <c:v>Yield-to-Cost after Subsidies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'Loan Sizing'!$B$137:$B$144</c:f>
              <c:strCache>
                <c:ptCount val="8"/>
                <c:pt idx="0">
                  <c:v>Affordable Residential</c:v>
                </c:pt>
                <c:pt idx="1">
                  <c:v>Market Rate Residential</c:v>
                </c:pt>
                <c:pt idx="2">
                  <c:v>Retail</c:v>
                </c:pt>
                <c:pt idx="3">
                  <c:v>Hotel</c:v>
                </c:pt>
                <c:pt idx="4">
                  <c:v>Museum</c:v>
                </c:pt>
                <c:pt idx="5">
                  <c:v>Office</c:v>
                </c:pt>
                <c:pt idx="6">
                  <c:v>Light Industrial</c:v>
                </c:pt>
                <c:pt idx="7">
                  <c:v>Parking</c:v>
                </c:pt>
              </c:strCache>
            </c:strRef>
          </c:cat>
          <c:val>
            <c:numRef>
              <c:f>'Loan Sizing'!$F$137:$F$144</c:f>
              <c:numCache>
                <c:formatCode>0.0%</c:formatCode>
                <c:ptCount val="8"/>
                <c:pt idx="0">
                  <c:v>0.32748293097883296</c:v>
                </c:pt>
                <c:pt idx="1">
                  <c:v>0.1425843037083247</c:v>
                </c:pt>
                <c:pt idx="2">
                  <c:v>0.26050763863365789</c:v>
                </c:pt>
                <c:pt idx="3">
                  <c:v>0</c:v>
                </c:pt>
                <c:pt idx="4">
                  <c:v>0</c:v>
                </c:pt>
                <c:pt idx="5">
                  <c:v>0.10071720590797985</c:v>
                </c:pt>
                <c:pt idx="6">
                  <c:v>0</c:v>
                </c:pt>
                <c:pt idx="7">
                  <c:v>9.8901839073602477E-2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0C8-4218-AC4F-EC613C0B228E}"/>
            </c:ext>
          </c:extLst>
        </c:ser>
        <c:ser>
          <c:idx val="4"/>
          <c:order val="2"/>
          <c:tx>
            <c:strRef>
              <c:f>'Loan Sizing'!$G$78</c:f>
              <c:strCache>
                <c:ptCount val="1"/>
                <c:pt idx="0">
                  <c:v>Exit Cap Rate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'Loan Sizing'!$B$137:$B$144</c:f>
              <c:strCache>
                <c:ptCount val="8"/>
                <c:pt idx="0">
                  <c:v>Affordable Residential</c:v>
                </c:pt>
                <c:pt idx="1">
                  <c:v>Market Rate Residential</c:v>
                </c:pt>
                <c:pt idx="2">
                  <c:v>Retail</c:v>
                </c:pt>
                <c:pt idx="3">
                  <c:v>Hotel</c:v>
                </c:pt>
                <c:pt idx="4">
                  <c:v>Museum</c:v>
                </c:pt>
                <c:pt idx="5">
                  <c:v>Office</c:v>
                </c:pt>
                <c:pt idx="6">
                  <c:v>Light Industrial</c:v>
                </c:pt>
                <c:pt idx="7">
                  <c:v>Parking</c:v>
                </c:pt>
              </c:strCache>
            </c:strRef>
          </c:cat>
          <c:val>
            <c:numRef>
              <c:f>'Loan Sizing'!$G$137:$G$144</c:f>
              <c:numCache>
                <c:formatCode>0.0%</c:formatCode>
                <c:ptCount val="8"/>
                <c:pt idx="0">
                  <c:v>5.7500000000000002E-2</c:v>
                </c:pt>
                <c:pt idx="1">
                  <c:v>5.5E-2</c:v>
                </c:pt>
                <c:pt idx="2">
                  <c:v>0.06</c:v>
                </c:pt>
                <c:pt idx="3">
                  <c:v>6.5000000000000002E-2</c:v>
                </c:pt>
                <c:pt idx="4">
                  <c:v>0</c:v>
                </c:pt>
                <c:pt idx="5">
                  <c:v>6.5000000000000002E-2</c:v>
                </c:pt>
                <c:pt idx="6">
                  <c:v>0</c:v>
                </c:pt>
                <c:pt idx="7">
                  <c:v>6.5000000000000002E-2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0C8-4218-AC4F-EC613C0B22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1582976672"/>
        <c:axId val="-1582974624"/>
      </c:barChart>
      <c:catAx>
        <c:axId val="-1582976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ontserrat" panose="00000500000000000000" pitchFamily="50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-1582974624"/>
        <c:crosses val="autoZero"/>
        <c:auto val="1"/>
        <c:lblAlgn val="ctr"/>
        <c:lblOffset val="100"/>
        <c:noMultiLvlLbl val="0"/>
      </c:catAx>
      <c:valAx>
        <c:axId val="-1582974624"/>
        <c:scaling>
          <c:orientation val="minMax"/>
        </c:scaling>
        <c:delete val="0"/>
        <c:axPos val="l"/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ontserrat" panose="00000500000000000000" pitchFamily="50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-1582976672"/>
        <c:crossesAt val="1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ontserrat" panose="00000500000000000000" pitchFamily="50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0.xml"/><Relationship Id="rId3" Type="http://schemas.openxmlformats.org/officeDocument/2006/relationships/chart" Target="../charts/chart5.xml"/><Relationship Id="rId7" Type="http://schemas.openxmlformats.org/officeDocument/2006/relationships/chart" Target="../charts/chart9.xml"/><Relationship Id="rId12" Type="http://schemas.openxmlformats.org/officeDocument/2006/relationships/chart" Target="../charts/chart14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6" Type="http://schemas.openxmlformats.org/officeDocument/2006/relationships/chart" Target="../charts/chart8.xml"/><Relationship Id="rId11" Type="http://schemas.openxmlformats.org/officeDocument/2006/relationships/chart" Target="../charts/chart13.xml"/><Relationship Id="rId5" Type="http://schemas.openxmlformats.org/officeDocument/2006/relationships/chart" Target="../charts/chart7.xml"/><Relationship Id="rId10" Type="http://schemas.openxmlformats.org/officeDocument/2006/relationships/chart" Target="../charts/chart12.xml"/><Relationship Id="rId4" Type="http://schemas.openxmlformats.org/officeDocument/2006/relationships/chart" Target="../charts/chart6.xml"/><Relationship Id="rId9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577272</xdr:colOff>
      <xdr:row>38</xdr:row>
      <xdr:rowOff>117764</xdr:rowOff>
    </xdr:from>
    <xdr:to>
      <xdr:col>7</xdr:col>
      <xdr:colOff>968374</xdr:colOff>
      <xdr:row>54</xdr:row>
      <xdr:rowOff>150091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2E9511E-DDCD-464A-99CC-04D9BFECEB7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565727</xdr:colOff>
      <xdr:row>54</xdr:row>
      <xdr:rowOff>199159</xdr:rowOff>
    </xdr:from>
    <xdr:to>
      <xdr:col>7</xdr:col>
      <xdr:colOff>971260</xdr:colOff>
      <xdr:row>71</xdr:row>
      <xdr:rowOff>25111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A467FFD4-0644-49DB-B158-C402F05F4CD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981363</xdr:colOff>
      <xdr:row>67</xdr:row>
      <xdr:rowOff>69273</xdr:rowOff>
    </xdr:from>
    <xdr:to>
      <xdr:col>14</xdr:col>
      <xdr:colOff>923635</xdr:colOff>
      <xdr:row>83</xdr:row>
      <xdr:rowOff>46182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2D02F424-8B5B-463E-BF0D-47600FB3A13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854363</xdr:colOff>
      <xdr:row>67</xdr:row>
      <xdr:rowOff>47770</xdr:rowOff>
    </xdr:from>
    <xdr:to>
      <xdr:col>17</xdr:col>
      <xdr:colOff>1789545</xdr:colOff>
      <xdr:row>93</xdr:row>
      <xdr:rowOff>127000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34FA3F8D-C22F-47D4-A161-A2D0C2AD458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161637</xdr:colOff>
      <xdr:row>82</xdr:row>
      <xdr:rowOff>187036</xdr:rowOff>
    </xdr:from>
    <xdr:to>
      <xdr:col>14</xdr:col>
      <xdr:colOff>819728</xdr:colOff>
      <xdr:row>93</xdr:row>
      <xdr:rowOff>173181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47C8A1D6-EB09-4D96-A7FF-A51D2335772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981363</xdr:colOff>
      <xdr:row>96</xdr:row>
      <xdr:rowOff>69273</xdr:rowOff>
    </xdr:from>
    <xdr:to>
      <xdr:col>14</xdr:col>
      <xdr:colOff>923635</xdr:colOff>
      <xdr:row>112</xdr:row>
      <xdr:rowOff>46182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67B4D089-288D-484B-B257-7E2318D5F11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14</xdr:col>
      <xdr:colOff>854363</xdr:colOff>
      <xdr:row>96</xdr:row>
      <xdr:rowOff>47770</xdr:rowOff>
    </xdr:from>
    <xdr:to>
      <xdr:col>17</xdr:col>
      <xdr:colOff>1789545</xdr:colOff>
      <xdr:row>122</xdr:row>
      <xdr:rowOff>127000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8EF1C771-049C-43D7-9BE4-9B8DDAC7C98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161637</xdr:colOff>
      <xdr:row>111</xdr:row>
      <xdr:rowOff>187036</xdr:rowOff>
    </xdr:from>
    <xdr:to>
      <xdr:col>14</xdr:col>
      <xdr:colOff>819728</xdr:colOff>
      <xdr:row>122</xdr:row>
      <xdr:rowOff>173181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EF97BA8B-05EC-40FD-BDFF-1187431B281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8</xdr:col>
      <xdr:colOff>981363</xdr:colOff>
      <xdr:row>125</xdr:row>
      <xdr:rowOff>69273</xdr:rowOff>
    </xdr:from>
    <xdr:to>
      <xdr:col>14</xdr:col>
      <xdr:colOff>923635</xdr:colOff>
      <xdr:row>141</xdr:row>
      <xdr:rowOff>46182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7A5790CE-EEF6-4EB2-B50B-F6124946E7D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14</xdr:col>
      <xdr:colOff>854363</xdr:colOff>
      <xdr:row>125</xdr:row>
      <xdr:rowOff>47770</xdr:rowOff>
    </xdr:from>
    <xdr:to>
      <xdr:col>17</xdr:col>
      <xdr:colOff>1789545</xdr:colOff>
      <xdr:row>151</xdr:row>
      <xdr:rowOff>127000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8C46FC33-988C-4240-8ECC-1954F9F3CAD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9</xdr:col>
      <xdr:colOff>161637</xdr:colOff>
      <xdr:row>140</xdr:row>
      <xdr:rowOff>187036</xdr:rowOff>
    </xdr:from>
    <xdr:to>
      <xdr:col>14</xdr:col>
      <xdr:colOff>819728</xdr:colOff>
      <xdr:row>151</xdr:row>
      <xdr:rowOff>173181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97560F92-F3B9-461D-8540-F76D6ACE65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8</xdr:col>
      <xdr:colOff>981363</xdr:colOff>
      <xdr:row>154</xdr:row>
      <xdr:rowOff>69273</xdr:rowOff>
    </xdr:from>
    <xdr:to>
      <xdr:col>14</xdr:col>
      <xdr:colOff>923635</xdr:colOff>
      <xdr:row>170</xdr:row>
      <xdr:rowOff>46182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A47B5FBE-D6EC-4835-BB54-8788DF1DFB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14</xdr:col>
      <xdr:colOff>854363</xdr:colOff>
      <xdr:row>154</xdr:row>
      <xdr:rowOff>47770</xdr:rowOff>
    </xdr:from>
    <xdr:to>
      <xdr:col>17</xdr:col>
      <xdr:colOff>1789545</xdr:colOff>
      <xdr:row>180</xdr:row>
      <xdr:rowOff>127000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53261613-6783-4A05-9821-657BE43B87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9</xdr:col>
      <xdr:colOff>161637</xdr:colOff>
      <xdr:row>169</xdr:row>
      <xdr:rowOff>187036</xdr:rowOff>
    </xdr:from>
    <xdr:to>
      <xdr:col>15</xdr:col>
      <xdr:colOff>169334</xdr:colOff>
      <xdr:row>180</xdr:row>
      <xdr:rowOff>173181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651A7B1A-05D9-4B0E-8E0F-FF2006A3B54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</sheetPr>
  <dimension ref="A1:U220"/>
  <sheetViews>
    <sheetView showGridLines="0" zoomScale="70" zoomScaleNormal="70" workbookViewId="0">
      <selection activeCell="N192" sqref="N192"/>
    </sheetView>
  </sheetViews>
  <sheetFormatPr defaultColWidth="12.42578125" defaultRowHeight="15.95" customHeight="1" outlineLevelRow="1"/>
  <cols>
    <col min="1" max="1" width="8.42578125" style="29" customWidth="1"/>
    <col min="2" max="2" width="36.42578125" style="29" customWidth="1"/>
    <col min="3" max="3" width="18.140625" style="29" customWidth="1"/>
    <col min="4" max="4" width="1.42578125" style="30" customWidth="1"/>
    <col min="5" max="5" width="21.140625" style="30" customWidth="1"/>
    <col min="6" max="6" width="16.7109375" style="29" customWidth="1"/>
    <col min="7" max="7" width="14.85546875" style="29" bestFit="1" customWidth="1"/>
    <col min="8" max="8" width="16.42578125" style="29" customWidth="1"/>
    <col min="9" max="9" width="1.42578125" style="29" customWidth="1"/>
    <col min="10" max="10" width="36.42578125" style="29" customWidth="1"/>
    <col min="11" max="11" width="16" style="29" customWidth="1"/>
    <col min="12" max="12" width="1.42578125" style="29" customWidth="1"/>
    <col min="13" max="13" width="21.42578125" style="29" customWidth="1"/>
    <col min="14" max="14" width="17.42578125" style="29" bestFit="1" customWidth="1"/>
    <col min="15" max="16" width="14.42578125" style="29" bestFit="1" customWidth="1"/>
    <col min="17" max="17" width="3.42578125" style="29" customWidth="1"/>
    <col min="18" max="18" width="36.42578125" style="29" customWidth="1"/>
    <col min="19" max="19" width="16.42578125" style="29" customWidth="1"/>
    <col min="20" max="20" width="1.42578125" style="29" customWidth="1"/>
    <col min="21" max="21" width="16.42578125" style="29" customWidth="1"/>
    <col min="22" max="16384" width="12.42578125" style="29"/>
  </cols>
  <sheetData>
    <row r="1" spans="1:21" ht="18" customHeight="1">
      <c r="A1" s="28"/>
    </row>
    <row r="2" spans="1:21" ht="15.95" customHeight="1">
      <c r="A2" s="28"/>
      <c r="B2" s="28" t="s">
        <v>108</v>
      </c>
      <c r="E2" s="30" t="s">
        <v>781</v>
      </c>
      <c r="J2" s="28" t="s">
        <v>109</v>
      </c>
      <c r="L2" s="30"/>
      <c r="M2" s="30"/>
    </row>
    <row r="3" spans="1:21" ht="15.95" customHeight="1">
      <c r="A3" s="28"/>
      <c r="B3" s="484" t="s">
        <v>110</v>
      </c>
      <c r="C3" s="485"/>
      <c r="D3" s="29"/>
      <c r="E3" s="485">
        <f ca="1">+'Cash Flow Roll-up'!$D$8</f>
        <v>0.16318184493039323</v>
      </c>
      <c r="J3" s="484" t="s">
        <v>110</v>
      </c>
      <c r="K3" s="485"/>
      <c r="M3" s="485">
        <f ca="1">+'Cash Flow Roll-up'!D36</f>
        <v>0.30439856080056854</v>
      </c>
    </row>
    <row r="4" spans="1:21" ht="15.95" customHeight="1">
      <c r="A4" s="28"/>
      <c r="B4" s="486" t="s">
        <v>111</v>
      </c>
      <c r="C4" s="487"/>
      <c r="D4" s="29"/>
      <c r="E4" s="487">
        <f ca="1">+'Cash Flow Roll-up'!$D$17</f>
        <v>0.13026177012390683</v>
      </c>
      <c r="J4" s="486" t="s">
        <v>111</v>
      </c>
      <c r="K4" s="487"/>
      <c r="M4" s="487">
        <f ca="1">+'Cash Flow Roll-up'!D27</f>
        <v>0.16485008460905259</v>
      </c>
    </row>
    <row r="5" spans="1:21" ht="3.95" customHeight="1">
      <c r="A5" s="28"/>
    </row>
    <row r="6" spans="1:21" ht="15.95" customHeight="1">
      <c r="A6" s="28"/>
      <c r="B6" s="28" t="s">
        <v>1</v>
      </c>
      <c r="J6" s="28" t="s">
        <v>2</v>
      </c>
      <c r="L6" s="30"/>
      <c r="M6" s="30"/>
      <c r="R6" s="28" t="s">
        <v>3</v>
      </c>
      <c r="T6" s="30"/>
      <c r="U6" s="30"/>
    </row>
    <row r="7" spans="1:21" ht="15.95" customHeight="1">
      <c r="A7" s="28"/>
      <c r="B7" s="28" t="s">
        <v>112</v>
      </c>
      <c r="J7" s="28" t="s">
        <v>112</v>
      </c>
      <c r="L7" s="30"/>
      <c r="M7" s="30"/>
      <c r="R7" s="28" t="s">
        <v>112</v>
      </c>
      <c r="T7" s="30"/>
      <c r="U7" s="30"/>
    </row>
    <row r="8" spans="1:21" ht="15.95" customHeight="1" outlineLevel="1">
      <c r="A8" s="28"/>
      <c r="B8" s="484" t="s">
        <v>113</v>
      </c>
      <c r="C8" s="488"/>
      <c r="D8" s="31"/>
      <c r="E8" s="488">
        <f ca="1">+Budget!$H$82-SUM('S&amp;U'!$H$18:$H$22)</f>
        <v>404399693.52994704</v>
      </c>
      <c r="F8" s="29" t="s">
        <v>782</v>
      </c>
      <c r="J8" s="484" t="s">
        <v>113</v>
      </c>
      <c r="K8" s="488"/>
      <c r="L8" s="31"/>
      <c r="M8" s="488">
        <f ca="1">+Budget!$I$82-SUM('S&amp;U'!$I$18:$I$22)</f>
        <v>170235162.69662026</v>
      </c>
      <c r="R8" s="484" t="s">
        <v>113</v>
      </c>
      <c r="S8" s="488"/>
      <c r="T8" s="31"/>
      <c r="U8" s="488">
        <f ca="1">+Budget!$J$82-SUM('S&amp;U'!$J$18:$J$22)</f>
        <v>342094371.00169802</v>
      </c>
    </row>
    <row r="9" spans="1:21" ht="15.95" customHeight="1" outlineLevel="1">
      <c r="A9" s="28"/>
      <c r="B9" s="489" t="s">
        <v>114</v>
      </c>
      <c r="C9" s="490"/>
      <c r="D9" s="31"/>
      <c r="E9" s="490">
        <f ca="1">+'Loan Sizing'!$F$47+'Loan Sizing'!$F$31+SUM('Loan Sizing'!$F$5:$F$10)</f>
        <v>462557402.63786024</v>
      </c>
      <c r="F9" s="29" t="s">
        <v>569</v>
      </c>
      <c r="J9" s="489" t="s">
        <v>114</v>
      </c>
      <c r="K9" s="490"/>
      <c r="L9" s="31"/>
      <c r="M9" s="490">
        <f ca="1">+'Loan Sizing'!$G$47+'Loan Sizing'!$G$31+SUM('Loan Sizing'!$G$5:$G$10)</f>
        <v>544560083.01977229</v>
      </c>
      <c r="R9" s="489" t="s">
        <v>114</v>
      </c>
      <c r="S9" s="490"/>
      <c r="T9" s="31"/>
      <c r="U9" s="490">
        <f ca="1">+'Loan Sizing'!$H$47+'Loan Sizing'!$H$31+SUM('Loan Sizing'!$H$5:$H$10)</f>
        <v>254233042.61530879</v>
      </c>
    </row>
    <row r="10" spans="1:21" ht="15.95" customHeight="1">
      <c r="A10" s="28"/>
      <c r="B10" s="484" t="s">
        <v>115</v>
      </c>
      <c r="C10" s="485"/>
      <c r="D10" s="29"/>
      <c r="E10" s="485">
        <f ca="1">+'Loan Sizing'!$F$62/E8</f>
        <v>7.1332420733058205E-2</v>
      </c>
      <c r="J10" s="484" t="s">
        <v>115</v>
      </c>
      <c r="K10" s="485"/>
      <c r="M10" s="485">
        <f ca="1">+'Loan Sizing'!$G$62/M8</f>
        <v>0.14520913965822668</v>
      </c>
      <c r="R10" s="484" t="s">
        <v>115</v>
      </c>
      <c r="S10" s="485"/>
      <c r="U10" s="485">
        <f ca="1">+'Loan Sizing'!$H$62/U8</f>
        <v>4.1998088411701023E-2</v>
      </c>
    </row>
    <row r="11" spans="1:21" ht="15.95" customHeight="1">
      <c r="A11" s="28"/>
      <c r="B11" s="486" t="s">
        <v>116</v>
      </c>
      <c r="C11" s="487"/>
      <c r="D11" s="29"/>
      <c r="E11" s="487">
        <f ca="1">+'Loan Sizing'!$F$62/E9</f>
        <v>6.2363738897466887E-2</v>
      </c>
      <c r="J11" s="486" t="s">
        <v>116</v>
      </c>
      <c r="K11" s="487"/>
      <c r="M11" s="487">
        <f ca="1">+'Loan Sizing'!$G$62/M9</f>
        <v>4.539389185060215E-2</v>
      </c>
      <c r="R11" s="486" t="s">
        <v>116</v>
      </c>
      <c r="S11" s="487"/>
      <c r="U11" s="487">
        <f ca="1">+'Loan Sizing'!$H$62/U9</f>
        <v>5.6512361613884995E-2</v>
      </c>
    </row>
    <row r="12" spans="1:21" ht="3.95" customHeight="1">
      <c r="A12" s="28"/>
      <c r="L12" s="30"/>
      <c r="M12" s="30"/>
      <c r="T12" s="30"/>
      <c r="U12" s="30"/>
    </row>
    <row r="13" spans="1:21" ht="15.95" customHeight="1">
      <c r="A13" s="28"/>
      <c r="B13" s="28" t="s">
        <v>117</v>
      </c>
      <c r="D13" s="29"/>
      <c r="E13" s="29"/>
      <c r="J13" s="28" t="s">
        <v>117</v>
      </c>
      <c r="R13" s="28" t="s">
        <v>117</v>
      </c>
    </row>
    <row r="14" spans="1:21" ht="15.95" customHeight="1">
      <c r="A14" s="28"/>
      <c r="B14" s="484" t="s">
        <v>110</v>
      </c>
      <c r="C14" s="485"/>
      <c r="D14" s="29"/>
      <c r="E14" s="485">
        <f ca="1">+'Phase I Pro Forma'!$D$310</f>
        <v>0.20216207550226173</v>
      </c>
      <c r="J14" s="484" t="s">
        <v>110</v>
      </c>
      <c r="K14" s="485"/>
      <c r="M14" s="485">
        <f ca="1">+'Phase II Pro Forma'!$D$243</f>
        <v>0.25394836654862707</v>
      </c>
      <c r="R14" s="484" t="s">
        <v>110</v>
      </c>
      <c r="S14" s="485"/>
      <c r="U14" s="485">
        <f ca="1">+'Phase III Pro Forma'!$D$207</f>
        <v>0.23359811410389453</v>
      </c>
    </row>
    <row r="15" spans="1:21" ht="15.95" customHeight="1">
      <c r="A15" s="28"/>
      <c r="B15" s="489" t="s">
        <v>111</v>
      </c>
      <c r="C15" s="491"/>
      <c r="D15" s="29"/>
      <c r="E15" s="491">
        <f ca="1">+'Phase I Pro Forma'!$D$352</f>
        <v>0.13222313628872229</v>
      </c>
      <c r="J15" s="489" t="s">
        <v>111</v>
      </c>
      <c r="K15" s="491"/>
      <c r="M15" s="491">
        <f ca="1">+'Phase II Pro Forma'!$D$285</f>
        <v>0.13786783674743441</v>
      </c>
      <c r="R15" s="489" t="s">
        <v>111</v>
      </c>
      <c r="S15" s="491"/>
      <c r="U15" s="491">
        <f ca="1">+'Phase III Pro Forma'!$D$249</f>
        <v>0.14871588484395204</v>
      </c>
    </row>
    <row r="16" spans="1:21" ht="15.95" customHeight="1">
      <c r="A16" s="28"/>
      <c r="B16" s="489" t="s">
        <v>118</v>
      </c>
      <c r="C16" s="491"/>
      <c r="D16" s="29"/>
      <c r="E16" s="491">
        <f ca="1">+'Cash Flow Roll-up'!$E$55</f>
        <v>0.29690186695228693</v>
      </c>
      <c r="J16" s="489" t="s">
        <v>118</v>
      </c>
      <c r="K16" s="491"/>
      <c r="M16" s="491">
        <f ca="1">+'Cash Flow Roll-up'!$E$56</f>
        <v>0.32970544661755119</v>
      </c>
      <c r="R16" s="489" t="s">
        <v>118</v>
      </c>
      <c r="S16" s="491"/>
      <c r="U16" s="491">
        <v>0.32</v>
      </c>
    </row>
    <row r="17" spans="1:21" ht="15.95" customHeight="1">
      <c r="A17" s="28"/>
      <c r="B17" s="489" t="s">
        <v>119</v>
      </c>
      <c r="C17" s="491"/>
      <c r="D17" s="29"/>
      <c r="E17" s="491">
        <f ca="1">+'Phase I Pro Forma'!$D$382</f>
        <v>0.18002178001112021</v>
      </c>
      <c r="J17" s="489" t="s">
        <v>119</v>
      </c>
      <c r="K17" s="491"/>
      <c r="M17" s="491">
        <f ca="1">+'Phase II Pro Forma'!$D$315</f>
        <v>0.16533863823710435</v>
      </c>
      <c r="R17" s="489" t="s">
        <v>119</v>
      </c>
      <c r="S17" s="491"/>
      <c r="U17" s="491">
        <f ca="1">+'Phase III Pro Forma'!$D$279</f>
        <v>0.16632903685299835</v>
      </c>
    </row>
    <row r="18" spans="1:21" ht="15.95" customHeight="1">
      <c r="A18" s="28"/>
      <c r="B18" s="486" t="s">
        <v>120</v>
      </c>
      <c r="C18" s="487"/>
      <c r="D18" s="29"/>
      <c r="E18" s="492">
        <f ca="1">+'Phase I Pro Forma'!$D$312</f>
        <v>4.4608843538515446</v>
      </c>
      <c r="J18" s="486" t="s">
        <v>120</v>
      </c>
      <c r="K18" s="487"/>
      <c r="M18" s="492">
        <f ca="1">+'Phase II Pro Forma'!$D$245</f>
        <v>4.1056338439956797</v>
      </c>
      <c r="R18" s="486" t="s">
        <v>120</v>
      </c>
      <c r="S18" s="487"/>
      <c r="U18" s="492">
        <f ca="1">+'Phase III Pro Forma'!$D$209</f>
        <v>3.0959629373556088</v>
      </c>
    </row>
    <row r="19" spans="1:21" ht="15.95" customHeight="1">
      <c r="A19" s="28"/>
      <c r="D19" s="31"/>
    </row>
    <row r="20" spans="1:21" ht="15.95" customHeight="1" thickBot="1">
      <c r="A20" s="28"/>
      <c r="D20" s="31"/>
      <c r="F20" s="871" t="s">
        <v>121</v>
      </c>
      <c r="G20" s="871"/>
      <c r="H20" s="871"/>
      <c r="J20" s="868" t="s">
        <v>122</v>
      </c>
      <c r="K20" s="868"/>
      <c r="L20" s="31"/>
      <c r="M20" s="570" t="s">
        <v>123</v>
      </c>
      <c r="N20" s="570" t="str">
        <f>+F$21</f>
        <v>I</v>
      </c>
      <c r="O20" s="570" t="str">
        <f>+G$21</f>
        <v>II</v>
      </c>
      <c r="P20" s="570" t="str">
        <f>+H$21</f>
        <v>III</v>
      </c>
    </row>
    <row r="21" spans="1:21" ht="15.95" customHeight="1" thickBot="1">
      <c r="B21" s="868" t="s">
        <v>124</v>
      </c>
      <c r="C21" s="868"/>
      <c r="D21" s="31"/>
      <c r="E21" s="570" t="s">
        <v>123</v>
      </c>
      <c r="F21" s="746" t="s">
        <v>125</v>
      </c>
      <c r="G21" s="746" t="s">
        <v>126</v>
      </c>
      <c r="H21" s="746" t="s">
        <v>127</v>
      </c>
      <c r="J21" s="46" t="s">
        <v>128</v>
      </c>
      <c r="R21" s="870" t="s">
        <v>49</v>
      </c>
      <c r="S21" s="870"/>
    </row>
    <row r="22" spans="1:21" ht="15.95" customHeight="1">
      <c r="B22" s="32" t="s">
        <v>129</v>
      </c>
      <c r="C22" s="31"/>
      <c r="D22" s="31"/>
      <c r="E22" s="33">
        <f>+MIN(F22:H22)</f>
        <v>44561</v>
      </c>
      <c r="F22" s="747">
        <v>44561</v>
      </c>
      <c r="G22" s="747">
        <v>44926</v>
      </c>
      <c r="H22" s="747">
        <v>45657</v>
      </c>
      <c r="J22" s="38" t="s">
        <v>130</v>
      </c>
      <c r="K22" s="31"/>
      <c r="L22" s="31"/>
      <c r="M22" s="36">
        <f t="shared" ref="M22:M31" si="0">+SUM(N22:P22)</f>
        <v>505756.87429862731</v>
      </c>
      <c r="N22" s="39">
        <f>+F55</f>
        <v>44052.1</v>
      </c>
      <c r="O22" s="39">
        <f>+G55</f>
        <v>253940.89043491011</v>
      </c>
      <c r="P22" s="39">
        <f>+H55</f>
        <v>207763.8838637172</v>
      </c>
      <c r="R22" s="174">
        <f ca="1">+OFFSET('Parcel Breakdown'!$AO$23,0,Assumptions!Q34)</f>
        <v>505756.87429862731</v>
      </c>
      <c r="S22" s="175">
        <f ca="1">+R22-M22</f>
        <v>0</v>
      </c>
    </row>
    <row r="23" spans="1:21" ht="15.95" customHeight="1">
      <c r="B23" s="32" t="s">
        <v>131</v>
      </c>
      <c r="C23" s="31"/>
      <c r="E23" s="31"/>
      <c r="F23" s="748">
        <v>12</v>
      </c>
      <c r="G23" s="748">
        <v>12</v>
      </c>
      <c r="H23" s="748">
        <v>12</v>
      </c>
      <c r="J23" s="38" t="s">
        <v>132</v>
      </c>
      <c r="K23" s="31"/>
      <c r="L23" s="31"/>
      <c r="M23" s="36">
        <f t="shared" si="0"/>
        <v>758635.31144794088</v>
      </c>
      <c r="N23" s="39">
        <f>+F83</f>
        <v>66078.149999999994</v>
      </c>
      <c r="O23" s="39">
        <f>+G83</f>
        <v>380911.33565236512</v>
      </c>
      <c r="P23" s="39">
        <f>+H83</f>
        <v>311645.82579557574</v>
      </c>
      <c r="R23" s="174">
        <f ca="1">+OFFSET('Parcel Breakdown'!$AO$23,0,Assumptions!Q35)</f>
        <v>758635.311447941</v>
      </c>
      <c r="S23" s="175">
        <f t="shared" ref="S23:S30" ca="1" si="1">+R23-M23</f>
        <v>0</v>
      </c>
    </row>
    <row r="24" spans="1:21" ht="15.95" customHeight="1">
      <c r="B24" s="32" t="s">
        <v>133</v>
      </c>
      <c r="C24" s="31"/>
      <c r="E24" s="31"/>
      <c r="F24" s="747">
        <f>+EOMONTH(F22,F23)</f>
        <v>44926</v>
      </c>
      <c r="G24" s="747">
        <f t="shared" ref="G24:H24" si="2">+EOMONTH(G22,G23)</f>
        <v>45291</v>
      </c>
      <c r="H24" s="747">
        <f t="shared" si="2"/>
        <v>46022</v>
      </c>
      <c r="J24" s="38" t="s">
        <v>14</v>
      </c>
      <c r="K24" s="31"/>
      <c r="L24" s="31"/>
      <c r="M24" s="36">
        <f t="shared" si="0"/>
        <v>241583</v>
      </c>
      <c r="N24" s="39">
        <f>+F137</f>
        <v>91711.4</v>
      </c>
      <c r="O24" s="39">
        <f>+G137</f>
        <v>113332.5</v>
      </c>
      <c r="P24" s="39">
        <f>+H137</f>
        <v>36539.1</v>
      </c>
      <c r="R24" s="174">
        <f ca="1">+OFFSET('Parcel Breakdown'!$AO$23,0,Assumptions!Q36)</f>
        <v>241583</v>
      </c>
      <c r="S24" s="175">
        <f t="shared" ca="1" si="1"/>
        <v>0</v>
      </c>
    </row>
    <row r="25" spans="1:21" ht="15.95" customHeight="1">
      <c r="B25" s="32" t="s">
        <v>134</v>
      </c>
      <c r="C25" s="31"/>
      <c r="D25" s="31"/>
      <c r="E25" s="31"/>
      <c r="F25" s="748">
        <v>24</v>
      </c>
      <c r="G25" s="748">
        <v>24</v>
      </c>
      <c r="H25" s="748">
        <v>24</v>
      </c>
      <c r="J25" s="38" t="s">
        <v>16</v>
      </c>
      <c r="K25" s="31"/>
      <c r="L25" s="31"/>
      <c r="M25" s="36">
        <f t="shared" si="0"/>
        <v>59441.999999999993</v>
      </c>
      <c r="N25" s="39">
        <f>+F99</f>
        <v>59441.999999999993</v>
      </c>
      <c r="O25" s="39">
        <f>+G99</f>
        <v>0</v>
      </c>
      <c r="P25" s="39">
        <f>+H99</f>
        <v>0</v>
      </c>
      <c r="R25" s="174">
        <f ca="1">+OFFSET('Parcel Breakdown'!$AO$23,0,Assumptions!Q37)</f>
        <v>59442</v>
      </c>
      <c r="S25" s="175">
        <f t="shared" ca="1" si="1"/>
        <v>0</v>
      </c>
    </row>
    <row r="26" spans="1:21" ht="15.95" customHeight="1">
      <c r="B26" s="32" t="s">
        <v>135</v>
      </c>
      <c r="C26" s="31"/>
      <c r="D26" s="31"/>
      <c r="E26" s="31"/>
      <c r="F26" s="747">
        <f>+EOMONTH(F24,F25)</f>
        <v>45657</v>
      </c>
      <c r="G26" s="747">
        <f t="shared" ref="G26:H26" si="3">+EOMONTH(G24,G25)</f>
        <v>46022</v>
      </c>
      <c r="H26" s="747">
        <f t="shared" si="3"/>
        <v>46752</v>
      </c>
      <c r="J26" s="38" t="s">
        <v>15</v>
      </c>
      <c r="K26" s="31"/>
      <c r="L26" s="31"/>
      <c r="M26" s="36">
        <f t="shared" si="0"/>
        <v>125425.0001</v>
      </c>
      <c r="N26" s="39">
        <f>+F154</f>
        <v>125425</v>
      </c>
      <c r="O26" s="39">
        <f>+G154</f>
        <v>1E-4</v>
      </c>
      <c r="P26" s="39">
        <f>+H154</f>
        <v>0</v>
      </c>
      <c r="R26" s="174">
        <f ca="1">+OFFSET('Parcel Breakdown'!$AO$23,0,Assumptions!Q38)</f>
        <v>125425</v>
      </c>
      <c r="S26" s="175">
        <f t="shared" ca="1" si="1"/>
        <v>-1.0000000474974513E-4</v>
      </c>
    </row>
    <row r="27" spans="1:21" ht="15.95" customHeight="1">
      <c r="B27" s="32" t="s">
        <v>136</v>
      </c>
      <c r="C27" s="31"/>
      <c r="D27" s="31"/>
      <c r="E27" s="31"/>
      <c r="F27" s="748">
        <v>24</v>
      </c>
      <c r="G27" s="748">
        <v>24</v>
      </c>
      <c r="H27" s="748">
        <v>24</v>
      </c>
      <c r="J27" s="38" t="s">
        <v>137</v>
      </c>
      <c r="K27" s="31"/>
      <c r="L27" s="31"/>
      <c r="M27" s="36">
        <f t="shared" si="0"/>
        <v>569643.30000000005</v>
      </c>
      <c r="N27" s="39">
        <f>+F172</f>
        <v>291759.3</v>
      </c>
      <c r="O27" s="39">
        <f>+G172</f>
        <v>277884</v>
      </c>
      <c r="P27" s="39">
        <f>+H172</f>
        <v>0</v>
      </c>
      <c r="R27" s="174">
        <f ca="1">+OFFSET('Parcel Breakdown'!$AO$23,0,Assumptions!Q39)</f>
        <v>569643.30000000005</v>
      </c>
      <c r="S27" s="175">
        <f t="shared" ca="1" si="1"/>
        <v>0</v>
      </c>
    </row>
    <row r="28" spans="1:21" ht="15.95" customHeight="1">
      <c r="B28" s="32" t="s">
        <v>138</v>
      </c>
      <c r="C28" s="31"/>
      <c r="D28" s="31"/>
      <c r="E28" s="31"/>
      <c r="F28" s="33">
        <f>+EOMONTH(F26,F27)</f>
        <v>46387</v>
      </c>
      <c r="G28" s="33">
        <f t="shared" ref="G28:H28" si="4">+EOMONTH(G26,G27)</f>
        <v>46752</v>
      </c>
      <c r="H28" s="33">
        <f t="shared" si="4"/>
        <v>47483</v>
      </c>
      <c r="J28" s="38" t="s">
        <v>69</v>
      </c>
      <c r="M28" s="36">
        <f t="shared" si="0"/>
        <v>37784.000001</v>
      </c>
      <c r="N28" s="39">
        <v>37784</v>
      </c>
      <c r="O28" s="39">
        <f>+G218</f>
        <v>9.9999999999999995E-7</v>
      </c>
      <c r="P28" s="39">
        <f>+H218</f>
        <v>0</v>
      </c>
      <c r="R28" s="174">
        <f ca="1">+OFFSET('Parcel Breakdown'!$AO$23,0,Assumptions!Q40)</f>
        <v>37784</v>
      </c>
      <c r="S28" s="175">
        <f t="shared" ca="1" si="1"/>
        <v>-1.0000003385357559E-6</v>
      </c>
    </row>
    <row r="29" spans="1:21" ht="15.95" customHeight="1">
      <c r="B29" s="32" t="s">
        <v>139</v>
      </c>
      <c r="C29" s="31"/>
      <c r="D29" s="31"/>
      <c r="E29" s="748">
        <v>120</v>
      </c>
      <c r="F29" s="34">
        <f>+$E$29</f>
        <v>120</v>
      </c>
      <c r="G29" s="34">
        <f t="shared" ref="G29:H29" si="5">+$E$29</f>
        <v>120</v>
      </c>
      <c r="H29" s="34">
        <f t="shared" si="5"/>
        <v>120</v>
      </c>
      <c r="J29" s="38" t="s">
        <v>140</v>
      </c>
      <c r="M29" s="36">
        <f t="shared" si="0"/>
        <v>516204</v>
      </c>
      <c r="N29" s="39">
        <f t="shared" ref="N29:P30" si="6">+F204</f>
        <v>254516</v>
      </c>
      <c r="O29" s="39">
        <f t="shared" si="6"/>
        <v>143198</v>
      </c>
      <c r="P29" s="39">
        <f t="shared" si="6"/>
        <v>118490</v>
      </c>
      <c r="R29" s="174">
        <f ca="1">+OFFSET('Parcel Breakdown'!$AO$23,0,Assumptions!Q41)</f>
        <v>516204</v>
      </c>
      <c r="S29" s="175">
        <f t="shared" ca="1" si="1"/>
        <v>0</v>
      </c>
    </row>
    <row r="30" spans="1:21" ht="15.95" customHeight="1">
      <c r="B30" s="29" t="s">
        <v>141</v>
      </c>
      <c r="F30" s="33">
        <f>+EOMONTH($E$22,F29)</f>
        <v>48213</v>
      </c>
      <c r="G30" s="33">
        <f>+EOMONTH($E$22,G29)</f>
        <v>48213</v>
      </c>
      <c r="H30" s="33">
        <f>+EOMONTH($E$22,H29)</f>
        <v>48213</v>
      </c>
      <c r="J30" s="38" t="s">
        <v>30</v>
      </c>
      <c r="M30" s="36">
        <f t="shared" si="0"/>
        <v>0</v>
      </c>
      <c r="N30" s="39">
        <f t="shared" si="6"/>
        <v>0</v>
      </c>
      <c r="O30" s="39">
        <f t="shared" si="6"/>
        <v>0</v>
      </c>
      <c r="P30" s="39">
        <f t="shared" si="6"/>
        <v>0</v>
      </c>
      <c r="R30" s="174">
        <f ca="1">+OFFSET('Parcel Breakdown'!$AO$23,0,Assumptions!Q42)</f>
        <v>0</v>
      </c>
      <c r="S30" s="175">
        <f t="shared" ca="1" si="1"/>
        <v>0</v>
      </c>
    </row>
    <row r="31" spans="1:21" ht="15.95" customHeight="1">
      <c r="J31" s="41" t="s">
        <v>142</v>
      </c>
      <c r="K31" s="41"/>
      <c r="L31" s="41"/>
      <c r="M31" s="59">
        <f t="shared" si="0"/>
        <v>2814473.4858475681</v>
      </c>
      <c r="N31" s="60">
        <f>+SUM(N22:N30)</f>
        <v>970767.95</v>
      </c>
      <c r="O31" s="60">
        <f>+SUM(O22:O30)</f>
        <v>1169266.726188275</v>
      </c>
      <c r="P31" s="60">
        <f>+SUM(P22:P30)</f>
        <v>674438.80965929292</v>
      </c>
      <c r="R31" s="174"/>
      <c r="S31" s="175">
        <f ca="1">+SUM(S22:S30)</f>
        <v>-1.0100000508828089E-4</v>
      </c>
    </row>
    <row r="32" spans="1:21" ht="15.95" customHeight="1">
      <c r="F32" s="35"/>
      <c r="G32" s="35"/>
      <c r="H32" s="35"/>
      <c r="R32" s="97"/>
    </row>
    <row r="33" spans="2:18" ht="15.95" customHeight="1" thickBot="1">
      <c r="B33" s="868" t="s">
        <v>143</v>
      </c>
      <c r="C33" s="868"/>
      <c r="D33" s="31"/>
      <c r="E33" s="570" t="s">
        <v>123</v>
      </c>
      <c r="F33" s="570" t="str">
        <f>+F$21</f>
        <v>I</v>
      </c>
      <c r="G33" s="570" t="str">
        <f t="shared" ref="G33:H33" si="7">+G$21</f>
        <v>II</v>
      </c>
      <c r="H33" s="570" t="str">
        <f t="shared" si="7"/>
        <v>III</v>
      </c>
      <c r="J33" s="46" t="s">
        <v>144</v>
      </c>
    </row>
    <row r="34" spans="2:18" ht="15.95" customHeight="1">
      <c r="B34" s="32" t="s">
        <v>145</v>
      </c>
      <c r="C34" s="31"/>
      <c r="D34" s="31"/>
      <c r="E34" s="749"/>
      <c r="F34" s="750">
        <f>+'Parcel Breakdown'!AO34</f>
        <v>34.148914728682172</v>
      </c>
      <c r="G34" s="750">
        <f>+'Parcel Breakdown'!AO36</f>
        <v>196.85340343791481</v>
      </c>
      <c r="H34" s="750">
        <f>+'Parcel Breakdown'!AO37</f>
        <v>161.05727431295907</v>
      </c>
      <c r="J34" s="772" t="s">
        <v>130</v>
      </c>
      <c r="K34" s="751"/>
      <c r="L34" s="751"/>
      <c r="M34" s="749">
        <f t="shared" ref="M34:M43" ca="1" si="8">+SUM(N34:P34)</f>
        <v>999680</v>
      </c>
      <c r="N34" s="750">
        <f ca="1">+OFFSET('Parcel Breakdown'!$Y$24,0,Assumptions!$Q34)</f>
        <v>356081.2</v>
      </c>
      <c r="O34" s="750">
        <f ca="1">+OFFSET('Parcel Breakdown'!$Y$24,1,Assumptions!$Q34)</f>
        <v>299512.80000000005</v>
      </c>
      <c r="P34" s="750">
        <f ca="1">+OFFSET('Parcel Breakdown'!$Y$24,2,Assumptions!$Q34)</f>
        <v>344086</v>
      </c>
      <c r="Q34" s="35">
        <v>0</v>
      </c>
      <c r="R34" s="97"/>
    </row>
    <row r="35" spans="2:18" ht="15.95" customHeight="1">
      <c r="B35" s="38" t="s">
        <v>146</v>
      </c>
      <c r="C35" s="31"/>
      <c r="D35" s="31"/>
      <c r="E35" s="750">
        <f>+E62</f>
        <v>516</v>
      </c>
      <c r="F35" s="750">
        <f>+F62</f>
        <v>516</v>
      </c>
      <c r="G35" s="750">
        <f t="shared" ref="G35:H35" si="9">+G62</f>
        <v>516</v>
      </c>
      <c r="H35" s="750">
        <f t="shared" si="9"/>
        <v>516</v>
      </c>
      <c r="J35" s="772" t="s">
        <v>132</v>
      </c>
      <c r="K35" s="751"/>
      <c r="L35" s="751"/>
      <c r="M35" s="749">
        <f t="shared" ca="1" si="8"/>
        <v>1499520</v>
      </c>
      <c r="N35" s="750">
        <f ca="1">+OFFSET('Parcel Breakdown'!$Y$24,0,Assumptions!$Q35)</f>
        <v>534121.80000000005</v>
      </c>
      <c r="O35" s="750">
        <f ca="1">+OFFSET('Parcel Breakdown'!$Y$24,1,Assumptions!$Q35)</f>
        <v>449269.19999999995</v>
      </c>
      <c r="P35" s="750">
        <f ca="1">+OFFSET('Parcel Breakdown'!$Y$24,2,Assumptions!$Q35)</f>
        <v>516129</v>
      </c>
      <c r="Q35" s="35">
        <f>+Q34+1</f>
        <v>1</v>
      </c>
    </row>
    <row r="36" spans="2:18" ht="15.95" customHeight="1">
      <c r="B36" s="38" t="s">
        <v>147</v>
      </c>
      <c r="C36" s="31"/>
      <c r="D36" s="31"/>
      <c r="E36" s="751"/>
      <c r="F36" s="752">
        <f>+F37*12/F35</f>
        <v>20.674418604651162</v>
      </c>
      <c r="G36" s="752">
        <f t="shared" ref="G36:H36" si="10">+G37*12/G35</f>
        <v>21.50966511627907</v>
      </c>
      <c r="H36" s="752">
        <f t="shared" si="10"/>
        <v>22.378655586976745</v>
      </c>
      <c r="J36" s="772" t="s">
        <v>14</v>
      </c>
      <c r="K36" s="751"/>
      <c r="L36" s="751"/>
      <c r="M36" s="749">
        <f t="shared" ca="1" si="8"/>
        <v>277030</v>
      </c>
      <c r="N36" s="750">
        <f ca="1">+OFFSET('Parcel Breakdown'!$Y$24,0,Assumptions!$Q36)</f>
        <v>110506</v>
      </c>
      <c r="O36" s="750">
        <f ca="1">+OFFSET('Parcel Breakdown'!$Y$24,1,Assumptions!$Q36)</f>
        <v>125925</v>
      </c>
      <c r="P36" s="750">
        <f ca="1">+OFFSET('Parcel Breakdown'!$Y$24,2,Assumptions!$Q36)</f>
        <v>40599</v>
      </c>
      <c r="Q36" s="35">
        <f t="shared" ref="Q36:Q42" si="11">+Q35+1</f>
        <v>2</v>
      </c>
    </row>
    <row r="37" spans="2:18" ht="15.95" customHeight="1">
      <c r="B37" s="38" t="s">
        <v>148</v>
      </c>
      <c r="C37" s="31"/>
      <c r="D37" s="31"/>
      <c r="E37" s="753"/>
      <c r="F37" s="754">
        <v>889</v>
      </c>
      <c r="G37" s="754">
        <f>+F37*(1+0.02)^2</f>
        <v>924.91560000000004</v>
      </c>
      <c r="H37" s="754">
        <f>+G37*(1+0.02)^2</f>
        <v>962.28219024000009</v>
      </c>
      <c r="J37" s="772" t="s">
        <v>16</v>
      </c>
      <c r="K37" s="751"/>
      <c r="L37" s="751"/>
      <c r="M37" s="749">
        <f t="shared" ca="1" si="8"/>
        <v>79256</v>
      </c>
      <c r="N37" s="750">
        <f ca="1">+OFFSET('Parcel Breakdown'!$Y$24,0,Assumptions!$Q37)</f>
        <v>79256</v>
      </c>
      <c r="O37" s="750">
        <f ca="1">+OFFSET('Parcel Breakdown'!$Y$24,1,Assumptions!$Q37)</f>
        <v>0</v>
      </c>
      <c r="P37" s="750">
        <f ca="1">+OFFSET('Parcel Breakdown'!$Y$24,2,Assumptions!$Q37)</f>
        <v>0</v>
      </c>
      <c r="Q37" s="35">
        <f t="shared" si="11"/>
        <v>3</v>
      </c>
    </row>
    <row r="38" spans="2:18" ht="15.95" customHeight="1">
      <c r="B38" s="32" t="s">
        <v>149</v>
      </c>
      <c r="C38" s="31"/>
      <c r="D38" s="31"/>
      <c r="E38" s="749"/>
      <c r="F38" s="750">
        <f>+'Parcel Breakdown'!AQ34</f>
        <v>15.295868055555555</v>
      </c>
      <c r="G38" s="750">
        <f>+'Parcel Breakdown'!AQ36</f>
        <v>88.173920289899328</v>
      </c>
      <c r="H38" s="750">
        <f>+'Parcel Breakdown'!AQ37</f>
        <v>72.140237452679571</v>
      </c>
      <c r="J38" s="772" t="s">
        <v>15</v>
      </c>
      <c r="K38" s="751"/>
      <c r="L38" s="751"/>
      <c r="M38" s="749">
        <f t="shared" ca="1" si="8"/>
        <v>125425</v>
      </c>
      <c r="N38" s="750">
        <f ca="1">+OFFSET('Parcel Breakdown'!$Y$24,0,Assumptions!$Q38)</f>
        <v>125425</v>
      </c>
      <c r="O38" s="750">
        <f ca="1">+OFFSET('Parcel Breakdown'!$Y$24,1,Assumptions!$Q38)</f>
        <v>0</v>
      </c>
      <c r="P38" s="750">
        <f ca="1">+OFFSET('Parcel Breakdown'!$Y$24,2,Assumptions!$Q38)</f>
        <v>0</v>
      </c>
      <c r="Q38" s="35">
        <f t="shared" si="11"/>
        <v>4</v>
      </c>
    </row>
    <row r="39" spans="2:18" ht="15.95" customHeight="1">
      <c r="B39" s="38" t="s">
        <v>146</v>
      </c>
      <c r="C39" s="31"/>
      <c r="D39" s="31"/>
      <c r="E39" s="750">
        <f t="shared" ref="E39:H39" si="12">+E66</f>
        <v>720</v>
      </c>
      <c r="F39" s="750">
        <f t="shared" si="12"/>
        <v>720</v>
      </c>
      <c r="G39" s="750">
        <f t="shared" si="12"/>
        <v>720</v>
      </c>
      <c r="H39" s="750">
        <f t="shared" si="12"/>
        <v>720</v>
      </c>
      <c r="J39" s="772" t="s">
        <v>137</v>
      </c>
      <c r="K39" s="751"/>
      <c r="L39" s="751"/>
      <c r="M39" s="749">
        <f t="shared" ca="1" si="8"/>
        <v>632937</v>
      </c>
      <c r="N39" s="750">
        <f ca="1">+OFFSET('Parcel Breakdown'!$Y$24,0,Assumptions!$Q39)</f>
        <v>324177</v>
      </c>
      <c r="O39" s="750">
        <f ca="1">+OFFSET('Parcel Breakdown'!$Y$24,1,Assumptions!$Q39)</f>
        <v>308760</v>
      </c>
      <c r="P39" s="750">
        <f ca="1">+OFFSET('Parcel Breakdown'!$Y$24,2,Assumptions!$Q39)</f>
        <v>0</v>
      </c>
      <c r="Q39" s="35">
        <f t="shared" si="11"/>
        <v>5</v>
      </c>
    </row>
    <row r="40" spans="2:18" ht="15.95" customHeight="1">
      <c r="B40" s="38" t="s">
        <v>147</v>
      </c>
      <c r="C40" s="31"/>
      <c r="D40" s="31"/>
      <c r="E40" s="751"/>
      <c r="F40" s="752">
        <f>+F41*12/F39</f>
        <v>15.883333333333333</v>
      </c>
      <c r="G40" s="752">
        <f t="shared" ref="G40" si="13">+G41*12/G39</f>
        <v>16.525020000000001</v>
      </c>
      <c r="H40" s="752">
        <f t="shared" ref="H40" si="14">+H41*12/H39</f>
        <v>17.192630808000004</v>
      </c>
      <c r="J40" s="772" t="s">
        <v>69</v>
      </c>
      <c r="K40" s="764"/>
      <c r="L40" s="764"/>
      <c r="M40" s="749">
        <f t="shared" ca="1" si="8"/>
        <v>37784</v>
      </c>
      <c r="N40" s="750">
        <f ca="1">+OFFSET('Parcel Breakdown'!$Y$24,0,Assumptions!$Q40)</f>
        <v>37784</v>
      </c>
      <c r="O40" s="750">
        <f ca="1">+OFFSET('Parcel Breakdown'!$Y$24,1,Assumptions!$Q40)</f>
        <v>0</v>
      </c>
      <c r="P40" s="750">
        <f ca="1">+OFFSET('Parcel Breakdown'!$Y$24,2,Assumptions!$Q40)</f>
        <v>0</v>
      </c>
      <c r="Q40" s="35">
        <f t="shared" si="11"/>
        <v>6</v>
      </c>
    </row>
    <row r="41" spans="2:18" ht="15.95" customHeight="1">
      <c r="B41" s="38" t="s">
        <v>148</v>
      </c>
      <c r="C41" s="31"/>
      <c r="D41" s="31"/>
      <c r="E41" s="753"/>
      <c r="F41" s="754">
        <v>953</v>
      </c>
      <c r="G41" s="754">
        <f>+F41*(1+0.02)^2</f>
        <v>991.50120000000004</v>
      </c>
      <c r="H41" s="754">
        <f>+G41*(1+0.02)^2</f>
        <v>1031.5578484800001</v>
      </c>
      <c r="J41" s="772" t="s">
        <v>140</v>
      </c>
      <c r="K41" s="764"/>
      <c r="L41" s="764"/>
      <c r="M41" s="749">
        <f t="shared" ca="1" si="8"/>
        <v>516204</v>
      </c>
      <c r="N41" s="750">
        <f ca="1">+OFFSET('Parcel Breakdown'!$Y$24,0,Assumptions!$Q41)</f>
        <v>254516</v>
      </c>
      <c r="O41" s="750">
        <f ca="1">+OFFSET('Parcel Breakdown'!$Y$24,1,Assumptions!$Q41)</f>
        <v>143198</v>
      </c>
      <c r="P41" s="750">
        <f ca="1">+OFFSET('Parcel Breakdown'!$Y$24,2,Assumptions!$Q41)</f>
        <v>118490</v>
      </c>
      <c r="Q41" s="35">
        <f t="shared" si="11"/>
        <v>7</v>
      </c>
    </row>
    <row r="42" spans="2:18" ht="15.95" customHeight="1">
      <c r="B42" s="32" t="s">
        <v>150</v>
      </c>
      <c r="E42" s="749"/>
      <c r="F42" s="750">
        <f>+'Parcel Breakdown'!AS34</f>
        <v>10.458713200379867</v>
      </c>
      <c r="G42" s="750">
        <f>+'Parcel Breakdown'!AS36</f>
        <v>60.289860027281598</v>
      </c>
      <c r="H42" s="750">
        <f>+'Parcel Breakdown'!AS37</f>
        <v>49.32665808730227</v>
      </c>
      <c r="J42" s="772" t="s">
        <v>30</v>
      </c>
      <c r="K42" s="764"/>
      <c r="L42" s="764"/>
      <c r="M42" s="749">
        <f t="shared" ca="1" si="8"/>
        <v>0</v>
      </c>
      <c r="N42" s="750">
        <f ca="1">+OFFSET('Parcel Breakdown'!$Y$24,0,Assumptions!$Q42)</f>
        <v>0</v>
      </c>
      <c r="O42" s="750">
        <f ca="1">+OFFSET('Parcel Breakdown'!$Y$24,1,Assumptions!$Q42)</f>
        <v>0</v>
      </c>
      <c r="P42" s="750">
        <f ca="1">+OFFSET('Parcel Breakdown'!$Y$24,2,Assumptions!$Q42)</f>
        <v>0</v>
      </c>
      <c r="Q42" s="35">
        <f t="shared" si="11"/>
        <v>8</v>
      </c>
    </row>
    <row r="43" spans="2:18" ht="15.95" customHeight="1">
      <c r="B43" s="38" t="s">
        <v>146</v>
      </c>
      <c r="E43" s="750">
        <f t="shared" ref="E43:H43" si="15">+E70</f>
        <v>1053</v>
      </c>
      <c r="F43" s="750">
        <f t="shared" si="15"/>
        <v>1053</v>
      </c>
      <c r="G43" s="750">
        <f t="shared" si="15"/>
        <v>1053</v>
      </c>
      <c r="H43" s="750">
        <f t="shared" si="15"/>
        <v>1053</v>
      </c>
      <c r="J43" s="773" t="s">
        <v>151</v>
      </c>
      <c r="K43" s="773"/>
      <c r="L43" s="773"/>
      <c r="M43" s="774">
        <f t="shared" ca="1" si="8"/>
        <v>4167836</v>
      </c>
      <c r="N43" s="775">
        <f ca="1">+SUM(N34:N42)</f>
        <v>1821867</v>
      </c>
      <c r="O43" s="775">
        <f ca="1">+SUM(O34:O42)</f>
        <v>1326665</v>
      </c>
      <c r="P43" s="775">
        <f ca="1">+SUM(P34:P42)</f>
        <v>1019304</v>
      </c>
    </row>
    <row r="44" spans="2:18" ht="15.95" customHeight="1">
      <c r="B44" s="38" t="s">
        <v>147</v>
      </c>
      <c r="E44" s="751"/>
      <c r="F44" s="752">
        <f>+F45*12/F43</f>
        <v>13.037037037037036</v>
      </c>
      <c r="G44" s="752">
        <f t="shared" ref="G44" si="16">+G45*12/G43</f>
        <v>13.563733333333333</v>
      </c>
      <c r="H44" s="752">
        <f t="shared" ref="H44" si="17">+H45*12/H43</f>
        <v>14.111708160000001</v>
      </c>
      <c r="J44" s="764"/>
      <c r="K44" s="764"/>
      <c r="L44" s="764"/>
      <c r="M44" s="764"/>
      <c r="N44" s="764"/>
      <c r="O44" s="764"/>
      <c r="P44" s="764"/>
    </row>
    <row r="45" spans="2:18" ht="15.95" customHeight="1">
      <c r="B45" s="38" t="s">
        <v>148</v>
      </c>
      <c r="E45" s="753"/>
      <c r="F45" s="754">
        <v>1144</v>
      </c>
      <c r="G45" s="754">
        <f>+F45*(1+0.02)^2</f>
        <v>1190.2175999999999</v>
      </c>
      <c r="H45" s="754">
        <f>+G45*(1+0.02)^2</f>
        <v>1238.30239104</v>
      </c>
      <c r="J45" s="776" t="s">
        <v>152</v>
      </c>
      <c r="K45" s="764"/>
      <c r="L45" s="764"/>
      <c r="M45" s="764"/>
      <c r="N45" s="764"/>
      <c r="O45" s="764"/>
      <c r="P45" s="764"/>
    </row>
    <row r="46" spans="2:18" ht="15.95" customHeight="1">
      <c r="B46" s="32" t="s">
        <v>153</v>
      </c>
      <c r="E46" s="749"/>
      <c r="F46" s="750">
        <f>+'Parcel Breakdown'!AU34</f>
        <v>2.869843648208469</v>
      </c>
      <c r="G46" s="750">
        <f>+'Parcel Breakdown'!AU36</f>
        <v>16.543380484358966</v>
      </c>
      <c r="H46" s="750">
        <f>+'Parcel Breakdown'!AU37</f>
        <v>13.535106440633042</v>
      </c>
      <c r="J46" s="772" t="s">
        <v>130</v>
      </c>
      <c r="K46" s="751"/>
      <c r="L46" s="751"/>
      <c r="M46" s="749">
        <f>+SUM(N46:P46)</f>
        <v>720.69318016585476</v>
      </c>
      <c r="N46" s="750">
        <f>+F56</f>
        <v>62.773339632826065</v>
      </c>
      <c r="O46" s="750">
        <f>+G56</f>
        <v>361.86056423945467</v>
      </c>
      <c r="P46" s="750">
        <f>+H56</f>
        <v>296.05927629357399</v>
      </c>
    </row>
    <row r="47" spans="2:18" ht="15.95" customHeight="1">
      <c r="B47" s="38" t="s">
        <v>146</v>
      </c>
      <c r="E47" s="750">
        <f t="shared" ref="E47:H47" si="18">+E74</f>
        <v>1535</v>
      </c>
      <c r="F47" s="750">
        <f t="shared" si="18"/>
        <v>1535</v>
      </c>
      <c r="G47" s="750">
        <f t="shared" si="18"/>
        <v>1535</v>
      </c>
      <c r="H47" s="750">
        <f t="shared" si="18"/>
        <v>1535</v>
      </c>
      <c r="J47" s="772" t="s">
        <v>132</v>
      </c>
      <c r="K47" s="764"/>
      <c r="L47" s="764"/>
      <c r="M47" s="749">
        <f>+SUM(N47:P47)</f>
        <v>1081.0397702487821</v>
      </c>
      <c r="N47" s="750">
        <f>+F84</f>
        <v>94.160009449239084</v>
      </c>
      <c r="O47" s="750">
        <f>+G84</f>
        <v>542.79084635918207</v>
      </c>
      <c r="P47" s="750">
        <f>+H84</f>
        <v>444.08891444036095</v>
      </c>
    </row>
    <row r="48" spans="2:18" ht="15.95" customHeight="1">
      <c r="B48" s="38" t="s">
        <v>147</v>
      </c>
      <c r="E48" s="751"/>
      <c r="F48" s="752">
        <f>+F49*12/F47</f>
        <v>10.327035830618893</v>
      </c>
      <c r="G48" s="752">
        <f t="shared" ref="G48" si="19">+G49*12/G47</f>
        <v>10.744248078175895</v>
      </c>
      <c r="H48" s="752">
        <f t="shared" ref="H48" si="20">+H49*12/H47</f>
        <v>11.178315700534201</v>
      </c>
      <c r="J48" s="772" t="s">
        <v>16</v>
      </c>
      <c r="K48" s="764"/>
      <c r="L48" s="764"/>
      <c r="M48" s="749">
        <f>+SUM(N48:P48)</f>
        <v>148.60499999999999</v>
      </c>
      <c r="N48" s="750">
        <f>+F100</f>
        <v>148.60499999999999</v>
      </c>
      <c r="O48" s="750">
        <f>+G100</f>
        <v>0</v>
      </c>
      <c r="P48" s="750">
        <f>+H100</f>
        <v>0</v>
      </c>
    </row>
    <row r="49" spans="2:18" ht="15.95" customHeight="1">
      <c r="B49" s="38" t="s">
        <v>148</v>
      </c>
      <c r="E49" s="753"/>
      <c r="F49" s="754">
        <v>1321</v>
      </c>
      <c r="G49" s="754">
        <f>+F49*(1+0.02)^2</f>
        <v>1374.3684000000001</v>
      </c>
      <c r="H49" s="754">
        <f>+G49*(1+0.02)^2</f>
        <v>1429.89288336</v>
      </c>
      <c r="J49" s="772" t="s">
        <v>140</v>
      </c>
      <c r="K49" s="764"/>
      <c r="L49" s="764"/>
      <c r="M49" s="749">
        <f>+SUM(N49:P49)</f>
        <v>2064.8159999999998</v>
      </c>
      <c r="N49" s="750">
        <f>+F177+F184</f>
        <v>1018.064</v>
      </c>
      <c r="O49" s="750">
        <f>+G177+G184</f>
        <v>572.79200000000003</v>
      </c>
      <c r="P49" s="750">
        <f>+H177+H184</f>
        <v>473.96</v>
      </c>
    </row>
    <row r="50" spans="2:18" ht="15.95" customHeight="1">
      <c r="B50" s="32" t="s">
        <v>154</v>
      </c>
      <c r="E50" s="750">
        <f>+'Parcel Breakdown'!AV34</f>
        <v>0</v>
      </c>
      <c r="F50" s="750">
        <f>+'Parcel Breakdown'!AW34</f>
        <v>0</v>
      </c>
      <c r="G50" s="750">
        <f>+'Parcel Breakdown'!AW36</f>
        <v>0</v>
      </c>
      <c r="H50" s="750">
        <f>+'Parcel Breakdown'!AW37</f>
        <v>0</v>
      </c>
      <c r="J50" s="772" t="s">
        <v>30</v>
      </c>
      <c r="K50" s="764"/>
      <c r="L50" s="764"/>
      <c r="M50" s="749">
        <f>+SUM(N50:P50)</f>
        <v>0</v>
      </c>
      <c r="N50" s="750">
        <f>+F191+F197</f>
        <v>0</v>
      </c>
      <c r="O50" s="750">
        <f>+G191+G197</f>
        <v>0</v>
      </c>
      <c r="P50" s="750">
        <f>+H191+H197</f>
        <v>0</v>
      </c>
    </row>
    <row r="51" spans="2:18" ht="15.95" customHeight="1">
      <c r="B51" s="38" t="s">
        <v>146</v>
      </c>
      <c r="E51" s="749"/>
      <c r="F51" s="750">
        <f t="shared" ref="F51:H51" si="21">+F78</f>
        <v>0</v>
      </c>
      <c r="G51" s="750">
        <f t="shared" si="21"/>
        <v>0</v>
      </c>
      <c r="H51" s="750">
        <f t="shared" si="21"/>
        <v>0</v>
      </c>
      <c r="J51" s="764"/>
      <c r="K51" s="764"/>
      <c r="L51" s="764"/>
      <c r="M51" s="764"/>
      <c r="N51" s="764"/>
      <c r="O51" s="764"/>
      <c r="P51" s="764"/>
    </row>
    <row r="52" spans="2:18" ht="15.95" customHeight="1">
      <c r="B52" s="38" t="s">
        <v>147</v>
      </c>
      <c r="E52" s="751"/>
      <c r="F52" s="755">
        <f>F51</f>
        <v>0</v>
      </c>
      <c r="G52" s="755">
        <f t="shared" ref="G52:H52" si="22">G51</f>
        <v>0</v>
      </c>
      <c r="H52" s="755">
        <f t="shared" si="22"/>
        <v>0</v>
      </c>
      <c r="J52" s="869" t="s">
        <v>155</v>
      </c>
      <c r="K52" s="869"/>
      <c r="L52" s="751"/>
      <c r="M52" s="746" t="s">
        <v>123</v>
      </c>
      <c r="N52" s="746" t="str">
        <f>+F$21</f>
        <v>I</v>
      </c>
      <c r="O52" s="746" t="str">
        <f>+G$21</f>
        <v>II</v>
      </c>
      <c r="P52" s="746" t="str">
        <f>+H$21</f>
        <v>III</v>
      </c>
    </row>
    <row r="53" spans="2:18" ht="15.95" customHeight="1">
      <c r="B53" s="38" t="s">
        <v>148</v>
      </c>
      <c r="E53" s="753"/>
      <c r="F53" s="754">
        <v>1136</v>
      </c>
      <c r="G53" s="754">
        <f>+F53*(1+0.02)^2</f>
        <v>1181.8943999999999</v>
      </c>
      <c r="H53" s="754">
        <f>+G53*(1+0.02)^2</f>
        <v>1229.6429337599998</v>
      </c>
      <c r="J53" s="777" t="s">
        <v>156</v>
      </c>
      <c r="K53" s="764"/>
      <c r="L53" s="764"/>
      <c r="M53" s="764"/>
      <c r="N53" s="764"/>
      <c r="O53" s="764"/>
      <c r="P53" s="764"/>
    </row>
    <row r="54" spans="2:18" ht="15.95" customHeight="1">
      <c r="B54" s="40" t="s">
        <v>157</v>
      </c>
      <c r="C54" s="41"/>
      <c r="D54" s="41"/>
      <c r="E54" s="756">
        <f>+SUM(F54:H54)</f>
        <v>8814212.4966610745</v>
      </c>
      <c r="F54" s="757">
        <f>+F36*F35*F34+F38*F39*F40+F42*F43*F44+F46*F47*F48+F50*F51*F52</f>
        <v>728294.14573513006</v>
      </c>
      <c r="G54" s="757">
        <f>+G36*G35*G34+G38*G39*G40+G42*G43*G44+G46*G47*G48+G50*G51*G52</f>
        <v>4367905.0008221669</v>
      </c>
      <c r="H54" s="757">
        <f>+H36*H35*H34+H38*H39*H40+H42*H43*H44+H46*H47*H48+H50*H51*H52</f>
        <v>3718013.3501037778</v>
      </c>
      <c r="J54" s="772" t="s">
        <v>158</v>
      </c>
      <c r="K54" s="751"/>
      <c r="L54" s="751"/>
      <c r="M54" s="766">
        <v>0.02</v>
      </c>
      <c r="N54" s="767">
        <f t="shared" ref="N54:P60" si="23">+$M54</f>
        <v>0.02</v>
      </c>
      <c r="O54" s="767">
        <f t="shared" si="23"/>
        <v>0.02</v>
      </c>
      <c r="P54" s="767">
        <f t="shared" si="23"/>
        <v>0.02</v>
      </c>
    </row>
    <row r="55" spans="2:18" ht="15.95" customHeight="1">
      <c r="B55" s="42" t="s">
        <v>159</v>
      </c>
      <c r="C55" s="43"/>
      <c r="D55" s="43"/>
      <c r="E55" s="758">
        <f>+SUM(F55:H55)</f>
        <v>505756.87429862731</v>
      </c>
      <c r="F55" s="759">
        <f>+F34*F35+F38*F39+F42*F43+F46*F47+F50*F51</f>
        <v>44052.1</v>
      </c>
      <c r="G55" s="759">
        <f t="shared" ref="G55:H55" si="24">+G34*G35+G38*G39+G42*G43+G46*G47+G50*G51</f>
        <v>253940.89043491011</v>
      </c>
      <c r="H55" s="759">
        <f t="shared" si="24"/>
        <v>207763.8838637172</v>
      </c>
      <c r="J55" s="772" t="s">
        <v>160</v>
      </c>
      <c r="K55" s="751"/>
      <c r="L55" s="751"/>
      <c r="M55" s="778">
        <v>0.05</v>
      </c>
      <c r="N55" s="767">
        <f t="shared" si="23"/>
        <v>0.05</v>
      </c>
      <c r="O55" s="767">
        <f t="shared" si="23"/>
        <v>0.05</v>
      </c>
      <c r="P55" s="767">
        <f t="shared" si="23"/>
        <v>0.05</v>
      </c>
    </row>
    <row r="56" spans="2:18" ht="15.95" customHeight="1">
      <c r="B56" s="38" t="s">
        <v>161</v>
      </c>
      <c r="C56" s="30"/>
      <c r="E56" s="749">
        <f>+SUM(F56:H56)</f>
        <v>720.69318016585476</v>
      </c>
      <c r="F56" s="750">
        <f>+F34+F38+F42+F46+F50</f>
        <v>62.773339632826065</v>
      </c>
      <c r="G56" s="750">
        <f t="shared" ref="G56:H56" si="25">+G34+G38+G42+G46+G50</f>
        <v>361.86056423945467</v>
      </c>
      <c r="H56" s="750">
        <f t="shared" si="25"/>
        <v>296.05927629357399</v>
      </c>
      <c r="J56" s="772" t="s">
        <v>162</v>
      </c>
      <c r="K56" s="751"/>
      <c r="L56" s="751"/>
      <c r="M56" s="766">
        <v>0.05</v>
      </c>
      <c r="N56" s="767">
        <f t="shared" si="23"/>
        <v>0.05</v>
      </c>
      <c r="O56" s="767">
        <f t="shared" si="23"/>
        <v>0.05</v>
      </c>
      <c r="P56" s="767">
        <f t="shared" si="23"/>
        <v>0.05</v>
      </c>
    </row>
    <row r="57" spans="2:18" ht="15.95" customHeight="1">
      <c r="B57" s="38" t="s">
        <v>163</v>
      </c>
      <c r="C57" s="30"/>
      <c r="E57" s="760">
        <f>+IFERROR(E54/E55,"")</f>
        <v>17.427766076110053</v>
      </c>
      <c r="F57" s="755">
        <f>+IFERROR(F54/F55,"")</f>
        <v>16.532563617514946</v>
      </c>
      <c r="G57" s="755">
        <f t="shared" ref="G57:H57" si="26">+IFERROR(G54/G55,"")</f>
        <v>17.200479187662548</v>
      </c>
      <c r="H57" s="755">
        <f t="shared" si="26"/>
        <v>17.895378546844118</v>
      </c>
      <c r="J57" s="772" t="s">
        <v>164</v>
      </c>
      <c r="K57" s="751"/>
      <c r="L57" s="751"/>
      <c r="M57" s="766">
        <v>0.05</v>
      </c>
      <c r="N57" s="767">
        <f t="shared" si="23"/>
        <v>0.05</v>
      </c>
      <c r="O57" s="767">
        <f t="shared" si="23"/>
        <v>0.05</v>
      </c>
      <c r="P57" s="767">
        <f t="shared" si="23"/>
        <v>0.05</v>
      </c>
    </row>
    <row r="58" spans="2:18" ht="15.95" customHeight="1">
      <c r="B58" s="44" t="s">
        <v>165</v>
      </c>
      <c r="C58" s="45"/>
      <c r="D58" s="45"/>
      <c r="E58" s="761">
        <f>+IFERROR(E54/E56/12,"")</f>
        <v>1019.182265449013</v>
      </c>
      <c r="F58" s="762">
        <f>+IFERROR(F54/F56/12,"")</f>
        <v>966.83049151528019</v>
      </c>
      <c r="G58" s="762">
        <f t="shared" ref="G58:H58" si="27">+IFERROR(G54/G56/12,"")</f>
        <v>1005.8904433724978</v>
      </c>
      <c r="H58" s="762">
        <f t="shared" si="27"/>
        <v>1046.5284172847466</v>
      </c>
      <c r="J58" s="772" t="s">
        <v>166</v>
      </c>
      <c r="K58" s="751"/>
      <c r="L58" s="751"/>
      <c r="M58" s="766">
        <v>0.05</v>
      </c>
      <c r="N58" s="767">
        <f t="shared" si="23"/>
        <v>0.05</v>
      </c>
      <c r="O58" s="767">
        <f t="shared" si="23"/>
        <v>0.05</v>
      </c>
      <c r="P58" s="767">
        <f t="shared" si="23"/>
        <v>0.05</v>
      </c>
    </row>
    <row r="59" spans="2:18" ht="15.95" customHeight="1">
      <c r="E59" s="763"/>
      <c r="F59" s="747"/>
      <c r="G59" s="747"/>
      <c r="H59" s="747"/>
      <c r="J59" s="772" t="s">
        <v>167</v>
      </c>
      <c r="K59" s="751"/>
      <c r="L59" s="751"/>
      <c r="M59" s="766">
        <v>0.05</v>
      </c>
      <c r="N59" s="767">
        <f t="shared" si="23"/>
        <v>0.05</v>
      </c>
      <c r="O59" s="767">
        <f t="shared" si="23"/>
        <v>0.05</v>
      </c>
      <c r="P59" s="767">
        <f t="shared" si="23"/>
        <v>0.05</v>
      </c>
    </row>
    <row r="60" spans="2:18" ht="15.95" customHeight="1" thickBot="1">
      <c r="B60" s="868" t="s">
        <v>168</v>
      </c>
      <c r="C60" s="868"/>
      <c r="D60" s="31"/>
      <c r="E60" s="746" t="s">
        <v>123</v>
      </c>
      <c r="F60" s="746" t="str">
        <f>+F$21</f>
        <v>I</v>
      </c>
      <c r="G60" s="746" t="str">
        <f t="shared" ref="G60:H60" si="28">+G$21</f>
        <v>II</v>
      </c>
      <c r="H60" s="746" t="str">
        <f t="shared" si="28"/>
        <v>III</v>
      </c>
      <c r="J60" s="772" t="s">
        <v>169</v>
      </c>
      <c r="K60" s="751"/>
      <c r="L60" s="751"/>
      <c r="M60" s="766">
        <v>0.1</v>
      </c>
      <c r="N60" s="767">
        <f t="shared" si="23"/>
        <v>0.1</v>
      </c>
      <c r="O60" s="767">
        <f t="shared" si="23"/>
        <v>0.1</v>
      </c>
      <c r="P60" s="767">
        <f t="shared" si="23"/>
        <v>0.1</v>
      </c>
    </row>
    <row r="61" spans="2:18" ht="15.95" customHeight="1">
      <c r="B61" s="32" t="s">
        <v>145</v>
      </c>
      <c r="C61" s="31"/>
      <c r="D61" s="31"/>
      <c r="E61" s="749"/>
      <c r="F61" s="750">
        <f>+'Parcel Breakdown'!AO30</f>
        <v>51.223372093023251</v>
      </c>
      <c r="G61" s="750">
        <f>+'Parcel Breakdown'!AO31</f>
        <v>295.2801051568722</v>
      </c>
      <c r="H61" s="750">
        <f>+'Parcel Breakdown'!AO33</f>
        <v>241.5859114694386</v>
      </c>
      <c r="J61" s="764"/>
      <c r="K61" s="764"/>
      <c r="L61" s="764"/>
      <c r="M61" s="764"/>
      <c r="N61" s="764"/>
      <c r="O61" s="764"/>
      <c r="P61" s="764"/>
    </row>
    <row r="62" spans="2:18" ht="15.95" customHeight="1">
      <c r="B62" s="38" t="s">
        <v>146</v>
      </c>
      <c r="C62" s="31"/>
      <c r="D62" s="31"/>
      <c r="E62" s="749">
        <v>516</v>
      </c>
      <c r="F62" s="750">
        <f>+$E62</f>
        <v>516</v>
      </c>
      <c r="G62" s="750">
        <f t="shared" ref="G62:H62" si="29">+$E62</f>
        <v>516</v>
      </c>
      <c r="H62" s="750">
        <f t="shared" si="29"/>
        <v>516</v>
      </c>
      <c r="J62" s="777" t="s">
        <v>170</v>
      </c>
      <c r="K62" s="764"/>
      <c r="L62" s="764"/>
      <c r="M62" s="779"/>
      <c r="N62" s="764"/>
      <c r="O62" s="764"/>
      <c r="P62" s="764"/>
    </row>
    <row r="63" spans="2:18" ht="15.95" customHeight="1">
      <c r="B63" s="38" t="s">
        <v>147</v>
      </c>
      <c r="C63" s="31"/>
      <c r="D63" s="31"/>
      <c r="E63" s="751"/>
      <c r="F63" s="755">
        <f>+F64*12/F62</f>
        <v>42.348837209302324</v>
      </c>
      <c r="G63" s="755">
        <f t="shared" ref="G63:H63" si="30">+G64*12/G62</f>
        <v>42.348837209302324</v>
      </c>
      <c r="H63" s="755">
        <f t="shared" si="30"/>
        <v>42.348837209302324</v>
      </c>
      <c r="J63" s="772" t="s">
        <v>171</v>
      </c>
      <c r="K63" s="764"/>
      <c r="L63" s="764"/>
      <c r="M63" s="766">
        <v>0.02</v>
      </c>
      <c r="N63" s="767">
        <f t="shared" ref="N63:P74" si="31">+$M63</f>
        <v>0.02</v>
      </c>
      <c r="O63" s="767">
        <f t="shared" si="31"/>
        <v>0.02</v>
      </c>
      <c r="P63" s="767">
        <f t="shared" si="31"/>
        <v>0.02</v>
      </c>
    </row>
    <row r="64" spans="2:18" ht="15.95" customHeight="1">
      <c r="B64" s="38" t="s">
        <v>148</v>
      </c>
      <c r="C64" s="31"/>
      <c r="D64" s="31"/>
      <c r="E64" s="753"/>
      <c r="F64" s="754">
        <v>1821</v>
      </c>
      <c r="G64" s="754">
        <v>1821</v>
      </c>
      <c r="H64" s="754">
        <v>1821</v>
      </c>
      <c r="J64" s="772" t="s">
        <v>172</v>
      </c>
      <c r="K64" s="764"/>
      <c r="L64" s="764"/>
      <c r="M64" s="766">
        <v>0.03</v>
      </c>
      <c r="N64" s="767">
        <f t="shared" si="31"/>
        <v>0.03</v>
      </c>
      <c r="O64" s="767">
        <f t="shared" si="31"/>
        <v>0.03</v>
      </c>
      <c r="P64" s="767">
        <f t="shared" si="31"/>
        <v>0.03</v>
      </c>
      <c r="R64" s="236"/>
    </row>
    <row r="65" spans="2:16" ht="15.95" customHeight="1">
      <c r="B65" s="32" t="s">
        <v>149</v>
      </c>
      <c r="C65" s="31"/>
      <c r="D65" s="31"/>
      <c r="E65" s="749"/>
      <c r="F65" s="750">
        <f>+'Parcel Breakdown'!AQ30</f>
        <v>22.943802083333331</v>
      </c>
      <c r="G65" s="750">
        <f>+'Parcel Breakdown'!AQ31</f>
        <v>132.26088043484899</v>
      </c>
      <c r="H65" s="750">
        <f>+'Parcel Breakdown'!AQ33</f>
        <v>108.21035617901937</v>
      </c>
      <c r="J65" s="772" t="s">
        <v>173</v>
      </c>
      <c r="K65" s="764"/>
      <c r="L65" s="764"/>
      <c r="M65" s="766">
        <v>0.1</v>
      </c>
      <c r="N65" s="767">
        <f t="shared" si="31"/>
        <v>0.1</v>
      </c>
      <c r="O65" s="767">
        <f t="shared" si="31"/>
        <v>0.1</v>
      </c>
      <c r="P65" s="767">
        <f t="shared" si="31"/>
        <v>0.1</v>
      </c>
    </row>
    <row r="66" spans="2:16" ht="15.95" customHeight="1">
      <c r="B66" s="38" t="s">
        <v>146</v>
      </c>
      <c r="C66" s="31"/>
      <c r="D66" s="31"/>
      <c r="E66" s="749">
        <v>720</v>
      </c>
      <c r="F66" s="750">
        <f>+$E66</f>
        <v>720</v>
      </c>
      <c r="G66" s="750">
        <f t="shared" ref="G66:H66" si="32">+$E66</f>
        <v>720</v>
      </c>
      <c r="H66" s="750">
        <f t="shared" si="32"/>
        <v>720</v>
      </c>
      <c r="J66" s="780" t="s">
        <v>174</v>
      </c>
      <c r="K66" s="764"/>
      <c r="L66" s="764"/>
      <c r="M66" s="781">
        <v>5</v>
      </c>
      <c r="N66" s="782">
        <f t="shared" si="31"/>
        <v>5</v>
      </c>
      <c r="O66" s="782">
        <f t="shared" si="31"/>
        <v>5</v>
      </c>
      <c r="P66" s="782">
        <f t="shared" si="31"/>
        <v>5</v>
      </c>
    </row>
    <row r="67" spans="2:16" ht="15.95" customHeight="1">
      <c r="B67" s="38" t="s">
        <v>147</v>
      </c>
      <c r="C67" s="31"/>
      <c r="D67" s="31"/>
      <c r="E67" s="751"/>
      <c r="F67" s="752">
        <f>+F68*12/F66</f>
        <v>32.033333333333331</v>
      </c>
      <c r="G67" s="752">
        <f t="shared" ref="G67" si="33">+G68*12/G66</f>
        <v>33.327480000000001</v>
      </c>
      <c r="H67" s="752">
        <f t="shared" ref="H67" si="34">+H68*12/H66</f>
        <v>34.673910192000001</v>
      </c>
      <c r="J67" s="772" t="s">
        <v>175</v>
      </c>
      <c r="K67" s="764"/>
      <c r="L67" s="764"/>
      <c r="M67" s="766">
        <v>0.02</v>
      </c>
      <c r="N67" s="767">
        <f t="shared" si="31"/>
        <v>0.02</v>
      </c>
      <c r="O67" s="767">
        <f t="shared" si="31"/>
        <v>0.02</v>
      </c>
      <c r="P67" s="767">
        <f t="shared" si="31"/>
        <v>0.02</v>
      </c>
    </row>
    <row r="68" spans="2:16" ht="15.95" customHeight="1">
      <c r="B68" s="38" t="s">
        <v>148</v>
      </c>
      <c r="C68" s="31"/>
      <c r="D68" s="31"/>
      <c r="E68" s="753"/>
      <c r="F68" s="754">
        <v>1922</v>
      </c>
      <c r="G68" s="754">
        <f>+F68*(1+0.02)^2</f>
        <v>1999.6487999999999</v>
      </c>
      <c r="H68" s="754">
        <f>+G68*(1+0.02)^2</f>
        <v>2080.4346115200001</v>
      </c>
      <c r="J68" s="772" t="s">
        <v>176</v>
      </c>
      <c r="K68" s="764"/>
      <c r="L68" s="764"/>
      <c r="M68" s="766">
        <v>0.05</v>
      </c>
      <c r="N68" s="767">
        <f t="shared" si="31"/>
        <v>0.05</v>
      </c>
      <c r="O68" s="767">
        <f t="shared" si="31"/>
        <v>0.05</v>
      </c>
      <c r="P68" s="767">
        <f t="shared" si="31"/>
        <v>0.05</v>
      </c>
    </row>
    <row r="69" spans="2:16" ht="15.95" customHeight="1">
      <c r="B69" s="32" t="s">
        <v>150</v>
      </c>
      <c r="E69" s="749"/>
      <c r="F69" s="750">
        <f>+'Parcel Breakdown'!AS30</f>
        <v>15.688069800569799</v>
      </c>
      <c r="G69" s="750">
        <f>+'Parcel Breakdown'!AS31</f>
        <v>90.434790040922394</v>
      </c>
      <c r="H69" s="750">
        <f>+'Parcel Breakdown'!AS33</f>
        <v>73.989987130953423</v>
      </c>
      <c r="J69" s="780" t="s">
        <v>174</v>
      </c>
      <c r="K69" s="764"/>
      <c r="L69" s="764"/>
      <c r="M69" s="781">
        <v>5</v>
      </c>
      <c r="N69" s="782">
        <f t="shared" si="31"/>
        <v>5</v>
      </c>
      <c r="O69" s="782">
        <f t="shared" si="31"/>
        <v>5</v>
      </c>
      <c r="P69" s="782">
        <f t="shared" si="31"/>
        <v>5</v>
      </c>
    </row>
    <row r="70" spans="2:16" ht="15.95" customHeight="1">
      <c r="B70" s="38" t="s">
        <v>146</v>
      </c>
      <c r="E70" s="749">
        <v>1053</v>
      </c>
      <c r="F70" s="750">
        <f>+$E70</f>
        <v>1053</v>
      </c>
      <c r="G70" s="750">
        <f t="shared" ref="G70:H70" si="35">+$E70</f>
        <v>1053</v>
      </c>
      <c r="H70" s="750">
        <f t="shared" si="35"/>
        <v>1053</v>
      </c>
      <c r="J70" s="772" t="s">
        <v>177</v>
      </c>
      <c r="K70" s="764"/>
      <c r="L70" s="764"/>
      <c r="M70" s="766">
        <v>0.1</v>
      </c>
      <c r="N70" s="767">
        <f t="shared" si="31"/>
        <v>0.1</v>
      </c>
      <c r="O70" s="767">
        <f t="shared" si="31"/>
        <v>0.1</v>
      </c>
      <c r="P70" s="767">
        <f t="shared" si="31"/>
        <v>0.1</v>
      </c>
    </row>
    <row r="71" spans="2:16" ht="15.95" customHeight="1">
      <c r="B71" s="38" t="s">
        <v>147</v>
      </c>
      <c r="E71" s="751"/>
      <c r="F71" s="752">
        <f>+F72*12/F70</f>
        <v>31.920227920227919</v>
      </c>
      <c r="G71" s="752">
        <f t="shared" ref="G71" si="36">+G72*12/G70</f>
        <v>33.209805128205119</v>
      </c>
      <c r="H71" s="752">
        <f t="shared" ref="H71" si="37">+H72*12/H70</f>
        <v>34.551481255384608</v>
      </c>
      <c r="J71" s="780" t="s">
        <v>174</v>
      </c>
      <c r="K71" s="764"/>
      <c r="L71" s="764"/>
      <c r="M71" s="781">
        <v>5</v>
      </c>
      <c r="N71" s="782">
        <f t="shared" si="31"/>
        <v>5</v>
      </c>
      <c r="O71" s="782">
        <f t="shared" si="31"/>
        <v>5</v>
      </c>
      <c r="P71" s="782">
        <f t="shared" si="31"/>
        <v>5</v>
      </c>
    </row>
    <row r="72" spans="2:16" ht="15.95" customHeight="1">
      <c r="B72" s="38" t="s">
        <v>148</v>
      </c>
      <c r="E72" s="753"/>
      <c r="F72" s="754">
        <v>2801</v>
      </c>
      <c r="G72" s="754">
        <f>+F72*(1+0.02)^2</f>
        <v>2914.1603999999998</v>
      </c>
      <c r="H72" s="754">
        <f>+G72*(1+0.02)^2</f>
        <v>3031.8924801599996</v>
      </c>
      <c r="J72" s="772" t="s">
        <v>178</v>
      </c>
      <c r="K72" s="764"/>
      <c r="L72" s="764"/>
      <c r="M72" s="766">
        <v>0.1</v>
      </c>
      <c r="N72" s="767">
        <f t="shared" si="31"/>
        <v>0.1</v>
      </c>
      <c r="O72" s="767">
        <f t="shared" si="31"/>
        <v>0.1</v>
      </c>
      <c r="P72" s="767">
        <f t="shared" si="31"/>
        <v>0.1</v>
      </c>
    </row>
    <row r="73" spans="2:16" ht="15.95" customHeight="1">
      <c r="B73" s="32" t="s">
        <v>153</v>
      </c>
      <c r="E73" s="749"/>
      <c r="F73" s="750">
        <f>+'Parcel Breakdown'!AU30</f>
        <v>4.3047654723127033</v>
      </c>
      <c r="G73" s="750">
        <f>+'Parcel Breakdown'!AU31</f>
        <v>24.815070726538448</v>
      </c>
      <c r="H73" s="750">
        <f>+'Parcel Breakdown'!AU33</f>
        <v>20.302659660949562</v>
      </c>
      <c r="J73" s="780" t="s">
        <v>174</v>
      </c>
      <c r="K73" s="764"/>
      <c r="L73" s="764"/>
      <c r="M73" s="781">
        <v>5</v>
      </c>
      <c r="N73" s="782">
        <f t="shared" si="31"/>
        <v>5</v>
      </c>
      <c r="O73" s="782">
        <f t="shared" si="31"/>
        <v>5</v>
      </c>
      <c r="P73" s="782">
        <f t="shared" si="31"/>
        <v>5</v>
      </c>
    </row>
    <row r="74" spans="2:16" ht="15.95" customHeight="1">
      <c r="B74" s="38" t="s">
        <v>146</v>
      </c>
      <c r="E74" s="749">
        <v>1535</v>
      </c>
      <c r="F74" s="750">
        <f>+$E74</f>
        <v>1535</v>
      </c>
      <c r="G74" s="750">
        <f t="shared" ref="G74:H74" si="38">+$E74</f>
        <v>1535</v>
      </c>
      <c r="H74" s="750">
        <f t="shared" si="38"/>
        <v>1535</v>
      </c>
      <c r="J74" s="783" t="s">
        <v>179</v>
      </c>
      <c r="K74" s="764"/>
      <c r="L74" s="764"/>
      <c r="M74" s="766">
        <v>0.02</v>
      </c>
      <c r="N74" s="767">
        <f t="shared" si="31"/>
        <v>0.02</v>
      </c>
      <c r="O74" s="767">
        <f t="shared" si="31"/>
        <v>0.02</v>
      </c>
      <c r="P74" s="767">
        <f t="shared" si="31"/>
        <v>0.02</v>
      </c>
    </row>
    <row r="75" spans="2:16" ht="15.95" customHeight="1">
      <c r="B75" s="38" t="s">
        <v>147</v>
      </c>
      <c r="E75" s="751"/>
      <c r="F75" s="752">
        <f>+F76*12/F74</f>
        <v>32.638436482084693</v>
      </c>
      <c r="G75" s="752">
        <f t="shared" ref="G75" si="39">+G76*12/G74</f>
        <v>33.957029315960909</v>
      </c>
      <c r="H75" s="752">
        <f t="shared" ref="H75" si="40">+H76*12/H74</f>
        <v>35.328893300325731</v>
      </c>
      <c r="J75" s="777" t="s">
        <v>180</v>
      </c>
      <c r="K75" s="764"/>
      <c r="L75" s="764"/>
      <c r="M75" s="779"/>
      <c r="N75" s="764"/>
      <c r="O75" s="764"/>
      <c r="P75" s="764"/>
    </row>
    <row r="76" spans="2:16" ht="15.95" customHeight="1">
      <c r="B76" s="38" t="s">
        <v>148</v>
      </c>
      <c r="E76" s="753"/>
      <c r="F76" s="754">
        <v>4175</v>
      </c>
      <c r="G76" s="754">
        <f>+F76*(1+0.02)^2</f>
        <v>4343.67</v>
      </c>
      <c r="H76" s="754">
        <f>+G76*(1+0.02)^2</f>
        <v>4519.1542680000002</v>
      </c>
      <c r="J76" s="772" t="s">
        <v>171</v>
      </c>
      <c r="K76" s="764"/>
      <c r="L76" s="764"/>
      <c r="M76" s="766">
        <v>0.02</v>
      </c>
      <c r="N76" s="767">
        <f t="shared" ref="N76:P82" si="41">+$M76</f>
        <v>0.02</v>
      </c>
      <c r="O76" s="767">
        <f t="shared" si="41"/>
        <v>0.02</v>
      </c>
      <c r="P76" s="767">
        <f t="shared" si="41"/>
        <v>0.02</v>
      </c>
    </row>
    <row r="77" spans="2:16" ht="15.95" customHeight="1">
      <c r="B77" s="32" t="s">
        <v>181</v>
      </c>
      <c r="E77" s="749"/>
      <c r="F77" s="750">
        <f>0</f>
        <v>0</v>
      </c>
      <c r="G77" s="750">
        <f>+'Parcel Breakdown'!AW31</f>
        <v>0</v>
      </c>
      <c r="H77" s="750">
        <f>+'Parcel Breakdown'!AW33</f>
        <v>0</v>
      </c>
      <c r="J77" s="772" t="s">
        <v>172</v>
      </c>
      <c r="K77" s="764"/>
      <c r="L77" s="764"/>
      <c r="M77" s="766">
        <v>0.02</v>
      </c>
      <c r="N77" s="767">
        <f t="shared" si="41"/>
        <v>0.02</v>
      </c>
      <c r="O77" s="767">
        <f t="shared" si="41"/>
        <v>0.02</v>
      </c>
      <c r="P77" s="767">
        <f t="shared" si="41"/>
        <v>0.02</v>
      </c>
    </row>
    <row r="78" spans="2:16" ht="15.95" customHeight="1">
      <c r="B78" s="38" t="s">
        <v>146</v>
      </c>
      <c r="E78" s="749">
        <v>0</v>
      </c>
      <c r="F78" s="750">
        <f>+$E78</f>
        <v>0</v>
      </c>
      <c r="G78" s="750">
        <f t="shared" ref="G78:H78" si="42">+$E78</f>
        <v>0</v>
      </c>
      <c r="H78" s="750">
        <f t="shared" si="42"/>
        <v>0</v>
      </c>
      <c r="J78" s="772" t="s">
        <v>173</v>
      </c>
      <c r="K78" s="764"/>
      <c r="L78" s="764"/>
      <c r="M78" s="766">
        <v>0.02</v>
      </c>
      <c r="N78" s="767">
        <f t="shared" si="41"/>
        <v>0.02</v>
      </c>
      <c r="O78" s="767">
        <f t="shared" si="41"/>
        <v>0.02</v>
      </c>
      <c r="P78" s="767">
        <f t="shared" si="41"/>
        <v>0.02</v>
      </c>
    </row>
    <row r="79" spans="2:16" ht="15.95" customHeight="1">
      <c r="B79" s="38" t="s">
        <v>147</v>
      </c>
      <c r="E79" s="751"/>
      <c r="F79" s="755">
        <f>0</f>
        <v>0</v>
      </c>
      <c r="G79" s="755">
        <f>0</f>
        <v>0</v>
      </c>
      <c r="H79" s="755">
        <f>0</f>
        <v>0</v>
      </c>
      <c r="J79" s="772" t="s">
        <v>176</v>
      </c>
      <c r="K79" s="764"/>
      <c r="L79" s="764"/>
      <c r="M79" s="766">
        <v>0.02</v>
      </c>
      <c r="N79" s="767">
        <f t="shared" si="41"/>
        <v>0.02</v>
      </c>
      <c r="O79" s="767">
        <f t="shared" si="41"/>
        <v>0.02</v>
      </c>
      <c r="P79" s="767">
        <f t="shared" si="41"/>
        <v>0.02</v>
      </c>
    </row>
    <row r="80" spans="2:16" ht="15.95" customHeight="1">
      <c r="B80" s="38" t="s">
        <v>148</v>
      </c>
      <c r="E80" s="753"/>
      <c r="F80" s="754">
        <v>0</v>
      </c>
      <c r="G80" s="754">
        <v>0</v>
      </c>
      <c r="H80" s="754">
        <f>+G80*(1+0.02)^2</f>
        <v>0</v>
      </c>
      <c r="J80" s="772" t="s">
        <v>177</v>
      </c>
      <c r="K80" s="764"/>
      <c r="L80" s="764"/>
      <c r="M80" s="766">
        <v>0.02</v>
      </c>
      <c r="N80" s="767">
        <f t="shared" si="41"/>
        <v>0.02</v>
      </c>
      <c r="O80" s="767">
        <f t="shared" si="41"/>
        <v>0.02</v>
      </c>
      <c r="P80" s="767">
        <f t="shared" si="41"/>
        <v>0.02</v>
      </c>
    </row>
    <row r="81" spans="1:16" ht="15.95" customHeight="1">
      <c r="B81" s="38"/>
      <c r="E81" s="753"/>
      <c r="F81" s="754"/>
      <c r="G81" s="754"/>
      <c r="H81" s="754"/>
      <c r="J81" s="772" t="s">
        <v>178</v>
      </c>
      <c r="K81" s="764"/>
      <c r="L81" s="764"/>
      <c r="M81" s="766">
        <v>0.02</v>
      </c>
      <c r="N81" s="767">
        <f t="shared" si="41"/>
        <v>0.02</v>
      </c>
      <c r="O81" s="767">
        <f t="shared" si="41"/>
        <v>0.02</v>
      </c>
      <c r="P81" s="767">
        <f t="shared" si="41"/>
        <v>0.02</v>
      </c>
    </row>
    <row r="82" spans="1:16" ht="15.95" customHeight="1">
      <c r="B82" s="40" t="s">
        <v>182</v>
      </c>
      <c r="C82" s="41"/>
      <c r="D82" s="41"/>
      <c r="E82" s="756">
        <f>+SUM(F82:H82)</f>
        <v>28247205.885827061</v>
      </c>
      <c r="F82" s="757">
        <f>+F63*F62*F61+F65*F66*F67+F69*F70*F71+F73*F74*F75</f>
        <v>2391485.1305263625</v>
      </c>
      <c r="G82" s="757">
        <f>+G63*G62*G61+G65*G66*G67+G69*G70*G71+G73*G74*G75</f>
        <v>14082124.134257605</v>
      </c>
      <c r="H82" s="757">
        <f>+H63*H62*H61+H65*H66*H67+H69*H70*H71+H73*H74*H75</f>
        <v>11773596.621043094</v>
      </c>
      <c r="J82" s="772" t="s">
        <v>179</v>
      </c>
      <c r="K82" s="764"/>
      <c r="L82" s="764"/>
      <c r="M82" s="766">
        <v>0.02</v>
      </c>
      <c r="N82" s="767">
        <f t="shared" si="41"/>
        <v>0.02</v>
      </c>
      <c r="O82" s="767">
        <f t="shared" si="41"/>
        <v>0.02</v>
      </c>
      <c r="P82" s="767">
        <f t="shared" si="41"/>
        <v>0.02</v>
      </c>
    </row>
    <row r="83" spans="1:16" ht="15.95" customHeight="1">
      <c r="B83" s="42" t="s">
        <v>159</v>
      </c>
      <c r="C83" s="43"/>
      <c r="D83" s="43"/>
      <c r="E83" s="758">
        <f>+SUM(F83:H83)</f>
        <v>758635.31144794088</v>
      </c>
      <c r="F83" s="759">
        <f>+F61*F62+F65*F66+F69*F70+F73*F74+F77*F78</f>
        <v>66078.149999999994</v>
      </c>
      <c r="G83" s="759">
        <f t="shared" ref="G83:H83" si="43">+G61*G62+G65*G66+G69*G70+G73*G74+G77*G78</f>
        <v>380911.33565236512</v>
      </c>
      <c r="H83" s="759">
        <f t="shared" si="43"/>
        <v>311645.82579557574</v>
      </c>
      <c r="J83" s="780"/>
      <c r="K83" s="764"/>
      <c r="L83" s="764"/>
      <c r="M83" s="781"/>
      <c r="N83" s="782"/>
      <c r="O83" s="782"/>
      <c r="P83" s="782"/>
    </row>
    <row r="84" spans="1:16" ht="15.95" customHeight="1">
      <c r="B84" s="38" t="s">
        <v>161</v>
      </c>
      <c r="C84" s="30"/>
      <c r="E84" s="749">
        <f>+SUM(F84:H84)</f>
        <v>1081.0397702487821</v>
      </c>
      <c r="F84" s="750">
        <f>+F61+F65+F69+F73+F77</f>
        <v>94.160009449239084</v>
      </c>
      <c r="G84" s="750">
        <f t="shared" ref="G84:H84" si="44">+G61+G65+G69+G73+G77</f>
        <v>542.79084635918207</v>
      </c>
      <c r="H84" s="750">
        <f t="shared" si="44"/>
        <v>444.08891444036095</v>
      </c>
      <c r="J84" s="777" t="s">
        <v>183</v>
      </c>
      <c r="K84" s="764"/>
      <c r="L84" s="764"/>
      <c r="M84" s="764"/>
      <c r="N84" s="764"/>
      <c r="O84" s="764"/>
      <c r="P84" s="764"/>
    </row>
    <row r="85" spans="1:16" ht="15.95" customHeight="1">
      <c r="B85" s="38" t="s">
        <v>163</v>
      </c>
      <c r="C85" s="30"/>
      <c r="E85" s="760">
        <f>+IFERROR(E82/E83,"")</f>
        <v>37.234235553726187</v>
      </c>
      <c r="F85" s="755">
        <f>+IFERROR(F82/F83,"")</f>
        <v>36.191768845319714</v>
      </c>
      <c r="G85" s="755">
        <f>+IFERROR(G82/G83,"")</f>
        <v>36.969559097368304</v>
      </c>
      <c r="H85" s="755">
        <f>+IFERROR(H82/H83,"")</f>
        <v>37.778772075599662</v>
      </c>
      <c r="J85" s="772" t="s">
        <v>184</v>
      </c>
      <c r="K85" s="764"/>
      <c r="L85" s="764"/>
      <c r="M85" s="766">
        <v>0.02</v>
      </c>
      <c r="N85" s="767">
        <f t="shared" ref="N85:P85" si="45">+$M85</f>
        <v>0.02</v>
      </c>
      <c r="O85" s="767">
        <f t="shared" si="45"/>
        <v>0.02</v>
      </c>
      <c r="P85" s="767">
        <f t="shared" si="45"/>
        <v>0.02</v>
      </c>
    </row>
    <row r="86" spans="1:16" ht="15.95" customHeight="1">
      <c r="B86" s="44" t="s">
        <v>165</v>
      </c>
      <c r="C86" s="45"/>
      <c r="D86" s="45"/>
      <c r="E86" s="761">
        <f>+IFERROR(E82/E84/12,"")</f>
        <v>2177.4719937243435</v>
      </c>
      <c r="F86" s="762">
        <f>+IFERROR(F82/F84/12,"")</f>
        <v>2116.5081514918434</v>
      </c>
      <c r="G86" s="762">
        <f>+IFERROR(G82/G84/12,"")</f>
        <v>2161.993615759905</v>
      </c>
      <c r="H86" s="762">
        <f>+IFERROR(H82/H84/12,"")</f>
        <v>2209.3166927843963</v>
      </c>
      <c r="J86" s="772" t="s">
        <v>185</v>
      </c>
      <c r="K86" s="764"/>
      <c r="L86" s="764"/>
      <c r="M86" s="781"/>
      <c r="N86" s="782">
        <v>0</v>
      </c>
      <c r="O86" s="782">
        <f>+YEAR(G22)-YEAR($F$22)</f>
        <v>1</v>
      </c>
      <c r="P86" s="782">
        <f>+YEAR(H22)-YEAR($F$22)</f>
        <v>3</v>
      </c>
    </row>
    <row r="87" spans="1:16" ht="15.95" customHeight="1">
      <c r="J87" s="764"/>
      <c r="K87" s="764"/>
      <c r="L87" s="764"/>
      <c r="M87" s="764"/>
      <c r="N87" s="764"/>
      <c r="O87" s="764"/>
      <c r="P87" s="764"/>
    </row>
    <row r="88" spans="1:16" ht="15.95" customHeight="1">
      <c r="B88" s="37" t="s">
        <v>186</v>
      </c>
      <c r="J88" s="777" t="s">
        <v>187</v>
      </c>
      <c r="K88" s="764"/>
      <c r="L88" s="764"/>
      <c r="M88" s="779"/>
      <c r="N88" s="764"/>
      <c r="O88" s="764"/>
      <c r="P88" s="764"/>
    </row>
    <row r="89" spans="1:16" ht="15.95" customHeight="1">
      <c r="B89" s="29" t="s">
        <v>188</v>
      </c>
      <c r="E89" s="753">
        <v>5</v>
      </c>
      <c r="F89" s="754">
        <f>+$E89</f>
        <v>5</v>
      </c>
      <c r="G89" s="754">
        <f t="shared" ref="G89:H90" si="46">+$E89</f>
        <v>5</v>
      </c>
      <c r="H89" s="754">
        <f t="shared" si="46"/>
        <v>5</v>
      </c>
      <c r="J89" s="772" t="s">
        <v>189</v>
      </c>
      <c r="K89" s="751"/>
      <c r="L89" s="751"/>
      <c r="M89" s="766"/>
      <c r="N89" s="767">
        <v>0.8</v>
      </c>
      <c r="O89" s="767">
        <v>0.9</v>
      </c>
      <c r="P89" s="767">
        <v>0.9</v>
      </c>
    </row>
    <row r="90" spans="1:16" ht="15.95" customHeight="1">
      <c r="B90" s="29" t="s">
        <v>190</v>
      </c>
      <c r="E90" s="753">
        <v>55</v>
      </c>
      <c r="F90" s="754">
        <f>+$E90</f>
        <v>55</v>
      </c>
      <c r="G90" s="754">
        <f t="shared" si="46"/>
        <v>55</v>
      </c>
      <c r="H90" s="754">
        <f t="shared" si="46"/>
        <v>55</v>
      </c>
      <c r="J90" s="772" t="s">
        <v>191</v>
      </c>
      <c r="K90" s="751"/>
      <c r="L90" s="751"/>
      <c r="M90" s="766">
        <v>1</v>
      </c>
      <c r="N90" s="767">
        <f t="shared" ref="N90:P92" si="47">+$M90</f>
        <v>1</v>
      </c>
      <c r="O90" s="767">
        <f t="shared" si="47"/>
        <v>1</v>
      </c>
      <c r="P90" s="767">
        <f t="shared" si="47"/>
        <v>1</v>
      </c>
    </row>
    <row r="91" spans="1:16" ht="15.95" customHeight="1">
      <c r="E91" s="763"/>
      <c r="F91" s="764"/>
      <c r="G91" s="764"/>
      <c r="H91" s="764"/>
      <c r="J91" s="772" t="s">
        <v>192</v>
      </c>
      <c r="K91" s="751"/>
      <c r="L91" s="751"/>
      <c r="M91" s="766">
        <v>0.9</v>
      </c>
      <c r="N91" s="767">
        <f t="shared" si="47"/>
        <v>0.9</v>
      </c>
      <c r="O91" s="767">
        <f t="shared" si="47"/>
        <v>0.9</v>
      </c>
      <c r="P91" s="767">
        <f t="shared" si="47"/>
        <v>0.9</v>
      </c>
    </row>
    <row r="92" spans="1:16" ht="42.75" customHeight="1" thickBot="1">
      <c r="B92" s="868" t="s">
        <v>193</v>
      </c>
      <c r="C92" s="868"/>
      <c r="D92" s="31"/>
      <c r="E92" s="746" t="s">
        <v>123</v>
      </c>
      <c r="F92" s="765" t="s">
        <v>783</v>
      </c>
      <c r="G92" s="765" t="s">
        <v>194</v>
      </c>
      <c r="H92" s="765" t="s">
        <v>784</v>
      </c>
      <c r="J92" s="772" t="s">
        <v>195</v>
      </c>
      <c r="K92" s="751"/>
      <c r="L92" s="751"/>
      <c r="M92" s="766">
        <v>1</v>
      </c>
      <c r="N92" s="767">
        <f t="shared" si="47"/>
        <v>1</v>
      </c>
      <c r="O92" s="767">
        <f t="shared" si="47"/>
        <v>1</v>
      </c>
      <c r="P92" s="767">
        <f t="shared" si="47"/>
        <v>1</v>
      </c>
    </row>
    <row r="93" spans="1:16" ht="15.95" customHeight="1">
      <c r="B93" s="32" t="s">
        <v>196</v>
      </c>
      <c r="C93" s="31"/>
      <c r="D93" s="31"/>
      <c r="E93" s="749"/>
      <c r="F93" s="750">
        <f>+'Parcel Breakdown'!AO42</f>
        <v>148.60499999999999</v>
      </c>
      <c r="G93" s="750">
        <f>+'Parcel Breakdown'!AO43</f>
        <v>0</v>
      </c>
      <c r="H93" s="750">
        <f>+'Parcel Breakdown'!AO44</f>
        <v>0</v>
      </c>
      <c r="J93" s="764"/>
      <c r="K93" s="764"/>
      <c r="L93" s="764"/>
      <c r="M93" s="764"/>
      <c r="N93" s="764"/>
      <c r="O93" s="764"/>
      <c r="P93" s="764"/>
    </row>
    <row r="94" spans="1:16" ht="15.95" customHeight="1">
      <c r="A94" s="236"/>
      <c r="B94" s="38" t="s">
        <v>146</v>
      </c>
      <c r="C94" s="31"/>
      <c r="D94" s="31"/>
      <c r="E94" s="749">
        <v>400</v>
      </c>
      <c r="F94" s="750">
        <f t="shared" ref="F94:H94" si="48">+$E94</f>
        <v>400</v>
      </c>
      <c r="G94" s="750">
        <f t="shared" si="48"/>
        <v>400</v>
      </c>
      <c r="H94" s="750">
        <f t="shared" si="48"/>
        <v>400</v>
      </c>
      <c r="J94" s="777" t="s">
        <v>197</v>
      </c>
      <c r="K94" s="764"/>
      <c r="L94" s="764"/>
      <c r="M94" s="779"/>
      <c r="N94" s="764"/>
      <c r="O94" s="764"/>
      <c r="P94" s="764"/>
    </row>
    <row r="95" spans="1:16" ht="15.95" customHeight="1">
      <c r="A95" s="236"/>
      <c r="B95" s="38" t="s">
        <v>198</v>
      </c>
      <c r="C95" s="31"/>
      <c r="D95" s="31"/>
      <c r="E95" s="751"/>
      <c r="F95" s="755">
        <f>+F97*F96</f>
        <v>152.90145000000001</v>
      </c>
      <c r="G95" s="755">
        <f>+G97*G96</f>
        <v>152.90145000000001</v>
      </c>
      <c r="H95" s="755">
        <f>+H97*H96</f>
        <v>152.90145000000001</v>
      </c>
      <c r="J95" s="772" t="s">
        <v>130</v>
      </c>
      <c r="K95" s="751"/>
      <c r="L95" s="751"/>
      <c r="M95" s="753"/>
      <c r="N95" s="754">
        <v>5800</v>
      </c>
      <c r="O95" s="754">
        <f>+N95*(1+0.02)^2</f>
        <v>6034.32</v>
      </c>
      <c r="P95" s="754">
        <f>+O95*(1+0.02)^2</f>
        <v>6278.1065279999993</v>
      </c>
    </row>
    <row r="96" spans="1:16" ht="15.95" customHeight="1">
      <c r="A96" s="236"/>
      <c r="B96" s="38" t="s">
        <v>199</v>
      </c>
      <c r="C96" s="31"/>
      <c r="D96" s="31"/>
      <c r="E96" s="766">
        <v>0.76700000000000002</v>
      </c>
      <c r="F96" s="767">
        <f>+$E96</f>
        <v>0.76700000000000002</v>
      </c>
      <c r="G96" s="767">
        <f t="shared" ref="G96:H96" si="49">+$E96</f>
        <v>0.76700000000000002</v>
      </c>
      <c r="H96" s="767">
        <f t="shared" si="49"/>
        <v>0.76700000000000002</v>
      </c>
      <c r="J96" s="772" t="s">
        <v>132</v>
      </c>
      <c r="K96" s="751"/>
      <c r="L96" s="751"/>
      <c r="M96" s="753"/>
      <c r="N96" s="754">
        <v>6000</v>
      </c>
      <c r="O96" s="754">
        <f t="shared" ref="O96:P97" si="50">+N96*(1+0.02)^2</f>
        <v>6242.4</v>
      </c>
      <c r="P96" s="754">
        <f t="shared" si="50"/>
        <v>6494.5929599999999</v>
      </c>
    </row>
    <row r="97" spans="1:16" ht="15.95" customHeight="1">
      <c r="B97" s="38" t="s">
        <v>200</v>
      </c>
      <c r="C97" s="31"/>
      <c r="D97" s="31"/>
      <c r="E97" s="753"/>
      <c r="F97" s="754">
        <v>199.35</v>
      </c>
      <c r="G97" s="754">
        <v>199.35</v>
      </c>
      <c r="H97" s="754">
        <v>199.35</v>
      </c>
      <c r="J97" s="772" t="s">
        <v>201</v>
      </c>
      <c r="K97" s="751"/>
      <c r="L97" s="751"/>
      <c r="M97" s="753"/>
      <c r="N97" s="754">
        <v>500</v>
      </c>
      <c r="O97" s="754">
        <f t="shared" si="50"/>
        <v>520.20000000000005</v>
      </c>
      <c r="P97" s="754">
        <f t="shared" si="50"/>
        <v>541.21608000000003</v>
      </c>
    </row>
    <row r="98" spans="1:16" ht="15.95" customHeight="1">
      <c r="B98" s="40" t="s">
        <v>202</v>
      </c>
      <c r="C98" s="41"/>
      <c r="D98" s="41"/>
      <c r="E98" s="756">
        <f>+SUM(F98:H98)</f>
        <v>8299181.2716905633</v>
      </c>
      <c r="F98" s="757">
        <f>+F93*365.25*F95</f>
        <v>8299181.2716905633</v>
      </c>
      <c r="G98" s="757">
        <f>+G93*365.25*G95</f>
        <v>0</v>
      </c>
      <c r="H98" s="757">
        <f>+H93*365.25*H95</f>
        <v>0</v>
      </c>
      <c r="J98" s="764"/>
      <c r="K98" s="764"/>
      <c r="L98" s="764"/>
      <c r="M98" s="764"/>
      <c r="N98" s="764"/>
      <c r="O98" s="764"/>
      <c r="P98" s="764"/>
    </row>
    <row r="99" spans="1:16" ht="15.95" customHeight="1">
      <c r="B99" s="42" t="s">
        <v>159</v>
      </c>
      <c r="C99" s="43"/>
      <c r="D99" s="43"/>
      <c r="E99" s="758">
        <f>+SUM(F99:H99)</f>
        <v>59441.999999999993</v>
      </c>
      <c r="F99" s="759">
        <f>+F93*F94</f>
        <v>59441.999999999993</v>
      </c>
      <c r="G99" s="759">
        <f t="shared" ref="G99:H99" si="51">+G93*G94</f>
        <v>0</v>
      </c>
      <c r="H99" s="759">
        <f t="shared" si="51"/>
        <v>0</v>
      </c>
      <c r="J99" s="777" t="s">
        <v>203</v>
      </c>
      <c r="K99" s="751"/>
      <c r="L99" s="751"/>
      <c r="M99" s="766"/>
      <c r="N99" s="767"/>
      <c r="O99" s="767"/>
      <c r="P99" s="767"/>
    </row>
    <row r="100" spans="1:16" ht="15.95" customHeight="1">
      <c r="B100" s="38" t="s">
        <v>204</v>
      </c>
      <c r="C100" s="30"/>
      <c r="E100" s="749">
        <f>+SUM(F100:H100)</f>
        <v>148.60499999999999</v>
      </c>
      <c r="F100" s="750">
        <f>+F93</f>
        <v>148.60499999999999</v>
      </c>
      <c r="G100" s="750">
        <f t="shared" ref="G100:H100" si="52">+G93</f>
        <v>0</v>
      </c>
      <c r="H100" s="750">
        <f t="shared" si="52"/>
        <v>0</v>
      </c>
      <c r="J100" s="784" t="s">
        <v>205</v>
      </c>
      <c r="K100" s="764"/>
      <c r="L100" s="764"/>
      <c r="M100" s="764"/>
      <c r="N100" s="764"/>
      <c r="O100" s="764"/>
      <c r="P100" s="764"/>
    </row>
    <row r="101" spans="1:16" ht="15.95" customHeight="1">
      <c r="B101" s="44" t="s">
        <v>206</v>
      </c>
      <c r="C101" s="45"/>
      <c r="D101" s="45"/>
      <c r="E101" s="768">
        <f>+IFERROR(E98/E99,"")</f>
        <v>139.61813653125003</v>
      </c>
      <c r="F101" s="769">
        <f>+IFERROR(F98/F99,"")</f>
        <v>139.61813653125003</v>
      </c>
      <c r="G101" s="769" t="str">
        <f t="shared" ref="G101:H101" si="53">+IFERROR(G98/G99,"")</f>
        <v/>
      </c>
      <c r="H101" s="769" t="str">
        <f t="shared" si="53"/>
        <v/>
      </c>
      <c r="J101" s="772" t="s">
        <v>207</v>
      </c>
      <c r="K101" s="751"/>
      <c r="L101" s="751"/>
      <c r="M101" s="778">
        <v>0.25</v>
      </c>
      <c r="N101" s="785">
        <f t="shared" ref="N101:P102" si="54">+$M101</f>
        <v>0.25</v>
      </c>
      <c r="O101" s="785">
        <f t="shared" si="54"/>
        <v>0.25</v>
      </c>
      <c r="P101" s="785">
        <f t="shared" si="54"/>
        <v>0.25</v>
      </c>
    </row>
    <row r="102" spans="1:16" ht="15.95" customHeight="1">
      <c r="B102" s="46" t="s">
        <v>208</v>
      </c>
      <c r="C102" s="30"/>
      <c r="E102" s="760"/>
      <c r="F102" s="755"/>
      <c r="G102" s="755"/>
      <c r="H102" s="755"/>
      <c r="J102" s="772" t="s">
        <v>209</v>
      </c>
      <c r="K102" s="751"/>
      <c r="L102" s="751"/>
      <c r="M102" s="778">
        <v>0.7</v>
      </c>
      <c r="N102" s="785">
        <f t="shared" si="54"/>
        <v>0.7</v>
      </c>
      <c r="O102" s="785">
        <f t="shared" si="54"/>
        <v>0.7</v>
      </c>
      <c r="P102" s="785">
        <f t="shared" si="54"/>
        <v>0.7</v>
      </c>
    </row>
    <row r="103" spans="1:16" ht="15.95" customHeight="1">
      <c r="B103" s="38" t="s">
        <v>210</v>
      </c>
      <c r="C103" s="30"/>
      <c r="E103" s="760">
        <v>30</v>
      </c>
      <c r="F103" s="754">
        <f>+$E103</f>
        <v>30</v>
      </c>
      <c r="G103" s="754">
        <f t="shared" ref="G103:H106" si="55">+$E103</f>
        <v>30</v>
      </c>
      <c r="H103" s="754">
        <f t="shared" si="55"/>
        <v>30</v>
      </c>
      <c r="J103" s="784" t="s">
        <v>211</v>
      </c>
      <c r="K103" s="764"/>
      <c r="L103" s="764"/>
      <c r="M103" s="764"/>
      <c r="N103" s="764"/>
      <c r="O103" s="764"/>
      <c r="P103" s="764"/>
    </row>
    <row r="104" spans="1:16" ht="15.95" customHeight="1">
      <c r="B104" s="38" t="s">
        <v>212</v>
      </c>
      <c r="C104" s="30"/>
      <c r="E104" s="753"/>
      <c r="F104" s="754">
        <f>+F103*365.25*F$96</f>
        <v>8404.4025000000001</v>
      </c>
      <c r="G104" s="754">
        <f t="shared" ref="G104:H104" si="56">+G103*365.25*G$96</f>
        <v>8404.4025000000001</v>
      </c>
      <c r="H104" s="754">
        <f t="shared" si="56"/>
        <v>8404.4025000000001</v>
      </c>
      <c r="J104" s="772" t="s">
        <v>213</v>
      </c>
      <c r="K104" s="751"/>
      <c r="L104" s="751"/>
      <c r="M104" s="778">
        <v>0.08</v>
      </c>
      <c r="N104" s="785">
        <f t="shared" ref="N104:P111" si="57">+$M104</f>
        <v>0.08</v>
      </c>
      <c r="O104" s="785">
        <f t="shared" si="57"/>
        <v>0.08</v>
      </c>
      <c r="P104" s="785">
        <f t="shared" si="57"/>
        <v>0.08</v>
      </c>
    </row>
    <row r="105" spans="1:16" ht="15.95" customHeight="1">
      <c r="B105" s="46" t="s">
        <v>214</v>
      </c>
      <c r="C105" s="30"/>
      <c r="E105" s="760"/>
      <c r="F105" s="755"/>
      <c r="G105" s="755"/>
      <c r="H105" s="755"/>
      <c r="J105" s="772" t="s">
        <v>215</v>
      </c>
      <c r="K105" s="751"/>
      <c r="L105" s="751"/>
      <c r="M105" s="778">
        <v>0.01</v>
      </c>
      <c r="N105" s="785">
        <f t="shared" si="57"/>
        <v>0.01</v>
      </c>
      <c r="O105" s="785">
        <f t="shared" si="57"/>
        <v>0.01</v>
      </c>
      <c r="P105" s="785">
        <f t="shared" si="57"/>
        <v>0.01</v>
      </c>
    </row>
    <row r="106" spans="1:16" ht="15.95" customHeight="1">
      <c r="B106" s="38" t="s">
        <v>210</v>
      </c>
      <c r="C106" s="30"/>
      <c r="E106" s="760">
        <v>10</v>
      </c>
      <c r="F106" s="754">
        <f>+$E106</f>
        <v>10</v>
      </c>
      <c r="G106" s="754">
        <f t="shared" si="55"/>
        <v>10</v>
      </c>
      <c r="H106" s="754">
        <f t="shared" si="55"/>
        <v>10</v>
      </c>
      <c r="J106" s="772" t="s">
        <v>216</v>
      </c>
      <c r="K106" s="751"/>
      <c r="L106" s="751"/>
      <c r="M106" s="778">
        <v>6.5000000000000002E-2</v>
      </c>
      <c r="N106" s="785">
        <f t="shared" si="57"/>
        <v>6.5000000000000002E-2</v>
      </c>
      <c r="O106" s="785">
        <f t="shared" si="57"/>
        <v>6.5000000000000002E-2</v>
      </c>
      <c r="P106" s="785">
        <f t="shared" si="57"/>
        <v>6.5000000000000002E-2</v>
      </c>
    </row>
    <row r="107" spans="1:16" ht="15.95" customHeight="1">
      <c r="B107" s="38" t="s">
        <v>212</v>
      </c>
      <c r="C107" s="30"/>
      <c r="E107" s="760"/>
      <c r="F107" s="754">
        <f>+F106*365*F$96</f>
        <v>2799.55</v>
      </c>
      <c r="G107" s="754">
        <f t="shared" ref="G107:H107" si="58">+G106*365*G$96</f>
        <v>2799.55</v>
      </c>
      <c r="H107" s="754">
        <f t="shared" si="58"/>
        <v>2799.55</v>
      </c>
      <c r="J107" s="786" t="s">
        <v>217</v>
      </c>
      <c r="K107" s="751"/>
      <c r="L107" s="751"/>
      <c r="M107" s="778">
        <v>0.02</v>
      </c>
      <c r="N107" s="785">
        <f t="shared" si="57"/>
        <v>0.02</v>
      </c>
      <c r="O107" s="785">
        <f t="shared" si="57"/>
        <v>0.02</v>
      </c>
      <c r="P107" s="785">
        <f t="shared" si="57"/>
        <v>0.02</v>
      </c>
    </row>
    <row r="108" spans="1:16" ht="15.95" customHeight="1">
      <c r="B108" s="40" t="s">
        <v>218</v>
      </c>
      <c r="C108" s="41"/>
      <c r="D108" s="41"/>
      <c r="E108" s="756">
        <f>+SUM(F108:H108)</f>
        <v>1664963.3612624998</v>
      </c>
      <c r="F108" s="757">
        <f>+F93*(F104+F107)</f>
        <v>1664963.3612624998</v>
      </c>
      <c r="G108" s="757">
        <f t="shared" ref="G108:H108" si="59">+G93*(G104+G107)</f>
        <v>0</v>
      </c>
      <c r="H108" s="757">
        <f t="shared" si="59"/>
        <v>0</v>
      </c>
      <c r="J108" s="772" t="s">
        <v>219</v>
      </c>
      <c r="K108" s="751"/>
      <c r="L108" s="751"/>
      <c r="M108" s="778">
        <v>0.03</v>
      </c>
      <c r="N108" s="785">
        <f t="shared" si="57"/>
        <v>0.03</v>
      </c>
      <c r="O108" s="785">
        <f t="shared" si="57"/>
        <v>0.03</v>
      </c>
      <c r="P108" s="785">
        <f t="shared" si="57"/>
        <v>0.03</v>
      </c>
    </row>
    <row r="109" spans="1:16" ht="15.95" customHeight="1">
      <c r="B109" s="28" t="s">
        <v>220</v>
      </c>
      <c r="E109" s="763"/>
      <c r="F109" s="764"/>
      <c r="G109" s="764"/>
      <c r="H109" s="764"/>
      <c r="J109" s="772" t="s">
        <v>221</v>
      </c>
      <c r="K109" s="751"/>
      <c r="L109" s="751"/>
      <c r="M109" s="778">
        <v>0.04</v>
      </c>
      <c r="N109" s="785">
        <f t="shared" si="57"/>
        <v>0.04</v>
      </c>
      <c r="O109" s="785">
        <f t="shared" si="57"/>
        <v>0.04</v>
      </c>
      <c r="P109" s="785">
        <f t="shared" si="57"/>
        <v>0.04</v>
      </c>
    </row>
    <row r="110" spans="1:16" ht="15.95" customHeight="1">
      <c r="B110" s="38" t="s">
        <v>222</v>
      </c>
      <c r="E110" s="763"/>
      <c r="F110" s="750">
        <v>0</v>
      </c>
      <c r="G110" s="750">
        <v>35000</v>
      </c>
      <c r="H110" s="750">
        <v>0</v>
      </c>
      <c r="J110" s="772" t="s">
        <v>223</v>
      </c>
      <c r="K110" s="751"/>
      <c r="L110" s="751"/>
      <c r="M110" s="778">
        <v>0.01</v>
      </c>
      <c r="N110" s="785">
        <f t="shared" si="57"/>
        <v>0.01</v>
      </c>
      <c r="O110" s="785">
        <f t="shared" si="57"/>
        <v>0.01</v>
      </c>
      <c r="P110" s="785">
        <f t="shared" si="57"/>
        <v>0.01</v>
      </c>
    </row>
    <row r="111" spans="1:16" ht="15.95" customHeight="1">
      <c r="B111" s="38" t="s">
        <v>224</v>
      </c>
      <c r="E111" s="763"/>
      <c r="F111" s="750">
        <v>90</v>
      </c>
      <c r="G111" s="750">
        <v>90</v>
      </c>
      <c r="H111" s="750">
        <v>90</v>
      </c>
      <c r="J111" s="772" t="s">
        <v>225</v>
      </c>
      <c r="K111" s="751"/>
      <c r="L111" s="751"/>
      <c r="M111" s="778">
        <v>3.5000000000000003E-2</v>
      </c>
      <c r="N111" s="785">
        <f t="shared" si="57"/>
        <v>3.5000000000000003E-2</v>
      </c>
      <c r="O111" s="785">
        <f t="shared" si="57"/>
        <v>3.5000000000000003E-2</v>
      </c>
      <c r="P111" s="785">
        <f t="shared" si="57"/>
        <v>3.5000000000000003E-2</v>
      </c>
    </row>
    <row r="112" spans="1:16" ht="15.95" customHeight="1">
      <c r="A112" s="236"/>
      <c r="B112" s="38" t="s">
        <v>226</v>
      </c>
      <c r="E112" s="763"/>
      <c r="F112" s="750">
        <f>+F110/20</f>
        <v>0</v>
      </c>
      <c r="G112" s="750">
        <f>+G110/20</f>
        <v>1750</v>
      </c>
      <c r="H112" s="750">
        <f t="shared" ref="H112" si="60">+H110/50</f>
        <v>0</v>
      </c>
      <c r="J112" s="787" t="s">
        <v>227</v>
      </c>
      <c r="K112" s="764"/>
      <c r="L112" s="764"/>
      <c r="M112" s="764"/>
      <c r="N112" s="764"/>
      <c r="O112" s="764"/>
      <c r="P112" s="764"/>
    </row>
    <row r="113" spans="1:16" ht="15.95" customHeight="1">
      <c r="B113" s="38" t="s">
        <v>228</v>
      </c>
      <c r="E113" s="763"/>
      <c r="F113" s="770">
        <v>10</v>
      </c>
      <c r="G113" s="770">
        <v>10</v>
      </c>
      <c r="H113" s="770">
        <v>10</v>
      </c>
      <c r="J113" s="772" t="s">
        <v>229</v>
      </c>
      <c r="K113" s="751"/>
      <c r="L113" s="751"/>
      <c r="M113" s="778">
        <v>0.03</v>
      </c>
      <c r="N113" s="785">
        <f>+$M113</f>
        <v>0.03</v>
      </c>
      <c r="O113" s="785">
        <f>+$M113</f>
        <v>0.03</v>
      </c>
      <c r="P113" s="785">
        <f>+$M113</f>
        <v>0.03</v>
      </c>
    </row>
    <row r="114" spans="1:16" ht="15.95" customHeight="1">
      <c r="B114" s="38" t="s">
        <v>230</v>
      </c>
      <c r="E114" s="763"/>
      <c r="F114" s="754" t="str">
        <f>+IFERROR(F113*F112*F111/F110,"")</f>
        <v/>
      </c>
      <c r="G114" s="754">
        <f t="shared" ref="G114" si="61">+IFERROR(G113*G112*G111/G110,"")</f>
        <v>45</v>
      </c>
      <c r="H114" s="754" t="str">
        <f t="shared" ref="H114" si="62">+IFERROR(H113*H112*H111/H110,"")</f>
        <v/>
      </c>
      <c r="J114" s="787" t="s">
        <v>231</v>
      </c>
      <c r="K114" s="764"/>
      <c r="L114" s="764"/>
      <c r="M114" s="764"/>
      <c r="N114" s="764"/>
      <c r="O114" s="764"/>
      <c r="P114" s="764"/>
    </row>
    <row r="115" spans="1:16" ht="15.95" customHeight="1">
      <c r="B115" s="40" t="s">
        <v>232</v>
      </c>
      <c r="C115" s="41"/>
      <c r="D115" s="41"/>
      <c r="E115" s="756">
        <f>+SUM(F115:H115)</f>
        <v>1575000</v>
      </c>
      <c r="F115" s="757">
        <f>+IFERROR(F114*F110,0)</f>
        <v>0</v>
      </c>
      <c r="G115" s="757">
        <f t="shared" ref="G115:H115" si="63">+IFERROR(G114*G110,0)</f>
        <v>1575000</v>
      </c>
      <c r="H115" s="757">
        <f t="shared" si="63"/>
        <v>0</v>
      </c>
      <c r="J115" s="772" t="s">
        <v>233</v>
      </c>
      <c r="K115" s="751"/>
      <c r="L115" s="751"/>
      <c r="M115" s="778">
        <v>0.4</v>
      </c>
      <c r="N115" s="785">
        <f>+$M115</f>
        <v>0.4</v>
      </c>
      <c r="O115" s="785">
        <f>+$M115</f>
        <v>0.4</v>
      </c>
      <c r="P115" s="785">
        <f>+$M115</f>
        <v>0.4</v>
      </c>
    </row>
    <row r="116" spans="1:16" ht="15.95" customHeight="1">
      <c r="B116" s="28" t="s">
        <v>234</v>
      </c>
      <c r="D116" s="29"/>
      <c r="E116" s="764"/>
      <c r="F116" s="764"/>
      <c r="G116" s="764"/>
      <c r="H116" s="764"/>
      <c r="J116" s="764"/>
      <c r="K116" s="764"/>
      <c r="L116" s="764"/>
      <c r="M116" s="764"/>
      <c r="N116" s="764"/>
      <c r="O116" s="764"/>
      <c r="P116" s="764"/>
    </row>
    <row r="117" spans="1:16" ht="15.95" customHeight="1">
      <c r="B117" s="38" t="s">
        <v>235</v>
      </c>
      <c r="E117" s="766">
        <v>0.7</v>
      </c>
      <c r="F117" s="767">
        <f>+$E117</f>
        <v>0.7</v>
      </c>
      <c r="G117" s="767">
        <f t="shared" ref="G117:H117" si="64">+$E117</f>
        <v>0.7</v>
      </c>
      <c r="H117" s="767">
        <f t="shared" si="64"/>
        <v>0.7</v>
      </c>
      <c r="J117" s="764"/>
      <c r="K117" s="764"/>
      <c r="L117" s="764"/>
      <c r="M117" s="764"/>
      <c r="N117" s="764"/>
      <c r="O117" s="764"/>
      <c r="P117" s="764"/>
    </row>
    <row r="118" spans="1:16" ht="15.95" customHeight="1">
      <c r="B118" s="38" t="s">
        <v>236</v>
      </c>
      <c r="E118" s="753"/>
      <c r="F118" s="754">
        <f>+F97-10</f>
        <v>189.35</v>
      </c>
      <c r="G118" s="754">
        <f>+G97-10</f>
        <v>189.35</v>
      </c>
      <c r="H118" s="754">
        <f>+H97-10</f>
        <v>189.35</v>
      </c>
      <c r="J118" s="777" t="s">
        <v>237</v>
      </c>
      <c r="K118" s="764"/>
      <c r="L118" s="764"/>
      <c r="M118" s="764"/>
      <c r="N118" s="764"/>
      <c r="O118" s="764"/>
      <c r="P118" s="764"/>
    </row>
    <row r="119" spans="1:16" ht="15.95" customHeight="1">
      <c r="B119" s="38" t="s">
        <v>238</v>
      </c>
      <c r="E119" s="766">
        <v>0.75</v>
      </c>
      <c r="F119" s="767">
        <f>+$E119</f>
        <v>0.75</v>
      </c>
      <c r="G119" s="767">
        <f t="shared" ref="G119:H119" si="65">+$E119</f>
        <v>0.75</v>
      </c>
      <c r="H119" s="767">
        <f t="shared" si="65"/>
        <v>0.75</v>
      </c>
      <c r="J119" s="772" t="s">
        <v>130</v>
      </c>
      <c r="K119" s="764"/>
      <c r="L119" s="764"/>
      <c r="M119" s="760"/>
      <c r="N119" s="755">
        <f t="shared" ref="N119:P120" si="66">+N95*$E$56/$E$55</f>
        <v>8.2648811264478006</v>
      </c>
      <c r="O119" s="755">
        <f t="shared" si="66"/>
        <v>8.5987823239562911</v>
      </c>
      <c r="P119" s="755">
        <f t="shared" si="66"/>
        <v>8.9461731298441247</v>
      </c>
    </row>
    <row r="120" spans="1:16" ht="15.95" customHeight="1">
      <c r="B120" s="38" t="s">
        <v>239</v>
      </c>
      <c r="E120" s="753"/>
      <c r="F120" s="754">
        <f>+F97-5</f>
        <v>194.35</v>
      </c>
      <c r="G120" s="754">
        <f>+G97-5</f>
        <v>194.35</v>
      </c>
      <c r="H120" s="754">
        <f>+H97-5</f>
        <v>194.35</v>
      </c>
      <c r="J120" s="772" t="s">
        <v>132</v>
      </c>
      <c r="K120" s="764"/>
      <c r="L120" s="764"/>
      <c r="M120" s="760"/>
      <c r="N120" s="755">
        <f t="shared" si="66"/>
        <v>8.549877027359793</v>
      </c>
      <c r="O120" s="755">
        <f t="shared" si="66"/>
        <v>8.8952920592651292</v>
      </c>
      <c r="P120" s="755">
        <f t="shared" si="66"/>
        <v>9.2546618584594409</v>
      </c>
    </row>
    <row r="121" spans="1:16" ht="15.95" customHeight="1">
      <c r="E121" s="763"/>
      <c r="F121" s="764"/>
      <c r="G121" s="764"/>
      <c r="H121" s="764"/>
      <c r="J121" s="772" t="s">
        <v>14</v>
      </c>
      <c r="K121" s="764"/>
      <c r="L121" s="764"/>
      <c r="M121" s="760"/>
      <c r="N121" s="755">
        <v>7</v>
      </c>
      <c r="O121" s="755">
        <f t="shared" ref="O121:P121" si="67">+N121*(1+0.02)^2</f>
        <v>7.2827999999999999</v>
      </c>
      <c r="P121" s="755">
        <f t="shared" si="67"/>
        <v>7.5770251200000001</v>
      </c>
    </row>
    <row r="122" spans="1:16" ht="15.95" customHeight="1">
      <c r="E122" s="763"/>
      <c r="F122" s="764"/>
      <c r="G122" s="764"/>
      <c r="H122" s="764"/>
      <c r="J122" s="786" t="s">
        <v>769</v>
      </c>
      <c r="K122" s="797"/>
      <c r="L122" s="797"/>
      <c r="M122" s="798"/>
      <c r="N122" s="799">
        <v>7</v>
      </c>
      <c r="O122" s="799">
        <f t="shared" ref="O122:P122" si="68">+N122*(1+0.02)^2</f>
        <v>7.2827999999999999</v>
      </c>
      <c r="P122" s="799">
        <f t="shared" si="68"/>
        <v>7.5770251200000001</v>
      </c>
    </row>
    <row r="123" spans="1:16" ht="15.95" customHeight="1" thickBot="1">
      <c r="B123" s="868" t="s">
        <v>240</v>
      </c>
      <c r="C123" s="868"/>
      <c r="D123" s="31"/>
      <c r="E123" s="746" t="s">
        <v>123</v>
      </c>
      <c r="F123" s="746" t="str">
        <f>+F$21</f>
        <v>I</v>
      </c>
      <c r="G123" s="746" t="str">
        <f>+G$21</f>
        <v>II</v>
      </c>
      <c r="H123" s="746" t="str">
        <f>+H$21</f>
        <v>III</v>
      </c>
      <c r="J123" s="772" t="s">
        <v>137</v>
      </c>
      <c r="K123" s="764"/>
      <c r="L123" s="764"/>
      <c r="M123" s="760"/>
      <c r="N123" s="755">
        <v>7.5</v>
      </c>
      <c r="O123" s="755">
        <f t="shared" ref="O123:P123" si="69">+N123*(1+0.02)^2</f>
        <v>7.8029999999999999</v>
      </c>
      <c r="P123" s="755">
        <f t="shared" si="69"/>
        <v>8.1182411999999999</v>
      </c>
    </row>
    <row r="124" spans="1:16" ht="15.95" customHeight="1">
      <c r="B124" s="32" t="s">
        <v>241</v>
      </c>
      <c r="C124" s="31"/>
      <c r="D124" s="31"/>
      <c r="E124" s="749"/>
      <c r="F124" s="750"/>
      <c r="G124" s="750"/>
      <c r="H124" s="750"/>
      <c r="J124" s="772" t="s">
        <v>69</v>
      </c>
      <c r="K124" s="764"/>
      <c r="L124" s="764"/>
      <c r="M124" s="760"/>
      <c r="N124" s="755">
        <v>2</v>
      </c>
      <c r="O124" s="755">
        <f t="shared" ref="O124:P124" si="70">+N124*(1+0.02)^2</f>
        <v>2.0808</v>
      </c>
      <c r="P124" s="755">
        <f t="shared" si="70"/>
        <v>2.16486432</v>
      </c>
    </row>
    <row r="125" spans="1:16" ht="15.95" customHeight="1">
      <c r="B125" s="38" t="s">
        <v>222</v>
      </c>
      <c r="C125" s="31"/>
      <c r="D125" s="31"/>
      <c r="E125" s="749"/>
      <c r="F125" s="750">
        <f>+'Parcel Breakdown'!AQ24-F133</f>
        <v>66238.399999999994</v>
      </c>
      <c r="G125" s="750">
        <f>+'Parcel Breakdown'!AQ25</f>
        <v>113332.5</v>
      </c>
      <c r="H125" s="750">
        <f>+'Parcel Breakdown'!AQ26</f>
        <v>36539.1</v>
      </c>
      <c r="J125" s="764"/>
      <c r="K125" s="764"/>
      <c r="L125" s="764"/>
      <c r="M125" s="764"/>
      <c r="N125" s="764"/>
      <c r="O125" s="764"/>
      <c r="P125" s="764"/>
    </row>
    <row r="126" spans="1:16" ht="15.95" customHeight="1">
      <c r="A126" s="236"/>
      <c r="B126" s="38" t="s">
        <v>147</v>
      </c>
      <c r="C126" s="31"/>
      <c r="D126" s="31"/>
      <c r="E126" s="751"/>
      <c r="F126" s="755">
        <v>67</v>
      </c>
      <c r="G126" s="755">
        <f>+F126*(1+0.02)^2</f>
        <v>69.706800000000001</v>
      </c>
      <c r="H126" s="755">
        <f>+F126*(1+0.02)^4</f>
        <v>72.522954720000001</v>
      </c>
      <c r="J126" s="869" t="s">
        <v>242</v>
      </c>
      <c r="K126" s="869"/>
      <c r="L126" s="751"/>
      <c r="M126" s="746" t="s">
        <v>123</v>
      </c>
      <c r="N126" s="746" t="str">
        <f>+F$21</f>
        <v>I</v>
      </c>
      <c r="O126" s="746" t="str">
        <f>+G$21</f>
        <v>II</v>
      </c>
      <c r="P126" s="746" t="str">
        <f>+H$21</f>
        <v>III</v>
      </c>
    </row>
    <row r="127" spans="1:16" ht="15.95" customHeight="1">
      <c r="A127" s="236"/>
      <c r="B127" s="38" t="s">
        <v>243</v>
      </c>
      <c r="C127" s="31"/>
      <c r="D127" s="31"/>
      <c r="E127" s="753"/>
      <c r="F127" s="754">
        <f>+F126*F125</f>
        <v>4437972.8</v>
      </c>
      <c r="G127" s="754">
        <f>+G126*G125</f>
        <v>7900045.9110000003</v>
      </c>
      <c r="H127" s="754">
        <f>+H126*H125</f>
        <v>2649923.4948095521</v>
      </c>
      <c r="J127" s="777" t="s">
        <v>244</v>
      </c>
      <c r="K127" s="764"/>
      <c r="L127" s="764"/>
      <c r="M127" s="764"/>
      <c r="N127" s="764"/>
      <c r="O127" s="764"/>
      <c r="P127" s="764"/>
    </row>
    <row r="128" spans="1:16" ht="15.95" customHeight="1">
      <c r="B128" s="32" t="s">
        <v>22</v>
      </c>
      <c r="C128" s="31"/>
      <c r="D128" s="31"/>
      <c r="E128" s="749"/>
      <c r="F128" s="750"/>
      <c r="G128" s="750"/>
      <c r="H128" s="750"/>
      <c r="J128" s="772" t="s">
        <v>130</v>
      </c>
      <c r="K128" s="751"/>
      <c r="L128" s="751"/>
      <c r="M128" s="788">
        <v>5.7500000000000002E-2</v>
      </c>
      <c r="N128" s="789">
        <f t="shared" ref="N128:P136" si="71">+$M128</f>
        <v>5.7500000000000002E-2</v>
      </c>
      <c r="O128" s="789">
        <f t="shared" si="71"/>
        <v>5.7500000000000002E-2</v>
      </c>
      <c r="P128" s="789">
        <f t="shared" si="71"/>
        <v>5.7500000000000002E-2</v>
      </c>
    </row>
    <row r="129" spans="2:18" ht="15.95" customHeight="1">
      <c r="B129" s="38" t="s">
        <v>222</v>
      </c>
      <c r="C129" s="31"/>
      <c r="D129" s="31"/>
      <c r="E129" s="749"/>
      <c r="F129" s="750">
        <v>0</v>
      </c>
      <c r="G129" s="750">
        <v>0</v>
      </c>
      <c r="H129" s="750">
        <v>0</v>
      </c>
      <c r="J129" s="772" t="s">
        <v>132</v>
      </c>
      <c r="K129" s="751"/>
      <c r="L129" s="751"/>
      <c r="M129" s="788">
        <v>5.5E-2</v>
      </c>
      <c r="N129" s="789">
        <f t="shared" si="71"/>
        <v>5.5E-2</v>
      </c>
      <c r="O129" s="789">
        <f t="shared" si="71"/>
        <v>5.5E-2</v>
      </c>
      <c r="P129" s="789">
        <f t="shared" si="71"/>
        <v>5.5E-2</v>
      </c>
    </row>
    <row r="130" spans="2:18" ht="15.95" customHeight="1">
      <c r="B130" s="38" t="s">
        <v>147</v>
      </c>
      <c r="C130" s="31"/>
      <c r="D130" s="31"/>
      <c r="E130" s="751"/>
      <c r="F130" s="755">
        <v>0</v>
      </c>
      <c r="G130" s="755">
        <v>0</v>
      </c>
      <c r="H130" s="755">
        <v>0</v>
      </c>
      <c r="J130" s="772" t="s">
        <v>14</v>
      </c>
      <c r="K130" s="751"/>
      <c r="L130" s="751"/>
      <c r="M130" s="788">
        <v>0.06</v>
      </c>
      <c r="N130" s="789">
        <f t="shared" si="71"/>
        <v>0.06</v>
      </c>
      <c r="O130" s="789">
        <f t="shared" si="71"/>
        <v>0.06</v>
      </c>
      <c r="P130" s="789">
        <f t="shared" si="71"/>
        <v>0.06</v>
      </c>
    </row>
    <row r="131" spans="2:18" ht="15.95" customHeight="1">
      <c r="B131" s="38" t="s">
        <v>243</v>
      </c>
      <c r="C131" s="31"/>
      <c r="D131" s="31"/>
      <c r="E131" s="753"/>
      <c r="F131" s="754">
        <f>+F130*F129</f>
        <v>0</v>
      </c>
      <c r="G131" s="754">
        <f t="shared" ref="G131:H131" si="72">+G130*G129</f>
        <v>0</v>
      </c>
      <c r="H131" s="754">
        <f t="shared" si="72"/>
        <v>0</v>
      </c>
      <c r="J131" s="772" t="s">
        <v>16</v>
      </c>
      <c r="K131" s="751"/>
      <c r="L131" s="751"/>
      <c r="M131" s="788">
        <v>6.5000000000000002E-2</v>
      </c>
      <c r="N131" s="789">
        <f t="shared" si="71"/>
        <v>6.5000000000000002E-2</v>
      </c>
      <c r="O131" s="789">
        <f t="shared" si="71"/>
        <v>6.5000000000000002E-2</v>
      </c>
      <c r="P131" s="789">
        <f t="shared" si="71"/>
        <v>6.5000000000000002E-2</v>
      </c>
    </row>
    <row r="132" spans="2:18" ht="15.95" customHeight="1">
      <c r="B132" s="32" t="s">
        <v>245</v>
      </c>
      <c r="E132" s="749"/>
      <c r="F132" s="750"/>
      <c r="G132" s="750"/>
      <c r="H132" s="750"/>
      <c r="J132" s="772" t="s">
        <v>769</v>
      </c>
      <c r="K132" s="751"/>
      <c r="L132" s="751"/>
      <c r="M132" s="788">
        <v>6.7500000000000004E-2</v>
      </c>
      <c r="N132" s="789">
        <f t="shared" si="71"/>
        <v>6.7500000000000004E-2</v>
      </c>
      <c r="O132" s="789">
        <f t="shared" si="71"/>
        <v>6.7500000000000004E-2</v>
      </c>
      <c r="P132" s="789">
        <f t="shared" si="71"/>
        <v>6.7500000000000004E-2</v>
      </c>
    </row>
    <row r="133" spans="2:18" ht="15.95" customHeight="1">
      <c r="B133" s="38" t="s">
        <v>222</v>
      </c>
      <c r="E133" s="749"/>
      <c r="F133" s="750">
        <v>25473</v>
      </c>
      <c r="G133" s="750">
        <v>0</v>
      </c>
      <c r="H133" s="750">
        <v>0</v>
      </c>
      <c r="J133" s="772" t="s">
        <v>137</v>
      </c>
      <c r="K133" s="751"/>
      <c r="L133" s="751"/>
      <c r="M133" s="788">
        <v>6.5000000000000002E-2</v>
      </c>
      <c r="N133" s="789">
        <f t="shared" si="71"/>
        <v>6.5000000000000002E-2</v>
      </c>
      <c r="O133" s="789">
        <f t="shared" si="71"/>
        <v>6.5000000000000002E-2</v>
      </c>
      <c r="P133" s="789">
        <f t="shared" si="71"/>
        <v>6.5000000000000002E-2</v>
      </c>
    </row>
    <row r="134" spans="2:18" ht="15.95" customHeight="1">
      <c r="B134" s="38" t="s">
        <v>147</v>
      </c>
      <c r="E134" s="751"/>
      <c r="F134" s="755">
        <v>30</v>
      </c>
      <c r="G134" s="755">
        <v>32</v>
      </c>
      <c r="H134" s="755">
        <v>35</v>
      </c>
      <c r="J134" s="772" t="s">
        <v>69</v>
      </c>
      <c r="K134" s="764"/>
      <c r="L134" s="764"/>
      <c r="M134" s="788">
        <v>5.5E-2</v>
      </c>
      <c r="N134" s="789">
        <f t="shared" si="71"/>
        <v>5.5E-2</v>
      </c>
      <c r="O134" s="789">
        <f t="shared" si="71"/>
        <v>5.5E-2</v>
      </c>
      <c r="P134" s="789">
        <f t="shared" si="71"/>
        <v>5.5E-2</v>
      </c>
    </row>
    <row r="135" spans="2:18" ht="15.95" customHeight="1">
      <c r="B135" s="38" t="s">
        <v>243</v>
      </c>
      <c r="E135" s="753"/>
      <c r="F135" s="754">
        <f>+F134*F133</f>
        <v>764190</v>
      </c>
      <c r="G135" s="754">
        <f t="shared" ref="G135:H135" si="73">+G134*G133</f>
        <v>0</v>
      </c>
      <c r="H135" s="754">
        <f t="shared" si="73"/>
        <v>0</v>
      </c>
      <c r="J135" s="772" t="s">
        <v>201</v>
      </c>
      <c r="K135" s="764"/>
      <c r="L135" s="764"/>
      <c r="M135" s="788">
        <v>6.5000000000000002E-2</v>
      </c>
      <c r="N135" s="789">
        <f t="shared" si="71"/>
        <v>6.5000000000000002E-2</v>
      </c>
      <c r="O135" s="789">
        <f t="shared" si="71"/>
        <v>6.5000000000000002E-2</v>
      </c>
      <c r="P135" s="789">
        <f t="shared" si="71"/>
        <v>6.5000000000000002E-2</v>
      </c>
    </row>
    <row r="136" spans="2:18" ht="15.95" customHeight="1">
      <c r="B136" s="40" t="s">
        <v>246</v>
      </c>
      <c r="C136" s="41"/>
      <c r="D136" s="41"/>
      <c r="E136" s="756">
        <f>+SUM(F136:H136)</f>
        <v>15752132.205809552</v>
      </c>
      <c r="F136" s="757">
        <f>+F127+F131+F135</f>
        <v>5202162.8</v>
      </c>
      <c r="G136" s="757">
        <f t="shared" ref="G136:H136" si="74">+G127+G131+G135</f>
        <v>7900045.9110000003</v>
      </c>
      <c r="H136" s="757">
        <f t="shared" si="74"/>
        <v>2649923.4948095521</v>
      </c>
      <c r="J136" s="764" t="s">
        <v>247</v>
      </c>
      <c r="K136" s="764"/>
      <c r="L136" s="764"/>
      <c r="M136" s="766">
        <v>0.02</v>
      </c>
      <c r="N136" s="767">
        <f t="shared" si="71"/>
        <v>0.02</v>
      </c>
      <c r="O136" s="767">
        <f t="shared" si="71"/>
        <v>0.02</v>
      </c>
      <c r="P136" s="767">
        <f t="shared" si="71"/>
        <v>0.02</v>
      </c>
    </row>
    <row r="137" spans="2:18" ht="15.95" customHeight="1">
      <c r="B137" s="42" t="s">
        <v>159</v>
      </c>
      <c r="C137" s="43"/>
      <c r="D137" s="43"/>
      <c r="E137" s="758">
        <f>+SUM(F137:H137)</f>
        <v>241583</v>
      </c>
      <c r="F137" s="759">
        <f>+F125+F129+F133</f>
        <v>91711.4</v>
      </c>
      <c r="G137" s="759">
        <f>+G125+G129+G133</f>
        <v>113332.5</v>
      </c>
      <c r="H137" s="759">
        <f>+H125+H129+H133</f>
        <v>36539.1</v>
      </c>
      <c r="J137" s="764"/>
      <c r="K137" s="764"/>
      <c r="L137" s="764"/>
      <c r="M137" s="764"/>
      <c r="N137" s="764"/>
      <c r="O137" s="764"/>
      <c r="P137" s="764"/>
    </row>
    <row r="138" spans="2:18" ht="15.95" customHeight="1">
      <c r="B138" s="44" t="s">
        <v>163</v>
      </c>
      <c r="C138" s="45"/>
      <c r="D138" s="45"/>
      <c r="E138" s="768">
        <f>+IFERROR(E136/E137,"")</f>
        <v>65.203810722648328</v>
      </c>
      <c r="F138" s="769">
        <f>+IFERROR(F136/F137,"")</f>
        <v>56.723185994325682</v>
      </c>
      <c r="G138" s="769">
        <f t="shared" ref="G138:H138" si="75">+IFERROR(G136/G137,"")</f>
        <v>69.706800000000001</v>
      </c>
      <c r="H138" s="769">
        <f t="shared" si="75"/>
        <v>72.522954720000001</v>
      </c>
      <c r="J138" s="869" t="s">
        <v>248</v>
      </c>
      <c r="K138" s="869"/>
      <c r="L138" s="751"/>
      <c r="M138" s="746" t="s">
        <v>123</v>
      </c>
      <c r="N138" s="746" t="str">
        <f>+F$21</f>
        <v>I</v>
      </c>
      <c r="O138" s="746" t="str">
        <f>+G$21</f>
        <v>II</v>
      </c>
      <c r="P138" s="746" t="str">
        <f>+H$21</f>
        <v>III</v>
      </c>
    </row>
    <row r="139" spans="2:18" ht="15.95" customHeight="1">
      <c r="E139" s="763"/>
      <c r="F139" s="764"/>
      <c r="G139" s="764"/>
      <c r="H139" s="764"/>
      <c r="J139" s="764" t="s">
        <v>249</v>
      </c>
      <c r="K139" s="764"/>
      <c r="L139" s="764"/>
      <c r="M139" s="764"/>
      <c r="N139" s="785">
        <v>2.8500000000000001E-2</v>
      </c>
      <c r="O139" s="785">
        <v>0.03</v>
      </c>
      <c r="P139" s="785">
        <v>0.03</v>
      </c>
      <c r="R139" s="236"/>
    </row>
    <row r="140" spans="2:18" ht="15.95" customHeight="1">
      <c r="B140" s="868" t="s">
        <v>250</v>
      </c>
      <c r="C140" s="868"/>
      <c r="D140" s="31"/>
      <c r="E140" s="746" t="s">
        <v>123</v>
      </c>
      <c r="F140" s="746" t="str">
        <f>+F$21</f>
        <v>I</v>
      </c>
      <c r="G140" s="746" t="str">
        <f>+G$21</f>
        <v>II</v>
      </c>
      <c r="H140" s="746" t="str">
        <f>+H$21</f>
        <v>III</v>
      </c>
      <c r="J140" s="764"/>
      <c r="K140" s="764"/>
      <c r="L140" s="764"/>
      <c r="M140" s="764"/>
      <c r="N140" s="764"/>
      <c r="O140" s="764"/>
      <c r="P140" s="764"/>
    </row>
    <row r="141" spans="2:18" ht="15.95" customHeight="1">
      <c r="B141" s="771" t="s">
        <v>769</v>
      </c>
      <c r="C141" s="31"/>
      <c r="D141" s="31"/>
      <c r="E141" s="749"/>
      <c r="F141" s="750">
        <v>125425</v>
      </c>
      <c r="G141" s="750"/>
      <c r="H141" s="750">
        <v>0</v>
      </c>
      <c r="J141" s="764"/>
      <c r="K141" s="764"/>
      <c r="L141" s="764"/>
      <c r="M141" s="764"/>
      <c r="N141" s="764"/>
      <c r="O141" s="764"/>
      <c r="P141" s="764"/>
    </row>
    <row r="142" spans="2:18" ht="15.95" customHeight="1">
      <c r="B142" s="38" t="s">
        <v>222</v>
      </c>
      <c r="C142" s="31"/>
      <c r="D142" s="31"/>
      <c r="E142" s="749"/>
      <c r="F142" s="750">
        <f>+'Parcel Breakdown'!AS24-Assumptions!F150</f>
        <v>125425</v>
      </c>
      <c r="G142" s="750">
        <v>1E-4</v>
      </c>
      <c r="H142" s="750">
        <v>0</v>
      </c>
      <c r="J142" s="777" t="s">
        <v>251</v>
      </c>
      <c r="K142" s="764"/>
      <c r="L142" s="764"/>
      <c r="M142" s="764"/>
      <c r="N142" s="764"/>
      <c r="O142" s="764"/>
      <c r="P142" s="764"/>
    </row>
    <row r="143" spans="2:18" ht="15.95" customHeight="1">
      <c r="B143" s="38" t="s">
        <v>147</v>
      </c>
      <c r="C143" s="31"/>
      <c r="D143" s="31"/>
      <c r="E143" s="751"/>
      <c r="F143" s="755">
        <v>10</v>
      </c>
      <c r="G143" s="755">
        <v>0</v>
      </c>
      <c r="H143" s="755">
        <v>0</v>
      </c>
      <c r="J143" s="772" t="s">
        <v>252</v>
      </c>
      <c r="K143" s="751"/>
      <c r="L143" s="751"/>
      <c r="M143" s="766"/>
      <c r="N143" s="767">
        <v>0.6</v>
      </c>
      <c r="O143" s="767">
        <v>0.6</v>
      </c>
      <c r="P143" s="767">
        <v>0.6</v>
      </c>
      <c r="R143" s="105"/>
    </row>
    <row r="144" spans="2:18" ht="15.95" customHeight="1">
      <c r="B144" s="38" t="s">
        <v>243</v>
      </c>
      <c r="C144" s="31"/>
      <c r="D144" s="31"/>
      <c r="E144" s="753"/>
      <c r="F144" s="754">
        <f>+F143*F142</f>
        <v>1254250</v>
      </c>
      <c r="G144" s="754">
        <f t="shared" ref="G144:H144" si="76">+G143*G142</f>
        <v>0</v>
      </c>
      <c r="H144" s="754">
        <f t="shared" si="76"/>
        <v>0</v>
      </c>
      <c r="J144" s="772" t="s">
        <v>253</v>
      </c>
      <c r="K144" s="751"/>
      <c r="L144" s="751"/>
      <c r="M144" s="778"/>
      <c r="N144" s="790">
        <v>375</v>
      </c>
      <c r="O144" s="790">
        <v>375</v>
      </c>
      <c r="P144" s="790">
        <v>375</v>
      </c>
    </row>
    <row r="145" spans="1:18" ht="15.95" customHeight="1">
      <c r="B145" s="771" t="s">
        <v>789</v>
      </c>
      <c r="C145" s="31"/>
      <c r="D145" s="31"/>
      <c r="E145" s="749"/>
      <c r="F145" s="750">
        <v>53965</v>
      </c>
      <c r="G145" s="750">
        <v>0</v>
      </c>
      <c r="H145" s="750">
        <v>56846</v>
      </c>
      <c r="J145" s="772" t="s">
        <v>254</v>
      </c>
      <c r="K145" s="764"/>
      <c r="L145" s="764"/>
      <c r="M145" s="764"/>
      <c r="N145" s="789">
        <f>+N139+(N144/10000)</f>
        <v>6.6000000000000003E-2</v>
      </c>
      <c r="O145" s="789">
        <f>+O139+(O144/10000)</f>
        <v>6.7500000000000004E-2</v>
      </c>
      <c r="P145" s="789">
        <f>+P139+(P144/10000)</f>
        <v>6.7500000000000004E-2</v>
      </c>
    </row>
    <row r="146" spans="1:18" ht="15.95" customHeight="1">
      <c r="B146" s="38" t="s">
        <v>222</v>
      </c>
      <c r="C146" s="31"/>
      <c r="D146" s="31"/>
      <c r="E146" s="749"/>
      <c r="F146" s="750">
        <v>0</v>
      </c>
      <c r="G146" s="750">
        <v>0</v>
      </c>
      <c r="H146" s="750">
        <f>+'Parcel Breakdown'!$AS$26</f>
        <v>0</v>
      </c>
      <c r="J146" s="772" t="s">
        <v>255</v>
      </c>
      <c r="K146" s="751"/>
      <c r="L146" s="751"/>
      <c r="M146" s="766"/>
      <c r="N146" s="785">
        <v>0.01</v>
      </c>
      <c r="O146" s="785">
        <v>0.01</v>
      </c>
      <c r="P146" s="785">
        <v>0.01</v>
      </c>
    </row>
    <row r="147" spans="1:18" ht="15.95" customHeight="1">
      <c r="B147" s="38" t="s">
        <v>147</v>
      </c>
      <c r="C147" s="31"/>
      <c r="D147" s="31"/>
      <c r="E147" s="751"/>
      <c r="F147" s="755">
        <v>0</v>
      </c>
      <c r="G147" s="755">
        <v>0</v>
      </c>
      <c r="H147" s="755">
        <v>0</v>
      </c>
      <c r="J147" s="772" t="s">
        <v>256</v>
      </c>
      <c r="K147" s="764"/>
      <c r="L147" s="764"/>
      <c r="M147" s="791"/>
      <c r="N147" s="767">
        <v>0.65</v>
      </c>
      <c r="O147" s="767">
        <v>0.65</v>
      </c>
      <c r="P147" s="767">
        <v>0.65</v>
      </c>
    </row>
    <row r="148" spans="1:18" ht="15.95" customHeight="1">
      <c r="B148" s="38" t="s">
        <v>243</v>
      </c>
      <c r="C148" s="31"/>
      <c r="D148" s="31"/>
      <c r="E148" s="753"/>
      <c r="F148" s="754">
        <f>+F147*F146</f>
        <v>0</v>
      </c>
      <c r="G148" s="754">
        <f t="shared" ref="G148:H148" si="77">+G147*G146</f>
        <v>0</v>
      </c>
      <c r="H148" s="754">
        <f t="shared" si="77"/>
        <v>0</v>
      </c>
      <c r="J148" s="777" t="s">
        <v>257</v>
      </c>
      <c r="K148" s="751"/>
      <c r="L148" s="751"/>
      <c r="M148" s="766"/>
      <c r="N148" s="767"/>
      <c r="O148" s="767"/>
      <c r="P148" s="767"/>
    </row>
    <row r="149" spans="1:18" ht="15.95" customHeight="1">
      <c r="B149" s="771" t="s">
        <v>214</v>
      </c>
      <c r="E149" s="749"/>
      <c r="F149" s="750"/>
      <c r="G149" s="750"/>
      <c r="H149" s="750"/>
      <c r="J149" s="772" t="s">
        <v>258</v>
      </c>
      <c r="K149" s="764"/>
      <c r="L149" s="764"/>
      <c r="M149" s="764"/>
      <c r="N149" s="767">
        <v>0.65</v>
      </c>
      <c r="O149" s="767">
        <v>0.65</v>
      </c>
      <c r="P149" s="767">
        <v>0.65</v>
      </c>
    </row>
    <row r="150" spans="1:18" ht="15.95" customHeight="1">
      <c r="B150" s="38" t="s">
        <v>222</v>
      </c>
      <c r="E150" s="749"/>
      <c r="F150" s="750">
        <v>0</v>
      </c>
      <c r="G150" s="750">
        <v>0</v>
      </c>
      <c r="H150" s="750">
        <v>0</v>
      </c>
      <c r="J150" s="772" t="s">
        <v>259</v>
      </c>
      <c r="K150" s="764"/>
      <c r="L150" s="764"/>
      <c r="M150" s="764"/>
      <c r="N150" s="792">
        <v>1.25</v>
      </c>
      <c r="O150" s="792">
        <v>1.25</v>
      </c>
      <c r="P150" s="792">
        <v>1.25</v>
      </c>
    </row>
    <row r="151" spans="1:18" ht="15.95" customHeight="1">
      <c r="A151" s="236"/>
      <c r="B151" s="38" t="s">
        <v>147</v>
      </c>
      <c r="E151" s="751"/>
      <c r="F151" s="755">
        <v>10</v>
      </c>
      <c r="G151" s="755">
        <v>10</v>
      </c>
      <c r="H151" s="755">
        <v>10</v>
      </c>
      <c r="J151" s="772" t="s">
        <v>253</v>
      </c>
      <c r="K151" s="751"/>
      <c r="L151" s="751"/>
      <c r="M151" s="778"/>
      <c r="N151" s="789">
        <v>6.5000000000000002E-2</v>
      </c>
      <c r="O151" s="789">
        <v>6.5000000000000002E-2</v>
      </c>
      <c r="P151" s="789">
        <v>6.5000000000000002E-2</v>
      </c>
    </row>
    <row r="152" spans="1:18" ht="15.95" customHeight="1">
      <c r="B152" s="38" t="s">
        <v>243</v>
      </c>
      <c r="E152" s="753"/>
      <c r="F152" s="754">
        <f>+F151*F150</f>
        <v>0</v>
      </c>
      <c r="G152" s="754">
        <f t="shared" ref="G152:H152" si="78">+G151*G150</f>
        <v>0</v>
      </c>
      <c r="H152" s="754">
        <f t="shared" si="78"/>
        <v>0</v>
      </c>
      <c r="J152" s="772" t="s">
        <v>255</v>
      </c>
      <c r="K152" s="751"/>
      <c r="L152" s="751"/>
      <c r="M152" s="766"/>
      <c r="N152" s="789">
        <v>7.4999999999999997E-3</v>
      </c>
      <c r="O152" s="789">
        <v>7.4999999999999997E-3</v>
      </c>
      <c r="P152" s="789">
        <v>7.4999999999999997E-3</v>
      </c>
    </row>
    <row r="153" spans="1:18" ht="15.95" customHeight="1">
      <c r="B153" s="40" t="s">
        <v>260</v>
      </c>
      <c r="C153" s="41"/>
      <c r="D153" s="41"/>
      <c r="E153" s="756">
        <f>+SUM(F153:H153)</f>
        <v>1254250</v>
      </c>
      <c r="F153" s="757">
        <f>+F144+F148+F152</f>
        <v>1254250</v>
      </c>
      <c r="G153" s="757">
        <f t="shared" ref="G153:H153" si="79">+G144+G148+G152</f>
        <v>0</v>
      </c>
      <c r="H153" s="757">
        <f t="shared" si="79"/>
        <v>0</v>
      </c>
      <c r="J153" s="772" t="s">
        <v>261</v>
      </c>
      <c r="K153" s="751"/>
      <c r="L153" s="751"/>
      <c r="M153" s="766"/>
      <c r="N153" s="782">
        <v>30</v>
      </c>
      <c r="O153" s="782">
        <v>30</v>
      </c>
      <c r="P153" s="782">
        <v>30</v>
      </c>
    </row>
    <row r="154" spans="1:18" ht="15.95" customHeight="1">
      <c r="B154" s="42" t="s">
        <v>159</v>
      </c>
      <c r="C154" s="43"/>
      <c r="D154" s="43"/>
      <c r="E154" s="758">
        <f>+SUM(F154:H154)</f>
        <v>125425.0001</v>
      </c>
      <c r="F154" s="759">
        <f>+F142+F146+F150</f>
        <v>125425</v>
      </c>
      <c r="G154" s="759">
        <f t="shared" ref="G154:H154" si="80">+G142+G146+G150</f>
        <v>1E-4</v>
      </c>
      <c r="H154" s="759">
        <f t="shared" si="80"/>
        <v>0</v>
      </c>
      <c r="J154" s="777" t="s">
        <v>262</v>
      </c>
      <c r="K154" s="751"/>
      <c r="L154" s="751"/>
      <c r="M154" s="766"/>
      <c r="N154" s="785"/>
      <c r="O154" s="785"/>
      <c r="P154" s="785"/>
    </row>
    <row r="155" spans="1:18" ht="15.95" customHeight="1">
      <c r="B155" s="44" t="s">
        <v>163</v>
      </c>
      <c r="C155" s="45"/>
      <c r="D155" s="45"/>
      <c r="E155" s="768">
        <f>+IFERROR(E153/E154,"")</f>
        <v>9.9999999920271083</v>
      </c>
      <c r="F155" s="769">
        <f>+IFERROR(F153/F154,"")</f>
        <v>10</v>
      </c>
      <c r="G155" s="769">
        <f t="shared" ref="G155:H155" si="81">+IFERROR(G153/G154,"")</f>
        <v>0</v>
      </c>
      <c r="H155" s="769" t="str">
        <f t="shared" si="81"/>
        <v/>
      </c>
      <c r="J155" s="772" t="s">
        <v>258</v>
      </c>
      <c r="K155" s="751"/>
      <c r="L155" s="751"/>
      <c r="M155" s="766"/>
      <c r="N155" s="767">
        <v>0.8</v>
      </c>
      <c r="O155" s="767">
        <v>0.8</v>
      </c>
      <c r="P155" s="767">
        <v>0.8</v>
      </c>
    </row>
    <row r="156" spans="1:18" ht="15.95" customHeight="1">
      <c r="E156" s="763"/>
      <c r="F156" s="764"/>
      <c r="G156" s="764"/>
      <c r="H156" s="764"/>
      <c r="J156" s="772" t="s">
        <v>259</v>
      </c>
      <c r="K156" s="764"/>
      <c r="L156" s="764"/>
      <c r="M156" s="764"/>
      <c r="N156" s="792">
        <v>1.3</v>
      </c>
      <c r="O156" s="792">
        <v>1.3</v>
      </c>
      <c r="P156" s="792">
        <v>1.3</v>
      </c>
    </row>
    <row r="157" spans="1:18" ht="15.95" customHeight="1">
      <c r="E157" s="763"/>
      <c r="F157" s="764"/>
      <c r="G157" s="764"/>
      <c r="H157" s="764"/>
      <c r="J157" s="772" t="s">
        <v>253</v>
      </c>
      <c r="K157" s="751"/>
      <c r="L157" s="751"/>
      <c r="M157" s="778"/>
      <c r="N157" s="789">
        <v>0.06</v>
      </c>
      <c r="O157" s="789">
        <v>0.06</v>
      </c>
      <c r="P157" s="789">
        <v>0.06</v>
      </c>
    </row>
    <row r="158" spans="1:18" ht="15.95" customHeight="1">
      <c r="B158" s="868" t="s">
        <v>263</v>
      </c>
      <c r="C158" s="868"/>
      <c r="D158" s="31"/>
      <c r="E158" s="746" t="s">
        <v>123</v>
      </c>
      <c r="F158" s="746" t="str">
        <f>+F$21</f>
        <v>I</v>
      </c>
      <c r="G158" s="746" t="str">
        <f>+G$21</f>
        <v>II</v>
      </c>
      <c r="H158" s="746" t="str">
        <f>+H$21</f>
        <v>III</v>
      </c>
      <c r="J158" s="772" t="s">
        <v>255</v>
      </c>
      <c r="K158" s="751"/>
      <c r="L158" s="751"/>
      <c r="M158" s="766"/>
      <c r="N158" s="789">
        <v>0.01</v>
      </c>
      <c r="O158" s="789">
        <v>0.01</v>
      </c>
      <c r="P158" s="789">
        <v>0.01</v>
      </c>
    </row>
    <row r="159" spans="1:18" ht="15.95" customHeight="1">
      <c r="B159" s="32" t="s">
        <v>264</v>
      </c>
      <c r="C159" s="31"/>
      <c r="D159" s="31"/>
      <c r="E159" s="749"/>
      <c r="F159" s="750"/>
      <c r="G159" s="750"/>
      <c r="H159" s="750"/>
      <c r="J159" s="772" t="s">
        <v>261</v>
      </c>
      <c r="K159" s="751"/>
      <c r="L159" s="751"/>
      <c r="M159" s="766"/>
      <c r="N159" s="782" t="s">
        <v>265</v>
      </c>
      <c r="O159" s="782" t="s">
        <v>265</v>
      </c>
      <c r="P159" s="782" t="s">
        <v>265</v>
      </c>
    </row>
    <row r="160" spans="1:18" ht="15.95" customHeight="1">
      <c r="B160" s="38" t="s">
        <v>222</v>
      </c>
      <c r="C160" s="31"/>
      <c r="D160" s="31"/>
      <c r="E160" s="749"/>
      <c r="F160" s="750">
        <f>+'Parcel Breakdown'!$AT$24</f>
        <v>291759.3</v>
      </c>
      <c r="G160" s="750">
        <f>+'Parcel Breakdown'!$AT$25</f>
        <v>277884</v>
      </c>
      <c r="H160" s="750">
        <f>+'Parcel Breakdown'!$AT$26</f>
        <v>0</v>
      </c>
      <c r="J160" s="800" t="s">
        <v>266</v>
      </c>
      <c r="K160" s="751"/>
      <c r="L160" s="751"/>
      <c r="M160" s="766"/>
      <c r="N160" s="767"/>
      <c r="O160" s="767"/>
      <c r="P160" s="767"/>
      <c r="R160" s="106"/>
    </row>
    <row r="161" spans="2:18" ht="15.95" customHeight="1">
      <c r="B161" s="38" t="s">
        <v>147</v>
      </c>
      <c r="C161" s="31"/>
      <c r="D161" s="31"/>
      <c r="E161" s="751"/>
      <c r="F161" s="755">
        <v>43.4</v>
      </c>
      <c r="G161" s="755">
        <f>+F161*(1+0.02)^2</f>
        <v>45.153359999999999</v>
      </c>
      <c r="H161" s="755">
        <f>+F161*(1+0.02)^4</f>
        <v>46.977555744</v>
      </c>
      <c r="J161" s="772" t="s">
        <v>258</v>
      </c>
      <c r="K161" s="751"/>
      <c r="L161" s="751"/>
      <c r="M161" s="766"/>
      <c r="N161" s="767">
        <v>0.75</v>
      </c>
      <c r="O161" s="767">
        <v>0.75</v>
      </c>
      <c r="P161" s="767">
        <v>0.75</v>
      </c>
      <c r="R161" s="105"/>
    </row>
    <row r="162" spans="2:18" ht="15.95" customHeight="1">
      <c r="B162" s="38" t="s">
        <v>243</v>
      </c>
      <c r="C162" s="31"/>
      <c r="D162" s="31"/>
      <c r="E162" s="753"/>
      <c r="F162" s="754">
        <f>+F161*F160</f>
        <v>12662353.619999999</v>
      </c>
      <c r="G162" s="754">
        <f t="shared" ref="G162:H162" si="82">+G161*G160</f>
        <v>12547396.290239999</v>
      </c>
      <c r="H162" s="754">
        <f t="shared" si="82"/>
        <v>0</v>
      </c>
      <c r="J162" s="772" t="s">
        <v>259</v>
      </c>
      <c r="K162" s="764"/>
      <c r="L162" s="764"/>
      <c r="M162" s="764"/>
      <c r="N162" s="792">
        <v>1.3</v>
      </c>
      <c r="O162" s="792">
        <v>1.3</v>
      </c>
      <c r="P162" s="792">
        <v>1.3</v>
      </c>
    </row>
    <row r="163" spans="2:18" ht="15.95" customHeight="1">
      <c r="B163" s="32" t="s">
        <v>22</v>
      </c>
      <c r="C163" s="31"/>
      <c r="D163" s="31"/>
      <c r="E163" s="749"/>
      <c r="F163" s="750"/>
      <c r="G163" s="750"/>
      <c r="H163" s="750"/>
      <c r="J163" s="772" t="s">
        <v>253</v>
      </c>
      <c r="K163" s="751"/>
      <c r="L163" s="751"/>
      <c r="M163" s="778"/>
      <c r="N163" s="789">
        <v>5.5E-2</v>
      </c>
      <c r="O163" s="789">
        <v>5.5E-2</v>
      </c>
      <c r="P163" s="789">
        <v>5.5E-2</v>
      </c>
    </row>
    <row r="164" spans="2:18" ht="15.95" customHeight="1">
      <c r="B164" s="38" t="s">
        <v>222</v>
      </c>
      <c r="C164" s="31"/>
      <c r="D164" s="31"/>
      <c r="E164" s="749"/>
      <c r="F164" s="750">
        <v>0</v>
      </c>
      <c r="G164" s="750">
        <v>0</v>
      </c>
      <c r="H164" s="750">
        <v>0</v>
      </c>
      <c r="J164" s="772" t="s">
        <v>255</v>
      </c>
      <c r="K164" s="751"/>
      <c r="L164" s="751"/>
      <c r="M164" s="766"/>
      <c r="N164" s="789">
        <v>7.4999999999999997E-3</v>
      </c>
      <c r="O164" s="789">
        <v>7.4999999999999997E-3</v>
      </c>
      <c r="P164" s="789">
        <v>7.4999999999999997E-3</v>
      </c>
    </row>
    <row r="165" spans="2:18" ht="15.95" customHeight="1">
      <c r="B165" s="38" t="s">
        <v>147</v>
      </c>
      <c r="C165" s="31"/>
      <c r="D165" s="31"/>
      <c r="E165" s="751"/>
      <c r="F165" s="755">
        <v>25</v>
      </c>
      <c r="G165" s="755">
        <v>25</v>
      </c>
      <c r="H165" s="755">
        <v>25</v>
      </c>
      <c r="J165" s="772" t="s">
        <v>261</v>
      </c>
      <c r="K165" s="751"/>
      <c r="L165" s="751"/>
      <c r="M165" s="766"/>
      <c r="N165" s="782" t="s">
        <v>265</v>
      </c>
      <c r="O165" s="782" t="s">
        <v>265</v>
      </c>
      <c r="P165" s="782" t="s">
        <v>265</v>
      </c>
    </row>
    <row r="166" spans="2:18" ht="15.95" customHeight="1">
      <c r="B166" s="38" t="s">
        <v>243</v>
      </c>
      <c r="C166" s="31"/>
      <c r="D166" s="31"/>
      <c r="E166" s="753"/>
      <c r="F166" s="754">
        <f>+F165*F164</f>
        <v>0</v>
      </c>
      <c r="G166" s="754">
        <f t="shared" ref="G166:H166" si="83">+G165*G164</f>
        <v>0</v>
      </c>
      <c r="H166" s="754">
        <f t="shared" si="83"/>
        <v>0</v>
      </c>
      <c r="J166" s="777" t="s">
        <v>799</v>
      </c>
      <c r="K166" s="764"/>
      <c r="L166" s="764"/>
      <c r="M166" s="764"/>
      <c r="N166" s="764"/>
      <c r="O166" s="764"/>
      <c r="P166" s="764"/>
    </row>
    <row r="167" spans="2:18" ht="15.95" customHeight="1">
      <c r="B167" s="32" t="s">
        <v>22</v>
      </c>
      <c r="E167" s="749"/>
      <c r="F167" s="750"/>
      <c r="G167" s="750"/>
      <c r="H167" s="750"/>
      <c r="J167" s="772" t="s">
        <v>259</v>
      </c>
      <c r="K167" s="764"/>
      <c r="L167" s="764"/>
      <c r="M167" s="764"/>
      <c r="N167" s="792">
        <v>1.25</v>
      </c>
      <c r="O167" s="792">
        <f t="shared" ref="O167:P171" si="84">+N167</f>
        <v>1.25</v>
      </c>
      <c r="P167" s="792">
        <f t="shared" si="84"/>
        <v>1.25</v>
      </c>
    </row>
    <row r="168" spans="2:18" ht="15.95" customHeight="1">
      <c r="B168" s="38" t="s">
        <v>222</v>
      </c>
      <c r="E168" s="749"/>
      <c r="F168" s="750">
        <v>0</v>
      </c>
      <c r="G168" s="750">
        <v>0</v>
      </c>
      <c r="H168" s="750">
        <v>0</v>
      </c>
      <c r="J168" s="772" t="s">
        <v>253</v>
      </c>
      <c r="K168" s="751"/>
      <c r="L168" s="751"/>
      <c r="M168" s="778"/>
      <c r="N168" s="789">
        <v>0.06</v>
      </c>
      <c r="O168" s="789">
        <f t="shared" si="84"/>
        <v>0.06</v>
      </c>
      <c r="P168" s="789">
        <f t="shared" si="84"/>
        <v>0.06</v>
      </c>
    </row>
    <row r="169" spans="2:18" ht="15.95" customHeight="1">
      <c r="B169" s="38" t="s">
        <v>147</v>
      </c>
      <c r="E169" s="751"/>
      <c r="F169" s="755">
        <v>10</v>
      </c>
      <c r="G169" s="755">
        <v>10</v>
      </c>
      <c r="H169" s="755">
        <v>10</v>
      </c>
      <c r="J169" s="772" t="s">
        <v>261</v>
      </c>
      <c r="K169" s="764"/>
      <c r="L169" s="764"/>
      <c r="M169" s="764"/>
      <c r="N169" s="782">
        <v>30</v>
      </c>
      <c r="O169" s="782">
        <f t="shared" si="84"/>
        <v>30</v>
      </c>
      <c r="P169" s="782">
        <f t="shared" si="84"/>
        <v>30</v>
      </c>
    </row>
    <row r="170" spans="2:18" ht="15.95" customHeight="1">
      <c r="B170" s="38" t="s">
        <v>243</v>
      </c>
      <c r="E170" s="753"/>
      <c r="F170" s="754">
        <f>+F169*F168</f>
        <v>0</v>
      </c>
      <c r="G170" s="754">
        <f t="shared" ref="G170:H170" si="85">+G169*G168</f>
        <v>0</v>
      </c>
      <c r="H170" s="754">
        <f t="shared" si="85"/>
        <v>0</v>
      </c>
      <c r="J170" s="772" t="s">
        <v>255</v>
      </c>
      <c r="K170" s="751"/>
      <c r="L170" s="751"/>
      <c r="M170" s="766"/>
      <c r="N170" s="785">
        <v>0.01</v>
      </c>
      <c r="O170" s="785">
        <f t="shared" si="84"/>
        <v>0.01</v>
      </c>
      <c r="P170" s="785">
        <f t="shared" si="84"/>
        <v>0.01</v>
      </c>
    </row>
    <row r="171" spans="2:18" ht="15.95" customHeight="1">
      <c r="B171" s="40" t="s">
        <v>267</v>
      </c>
      <c r="C171" s="41"/>
      <c r="D171" s="41"/>
      <c r="E171" s="756">
        <f>+SUM(F171:H171)</f>
        <v>25209749.910239998</v>
      </c>
      <c r="F171" s="757">
        <f>+F162+F166+F170</f>
        <v>12662353.619999999</v>
      </c>
      <c r="G171" s="757">
        <f t="shared" ref="G171:H171" si="86">+G162+G166+G170</f>
        <v>12547396.290239999</v>
      </c>
      <c r="H171" s="757">
        <f t="shared" si="86"/>
        <v>0</v>
      </c>
      <c r="J171" s="772" t="s">
        <v>268</v>
      </c>
      <c r="K171" s="764"/>
      <c r="L171" s="764"/>
      <c r="M171" s="764"/>
      <c r="N171" s="767">
        <v>0.5</v>
      </c>
      <c r="O171" s="767">
        <f t="shared" si="84"/>
        <v>0.5</v>
      </c>
      <c r="P171" s="767">
        <f t="shared" si="84"/>
        <v>0.5</v>
      </c>
    </row>
    <row r="172" spans="2:18" ht="15.95" customHeight="1">
      <c r="B172" s="42" t="s">
        <v>159</v>
      </c>
      <c r="C172" s="43"/>
      <c r="D172" s="43"/>
      <c r="E172" s="758">
        <f>+SUM(F172:H172)</f>
        <v>569643.30000000005</v>
      </c>
      <c r="F172" s="759">
        <f>+F160+F164+F168</f>
        <v>291759.3</v>
      </c>
      <c r="G172" s="759">
        <f t="shared" ref="G172:H172" si="87">+G160+G164+G168</f>
        <v>277884</v>
      </c>
      <c r="H172" s="759">
        <f t="shared" si="87"/>
        <v>0</v>
      </c>
      <c r="J172" s="777" t="s">
        <v>97</v>
      </c>
      <c r="K172" s="764"/>
      <c r="L172" s="764"/>
      <c r="M172" s="764"/>
      <c r="N172" s="764"/>
      <c r="O172" s="764"/>
      <c r="P172" s="764"/>
    </row>
    <row r="173" spans="2:18" ht="15.95" customHeight="1">
      <c r="B173" s="44" t="s">
        <v>163</v>
      </c>
      <c r="C173" s="45"/>
      <c r="D173" s="45"/>
      <c r="E173" s="768">
        <f>+IFERROR(E171/E172,"")</f>
        <v>44.255325938600521</v>
      </c>
      <c r="F173" s="769">
        <f>+IFERROR(F171/F172,"")</f>
        <v>43.4</v>
      </c>
      <c r="G173" s="769">
        <f t="shared" ref="G173:H173" si="88">+IFERROR(G171/G172,"")</f>
        <v>45.153359999999999</v>
      </c>
      <c r="H173" s="769" t="str">
        <f t="shared" si="88"/>
        <v/>
      </c>
      <c r="J173" s="772" t="s">
        <v>77</v>
      </c>
      <c r="K173" s="764"/>
      <c r="L173" s="764"/>
      <c r="M173" s="764"/>
      <c r="N173" s="770">
        <v>20000000</v>
      </c>
      <c r="O173" s="770">
        <v>10000000</v>
      </c>
      <c r="P173" s="770">
        <v>10000000</v>
      </c>
    </row>
    <row r="174" spans="2:18" ht="15.95" customHeight="1">
      <c r="E174" s="763"/>
      <c r="F174" s="764"/>
      <c r="G174" s="764"/>
      <c r="H174" s="764"/>
      <c r="J174" s="779" t="s">
        <v>269</v>
      </c>
      <c r="K174" s="764"/>
      <c r="L174" s="764"/>
      <c r="M174" s="764"/>
      <c r="N174" s="764"/>
      <c r="O174" s="764"/>
      <c r="P174" s="764"/>
    </row>
    <row r="175" spans="2:18" ht="15.95" customHeight="1">
      <c r="B175" s="868" t="s">
        <v>270</v>
      </c>
      <c r="C175" s="868"/>
      <c r="D175" s="31"/>
      <c r="E175" s="746" t="s">
        <v>123</v>
      </c>
      <c r="F175" s="746" t="str">
        <f>+F$21</f>
        <v>I</v>
      </c>
      <c r="G175" s="746" t="str">
        <f>+G$21</f>
        <v>II</v>
      </c>
      <c r="H175" s="746" t="str">
        <f>+H$21</f>
        <v>III</v>
      </c>
      <c r="J175" s="772" t="s">
        <v>271</v>
      </c>
      <c r="K175" s="764"/>
      <c r="L175" s="764"/>
      <c r="M175" s="764"/>
      <c r="N175" s="770">
        <v>100000</v>
      </c>
      <c r="O175" s="770">
        <v>100000</v>
      </c>
      <c r="P175" s="770">
        <v>100000</v>
      </c>
    </row>
    <row r="176" spans="2:18" ht="15.95" customHeight="1">
      <c r="B176" s="32" t="s">
        <v>272</v>
      </c>
      <c r="C176" s="31"/>
      <c r="D176" s="31"/>
      <c r="E176" s="749"/>
      <c r="F176" s="750"/>
      <c r="G176" s="750"/>
      <c r="H176" s="750"/>
      <c r="J176" s="772" t="s">
        <v>273</v>
      </c>
      <c r="K176" s="764"/>
      <c r="L176" s="764"/>
      <c r="M176" s="764"/>
      <c r="N176" s="770">
        <f>+N175*F56</f>
        <v>6277333.9632826066</v>
      </c>
      <c r="O176" s="770">
        <f>+O175*G56</f>
        <v>36186056.423945464</v>
      </c>
      <c r="P176" s="770">
        <f>+P175*H56</f>
        <v>29605927.629357398</v>
      </c>
    </row>
    <row r="177" spans="1:18" ht="15.95" customHeight="1">
      <c r="B177" s="38" t="s">
        <v>274</v>
      </c>
      <c r="C177" s="31"/>
      <c r="D177" s="31"/>
      <c r="E177" s="749"/>
      <c r="F177" s="750">
        <f>+'Parcel Breakdown'!AO49</f>
        <v>1018.064</v>
      </c>
      <c r="G177" s="750">
        <f>+'Parcel Breakdown'!AO50</f>
        <v>572.79200000000003</v>
      </c>
      <c r="H177" s="750">
        <f>+'Parcel Breakdown'!AO51</f>
        <v>473.96</v>
      </c>
      <c r="J177" s="772" t="s">
        <v>275</v>
      </c>
      <c r="K177" s="764"/>
      <c r="L177" s="764"/>
      <c r="M177" s="764"/>
      <c r="N177" s="793">
        <v>0.85</v>
      </c>
      <c r="O177" s="793">
        <v>0.85</v>
      </c>
      <c r="P177" s="793">
        <v>0.85</v>
      </c>
    </row>
    <row r="178" spans="1:18" ht="15.95" customHeight="1">
      <c r="B178" s="38" t="s">
        <v>276</v>
      </c>
      <c r="C178" s="31"/>
      <c r="D178" s="31"/>
      <c r="E178" s="749"/>
      <c r="F178" s="750">
        <v>250</v>
      </c>
      <c r="G178" s="750">
        <f>+F178</f>
        <v>250</v>
      </c>
      <c r="H178" s="750">
        <f>+G178</f>
        <v>250</v>
      </c>
      <c r="J178" s="801" t="s">
        <v>277</v>
      </c>
      <c r="K178" s="764"/>
      <c r="L178" s="764"/>
      <c r="M178" s="764"/>
      <c r="N178" s="764"/>
      <c r="O178" s="764"/>
      <c r="P178" s="764"/>
    </row>
    <row r="179" spans="1:18" ht="15.95" customHeight="1">
      <c r="B179" s="38" t="s">
        <v>222</v>
      </c>
      <c r="C179" s="31"/>
      <c r="D179" s="31"/>
      <c r="E179" s="749"/>
      <c r="F179" s="750">
        <f>+F177*F178</f>
        <v>254516</v>
      </c>
      <c r="G179" s="750">
        <f t="shared" ref="G179:H179" si="89">+G177*G178</f>
        <v>143198</v>
      </c>
      <c r="H179" s="750">
        <f t="shared" si="89"/>
        <v>118490</v>
      </c>
      <c r="J179" s="783" t="s">
        <v>278</v>
      </c>
      <c r="K179" s="764"/>
      <c r="L179" s="764"/>
      <c r="M179" s="764"/>
      <c r="N179" s="785">
        <v>0.2</v>
      </c>
      <c r="O179" s="785">
        <v>0.2</v>
      </c>
      <c r="P179" s="785">
        <v>0.2</v>
      </c>
    </row>
    <row r="180" spans="1:18" ht="15.95" customHeight="1">
      <c r="B180" s="38"/>
      <c r="C180" s="31"/>
      <c r="D180" s="31"/>
      <c r="E180" s="749"/>
      <c r="F180" s="755"/>
      <c r="G180" s="755"/>
      <c r="H180" s="755"/>
      <c r="J180" s="772" t="s">
        <v>279</v>
      </c>
      <c r="K180" s="764"/>
      <c r="L180" s="764"/>
      <c r="M180" s="764"/>
      <c r="N180" s="770">
        <v>0</v>
      </c>
      <c r="O180" s="770">
        <v>0</v>
      </c>
      <c r="P180" s="770">
        <v>0</v>
      </c>
    </row>
    <row r="181" spans="1:18" ht="15.95" customHeight="1">
      <c r="A181" s="236"/>
      <c r="B181" s="38" t="s">
        <v>280</v>
      </c>
      <c r="C181" s="31"/>
      <c r="D181" s="31"/>
      <c r="E181" s="751"/>
      <c r="F181" s="755">
        <v>190</v>
      </c>
      <c r="G181" s="755">
        <f>+F181*(1+0.02)^2</f>
        <v>197.67599999999999</v>
      </c>
      <c r="H181" s="755">
        <f>+F181*(1+0.02)^4</f>
        <v>205.66211039999999</v>
      </c>
      <c r="J181" s="772" t="s">
        <v>281</v>
      </c>
      <c r="K181" s="764"/>
      <c r="L181" s="764"/>
      <c r="M181" s="764"/>
      <c r="N181" s="770">
        <v>0</v>
      </c>
      <c r="O181" s="770">
        <f>+O180*O179</f>
        <v>0</v>
      </c>
      <c r="P181" s="770">
        <f>+P180*P179</f>
        <v>0</v>
      </c>
    </row>
    <row r="182" spans="1:18" ht="15.95" customHeight="1">
      <c r="A182" s="236"/>
      <c r="B182" s="38" t="s">
        <v>243</v>
      </c>
      <c r="C182" s="31"/>
      <c r="D182" s="31"/>
      <c r="E182" s="753"/>
      <c r="F182" s="754">
        <f>+F181*F177*12</f>
        <v>2321185.92</v>
      </c>
      <c r="G182" s="754">
        <f>+G181*G177*12</f>
        <v>1358726.7767040001</v>
      </c>
      <c r="H182" s="754">
        <f>+H181*H177*12</f>
        <v>1169707.366142208</v>
      </c>
      <c r="J182" s="772" t="s">
        <v>275</v>
      </c>
      <c r="K182" s="764"/>
      <c r="L182" s="764"/>
      <c r="M182" s="764"/>
      <c r="N182" s="793">
        <v>0.85</v>
      </c>
      <c r="O182" s="793">
        <v>0.85</v>
      </c>
      <c r="P182" s="793">
        <v>0.85</v>
      </c>
      <c r="R182" s="236"/>
    </row>
    <row r="183" spans="1:18" ht="15.95" customHeight="1">
      <c r="B183" s="32" t="s">
        <v>282</v>
      </c>
      <c r="C183" s="31"/>
      <c r="D183" s="31"/>
      <c r="E183" s="749"/>
      <c r="F183" s="750"/>
      <c r="G183" s="750"/>
      <c r="H183" s="750"/>
      <c r="J183" s="779" t="s">
        <v>283</v>
      </c>
      <c r="K183" s="764"/>
      <c r="L183" s="764"/>
      <c r="M183" s="764"/>
      <c r="N183" s="764"/>
      <c r="O183" s="764"/>
      <c r="P183" s="764"/>
    </row>
    <row r="184" spans="1:18" ht="15.95" customHeight="1">
      <c r="B184" s="38" t="s">
        <v>274</v>
      </c>
      <c r="C184" s="31"/>
      <c r="D184" s="31"/>
      <c r="E184" s="749"/>
      <c r="F184" s="750">
        <v>0</v>
      </c>
      <c r="G184" s="750">
        <v>0</v>
      </c>
      <c r="H184" s="750">
        <v>0</v>
      </c>
      <c r="J184" s="772" t="s">
        <v>284</v>
      </c>
      <c r="K184" s="764"/>
      <c r="L184" s="764"/>
      <c r="M184" s="764"/>
      <c r="N184" s="770">
        <v>15000000</v>
      </c>
      <c r="O184" s="770">
        <v>1E-4</v>
      </c>
      <c r="P184" s="770">
        <v>15000000</v>
      </c>
    </row>
    <row r="185" spans="1:18" ht="15.95" customHeight="1">
      <c r="B185" s="38" t="s">
        <v>276</v>
      </c>
      <c r="C185" s="31"/>
      <c r="D185" s="31"/>
      <c r="E185" s="749"/>
      <c r="F185" s="750">
        <f>+F$178</f>
        <v>250</v>
      </c>
      <c r="G185" s="750">
        <f t="shared" ref="G185:H185" si="90">+G$178</f>
        <v>250</v>
      </c>
      <c r="H185" s="750">
        <f t="shared" si="90"/>
        <v>250</v>
      </c>
      <c r="J185" s="772" t="s">
        <v>281</v>
      </c>
      <c r="K185" s="764"/>
      <c r="L185" s="764"/>
      <c r="M185" s="764"/>
      <c r="N185" s="770">
        <f>+N184*0.39</f>
        <v>5850000</v>
      </c>
      <c r="O185" s="770">
        <f>+O184*0.39</f>
        <v>3.9000000000000006E-5</v>
      </c>
      <c r="P185" s="770">
        <f>+P184*0.39</f>
        <v>5850000</v>
      </c>
    </row>
    <row r="186" spans="1:18" ht="15.95" customHeight="1">
      <c r="B186" s="38" t="s">
        <v>222</v>
      </c>
      <c r="C186" s="31"/>
      <c r="D186" s="31"/>
      <c r="E186" s="749"/>
      <c r="F186" s="750">
        <f>+F184*F185</f>
        <v>0</v>
      </c>
      <c r="G186" s="750">
        <f t="shared" ref="G186" si="91">+G184*G185</f>
        <v>0</v>
      </c>
      <c r="H186" s="750">
        <f t="shared" ref="H186" si="92">+H184*H185</f>
        <v>0</v>
      </c>
      <c r="J186" s="772" t="s">
        <v>285</v>
      </c>
      <c r="K186" s="764"/>
      <c r="L186" s="764"/>
      <c r="M186" s="764"/>
      <c r="N186" s="793">
        <v>0.9</v>
      </c>
      <c r="O186" s="793">
        <v>0.9</v>
      </c>
      <c r="P186" s="793">
        <v>0.9</v>
      </c>
    </row>
    <row r="187" spans="1:18" ht="15.95" customHeight="1">
      <c r="B187" s="38"/>
      <c r="C187" s="31"/>
      <c r="D187" s="31"/>
      <c r="E187" s="749"/>
      <c r="F187" s="767"/>
      <c r="G187" s="767"/>
      <c r="H187" s="767"/>
      <c r="J187" s="801" t="s">
        <v>286</v>
      </c>
      <c r="K187" s="764"/>
      <c r="L187" s="764"/>
      <c r="M187" s="764"/>
      <c r="N187" s="764"/>
      <c r="O187" s="764"/>
      <c r="P187" s="764"/>
    </row>
    <row r="188" spans="1:18" ht="15.95" customHeight="1">
      <c r="B188" s="38" t="s">
        <v>280</v>
      </c>
      <c r="C188" s="31"/>
      <c r="D188" s="31"/>
      <c r="E188" s="751"/>
      <c r="F188" s="755">
        <v>0</v>
      </c>
      <c r="G188" s="755">
        <v>0</v>
      </c>
      <c r="H188" s="755">
        <v>0</v>
      </c>
      <c r="J188" s="772" t="s">
        <v>284</v>
      </c>
      <c r="K188" s="764"/>
      <c r="L188" s="764"/>
      <c r="M188" s="764"/>
      <c r="N188" s="770">
        <v>1000000</v>
      </c>
      <c r="O188" s="770">
        <v>1E-4</v>
      </c>
      <c r="P188" s="770">
        <v>1000000</v>
      </c>
    </row>
    <row r="189" spans="1:18" ht="15.95" customHeight="1">
      <c r="B189" s="38" t="s">
        <v>243</v>
      </c>
      <c r="C189" s="31"/>
      <c r="D189" s="31"/>
      <c r="E189" s="753"/>
      <c r="F189" s="754">
        <f>+F188*F184*12</f>
        <v>0</v>
      </c>
      <c r="G189" s="754">
        <f>+G188*G184*12</f>
        <v>0</v>
      </c>
      <c r="H189" s="754">
        <f>+H188*H184*12</f>
        <v>0</v>
      </c>
      <c r="J189" s="772" t="s">
        <v>281</v>
      </c>
      <c r="K189" s="764"/>
      <c r="L189" s="764"/>
      <c r="M189" s="764"/>
      <c r="N189" s="770">
        <f>+N188*0.39</f>
        <v>390000</v>
      </c>
      <c r="O189" s="770">
        <f>+O188*0.39</f>
        <v>3.9000000000000006E-5</v>
      </c>
      <c r="P189" s="770">
        <f>+P188*0.39</f>
        <v>390000</v>
      </c>
    </row>
    <row r="190" spans="1:18" ht="15.95" customHeight="1">
      <c r="B190" s="32" t="s">
        <v>287</v>
      </c>
      <c r="C190" s="31"/>
      <c r="D190" s="31"/>
      <c r="E190" s="749"/>
      <c r="F190" s="750"/>
      <c r="G190" s="750"/>
      <c r="H190" s="750"/>
      <c r="J190" s="772" t="s">
        <v>285</v>
      </c>
      <c r="K190" s="764"/>
      <c r="L190" s="764"/>
      <c r="M190" s="764"/>
      <c r="N190" s="793">
        <v>0.7</v>
      </c>
      <c r="O190" s="793">
        <v>0.7</v>
      </c>
      <c r="P190" s="793">
        <v>0.7</v>
      </c>
    </row>
    <row r="191" spans="1:18" ht="15.95" customHeight="1">
      <c r="B191" s="38" t="s">
        <v>274</v>
      </c>
      <c r="C191" s="31"/>
      <c r="D191" s="31"/>
      <c r="E191" s="749"/>
      <c r="F191" s="750">
        <v>0</v>
      </c>
      <c r="G191" s="750">
        <v>0</v>
      </c>
      <c r="H191" s="750">
        <f>+'Parcel Breakdown'!AQ51</f>
        <v>0</v>
      </c>
      <c r="J191" s="777" t="s">
        <v>288</v>
      </c>
      <c r="K191" s="764"/>
      <c r="L191" s="764"/>
      <c r="M191" s="764"/>
      <c r="N191" s="764"/>
      <c r="O191" s="764"/>
      <c r="P191" s="764"/>
    </row>
    <row r="192" spans="1:18" ht="15.95" customHeight="1">
      <c r="B192" s="38" t="s">
        <v>276</v>
      </c>
      <c r="C192" s="31"/>
      <c r="D192" s="31"/>
      <c r="E192" s="749"/>
      <c r="F192" s="750">
        <f t="shared" ref="F192:H192" si="93">+F$178</f>
        <v>250</v>
      </c>
      <c r="G192" s="750">
        <f t="shared" si="93"/>
        <v>250</v>
      </c>
      <c r="H192" s="750">
        <f t="shared" si="93"/>
        <v>250</v>
      </c>
      <c r="J192" s="772" t="s">
        <v>289</v>
      </c>
      <c r="K192" s="751"/>
      <c r="L192" s="751"/>
      <c r="M192" s="766">
        <v>0.21</v>
      </c>
      <c r="N192" s="767">
        <f>+M192</f>
        <v>0.21</v>
      </c>
      <c r="O192" s="767">
        <f t="shared" ref="O192:P194" si="94">+N192</f>
        <v>0.21</v>
      </c>
      <c r="P192" s="767">
        <f t="shared" si="94"/>
        <v>0.21</v>
      </c>
    </row>
    <row r="193" spans="2:16" ht="15.95" customHeight="1">
      <c r="B193" s="38" t="s">
        <v>222</v>
      </c>
      <c r="C193" s="31"/>
      <c r="D193" s="31"/>
      <c r="E193" s="749"/>
      <c r="F193" s="750">
        <f>+F191*F192</f>
        <v>0</v>
      </c>
      <c r="G193" s="750">
        <f t="shared" ref="G193" si="95">+G191*G192</f>
        <v>0</v>
      </c>
      <c r="H193" s="750">
        <f t="shared" ref="H193" si="96">+H191*H192</f>
        <v>0</v>
      </c>
      <c r="J193" s="772" t="s">
        <v>290</v>
      </c>
      <c r="K193" s="764"/>
      <c r="L193" s="764"/>
      <c r="M193" s="794">
        <v>27.5</v>
      </c>
      <c r="N193" s="795">
        <f>+M193</f>
        <v>27.5</v>
      </c>
      <c r="O193" s="795">
        <f t="shared" si="94"/>
        <v>27.5</v>
      </c>
      <c r="P193" s="795">
        <f t="shared" si="94"/>
        <v>27.5</v>
      </c>
    </row>
    <row r="194" spans="2:16" ht="15.95" customHeight="1">
      <c r="B194" s="38" t="s">
        <v>280</v>
      </c>
      <c r="C194" s="31"/>
      <c r="D194" s="31"/>
      <c r="E194" s="751"/>
      <c r="F194" s="755">
        <v>125</v>
      </c>
      <c r="G194" s="755">
        <f>+F194*(1+0.02)^2</f>
        <v>130.05000000000001</v>
      </c>
      <c r="H194" s="755">
        <f>+F194*(1+0.02)^4</f>
        <v>135.30402000000001</v>
      </c>
      <c r="J194" s="772" t="s">
        <v>291</v>
      </c>
      <c r="K194" s="764"/>
      <c r="L194" s="764"/>
      <c r="M194" s="766">
        <v>0.8</v>
      </c>
      <c r="N194" s="767">
        <f>+M194</f>
        <v>0.8</v>
      </c>
      <c r="O194" s="767">
        <f t="shared" si="94"/>
        <v>0.8</v>
      </c>
      <c r="P194" s="767">
        <f t="shared" si="94"/>
        <v>0.8</v>
      </c>
    </row>
    <row r="195" spans="2:16" ht="15.95" customHeight="1">
      <c r="B195" s="38" t="s">
        <v>243</v>
      </c>
      <c r="C195" s="31"/>
      <c r="D195" s="31"/>
      <c r="E195" s="753"/>
      <c r="F195" s="754">
        <f>+F194*F191*12</f>
        <v>0</v>
      </c>
      <c r="G195" s="754">
        <f>+G194*G191*12</f>
        <v>0</v>
      </c>
      <c r="H195" s="754">
        <f>+H194*H191*12</f>
        <v>0</v>
      </c>
      <c r="J195" s="764"/>
      <c r="K195" s="764"/>
      <c r="L195" s="764"/>
      <c r="M195" s="764"/>
      <c r="N195" s="764"/>
      <c r="O195" s="764"/>
      <c r="P195" s="764"/>
    </row>
    <row r="196" spans="2:16" ht="15.95" customHeight="1">
      <c r="B196" s="32" t="s">
        <v>292</v>
      </c>
      <c r="C196" s="31"/>
      <c r="D196" s="31"/>
      <c r="E196" s="749"/>
      <c r="F196" s="750"/>
      <c r="G196" s="750"/>
      <c r="H196" s="750"/>
      <c r="J196" s="764"/>
      <c r="K196" s="764"/>
      <c r="L196" s="764"/>
      <c r="M196" s="764"/>
      <c r="N196" s="764"/>
      <c r="O196" s="764"/>
      <c r="P196" s="764"/>
    </row>
    <row r="197" spans="2:16" ht="15.95" customHeight="1">
      <c r="B197" s="38" t="s">
        <v>274</v>
      </c>
      <c r="C197" s="31"/>
      <c r="D197" s="31"/>
      <c r="E197" s="749"/>
      <c r="F197" s="750">
        <v>0</v>
      </c>
      <c r="G197" s="750">
        <v>0</v>
      </c>
      <c r="H197" s="750">
        <v>0</v>
      </c>
      <c r="J197" s="764"/>
      <c r="K197" s="764"/>
      <c r="L197" s="764"/>
      <c r="M197" s="764"/>
      <c r="N197" s="796"/>
      <c r="O197" s="764"/>
      <c r="P197" s="764"/>
    </row>
    <row r="198" spans="2:16" ht="15.95" customHeight="1">
      <c r="B198" s="38" t="s">
        <v>276</v>
      </c>
      <c r="C198" s="31"/>
      <c r="D198" s="31"/>
      <c r="E198" s="749"/>
      <c r="F198" s="750">
        <f t="shared" ref="F198:H198" si="97">+F$178</f>
        <v>250</v>
      </c>
      <c r="G198" s="750">
        <f t="shared" si="97"/>
        <v>250</v>
      </c>
      <c r="H198" s="750">
        <f t="shared" si="97"/>
        <v>250</v>
      </c>
      <c r="J198" s="764"/>
      <c r="K198" s="764"/>
      <c r="L198" s="764"/>
      <c r="M198" s="764"/>
      <c r="N198" s="796"/>
      <c r="O198" s="764"/>
      <c r="P198" s="764"/>
    </row>
    <row r="199" spans="2:16" ht="15.95" customHeight="1">
      <c r="B199" s="38" t="s">
        <v>222</v>
      </c>
      <c r="C199" s="31"/>
      <c r="D199" s="31"/>
      <c r="E199" s="749"/>
      <c r="F199" s="750">
        <f>+F197*F198</f>
        <v>0</v>
      </c>
      <c r="G199" s="750">
        <f t="shared" ref="G199" si="98">+G197*G198</f>
        <v>0</v>
      </c>
      <c r="H199" s="750">
        <f t="shared" ref="H199" si="99">+H197*H198</f>
        <v>0</v>
      </c>
      <c r="J199" s="764"/>
      <c r="K199" s="764"/>
      <c r="L199" s="764"/>
      <c r="M199" s="764"/>
      <c r="N199" s="796"/>
      <c r="O199" s="764"/>
      <c r="P199" s="764"/>
    </row>
    <row r="200" spans="2:16" ht="15.95" customHeight="1">
      <c r="B200" s="38"/>
      <c r="C200" s="31"/>
      <c r="D200" s="31"/>
      <c r="E200" s="749"/>
      <c r="F200" s="767"/>
      <c r="G200" s="767"/>
      <c r="H200" s="767"/>
      <c r="N200" s="4"/>
      <c r="P200" s="4"/>
    </row>
    <row r="201" spans="2:16" ht="15.95" customHeight="1">
      <c r="B201" s="38" t="s">
        <v>280</v>
      </c>
      <c r="C201" s="31"/>
      <c r="D201" s="31"/>
      <c r="E201" s="751"/>
      <c r="F201" s="755">
        <v>0</v>
      </c>
      <c r="G201" s="755">
        <v>0</v>
      </c>
      <c r="H201" s="755">
        <v>0</v>
      </c>
    </row>
    <row r="202" spans="2:16" ht="15.95" customHeight="1">
      <c r="B202" s="38" t="s">
        <v>243</v>
      </c>
      <c r="C202" s="31"/>
      <c r="D202" s="31"/>
      <c r="E202" s="753"/>
      <c r="F202" s="754">
        <f>+F201*F197*12</f>
        <v>0</v>
      </c>
      <c r="G202" s="754">
        <f>+G201*G197*12</f>
        <v>0</v>
      </c>
      <c r="H202" s="754">
        <f>+H201*H197*12</f>
        <v>0</v>
      </c>
      <c r="N202" s="108"/>
    </row>
    <row r="203" spans="2:16" ht="15.95" customHeight="1">
      <c r="B203" s="40" t="s">
        <v>293</v>
      </c>
      <c r="C203" s="41"/>
      <c r="D203" s="41"/>
      <c r="E203" s="756">
        <f>+SUM(F203:H203)</f>
        <v>4849620.062846208</v>
      </c>
      <c r="F203" s="757">
        <f>+F182+F189+F195+F202</f>
        <v>2321185.92</v>
      </c>
      <c r="G203" s="757">
        <f>+G182+G189+G195+G202</f>
        <v>1358726.7767040001</v>
      </c>
      <c r="H203" s="757">
        <f>+H182+H189+H195+H202</f>
        <v>1169707.366142208</v>
      </c>
      <c r="N203" s="97"/>
    </row>
    <row r="204" spans="2:16" ht="15.95" customHeight="1">
      <c r="B204" s="42" t="s">
        <v>294</v>
      </c>
      <c r="C204" s="43"/>
      <c r="D204" s="43"/>
      <c r="E204" s="758">
        <f>+SUM(F204:H204)</f>
        <v>516204</v>
      </c>
      <c r="F204" s="759">
        <f>+F179+F186</f>
        <v>254516</v>
      </c>
      <c r="G204" s="759">
        <f>+G179+G186</f>
        <v>143198</v>
      </c>
      <c r="H204" s="759">
        <f>+H179+H186</f>
        <v>118490</v>
      </c>
    </row>
    <row r="205" spans="2:16" ht="15.95" customHeight="1">
      <c r="B205" s="38" t="s">
        <v>295</v>
      </c>
      <c r="C205" s="30"/>
      <c r="E205" s="749">
        <f>+SUM(F205:H205)</f>
        <v>0</v>
      </c>
      <c r="F205" s="750">
        <f>+F193+F199</f>
        <v>0</v>
      </c>
      <c r="G205" s="750">
        <f>+G193+G199</f>
        <v>0</v>
      </c>
      <c r="H205" s="750">
        <f>+H193+H199</f>
        <v>0</v>
      </c>
    </row>
    <row r="206" spans="2:16" ht="15.95" customHeight="1">
      <c r="B206" s="44" t="s">
        <v>163</v>
      </c>
      <c r="C206" s="45"/>
      <c r="D206" s="45"/>
      <c r="E206" s="768">
        <f>+IFERROR(E203/SUM(E204:E205),"")</f>
        <v>9.3947742808002417</v>
      </c>
      <c r="F206" s="769">
        <f t="shared" ref="F206:H206" si="100">+IFERROR(F203/SUM(F204:F205),"")</f>
        <v>9.1199999999999992</v>
      </c>
      <c r="G206" s="769">
        <f t="shared" si="100"/>
        <v>9.488448</v>
      </c>
      <c r="H206" s="769">
        <f t="shared" si="100"/>
        <v>9.8717812992000002</v>
      </c>
    </row>
    <row r="207" spans="2:16" ht="15.95" customHeight="1">
      <c r="E207" s="763"/>
      <c r="F207" s="764"/>
      <c r="G207" s="764"/>
      <c r="H207" s="764"/>
    </row>
    <row r="208" spans="2:16" ht="15.95" customHeight="1">
      <c r="B208" s="868" t="s">
        <v>296</v>
      </c>
      <c r="C208" s="868"/>
      <c r="D208" s="31"/>
      <c r="E208" s="746" t="s">
        <v>123</v>
      </c>
      <c r="F208" s="746" t="str">
        <f>+F$21</f>
        <v>I</v>
      </c>
      <c r="G208" s="746" t="str">
        <f>+G$21</f>
        <v>II</v>
      </c>
      <c r="H208" s="746" t="str">
        <f>+H$21</f>
        <v>III</v>
      </c>
    </row>
    <row r="209" spans="2:8" ht="15.95" customHeight="1">
      <c r="B209" s="32" t="s">
        <v>297</v>
      </c>
      <c r="C209" s="31"/>
      <c r="D209" s="31"/>
      <c r="E209" s="749"/>
      <c r="F209" s="750"/>
      <c r="G209" s="750"/>
      <c r="H209" s="750"/>
    </row>
    <row r="210" spans="2:8" ht="15.95" customHeight="1">
      <c r="B210" s="38" t="s">
        <v>222</v>
      </c>
      <c r="C210" s="31"/>
      <c r="D210" s="31"/>
      <c r="E210" s="749"/>
      <c r="F210" s="750">
        <v>37874</v>
      </c>
      <c r="G210" s="750">
        <v>9.9999999999999995E-7</v>
      </c>
      <c r="H210" s="750">
        <f>+'Parcel Breakdown'!AU26</f>
        <v>0</v>
      </c>
    </row>
    <row r="211" spans="2:8" ht="15.95" customHeight="1">
      <c r="B211" s="38" t="s">
        <v>147</v>
      </c>
      <c r="C211" s="31"/>
      <c r="D211" s="31"/>
      <c r="E211" s="751"/>
      <c r="F211" s="755">
        <v>8</v>
      </c>
      <c r="G211" s="755">
        <v>8.25</v>
      </c>
      <c r="H211" s="755">
        <v>8.5</v>
      </c>
    </row>
    <row r="212" spans="2:8" ht="15.95" customHeight="1">
      <c r="B212" s="38" t="s">
        <v>243</v>
      </c>
      <c r="C212" s="31"/>
      <c r="D212" s="31"/>
      <c r="E212" s="753"/>
      <c r="F212" s="754">
        <f>+F211*F210</f>
        <v>302992</v>
      </c>
      <c r="G212" s="754">
        <f t="shared" ref="G212:H212" si="101">+G211*G210</f>
        <v>8.2499999999999989E-6</v>
      </c>
      <c r="H212" s="754">
        <f t="shared" si="101"/>
        <v>0</v>
      </c>
    </row>
    <row r="213" spans="2:8" ht="15.95" customHeight="1">
      <c r="B213" s="32" t="s">
        <v>22</v>
      </c>
      <c r="E213" s="749"/>
      <c r="F213" s="750"/>
      <c r="G213" s="750"/>
      <c r="H213" s="750"/>
    </row>
    <row r="214" spans="2:8" ht="15.95" customHeight="1">
      <c r="B214" s="38" t="s">
        <v>222</v>
      </c>
      <c r="E214" s="749"/>
      <c r="F214" s="750">
        <v>0</v>
      </c>
      <c r="G214" s="750">
        <v>0</v>
      </c>
      <c r="H214" s="750">
        <v>0</v>
      </c>
    </row>
    <row r="215" spans="2:8" ht="15.95" customHeight="1">
      <c r="B215" s="38" t="s">
        <v>147</v>
      </c>
      <c r="E215" s="751"/>
      <c r="F215" s="755">
        <v>8</v>
      </c>
      <c r="G215" s="755">
        <v>12</v>
      </c>
      <c r="H215" s="755">
        <v>12</v>
      </c>
    </row>
    <row r="216" spans="2:8" ht="15.95" customHeight="1">
      <c r="B216" s="38" t="s">
        <v>243</v>
      </c>
      <c r="E216" s="753"/>
      <c r="F216" s="754">
        <f>+F215*F214</f>
        <v>0</v>
      </c>
      <c r="G216" s="754">
        <f t="shared" ref="G216:H216" si="102">+G215*G214</f>
        <v>0</v>
      </c>
      <c r="H216" s="754">
        <f t="shared" si="102"/>
        <v>0</v>
      </c>
    </row>
    <row r="217" spans="2:8" ht="15.95" customHeight="1">
      <c r="B217" s="40" t="s">
        <v>298</v>
      </c>
      <c r="C217" s="41"/>
      <c r="D217" s="41"/>
      <c r="E217" s="756">
        <f>+SUM(F217:H217)</f>
        <v>302992.00000825</v>
      </c>
      <c r="F217" s="757">
        <f>+F212+F216</f>
        <v>302992</v>
      </c>
      <c r="G217" s="757">
        <f t="shared" ref="G217:H217" si="103">+G212+G216</f>
        <v>8.2499999999999989E-6</v>
      </c>
      <c r="H217" s="757">
        <f t="shared" si="103"/>
        <v>0</v>
      </c>
    </row>
    <row r="218" spans="2:8" ht="15.95" customHeight="1">
      <c r="B218" s="42" t="s">
        <v>159</v>
      </c>
      <c r="C218" s="43"/>
      <c r="D218" s="43"/>
      <c r="E218" s="758">
        <f>+SUM(F218:H218)</f>
        <v>37874.000001</v>
      </c>
      <c r="F218" s="759">
        <f>+F210+F214</f>
        <v>37874</v>
      </c>
      <c r="G218" s="759">
        <f t="shared" ref="G218:H218" si="104">+G210+G214</f>
        <v>9.9999999999999995E-7</v>
      </c>
      <c r="H218" s="759">
        <f t="shared" si="104"/>
        <v>0</v>
      </c>
    </row>
    <row r="219" spans="2:8" ht="15.95" customHeight="1">
      <c r="B219" s="44" t="s">
        <v>163</v>
      </c>
      <c r="C219" s="45"/>
      <c r="D219" s="45"/>
      <c r="E219" s="768">
        <f>+IFERROR(E217/E218,"")</f>
        <v>8.0000000000066009</v>
      </c>
      <c r="F219" s="769">
        <f>+IFERROR(F217/F218,"")</f>
        <v>8</v>
      </c>
      <c r="G219" s="769">
        <f t="shared" ref="G219:H219" si="105">+IFERROR(G217/G218,"")</f>
        <v>8.25</v>
      </c>
      <c r="H219" s="769" t="str">
        <f t="shared" si="105"/>
        <v/>
      </c>
    </row>
    <row r="220" spans="2:8" ht="15.95" customHeight="1">
      <c r="E220" s="763"/>
      <c r="F220" s="764"/>
      <c r="G220" s="764"/>
      <c r="H220" s="764"/>
    </row>
  </sheetData>
  <mergeCells count="15">
    <mergeCell ref="R21:S21"/>
    <mergeCell ref="F20:H20"/>
    <mergeCell ref="B21:C21"/>
    <mergeCell ref="B33:C33"/>
    <mergeCell ref="J52:K52"/>
    <mergeCell ref="B60:C60"/>
    <mergeCell ref="J20:K20"/>
    <mergeCell ref="B208:C208"/>
    <mergeCell ref="B92:C92"/>
    <mergeCell ref="J138:K138"/>
    <mergeCell ref="B123:C123"/>
    <mergeCell ref="B140:C140"/>
    <mergeCell ref="B158:C158"/>
    <mergeCell ref="B175:C175"/>
    <mergeCell ref="J126:K126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3"/>
  </sheetPr>
  <dimension ref="A1:T178"/>
  <sheetViews>
    <sheetView showGridLines="0" topLeftCell="A64" zoomScale="90" zoomScaleNormal="90" workbookViewId="0">
      <selection activeCell="O47" sqref="O47"/>
    </sheetView>
  </sheetViews>
  <sheetFormatPr defaultColWidth="14.42578125" defaultRowHeight="15.95" customHeight="1"/>
  <cols>
    <col min="1" max="1" width="8.42578125" customWidth="1"/>
    <col min="5" max="5" width="18.140625" bestFit="1" customWidth="1"/>
    <col min="6" max="6" width="23.85546875" customWidth="1"/>
    <col min="7" max="7" width="25.7109375" bestFit="1" customWidth="1"/>
    <col min="8" max="8" width="16.7109375" customWidth="1"/>
    <col min="11" max="14" width="14.42578125" customWidth="1"/>
    <col min="18" max="18" width="27.7109375" customWidth="1"/>
  </cols>
  <sheetData>
    <row r="1" spans="2:19" ht="12.75"/>
    <row r="2" spans="2:19" ht="12.75">
      <c r="I2" s="98"/>
      <c r="J2" s="98"/>
    </row>
    <row r="3" spans="2:19" ht="15.75">
      <c r="B3" s="444" t="s">
        <v>569</v>
      </c>
      <c r="C3" s="445"/>
      <c r="D3" s="445"/>
      <c r="E3" s="444" t="s">
        <v>70</v>
      </c>
      <c r="F3" s="446" t="str">
        <f ca="1">+F$3</f>
        <v>I</v>
      </c>
      <c r="G3" s="446" t="str">
        <f ca="1">+G$3</f>
        <v>II</v>
      </c>
      <c r="H3" s="446" t="str">
        <f ca="1">+H$3</f>
        <v>III</v>
      </c>
      <c r="I3" s="832" t="str">
        <f ca="1">+I$3</f>
        <v>I</v>
      </c>
      <c r="J3" s="832"/>
      <c r="K3" s="832" t="s">
        <v>126</v>
      </c>
      <c r="L3" s="832"/>
      <c r="M3" s="832" t="s">
        <v>127</v>
      </c>
      <c r="N3" s="832"/>
    </row>
    <row r="4" spans="2:19" ht="15.75">
      <c r="B4" s="86" t="s">
        <v>85</v>
      </c>
      <c r="C4" s="83"/>
      <c r="D4" s="84"/>
      <c r="E4" s="85"/>
      <c r="F4" s="87" t="str">
        <f ca="1">+F$3</f>
        <v>I</v>
      </c>
      <c r="G4" s="87" t="str">
        <f ca="1">+G$3</f>
        <v>II</v>
      </c>
      <c r="H4" s="87" t="str">
        <f ca="1">+H$3</f>
        <v>III</v>
      </c>
      <c r="I4" s="446" t="s">
        <v>570</v>
      </c>
      <c r="J4" s="446" t="s">
        <v>571</v>
      </c>
      <c r="K4" s="446" t="s">
        <v>570</v>
      </c>
      <c r="L4" s="446" t="s">
        <v>571</v>
      </c>
      <c r="M4" s="446" t="s">
        <v>570</v>
      </c>
      <c r="N4" s="446" t="s">
        <v>571</v>
      </c>
    </row>
    <row r="5" spans="2:19" ht="15.75">
      <c r="B5" s="15" t="s">
        <v>572</v>
      </c>
      <c r="C5" s="15"/>
      <c r="D5" s="20"/>
      <c r="E5" s="26">
        <f t="shared" ref="E5:E10" si="0">+SUM(F5:H5)</f>
        <v>81989748.134542957</v>
      </c>
      <c r="F5" s="16">
        <f>+INDEX('Phase I Pro Forma'!$F$27:$Z$27,1,MATCH(1,'Phase I Pro Forma'!$F$3:$Z$3,0))</f>
        <v>6778521.7391304336</v>
      </c>
      <c r="G5" s="16">
        <f>+INDEX('Phase II Pro Forma'!$F$27:$Z$27,1,MATCH(1,'Phase II Pro Forma'!$F$2:$Z$2,0))</f>
        <v>40634706.214677267</v>
      </c>
      <c r="H5" s="16">
        <f>+INDEX('Phase III Pro Forma'!$F$28:$Z$28,1,MATCH(1,'Phase III Pro Forma'!$F$3:$Z$3,0))</f>
        <v>34576520.18073526</v>
      </c>
      <c r="I5" s="21"/>
      <c r="J5" s="53">
        <f t="shared" ref="J5:J10" ca="1" si="1">+F5/$F$63</f>
        <v>1.4654444400790168E-2</v>
      </c>
      <c r="K5" s="21"/>
      <c r="L5" s="53">
        <f t="shared" ref="L5:L10" ca="1" si="2">+G5/$G$63</f>
        <v>7.461932573049404E-2</v>
      </c>
      <c r="M5" s="21"/>
      <c r="N5" s="53">
        <f t="shared" ref="N5:N10" ca="1" si="3">H5/$H$63</f>
        <v>0.13600325050215645</v>
      </c>
      <c r="O5" s="16"/>
      <c r="R5" s="21"/>
      <c r="S5" s="53"/>
    </row>
    <row r="6" spans="2:19" ht="15.75">
      <c r="B6" s="15" t="s">
        <v>573</v>
      </c>
      <c r="C6" s="15"/>
      <c r="D6" s="20"/>
      <c r="E6" s="26">
        <f t="shared" si="0"/>
        <v>407171005.00331134</v>
      </c>
      <c r="F6" s="16">
        <f>+INDEX('Phase I Pro Forma'!$F$50:$Z$50,1,MATCH(1,'Phase I Pro Forma'!$F$3:$Z$3,0))</f>
        <v>33571810.675828733</v>
      </c>
      <c r="G6" s="16">
        <f>+INDEX('Phase II Pro Forma'!$F$50:$Z$50,1,MATCH(1,'Phase II Pro Forma'!$F$2:$Z$2,0))</f>
        <v>203803370.06407589</v>
      </c>
      <c r="H6" s="16">
        <f>+INDEX('Phase III Pro Forma'!$F$51:$Z$51,1,MATCH(1,'Phase III Pro Forma'!$F$3:$Z$3,0))</f>
        <v>169795824.26340672</v>
      </c>
      <c r="I6" s="21"/>
      <c r="J6" s="53">
        <f t="shared" ca="1" si="1"/>
        <v>7.257869074060061E-2</v>
      </c>
      <c r="K6" s="21"/>
      <c r="L6" s="53">
        <f t="shared" ca="1" si="2"/>
        <v>0.37425323011910155</v>
      </c>
      <c r="M6" s="21"/>
      <c r="N6" s="53">
        <f t="shared" ca="1" si="3"/>
        <v>0.66787472830717864</v>
      </c>
      <c r="O6" s="16"/>
      <c r="R6" s="21"/>
      <c r="S6" s="53"/>
    </row>
    <row r="7" spans="2:19" ht="15.75">
      <c r="B7" s="15" t="s">
        <v>574</v>
      </c>
      <c r="C7" s="15"/>
      <c r="D7" s="20"/>
      <c r="E7" s="26">
        <f t="shared" si="0"/>
        <v>265927273.95414719</v>
      </c>
      <c r="F7" s="16">
        <f>+INDEX('Phase I Pro Forma'!$F$71:$Z$71,1,MATCH(1,'Phase I Pro Forma'!$F$3:$Z$3,0))</f>
        <v>102700301.46960001</v>
      </c>
      <c r="G7" s="16">
        <f>+INDEX('Phase II Pro Forma'!$F$71:$Z$71,1,MATCH(1,'Phase II Pro Forma'!$F$2:$Z$2,0))</f>
        <v>123115774.97836222</v>
      </c>
      <c r="H7" s="16">
        <f>+INDEX('Phase III Pro Forma'!$F$72:$Z$72,1,MATCH(1,'Phase III Pro Forma'!$F$3:$Z$3,0))</f>
        <v>40111197.506184973</v>
      </c>
      <c r="I7" s="21"/>
      <c r="J7" s="53">
        <f t="shared" ca="1" si="1"/>
        <v>0.22202714924444711</v>
      </c>
      <c r="K7" s="21"/>
      <c r="L7" s="53">
        <f t="shared" ca="1" si="2"/>
        <v>0.22608299582966687</v>
      </c>
      <c r="M7" s="21"/>
      <c r="N7" s="53">
        <f t="shared" ca="1" si="3"/>
        <v>0.15777334485540886</v>
      </c>
      <c r="O7" s="16"/>
      <c r="R7" s="21"/>
      <c r="S7" s="53"/>
    </row>
    <row r="8" spans="2:19" ht="15.75">
      <c r="B8" s="15" t="s">
        <v>788</v>
      </c>
      <c r="C8" s="15"/>
      <c r="D8" s="20"/>
      <c r="E8" s="26">
        <v>0</v>
      </c>
      <c r="F8" s="16">
        <f>+INDEX('Phase I Pro Forma'!$F$92:$Z$92,1,MATCH(1,'Phase I Pro Forma'!$F$3:$Z$3,0))</f>
        <v>17652407.407407407</v>
      </c>
      <c r="G8" s="16">
        <f ca="1">+INDEX('Phase II Pro Forma'!$F$92:$Z$92,1,MATCH(1,'Phase II Pro Forma'!$F$2:$Z$2,0))</f>
        <v>0</v>
      </c>
      <c r="H8" s="16">
        <v>0</v>
      </c>
      <c r="I8" s="21"/>
      <c r="J8" s="53">
        <f t="shared" ca="1" si="1"/>
        <v>3.8162630857791313E-2</v>
      </c>
      <c r="K8" s="21"/>
      <c r="L8" s="53">
        <f t="shared" ca="1" si="2"/>
        <v>0</v>
      </c>
      <c r="M8" s="21"/>
      <c r="N8" s="53">
        <f t="shared" ca="1" si="3"/>
        <v>0</v>
      </c>
      <c r="O8" s="16"/>
      <c r="R8" s="21"/>
      <c r="S8" s="53"/>
    </row>
    <row r="9" spans="2:19" ht="15.75">
      <c r="B9" s="15" t="s">
        <v>575</v>
      </c>
      <c r="C9" s="15"/>
      <c r="D9" s="20"/>
      <c r="E9" s="26">
        <f t="shared" si="0"/>
        <v>417102061.50184679</v>
      </c>
      <c r="F9" s="16">
        <f>+INDEX('Phase I Pro Forma'!$F$113:$Z$113,1,MATCH(1,'Phase I Pro Forma'!$F$3:$Z$3,0))</f>
        <v>238460440.30769226</v>
      </c>
      <c r="G9" s="16">
        <f>+INDEX('Phase II Pro Forma'!$F$113:$Z$113,1,MATCH(1,'Phase II Pro Forma'!$F$2:$Z$2,0))</f>
        <v>178641621.19415453</v>
      </c>
      <c r="H9" s="16">
        <f>+INDEX('Phase III Pro Forma'!$F$114:$Z$114,1,MATCH(1,'Phase III Pro Forma'!$F$3:$Z$3,0))</f>
        <v>0</v>
      </c>
      <c r="I9" s="21"/>
      <c r="J9" s="53">
        <f t="shared" ca="1" si="1"/>
        <v>0.51552615728946571</v>
      </c>
      <c r="K9" s="21"/>
      <c r="L9" s="53">
        <f t="shared" ca="1" si="2"/>
        <v>0.3280475869687795</v>
      </c>
      <c r="M9" s="21"/>
      <c r="N9" s="53">
        <f t="shared" ca="1" si="3"/>
        <v>0</v>
      </c>
      <c r="O9" s="16"/>
      <c r="R9" s="21"/>
      <c r="S9" s="53"/>
    </row>
    <row r="10" spans="2:19" ht="15.75">
      <c r="B10" s="15" t="s">
        <v>576</v>
      </c>
      <c r="C10" s="15"/>
      <c r="D10" s="20"/>
      <c r="E10" s="26">
        <f t="shared" si="0"/>
        <v>47859127.911237426</v>
      </c>
      <c r="F10" s="16">
        <f>+INDEX('Phase I Pro Forma'!$F$135:$Z$135,1,MATCH(1,'Phase I Pro Forma'!$F$3:$Z$3,0))</f>
        <v>25626642.410181075</v>
      </c>
      <c r="G10" s="16">
        <f>+INDEX('Phase II Pro Forma'!$F$135:$Z$135,1,MATCH(1,'Phase II Pro Forma'!$F$2:$Z$2,0))</f>
        <v>12482984.836074494</v>
      </c>
      <c r="H10" s="16">
        <f>+INDEX('Phase III Pro Forma'!$F$136:$Z$136,1,MATCH(1,'Phase III Pro Forma'!$F$3:$Z$3,0))</f>
        <v>9749500.6649818569</v>
      </c>
      <c r="I10" s="21"/>
      <c r="J10" s="53">
        <f t="shared" ca="1" si="1"/>
        <v>5.5402080399185337E-2</v>
      </c>
      <c r="K10" s="21"/>
      <c r="L10" s="53">
        <f t="shared" ca="1" si="2"/>
        <v>2.2923062533067178E-2</v>
      </c>
      <c r="M10" s="21"/>
      <c r="N10" s="53">
        <f t="shared" ca="1" si="3"/>
        <v>3.8348676335256127E-2</v>
      </c>
      <c r="O10" s="16"/>
      <c r="R10" s="21"/>
      <c r="S10" s="53"/>
    </row>
    <row r="11" spans="2:19" ht="5.25" customHeight="1">
      <c r="B11" s="15"/>
      <c r="C11" s="15"/>
      <c r="D11" s="20"/>
      <c r="E11" s="26"/>
      <c r="F11" s="16"/>
      <c r="G11" s="16"/>
      <c r="H11" s="16"/>
      <c r="I11" s="21"/>
      <c r="J11" s="21"/>
      <c r="K11" s="21"/>
      <c r="L11" s="21"/>
      <c r="M11" s="21"/>
      <c r="N11" s="21"/>
      <c r="R11" s="21"/>
      <c r="S11" s="21"/>
    </row>
    <row r="12" spans="2:19" ht="15.75">
      <c r="B12" s="15" t="s">
        <v>258</v>
      </c>
      <c r="C12" s="15"/>
      <c r="D12" s="24"/>
      <c r="E12" s="77"/>
      <c r="F12" s="78">
        <f>+Assumptions!N149</f>
        <v>0.65</v>
      </c>
      <c r="G12" s="78">
        <f>+Assumptions!O149</f>
        <v>0.65</v>
      </c>
      <c r="H12" s="78">
        <f>+Assumptions!P149</f>
        <v>0.65</v>
      </c>
      <c r="I12" s="21"/>
      <c r="J12" s="21"/>
      <c r="K12" s="21"/>
      <c r="L12" s="21"/>
      <c r="M12" s="21"/>
      <c r="N12" s="21"/>
      <c r="R12" s="21"/>
      <c r="S12" s="21"/>
    </row>
    <row r="13" spans="2:19" ht="15.75">
      <c r="B13" s="62" t="s">
        <v>577</v>
      </c>
      <c r="C13" s="62"/>
      <c r="D13" s="62"/>
      <c r="E13" s="18">
        <f ca="1">+SUM(F13:H13)</f>
        <v>795329112.2690599</v>
      </c>
      <c r="F13" s="58">
        <f>+F12*SUM(F5:F10)</f>
        <v>276113580.60639596</v>
      </c>
      <c r="G13" s="698">
        <f ca="1">+G12*SUM(G5:G10)</f>
        <v>353964053.9627133</v>
      </c>
      <c r="H13" s="58">
        <f>+H12*SUM(H5:H10)</f>
        <v>165251477.69995072</v>
      </c>
      <c r="I13" s="21"/>
      <c r="J13" s="21"/>
      <c r="K13" s="21"/>
      <c r="L13" s="21"/>
      <c r="M13" s="21"/>
      <c r="N13" s="21"/>
      <c r="R13" s="21"/>
      <c r="S13" s="21"/>
    </row>
    <row r="14" spans="2:19" ht="15">
      <c r="B14" s="5"/>
      <c r="D14" s="3"/>
      <c r="E14" s="2"/>
      <c r="I14" s="21"/>
      <c r="J14" s="21"/>
      <c r="K14" s="21"/>
      <c r="L14" s="21"/>
      <c r="M14" s="21"/>
      <c r="N14" s="21"/>
      <c r="R14" s="21"/>
      <c r="S14" s="21"/>
    </row>
    <row r="15" spans="2:19" ht="15.75">
      <c r="B15" s="15" t="s">
        <v>578</v>
      </c>
      <c r="C15" s="15"/>
      <c r="D15" s="20"/>
      <c r="E15" s="26">
        <f t="shared" ref="E15:E20" si="4">+SUM(F15:H15)</f>
        <v>4714410.5177362207</v>
      </c>
      <c r="F15" s="16">
        <f>+INDEX('Phase I Pro Forma'!$F$25:$Z$25,1,MATCH(1,'Phase I Pro Forma'!$F$3:$Z$3,0))</f>
        <v>389764.99999999994</v>
      </c>
      <c r="G15" s="16">
        <f>+INDEX('Phase II Pro Forma'!$F$25:$Z$25,1,MATCH(1,'Phase II Pro Forma'!$F$2:$Z$2,0))</f>
        <v>2336495.6073439429</v>
      </c>
      <c r="H15" s="16">
        <f>+INDEX('Phase III Pro Forma'!$F$26:$Z$26,1,MATCH(1,'Phase III Pro Forma'!$F$3:$Z$3,0))</f>
        <v>1988149.9103922776</v>
      </c>
      <c r="I15" s="366">
        <f t="shared" ref="I15:I20" ca="1" si="5">+F15/$F$62</f>
        <v>1.3511546420121081E-2</v>
      </c>
      <c r="J15" s="21"/>
      <c r="K15" s="53">
        <f t="shared" ref="K15:K20" ca="1" si="6">+G15/$G$62</f>
        <v>9.4519572008155389E-2</v>
      </c>
      <c r="L15" s="21"/>
      <c r="M15" s="366">
        <f>+H15/$H$62</f>
        <v>0.13838011154629556</v>
      </c>
      <c r="N15" s="21"/>
      <c r="O15" s="16"/>
      <c r="R15" s="53"/>
      <c r="S15" s="21"/>
    </row>
    <row r="16" spans="2:19" ht="15.75">
      <c r="B16" s="15" t="s">
        <v>579</v>
      </c>
      <c r="C16" s="15"/>
      <c r="D16" s="20"/>
      <c r="E16" s="26">
        <f t="shared" si="4"/>
        <v>22394405.275182124</v>
      </c>
      <c r="F16" s="16">
        <f>+INDEX('Phase I Pro Forma'!$F$48:$Z$48,1,MATCH(1,'Phase I Pro Forma'!$F$3:$Z$3,0))</f>
        <v>1846449.5871705804</v>
      </c>
      <c r="G16" s="16">
        <f>+INDEX('Phase II Pro Forma'!$F$48:$Z$48,1,MATCH(1,'Phase II Pro Forma'!$F$2:$Z$2,0))</f>
        <v>11209185.353524175</v>
      </c>
      <c r="H16" s="16">
        <f>+INDEX('Phase III Pro Forma'!$F$49:$Z$49,1,MATCH(1,'Phase III Pro Forma'!$F$3:$Z$3,0))</f>
        <v>9338770.3344873693</v>
      </c>
      <c r="I16" s="53">
        <f t="shared" ca="1" si="5"/>
        <v>6.4008798402803505E-2</v>
      </c>
      <c r="J16" s="21"/>
      <c r="K16" s="53">
        <f ca="1">+G16/$G$62</f>
        <v>0.45345148471286101</v>
      </c>
      <c r="L16" s="21"/>
      <c r="M16" s="366">
        <f>+H16/$H$62</f>
        <v>0.65000132728251714</v>
      </c>
      <c r="N16" s="21"/>
      <c r="R16" s="53"/>
      <c r="S16" s="21"/>
    </row>
    <row r="17" spans="2:19" ht="15.75">
      <c r="B17" s="15" t="s">
        <v>580</v>
      </c>
      <c r="C17" s="15"/>
      <c r="D17" s="20"/>
      <c r="E17" s="26">
        <f t="shared" si="4"/>
        <v>15955636.437248832</v>
      </c>
      <c r="F17" s="16">
        <f>+INDEX('Phase I Pro Forma'!$F$69:$Z$69,1,MATCH(1,'Phase I Pro Forma'!$F$3:$Z$3,0))</f>
        <v>6162018.0881759999</v>
      </c>
      <c r="G17" s="16">
        <f>+INDEX('Phase II Pro Forma'!$F$69:$Z$69,1,MATCH(1,'Phase II Pro Forma'!$F$2:$Z$2,0))</f>
        <v>7386946.4987017326</v>
      </c>
      <c r="H17" s="16">
        <f>+INDEX('Phase III Pro Forma'!$F$70:$Z$70,1,MATCH(1,'Phase III Pro Forma'!$F$3:$Z$3,0))</f>
        <v>2406671.8503710981</v>
      </c>
      <c r="I17" s="53">
        <f t="shared" ca="1" si="5"/>
        <v>0.21361177489003835</v>
      </c>
      <c r="J17" s="21"/>
      <c r="K17" s="53">
        <f ca="1">+G17/$G$62</f>
        <v>0.29882830479537464</v>
      </c>
      <c r="L17" s="21"/>
      <c r="M17" s="366">
        <f>+H17/$H$62</f>
        <v>0.16751026538233807</v>
      </c>
      <c r="N17" s="21"/>
      <c r="R17" s="53"/>
      <c r="S17" s="21"/>
    </row>
    <row r="18" spans="2:19" ht="15.75">
      <c r="B18" s="15" t="s">
        <v>581</v>
      </c>
      <c r="C18" s="15"/>
      <c r="D18" s="20"/>
      <c r="E18" s="26">
        <f t="shared" ca="1" si="4"/>
        <v>1934532.4999999995</v>
      </c>
      <c r="F18" s="16">
        <f>+INDEX('Phase I Pro Forma'!$F$90:$Z$90,1,MATCH(1,'Phase I Pro Forma'!$F$3:$Z$3,0))</f>
        <v>1191537.5</v>
      </c>
      <c r="G18" s="16">
        <f ca="1">+INDEX('Phase II Pro Forma'!$F$90:$Z$90,1,MATCH(1,'Phase II Pro Forma'!$F$2:$Z$2,0))</f>
        <v>0</v>
      </c>
      <c r="H18" s="16">
        <v>0</v>
      </c>
      <c r="I18" s="53">
        <f t="shared" ca="1" si="5"/>
        <v>4.1305695079252948E-2</v>
      </c>
      <c r="J18" s="21"/>
      <c r="K18" s="53">
        <f t="shared" ca="1" si="6"/>
        <v>0</v>
      </c>
      <c r="L18" s="21"/>
      <c r="M18" s="53">
        <f t="shared" ref="M18:M20" si="7">+H18/$H$62</f>
        <v>0</v>
      </c>
      <c r="N18" s="21"/>
      <c r="R18" s="53"/>
      <c r="S18" s="21"/>
    </row>
    <row r="19" spans="2:19" ht="15.75">
      <c r="B19" s="15" t="s">
        <v>582</v>
      </c>
      <c r="C19" s="15"/>
      <c r="D19" s="20"/>
      <c r="E19" s="26">
        <f t="shared" si="4"/>
        <v>27111633.997620042</v>
      </c>
      <c r="F19" s="16">
        <f>+INDEX('Phase I Pro Forma'!$F$111:$Z$111,1,MATCH(1,'Phase I Pro Forma'!$F$3:$Z$3,0))</f>
        <v>15499928.619999997</v>
      </c>
      <c r="G19" s="16">
        <f>+INDEX('Phase II Pro Forma'!$F$111:$Z$111,1,MATCH(1,'Phase II Pro Forma'!$F$2:$Z$2,0))</f>
        <v>11611705.377620045</v>
      </c>
      <c r="H19" s="16">
        <f>+INDEX('Phase III Pro Forma'!$F$112:$Z$112,1,MATCH(1,'Phase III Pro Forma'!$F$3:$Z$3,0))</f>
        <v>0</v>
      </c>
      <c r="I19" s="53">
        <f t="shared" ca="1" si="5"/>
        <v>0.53731865369567122</v>
      </c>
      <c r="J19" s="21"/>
      <c r="K19" s="53">
        <f t="shared" ca="1" si="6"/>
        <v>0.46840224217675397</v>
      </c>
      <c r="L19" s="21"/>
      <c r="M19" s="53">
        <f t="shared" si="7"/>
        <v>0</v>
      </c>
      <c r="N19" s="21"/>
      <c r="R19" s="53"/>
      <c r="S19" s="21"/>
    </row>
    <row r="20" spans="2:19" ht="15.75">
      <c r="B20" s="15" t="s">
        <v>583</v>
      </c>
      <c r="C20" s="15"/>
      <c r="D20" s="20"/>
      <c r="E20" s="26">
        <f t="shared" si="4"/>
        <v>3110843.3142304327</v>
      </c>
      <c r="F20" s="16">
        <f>+INDEX('Phase I Pro Forma'!$F$133:$Z$133,1,MATCH(1,'Phase I Pro Forma'!$F$3:$Z$3,0))</f>
        <v>1665731.7566617699</v>
      </c>
      <c r="G20" s="16">
        <f>+INDEX('Phase II Pro Forma'!$F$133:$Z$133,1,MATCH(1,'Phase II Pro Forma'!$F$2:$Z$2,0))</f>
        <v>811394.01434484217</v>
      </c>
      <c r="H20" s="16">
        <f>+INDEX('Phase III Pro Forma'!$F$134:$Z$134,1,MATCH(1,'Phase III Pro Forma'!$F$3:$Z$3,0))</f>
        <v>633717.54322382074</v>
      </c>
      <c r="I20" s="53">
        <f t="shared" ca="1" si="5"/>
        <v>5.774405591473155E-2</v>
      </c>
      <c r="J20" s="21"/>
      <c r="K20" s="53">
        <f t="shared" ca="1" si="6"/>
        <v>4.1309186309383676E-2</v>
      </c>
      <c r="L20" s="21"/>
      <c r="M20" s="53">
        <f t="shared" si="7"/>
        <v>4.4108295788849242E-2</v>
      </c>
      <c r="N20" s="21"/>
      <c r="R20" s="53"/>
      <c r="S20" s="21"/>
    </row>
    <row r="21" spans="2:19" ht="5.25" customHeight="1">
      <c r="B21" s="15"/>
      <c r="C21" s="15"/>
      <c r="D21" s="20"/>
      <c r="E21" s="26"/>
      <c r="F21" s="16"/>
      <c r="G21" s="16"/>
      <c r="H21" s="16"/>
      <c r="I21" s="21"/>
      <c r="J21" s="21"/>
      <c r="K21" s="21"/>
      <c r="L21" s="21"/>
      <c r="M21" s="21"/>
      <c r="N21" s="21"/>
    </row>
    <row r="22" spans="2:19" ht="15.75">
      <c r="B22" s="15" t="s">
        <v>259</v>
      </c>
      <c r="C22" s="15"/>
      <c r="D22" s="24"/>
      <c r="E22" s="77"/>
      <c r="F22" s="51">
        <f>+Assumptions!N150</f>
        <v>1.25</v>
      </c>
      <c r="G22" s="51">
        <f>+Assumptions!O150</f>
        <v>1.25</v>
      </c>
      <c r="H22" s="51">
        <f>+Assumptions!P150</f>
        <v>1.25</v>
      </c>
      <c r="I22" s="21"/>
      <c r="J22" s="21"/>
      <c r="K22" s="21"/>
      <c r="L22" s="21"/>
      <c r="M22" s="21"/>
      <c r="N22" s="21"/>
    </row>
    <row r="23" spans="2:19" ht="15.75">
      <c r="B23" s="15" t="s">
        <v>584</v>
      </c>
      <c r="C23" s="15"/>
      <c r="D23" s="24"/>
      <c r="E23" s="26"/>
      <c r="F23" s="16">
        <f>+SUM(F15:F20)/F22</f>
        <v>21404344.441606678</v>
      </c>
      <c r="G23" s="16">
        <f ca="1">+SUM(G15:G20)/G22</f>
        <v>26865299.36513225</v>
      </c>
      <c r="H23" s="16">
        <f>+SUM(H15:H20)/H22</f>
        <v>11493847.710779652</v>
      </c>
      <c r="I23" s="21"/>
      <c r="J23" s="21"/>
      <c r="K23" s="21"/>
      <c r="L23" s="21"/>
      <c r="M23" s="21"/>
      <c r="N23" s="21"/>
    </row>
    <row r="24" spans="2:19" ht="15.75">
      <c r="B24" s="15" t="s">
        <v>261</v>
      </c>
      <c r="C24" s="15"/>
      <c r="D24" s="24"/>
      <c r="E24" s="77"/>
      <c r="F24" s="50">
        <f>+Assumptions!N153</f>
        <v>30</v>
      </c>
      <c r="G24" s="50">
        <f>+Assumptions!O153</f>
        <v>30</v>
      </c>
      <c r="H24" s="50">
        <f>+Assumptions!P153</f>
        <v>30</v>
      </c>
      <c r="I24" s="21"/>
      <c r="J24" s="21"/>
      <c r="K24" s="21"/>
      <c r="L24" s="21"/>
      <c r="M24" s="21"/>
      <c r="N24" s="21"/>
    </row>
    <row r="25" spans="2:19" ht="15.75">
      <c r="B25" s="15" t="s">
        <v>253</v>
      </c>
      <c r="C25" s="15"/>
      <c r="D25" s="24"/>
      <c r="E25" s="77"/>
      <c r="F25" s="79">
        <f>+Assumptions!N151</f>
        <v>6.5000000000000002E-2</v>
      </c>
      <c r="G25" s="79">
        <f>+Assumptions!O151</f>
        <v>6.5000000000000002E-2</v>
      </c>
      <c r="H25" s="79">
        <f>+Assumptions!P151</f>
        <v>6.5000000000000002E-2</v>
      </c>
      <c r="I25" s="21"/>
      <c r="J25" s="21"/>
      <c r="K25" s="21"/>
      <c r="L25" s="21"/>
      <c r="M25" s="21"/>
      <c r="N25" s="21"/>
    </row>
    <row r="26" spans="2:19" ht="15.75">
      <c r="B26" s="62" t="s">
        <v>585</v>
      </c>
      <c r="C26" s="62"/>
      <c r="D26" s="62"/>
      <c r="E26" s="18">
        <f ca="1">+SUM(F26:H26)</f>
        <v>780432066.73842716</v>
      </c>
      <c r="F26" s="58">
        <f>+PV(F25,F24,-F23)</f>
        <v>279512397.0433957</v>
      </c>
      <c r="G26" s="58">
        <f ca="1">+PV(G25,G24,-G23)</f>
        <v>350825237.52700692</v>
      </c>
      <c r="H26" s="58">
        <f>+PV(H25,H24,-H23)</f>
        <v>150094432.16802457</v>
      </c>
      <c r="I26" s="21"/>
      <c r="J26" s="21"/>
      <c r="K26" s="21"/>
      <c r="L26" s="21"/>
      <c r="M26" s="21"/>
      <c r="N26" s="21"/>
    </row>
    <row r="27" spans="2:19" ht="5.25" customHeight="1">
      <c r="B27" s="5"/>
      <c r="D27" s="3"/>
      <c r="E27" s="2"/>
      <c r="I27" s="21"/>
      <c r="J27" s="21"/>
      <c r="K27" s="21"/>
      <c r="L27" s="21"/>
      <c r="M27" s="21"/>
      <c r="N27" s="21"/>
    </row>
    <row r="28" spans="2:19" ht="15.75">
      <c r="B28" s="17" t="s">
        <v>586</v>
      </c>
      <c r="C28" s="17"/>
      <c r="D28" s="17"/>
      <c r="E28" s="18">
        <f ca="1">+SUM(F28:H28)</f>
        <v>777033250.30142736</v>
      </c>
      <c r="F28" s="18">
        <f>+MIN(F26,F13)</f>
        <v>276113580.60639596</v>
      </c>
      <c r="G28" s="18">
        <f ca="1">+MIN(G26,G13)</f>
        <v>350825237.52700692</v>
      </c>
      <c r="H28" s="18">
        <f>+MIN(H26,H13)</f>
        <v>150094432.16802457</v>
      </c>
      <c r="I28" s="21"/>
      <c r="J28" s="21"/>
      <c r="K28" s="21"/>
      <c r="L28" s="21"/>
      <c r="M28" s="21"/>
      <c r="N28" s="21"/>
    </row>
    <row r="29" spans="2:19" ht="15">
      <c r="B29" s="5"/>
      <c r="D29" s="3"/>
      <c r="E29" s="2"/>
      <c r="I29" s="21"/>
      <c r="J29" s="21"/>
      <c r="K29" s="21"/>
      <c r="L29" s="21"/>
      <c r="M29" s="21"/>
      <c r="N29" s="21"/>
    </row>
    <row r="30" spans="2:19" ht="15.75">
      <c r="B30" s="86" t="s">
        <v>262</v>
      </c>
      <c r="C30" s="83"/>
      <c r="D30" s="84"/>
      <c r="E30" s="85"/>
      <c r="F30" s="87" t="str">
        <f ca="1">+F$3</f>
        <v>I</v>
      </c>
      <c r="G30" s="87" t="str">
        <f ca="1">+G$3</f>
        <v>II</v>
      </c>
      <c r="H30" s="87" t="str">
        <f ca="1">+H$3</f>
        <v>III</v>
      </c>
      <c r="I30" s="21"/>
      <c r="J30" s="21"/>
      <c r="K30" s="21"/>
      <c r="L30" s="21"/>
      <c r="M30" s="21"/>
      <c r="N30" s="21"/>
    </row>
    <row r="31" spans="2:19" ht="15.75">
      <c r="B31" s="15" t="s">
        <v>587</v>
      </c>
      <c r="C31" s="15"/>
      <c r="D31" s="20"/>
      <c r="E31" s="26">
        <f ca="1">+SUM(F31:H31)</f>
        <v>34421483.09350647</v>
      </c>
      <c r="F31" s="16">
        <f ca="1">+INDEX('Phase I Pro Forma'!$F$207:$Z$207,1,MATCH(1,'Phase I Pro Forma'!$F$3:$Z$3,0))</f>
        <v>34421483.09350647</v>
      </c>
      <c r="G31" s="16">
        <v>0</v>
      </c>
      <c r="H31" s="16">
        <v>0</v>
      </c>
      <c r="I31" s="21"/>
      <c r="J31" s="53">
        <f ca="1">+F31/$F$63</f>
        <v>7.4415592307481279E-2</v>
      </c>
      <c r="K31" s="21"/>
      <c r="L31" s="53">
        <v>0</v>
      </c>
      <c r="M31" s="21"/>
      <c r="N31" s="53">
        <v>0</v>
      </c>
      <c r="O31" s="16"/>
      <c r="S31" s="53"/>
    </row>
    <row r="32" spans="2:19" ht="15.75">
      <c r="B32" s="15"/>
      <c r="C32" s="15"/>
      <c r="D32" s="20"/>
      <c r="E32" s="26"/>
      <c r="F32" s="16"/>
      <c r="G32" s="16"/>
      <c r="H32" s="16"/>
      <c r="I32" s="21"/>
      <c r="J32" s="21"/>
      <c r="K32" s="21"/>
      <c r="L32" s="21"/>
      <c r="M32" s="21"/>
      <c r="N32" s="21"/>
    </row>
    <row r="33" spans="2:19" ht="15.75">
      <c r="B33" s="15" t="s">
        <v>258</v>
      </c>
      <c r="C33" s="15"/>
      <c r="D33" s="24"/>
      <c r="E33" s="77"/>
      <c r="F33" s="78">
        <f>+Assumptions!N155</f>
        <v>0.8</v>
      </c>
      <c r="G33" s="78">
        <f>+Assumptions!O155</f>
        <v>0.8</v>
      </c>
      <c r="H33" s="78">
        <f>+Assumptions!P155</f>
        <v>0.8</v>
      </c>
      <c r="I33" s="21"/>
      <c r="J33" s="21"/>
      <c r="K33" s="21"/>
      <c r="L33" s="21"/>
      <c r="M33" s="21"/>
      <c r="N33" s="21"/>
    </row>
    <row r="34" spans="2:19" ht="15.75">
      <c r="B34" s="62" t="s">
        <v>577</v>
      </c>
      <c r="C34" s="62"/>
      <c r="D34" s="62"/>
      <c r="E34" s="18">
        <f ca="1">+SUM(F34:H34)</f>
        <v>27537186.474805176</v>
      </c>
      <c r="F34" s="698">
        <f ca="1">+F33*SUM(F31)</f>
        <v>27537186.474805176</v>
      </c>
      <c r="G34" s="58">
        <f>+G33*SUM(G31)</f>
        <v>0</v>
      </c>
      <c r="H34" s="58">
        <f>+H33*SUM(H31)</f>
        <v>0</v>
      </c>
      <c r="I34" s="21"/>
      <c r="J34" s="21"/>
      <c r="K34" s="21"/>
      <c r="L34" s="21"/>
      <c r="M34" s="21"/>
      <c r="N34" s="21"/>
    </row>
    <row r="35" spans="2:19" ht="15">
      <c r="B35" s="6"/>
      <c r="D35" s="4"/>
      <c r="I35" s="21"/>
      <c r="J35" s="21"/>
      <c r="K35" s="21"/>
      <c r="L35" s="21"/>
      <c r="M35" s="21"/>
      <c r="N35" s="21"/>
    </row>
    <row r="36" spans="2:19" ht="15.75">
      <c r="B36" s="15" t="s">
        <v>588</v>
      </c>
      <c r="C36" s="15"/>
      <c r="D36" s="20"/>
      <c r="E36" s="26">
        <f ca="1">+SUM(F36:H36)</f>
        <v>1907359.776791367</v>
      </c>
      <c r="F36" s="16">
        <f ca="1">+INDEX('Phase I Pro Forma'!$F$205:$Z$205,1,MATCH(1,'Phase I Pro Forma'!$F$3:$Z$3,0))</f>
        <v>1907359.776791367</v>
      </c>
      <c r="G36" s="16">
        <v>0</v>
      </c>
      <c r="H36" s="16">
        <v>0</v>
      </c>
      <c r="I36" s="53">
        <f ca="1">+F36/$F$62</f>
        <v>6.6120303680392914E-2</v>
      </c>
      <c r="J36" s="21"/>
      <c r="K36" s="53">
        <f ca="1">G36/$G$62</f>
        <v>0</v>
      </c>
      <c r="L36" s="21"/>
      <c r="M36" s="53">
        <f>+H36/$H$62</f>
        <v>0</v>
      </c>
      <c r="N36" s="21"/>
      <c r="O36" s="16"/>
      <c r="R36" s="53"/>
    </row>
    <row r="37" spans="2:19" ht="15">
      <c r="B37" s="6"/>
      <c r="D37" s="4"/>
      <c r="I37" s="21"/>
      <c r="J37" s="21"/>
      <c r="K37" s="21"/>
      <c r="L37" s="21"/>
      <c r="M37" s="21"/>
      <c r="N37" s="21"/>
    </row>
    <row r="38" spans="2:19" ht="15.75">
      <c r="B38" s="15" t="s">
        <v>259</v>
      </c>
      <c r="C38" s="15"/>
      <c r="D38" s="24"/>
      <c r="E38" s="77"/>
      <c r="F38" s="51">
        <f>+Assumptions!N156</f>
        <v>1.3</v>
      </c>
      <c r="G38" s="51">
        <f>+Assumptions!O156</f>
        <v>1.3</v>
      </c>
      <c r="H38" s="51">
        <f>+Assumptions!P156</f>
        <v>1.3</v>
      </c>
      <c r="I38" s="21"/>
      <c r="J38" s="21"/>
      <c r="K38" s="21"/>
      <c r="L38" s="21"/>
      <c r="M38" s="21"/>
      <c r="N38" s="21"/>
    </row>
    <row r="39" spans="2:19" ht="15.75">
      <c r="B39" s="15" t="s">
        <v>584</v>
      </c>
      <c r="C39" s="15"/>
      <c r="D39" s="24"/>
      <c r="E39" s="26"/>
      <c r="F39" s="16">
        <f ca="1">+SUM(F36)/F38</f>
        <v>1467199.8283010514</v>
      </c>
      <c r="G39" s="16">
        <f>+SUM(G36)/G38</f>
        <v>0</v>
      </c>
      <c r="H39" s="16">
        <f>+SUM(H36)/H38</f>
        <v>0</v>
      </c>
      <c r="I39" s="21"/>
      <c r="J39" s="21"/>
      <c r="K39" s="21"/>
      <c r="L39" s="21"/>
      <c r="M39" s="21"/>
      <c r="N39" s="21"/>
    </row>
    <row r="40" spans="2:19" ht="15.75">
      <c r="B40" s="15" t="s">
        <v>261</v>
      </c>
      <c r="C40" s="15"/>
      <c r="D40" s="24"/>
      <c r="E40" s="77"/>
      <c r="F40" s="88" t="s">
        <v>265</v>
      </c>
      <c r="G40" s="88" t="s">
        <v>265</v>
      </c>
      <c r="H40" s="88" t="s">
        <v>265</v>
      </c>
      <c r="I40" s="21"/>
      <c r="J40" s="21"/>
      <c r="K40" s="21"/>
      <c r="L40" s="21"/>
      <c r="M40" s="21"/>
      <c r="N40" s="21"/>
    </row>
    <row r="41" spans="2:19" ht="15.75">
      <c r="B41" s="15" t="s">
        <v>253</v>
      </c>
      <c r="C41" s="15"/>
      <c r="D41" s="24"/>
      <c r="E41" s="77"/>
      <c r="F41" s="79">
        <f>+Assumptions!N157</f>
        <v>0.06</v>
      </c>
      <c r="G41" s="79">
        <f>+Assumptions!O157</f>
        <v>0.06</v>
      </c>
      <c r="H41" s="79">
        <f>+Assumptions!P157</f>
        <v>0.06</v>
      </c>
      <c r="I41" s="21"/>
      <c r="J41" s="21"/>
      <c r="K41" s="21"/>
      <c r="L41" s="21"/>
      <c r="M41" s="21"/>
      <c r="N41" s="21"/>
    </row>
    <row r="42" spans="2:19" ht="15.75">
      <c r="B42" s="62" t="s">
        <v>585</v>
      </c>
      <c r="C42" s="62"/>
      <c r="D42" s="62"/>
      <c r="E42" s="18">
        <f ca="1">+SUM(F42:H42)</f>
        <v>24453330.471684191</v>
      </c>
      <c r="F42" s="58">
        <f ca="1">+F39/F41</f>
        <v>24453330.471684191</v>
      </c>
      <c r="G42" s="58">
        <f>+G39/G41</f>
        <v>0</v>
      </c>
      <c r="H42" s="58">
        <f>+H39/H41</f>
        <v>0</v>
      </c>
      <c r="I42" s="21"/>
      <c r="J42" s="21"/>
      <c r="K42" s="21"/>
      <c r="L42" s="21"/>
      <c r="M42" s="21"/>
      <c r="N42" s="21"/>
    </row>
    <row r="43" spans="2:19" ht="15">
      <c r="B43" s="5"/>
      <c r="D43" s="3"/>
      <c r="E43" s="2"/>
      <c r="I43" s="21"/>
      <c r="J43" s="21"/>
      <c r="K43" s="21"/>
      <c r="L43" s="21"/>
      <c r="M43" s="21"/>
      <c r="N43" s="21"/>
    </row>
    <row r="44" spans="2:19" ht="15.75">
      <c r="B44" s="17" t="s">
        <v>586</v>
      </c>
      <c r="C44" s="17"/>
      <c r="D44" s="17"/>
      <c r="E44" s="18">
        <f ca="1">+SUM(F44:H44)</f>
        <v>24453330.471684191</v>
      </c>
      <c r="F44" s="18">
        <f ca="1">+MIN(F42,F34)</f>
        <v>24453330.471684191</v>
      </c>
      <c r="G44" s="18">
        <f>+MIN(G42,G34)</f>
        <v>0</v>
      </c>
      <c r="H44" s="18">
        <f>+MIN(H42,H34)</f>
        <v>0</v>
      </c>
      <c r="I44" s="21"/>
      <c r="J44" s="21"/>
      <c r="K44" s="21"/>
      <c r="L44" s="21"/>
      <c r="M44" s="21"/>
      <c r="N44" s="21"/>
    </row>
    <row r="45" spans="2:19" ht="15">
      <c r="B45" s="6"/>
      <c r="I45" s="21"/>
      <c r="J45" s="21"/>
      <c r="K45" s="21"/>
      <c r="L45" s="21"/>
      <c r="M45" s="21"/>
      <c r="N45" s="21"/>
    </row>
    <row r="46" spans="2:19" ht="15.75">
      <c r="B46" s="86" t="s">
        <v>322</v>
      </c>
      <c r="C46" s="83"/>
      <c r="D46" s="84"/>
      <c r="E46" s="85"/>
      <c r="F46" s="87" t="str">
        <f ca="1">+F$3</f>
        <v>I</v>
      </c>
      <c r="G46" s="87" t="str">
        <f ca="1">+G$3</f>
        <v>II</v>
      </c>
      <c r="H46" s="87" t="str">
        <f ca="1">+H$3</f>
        <v>III</v>
      </c>
      <c r="I46" s="21"/>
      <c r="J46" s="21"/>
      <c r="K46" s="21"/>
      <c r="L46" s="21"/>
      <c r="M46" s="21"/>
      <c r="N46" s="21"/>
      <c r="R46" s="21"/>
      <c r="S46" s="53"/>
    </row>
    <row r="47" spans="2:19" ht="15.75">
      <c r="B47" s="15" t="s">
        <v>589</v>
      </c>
      <c r="C47" s="15"/>
      <c r="D47" s="20"/>
      <c r="E47" s="26">
        <f ca="1">+SUM(F47:H47)</f>
        <v>55432950.641364068</v>
      </c>
      <c r="F47" s="16">
        <f>+INDEX('Phase I Pro Forma'!$F$252:$Z$252,1,MATCH(1,'Phase I Pro Forma'!$F$3:$Z$3,0))</f>
        <v>3345795.5345138763</v>
      </c>
      <c r="G47" s="16">
        <f ca="1">+INDEX('Phase II Pro Forma'!$F$185:$Z$185,1,MATCH(1,'Phase II Pro Forma'!$F$2:$Z$2,0))</f>
        <v>2.1337658181818181E-4</v>
      </c>
      <c r="H47" s="58">
        <f ca="1">+H44/H46</f>
        <v>0</v>
      </c>
      <c r="I47" s="21"/>
      <c r="J47" s="53">
        <f ca="1">F47/$F$63</f>
        <v>7.2332547602385376E-3</v>
      </c>
      <c r="K47" s="21"/>
      <c r="L47" s="53">
        <f ca="1">G47/$G$63</f>
        <v>3.9183294639396912E-13</v>
      </c>
      <c r="M47" s="21"/>
      <c r="N47" s="53">
        <f ca="1">+H47/$H$63</f>
        <v>0</v>
      </c>
      <c r="O47" s="16"/>
      <c r="R47" s="21"/>
      <c r="S47" s="21"/>
    </row>
    <row r="48" spans="2:19" ht="15.75">
      <c r="B48" s="15"/>
      <c r="C48" s="15"/>
      <c r="D48" s="20"/>
      <c r="E48" s="26"/>
      <c r="F48" s="16"/>
      <c r="G48" s="16"/>
      <c r="H48" s="16"/>
      <c r="I48" s="21"/>
      <c r="J48" s="21"/>
      <c r="K48" s="21"/>
      <c r="L48" s="21"/>
      <c r="M48" s="21"/>
      <c r="N48" s="21"/>
      <c r="R48" s="21"/>
      <c r="S48" s="21"/>
    </row>
    <row r="49" spans="2:19" ht="15.75">
      <c r="B49" s="15" t="s">
        <v>258</v>
      </c>
      <c r="C49" s="15"/>
      <c r="D49" s="24"/>
      <c r="E49" s="77"/>
      <c r="F49" s="78">
        <f>+Assumptions!N161</f>
        <v>0.75</v>
      </c>
      <c r="G49" s="78">
        <f>+Assumptions!O161</f>
        <v>0.75</v>
      </c>
      <c r="H49" s="78">
        <f>+Assumptions!P161</f>
        <v>0.75</v>
      </c>
      <c r="I49" s="21"/>
      <c r="J49" s="21"/>
      <c r="K49" s="21"/>
      <c r="L49" s="21"/>
      <c r="M49" s="21"/>
      <c r="N49" s="21"/>
      <c r="R49" s="21"/>
      <c r="S49" s="21"/>
    </row>
    <row r="50" spans="2:19" ht="15.75">
      <c r="B50" s="62" t="s">
        <v>577</v>
      </c>
      <c r="C50" s="62"/>
      <c r="D50" s="62"/>
      <c r="E50" s="18">
        <f ca="1">+SUM(F50:H50)</f>
        <v>2509346.6510454398</v>
      </c>
      <c r="F50" s="58">
        <f>+F49*SUM(F47)</f>
        <v>2509346.6508854073</v>
      </c>
      <c r="G50" s="58">
        <f ca="1">+G49*SUM(G47)</f>
        <v>1.6003243636363636E-4</v>
      </c>
      <c r="H50" s="58">
        <f ca="1">+H47/H49</f>
        <v>0</v>
      </c>
      <c r="I50" s="21"/>
      <c r="J50" s="21"/>
      <c r="K50" s="21"/>
      <c r="L50" s="21"/>
      <c r="M50" s="21"/>
      <c r="N50" s="21"/>
      <c r="R50" s="21"/>
      <c r="S50" s="21"/>
    </row>
    <row r="51" spans="2:19" ht="15">
      <c r="B51" s="6"/>
      <c r="D51" s="4"/>
      <c r="I51" s="21"/>
      <c r="J51" s="21"/>
      <c r="K51" s="21"/>
      <c r="L51" s="21"/>
      <c r="M51" s="21"/>
      <c r="N51" s="21"/>
      <c r="R51" s="53"/>
      <c r="S51" s="21"/>
    </row>
    <row r="52" spans="2:19" ht="15.75">
      <c r="B52" s="15" t="s">
        <v>590</v>
      </c>
      <c r="C52" s="15"/>
      <c r="D52" s="20"/>
      <c r="E52" s="26">
        <f ca="1">+SUM(F52:H52)</f>
        <v>3048812.2852750239</v>
      </c>
      <c r="F52" s="16">
        <f>+INDEX('Phase I Pro Forma'!$F$250:$Z$250,1,MATCH(1,'Phase I Pro Forma'!$F$3:$Z$3,0))</f>
        <v>184018.75439826321</v>
      </c>
      <c r="G52" s="16">
        <f ca="1">+INDEX('Phase II Pro Forma'!$F$183:$Z$183,1,MATCH(1,'Phase II Pro Forma'!$F$2:$Z$2,0))</f>
        <v>7.8374999999999991E-6</v>
      </c>
      <c r="H52" s="16">
        <v>0</v>
      </c>
      <c r="I52" s="53">
        <f ca="1">F52/$F$62</f>
        <v>6.3791719169884265E-3</v>
      </c>
      <c r="J52" s="21"/>
      <c r="K52" s="53">
        <f ca="1">+G52/$G$62</f>
        <v>4.7475136352254473E-13</v>
      </c>
      <c r="L52" s="21"/>
      <c r="M52" s="53">
        <f>+H52/$H$62</f>
        <v>0</v>
      </c>
      <c r="N52" s="21"/>
      <c r="O52" s="16"/>
    </row>
    <row r="53" spans="2:19" ht="15">
      <c r="B53" s="6"/>
      <c r="D53" s="4"/>
      <c r="I53" s="21"/>
      <c r="J53" s="21"/>
      <c r="K53" s="21"/>
      <c r="L53" s="21"/>
      <c r="M53" s="21"/>
      <c r="N53" s="21"/>
    </row>
    <row r="54" spans="2:19" ht="15.75">
      <c r="B54" s="15" t="s">
        <v>259</v>
      </c>
      <c r="C54" s="15"/>
      <c r="D54" s="24"/>
      <c r="E54" s="77"/>
      <c r="F54" s="51">
        <f>+Assumptions!N162</f>
        <v>1.3</v>
      </c>
      <c r="G54" s="51">
        <f>+Assumptions!O162</f>
        <v>1.3</v>
      </c>
      <c r="H54" s="51">
        <f>+Assumptions!P162</f>
        <v>1.3</v>
      </c>
      <c r="I54" s="21"/>
      <c r="J54" s="21"/>
      <c r="K54" s="21"/>
      <c r="L54" s="21"/>
      <c r="M54" s="21"/>
      <c r="N54" s="21"/>
    </row>
    <row r="55" spans="2:19" ht="15.75">
      <c r="B55" s="15" t="s">
        <v>584</v>
      </c>
      <c r="C55" s="15"/>
      <c r="D55" s="24"/>
      <c r="E55" s="26"/>
      <c r="F55" s="16">
        <f>+SUM(F52)/F54</f>
        <v>141552.88799866399</v>
      </c>
      <c r="G55" s="16">
        <f ca="1">+SUM(G52)/G54</f>
        <v>6.0288461538461527E-6</v>
      </c>
      <c r="H55" s="16">
        <f>+SUM(H52)/H54</f>
        <v>0</v>
      </c>
      <c r="I55" s="21"/>
      <c r="J55" s="21"/>
      <c r="K55" s="21"/>
      <c r="L55" s="21"/>
      <c r="M55" s="21"/>
      <c r="N55" s="21"/>
    </row>
    <row r="56" spans="2:19" ht="15.75">
      <c r="B56" s="15" t="s">
        <v>261</v>
      </c>
      <c r="C56" s="15"/>
      <c r="D56" s="24"/>
      <c r="E56" s="77"/>
      <c r="F56" s="88" t="s">
        <v>265</v>
      </c>
      <c r="G56" s="88" t="s">
        <v>265</v>
      </c>
      <c r="H56" s="88" t="s">
        <v>265</v>
      </c>
      <c r="I56" s="21"/>
      <c r="J56" s="21"/>
      <c r="K56" s="21"/>
      <c r="L56" s="21"/>
      <c r="M56" s="21"/>
      <c r="N56" s="21"/>
    </row>
    <row r="57" spans="2:19" ht="15.75">
      <c r="B57" s="15" t="s">
        <v>253</v>
      </c>
      <c r="C57" s="15"/>
      <c r="D57" s="24"/>
      <c r="E57" s="77"/>
      <c r="F57" s="79">
        <f>+Assumptions!N163</f>
        <v>5.5E-2</v>
      </c>
      <c r="G57" s="79">
        <f>+Assumptions!O163</f>
        <v>5.5E-2</v>
      </c>
      <c r="H57" s="79">
        <f>+Assumptions!P163</f>
        <v>5.5E-2</v>
      </c>
      <c r="I57" s="21"/>
      <c r="J57" s="21"/>
      <c r="K57" s="21"/>
      <c r="L57" s="21"/>
      <c r="M57" s="21"/>
      <c r="N57" s="21"/>
    </row>
    <row r="58" spans="2:19" ht="15.75">
      <c r="B58" s="62" t="s">
        <v>585</v>
      </c>
      <c r="C58" s="62"/>
      <c r="D58" s="62"/>
      <c r="E58" s="18">
        <f ca="1">+SUM(F58:H58)</f>
        <v>42640731.262587741</v>
      </c>
      <c r="F58" s="58">
        <f>+F55/F57</f>
        <v>2573688.8727029818</v>
      </c>
      <c r="G58" s="58">
        <f ca="1">+G55/G57</f>
        <v>1.096153846153846E-4</v>
      </c>
      <c r="H58" s="58">
        <f>+H55/H57</f>
        <v>0</v>
      </c>
      <c r="I58" s="21"/>
      <c r="J58" s="21"/>
      <c r="K58" s="21"/>
      <c r="L58" s="21"/>
      <c r="M58" s="21"/>
      <c r="N58" s="21"/>
    </row>
    <row r="59" spans="2:19" ht="15">
      <c r="B59" s="5"/>
      <c r="D59" s="3"/>
      <c r="E59" s="2"/>
      <c r="I59" s="21"/>
      <c r="J59" s="21"/>
      <c r="K59" s="21"/>
      <c r="L59" s="21"/>
      <c r="M59" s="21"/>
      <c r="N59" s="21"/>
    </row>
    <row r="60" spans="2:19" ht="15.75">
      <c r="B60" s="17" t="s">
        <v>586</v>
      </c>
      <c r="C60" s="17"/>
      <c r="D60" s="17"/>
      <c r="E60" s="18">
        <f ca="1">+SUM(F60:H60)</f>
        <v>41574712.981023051</v>
      </c>
      <c r="F60" s="18">
        <f>+MIN(F58,F50)</f>
        <v>2509346.6508854073</v>
      </c>
      <c r="G60" s="18">
        <f ca="1">+MIN(G58,G50)</f>
        <v>1.096153846153846E-4</v>
      </c>
      <c r="H60" s="18">
        <v>1548760</v>
      </c>
      <c r="I60" s="21"/>
      <c r="J60" s="21"/>
      <c r="K60" s="21"/>
      <c r="L60" s="21"/>
      <c r="M60" s="21"/>
      <c r="N60" s="21"/>
    </row>
    <row r="61" spans="2:19" ht="15">
      <c r="B61" s="1"/>
      <c r="D61" s="4"/>
      <c r="I61" s="21"/>
      <c r="J61" s="21"/>
      <c r="K61" s="21"/>
      <c r="L61" s="21"/>
      <c r="M61" s="21"/>
      <c r="N61" s="21"/>
    </row>
    <row r="62" spans="2:19" ht="18.75">
      <c r="B62" s="549" t="s">
        <v>591</v>
      </c>
      <c r="C62" s="549"/>
      <c r="D62" s="549"/>
      <c r="E62" s="550">
        <f ca="1">+SUM(F62:H62)</f>
        <v>67933820.236427009</v>
      </c>
      <c r="F62" s="551">
        <f ca="1">+SUM(F15:F20,F36,F52)</f>
        <v>28846809.083197977</v>
      </c>
      <c r="G62" s="551">
        <f ca="1">+SUM(G15:G20,G36,G52)</f>
        <v>24719701.51475447</v>
      </c>
      <c r="H62" s="551">
        <f>+SUM(H15:H20,H36,H52)</f>
        <v>14367309.638474565</v>
      </c>
      <c r="I62" s="552">
        <f ca="1">+SUM(I5:I61)</f>
        <v>1</v>
      </c>
      <c r="K62" s="552">
        <f ca="1">+SUM(K5:K61)</f>
        <v>1.3565107900030036</v>
      </c>
      <c r="M62" s="552">
        <f>+SUM(M5:M61)</f>
        <v>1</v>
      </c>
    </row>
    <row r="63" spans="2:19" ht="15.95" customHeight="1">
      <c r="B63" s="549" t="s">
        <v>301</v>
      </c>
      <c r="C63" s="549"/>
      <c r="D63" s="549"/>
      <c r="E63" s="550">
        <f ca="1">+SUM(F63:H63)</f>
        <v>1261350528.2729414</v>
      </c>
      <c r="F63" s="551">
        <f ca="1">+SUM(F5:F10,F31,F47)</f>
        <v>462557402.63786024</v>
      </c>
      <c r="G63" s="551">
        <f ca="1">+SUM(G5:G10,G31,G47)</f>
        <v>544560083.01977229</v>
      </c>
      <c r="H63" s="551">
        <f ca="1">+SUM(H5:H10,H31,H47)</f>
        <v>254233042.61530879</v>
      </c>
      <c r="J63" s="552">
        <f ca="1">+SUM(J5:J61)</f>
        <v>1</v>
      </c>
      <c r="L63" s="552">
        <f ca="1">+SUM(L5:L61)</f>
        <v>1.0259262011815011</v>
      </c>
      <c r="N63" s="552">
        <f ca="1">+SUM(N5:N61)</f>
        <v>1</v>
      </c>
    </row>
    <row r="64" spans="2:19" ht="15.95" customHeight="1">
      <c r="B64" s="549" t="s">
        <v>592</v>
      </c>
      <c r="C64" s="549"/>
      <c r="D64" s="549"/>
      <c r="E64" s="550">
        <f ca="1">+SUM(F64:H64)</f>
        <v>715326188.73129845</v>
      </c>
      <c r="F64" s="551">
        <f ca="1">+F60+F44+F28</f>
        <v>303076257.72896558</v>
      </c>
      <c r="G64" s="551">
        <f ca="1">+G60+G44+G28</f>
        <v>218865127.93023604</v>
      </c>
      <c r="H64" s="551">
        <f>+H60+H44+H28</f>
        <v>151643192.16802457</v>
      </c>
    </row>
    <row r="65" spans="2:18" ht="15.95" customHeight="1">
      <c r="B65" s="886" t="s">
        <v>593</v>
      </c>
      <c r="C65" s="886"/>
      <c r="D65" s="886"/>
      <c r="E65" s="886"/>
      <c r="F65" s="886"/>
      <c r="G65" s="886"/>
      <c r="H65" s="886"/>
    </row>
    <row r="66" spans="2:18" ht="15.95" customHeight="1">
      <c r="B66" s="1"/>
      <c r="D66" s="4"/>
    </row>
    <row r="67" spans="2:18" ht="21" customHeight="1" thickBot="1">
      <c r="B67" s="54" t="s">
        <v>594</v>
      </c>
      <c r="C67" s="21"/>
      <c r="D67" s="21"/>
      <c r="E67" s="243" t="s">
        <v>595</v>
      </c>
      <c r="F67" s="243" t="s">
        <v>596</v>
      </c>
      <c r="G67" s="243" t="s">
        <v>281</v>
      </c>
      <c r="H67" s="243" t="s">
        <v>151</v>
      </c>
      <c r="J67" s="885" t="s">
        <v>594</v>
      </c>
      <c r="K67" s="885"/>
      <c r="L67" s="885"/>
      <c r="M67" s="885"/>
      <c r="N67" s="885"/>
      <c r="O67" s="885"/>
      <c r="P67" s="885"/>
      <c r="Q67" s="885"/>
      <c r="R67" s="885"/>
    </row>
    <row r="68" spans="2:18" ht="15.95" customHeight="1">
      <c r="B68" s="21" t="s">
        <v>130</v>
      </c>
      <c r="C68" s="21"/>
      <c r="D68" s="21"/>
      <c r="E68" s="16">
        <f ca="1">-Budget!$M$82</f>
        <v>-73925488.874625638</v>
      </c>
      <c r="F68" s="242">
        <f ca="1">+'S&amp;U'!$Q$20*'Loan Sizing'!E68/'Loan Sizing'!$E$76+G68</f>
        <v>61623108.458404265</v>
      </c>
      <c r="G68" s="16">
        <f>+'S&amp;U'!$G$20</f>
        <v>61258920.314097643</v>
      </c>
      <c r="H68" s="22">
        <f ca="1">+Budget!$G$12</f>
        <v>999680</v>
      </c>
    </row>
    <row r="69" spans="2:18" ht="15.95" customHeight="1">
      <c r="B69" s="21" t="s">
        <v>132</v>
      </c>
      <c r="C69" s="21"/>
      <c r="D69" s="21"/>
      <c r="E69" s="16">
        <f ca="1">-Budget!$N$82</f>
        <v>-329247842.82206494</v>
      </c>
      <c r="F69" s="242">
        <f ca="1">+'S&amp;U'!$Q$20*'Loan Sizing'!E69/'Loan Sizing'!$E$76+G69</f>
        <v>41622013.769806571</v>
      </c>
      <c r="G69" s="16">
        <f>+'S&amp;U'!$G$22</f>
        <v>40000000</v>
      </c>
      <c r="H69" s="22">
        <f ca="1">+Budget!$G$13</f>
        <v>1499520</v>
      </c>
    </row>
    <row r="70" spans="2:18" ht="15.95" customHeight="1">
      <c r="B70" s="21" t="s">
        <v>14</v>
      </c>
      <c r="C70" s="21"/>
      <c r="D70" s="21"/>
      <c r="E70" s="16">
        <f ca="1">-H70*400</f>
        <v>-110812000</v>
      </c>
      <c r="F70" s="242">
        <f ca="1">+(5000000*'Loan Sizing'!E70)/'Loan Sizing'!$E$76+G70</f>
        <v>1622013.7698065734</v>
      </c>
      <c r="G70" s="16">
        <v>0</v>
      </c>
      <c r="H70" s="22">
        <f ca="1">+Budget!$G$14</f>
        <v>277030</v>
      </c>
    </row>
    <row r="71" spans="2:18" ht="15.95" customHeight="1">
      <c r="B71" s="21" t="s">
        <v>16</v>
      </c>
      <c r="C71" s="21"/>
      <c r="D71" s="21"/>
      <c r="E71" s="16">
        <f ca="1">-Budget!$P$82</f>
        <v>-93995968.768870398</v>
      </c>
      <c r="F71" s="242">
        <f ca="1">+'S&amp;U'!$Q$20*'Loan Sizing'!E71/'Loan Sizing'!$E$76+G71</f>
        <v>463063.795172112</v>
      </c>
      <c r="G71" s="16">
        <v>0</v>
      </c>
      <c r="H71" s="22">
        <f ca="1">+Budget!$G$15</f>
        <v>79256</v>
      </c>
    </row>
    <row r="72" spans="2:18" ht="15.95" customHeight="1">
      <c r="B72" s="21" t="s">
        <v>769</v>
      </c>
      <c r="C72" s="21"/>
      <c r="D72" s="21"/>
      <c r="E72" s="16">
        <f ca="1">-Budget!$Q$82</f>
        <v>-36057767.796505988</v>
      </c>
      <c r="F72" s="242">
        <f ca="1">+'S&amp;U'!$Q$20*'Loan Sizing'!E72/'Loan Sizing'!$E$76+G72</f>
        <v>11253635.775510831</v>
      </c>
      <c r="G72" s="16">
        <f>+'S&amp;U'!$G$21</f>
        <v>11076000.000062399</v>
      </c>
      <c r="H72" s="22">
        <f ca="1">+Budget!$G$16</f>
        <v>125425</v>
      </c>
    </row>
    <row r="73" spans="2:18" ht="15.95" customHeight="1">
      <c r="B73" s="21" t="s">
        <v>137</v>
      </c>
      <c r="C73" s="21"/>
      <c r="D73" s="21"/>
      <c r="E73" s="16">
        <f ca="1">-Budget!$R$82</f>
        <v>-295866164.1955111</v>
      </c>
      <c r="F73" s="242">
        <f ca="1">+'S&amp;U'!$Q$20*'Loan Sizing'!E73/'Loan Sizing'!$E$76+G73</f>
        <v>1457561.5385408094</v>
      </c>
      <c r="G73" s="16">
        <v>0</v>
      </c>
      <c r="H73" s="22">
        <f ca="1">+Budget!$G$17</f>
        <v>632937</v>
      </c>
    </row>
    <row r="74" spans="2:18" ht="15.95" customHeight="1">
      <c r="B74" s="21" t="s">
        <v>323</v>
      </c>
      <c r="C74" s="21"/>
      <c r="D74" s="21"/>
      <c r="E74" s="16">
        <f ca="1">-Budget!$S$82</f>
        <v>-42783010.890205331</v>
      </c>
      <c r="F74" s="242">
        <f ca="1">+'S&amp;U'!$Q$20*'Loan Sizing'!E74/'Loan Sizing'!$E$76+G74</f>
        <v>210767.16003026479</v>
      </c>
      <c r="G74" s="16">
        <v>0</v>
      </c>
      <c r="H74" s="22">
        <f ca="1">+Budget!$G$18</f>
        <v>37784</v>
      </c>
    </row>
    <row r="75" spans="2:18" ht="15.95" customHeight="1">
      <c r="B75" s="21" t="s">
        <v>201</v>
      </c>
      <c r="C75" s="21"/>
      <c r="D75" s="21"/>
      <c r="E75" s="16">
        <f ca="1">-Budget!$T$80-Budget!$U$80</f>
        <v>-3594198.9150765343</v>
      </c>
      <c r="F75" s="242">
        <v>257900</v>
      </c>
      <c r="G75" s="16">
        <v>0</v>
      </c>
      <c r="H75" s="22">
        <f ca="1">+Budget!$G$19+Budget!$G$20</f>
        <v>516204</v>
      </c>
    </row>
    <row r="76" spans="2:18" ht="15.95" customHeight="1">
      <c r="B76" s="54" t="s">
        <v>70</v>
      </c>
      <c r="C76" s="21"/>
      <c r="D76" s="21"/>
      <c r="E76" s="16">
        <f ca="1">+SUM(E68:E75)</f>
        <v>-986282442.26285982</v>
      </c>
      <c r="F76" s="16">
        <f ca="1">+SUM(F68:F75)</f>
        <v>207655868.79751432</v>
      </c>
      <c r="G76" s="16">
        <f>+SUM(G68:G75)</f>
        <v>112334920.31416005</v>
      </c>
      <c r="H76" s="21"/>
    </row>
    <row r="77" spans="2:18" ht="15.95" customHeight="1">
      <c r="B77" s="21"/>
      <c r="C77" s="21"/>
      <c r="D77" s="21"/>
      <c r="E77" s="16"/>
      <c r="F77" s="242"/>
      <c r="G77" s="21"/>
      <c r="H77" s="21"/>
    </row>
    <row r="78" spans="2:18" ht="15.95" customHeight="1">
      <c r="B78" s="54"/>
      <c r="C78" s="21"/>
      <c r="D78" s="21"/>
      <c r="E78" s="243" t="s">
        <v>115</v>
      </c>
      <c r="F78" s="243" t="s">
        <v>597</v>
      </c>
      <c r="G78" s="243" t="s">
        <v>598</v>
      </c>
      <c r="H78" s="21"/>
    </row>
    <row r="79" spans="2:18" ht="15.95" customHeight="1">
      <c r="B79" s="21" t="str">
        <f t="shared" ref="B79:B86" si="8">+B68</f>
        <v>Affordable Residential</v>
      </c>
      <c r="C79" s="21"/>
      <c r="D79" s="21"/>
      <c r="E79" s="53">
        <f ca="1">-$E$15/E68</f>
        <v>6.3772463185622658E-2</v>
      </c>
      <c r="F79" s="53">
        <f ca="1">-$E$15/SUM(E68:F68)</f>
        <v>0.16545655114881583</v>
      </c>
      <c r="G79" s="53">
        <f>+Assumptions!M128</f>
        <v>5.7500000000000002E-2</v>
      </c>
      <c r="H79" s="53"/>
    </row>
    <row r="80" spans="2:18" ht="15.95" customHeight="1">
      <c r="B80" s="21" t="str">
        <f t="shared" si="8"/>
        <v>Market Rate Residential</v>
      </c>
      <c r="C80" s="21"/>
      <c r="D80" s="21"/>
      <c r="E80" s="53">
        <f ca="1">-$E$16/E69</f>
        <v>6.8016862565397906E-2</v>
      </c>
      <c r="F80" s="53">
        <f ca="1">-$E$16/SUM(E69:F69)</f>
        <v>7.7859507085899837E-2</v>
      </c>
      <c r="G80" s="53">
        <f>+Assumptions!M129</f>
        <v>5.5E-2</v>
      </c>
      <c r="H80" s="53"/>
    </row>
    <row r="81" spans="2:18" ht="15.95" customHeight="1">
      <c r="B81" s="21" t="str">
        <f t="shared" si="8"/>
        <v>Retail</v>
      </c>
      <c r="C81" s="21"/>
      <c r="D81" s="21"/>
      <c r="E81" s="53">
        <f ca="1">-$E$17/E70</f>
        <v>0.14398834455879175</v>
      </c>
      <c r="F81" s="53">
        <f ca="1">-$E$17/SUM(E70:F70)</f>
        <v>8.9597196651548028E-2</v>
      </c>
      <c r="G81" s="53">
        <f>+Assumptions!M130</f>
        <v>0.06</v>
      </c>
      <c r="H81" s="53"/>
    </row>
    <row r="82" spans="2:18" ht="15.95" customHeight="1">
      <c r="B82" s="21" t="str">
        <f t="shared" si="8"/>
        <v>Hotel</v>
      </c>
      <c r="C82" s="21"/>
      <c r="D82" s="21"/>
      <c r="E82" s="53">
        <f ca="1">-$E$36/E71</f>
        <v>2.0291931683596273E-2</v>
      </c>
      <c r="F82" s="53">
        <f ca="1">-$E$36/SUM(E71:F71)</f>
        <v>2.0392393215283133E-2</v>
      </c>
      <c r="G82" s="53">
        <f>+Assumptions!M131</f>
        <v>6.5000000000000002E-2</v>
      </c>
      <c r="H82" s="53"/>
    </row>
    <row r="83" spans="2:18" ht="15.95" customHeight="1">
      <c r="B83" s="21" t="s">
        <v>769</v>
      </c>
      <c r="C83" s="21"/>
      <c r="D83" s="21"/>
      <c r="E83" s="53">
        <v>0.01</v>
      </c>
      <c r="F83" s="53">
        <f ca="1">-$E$18/SUM(E72:F72)</f>
        <v>7.7992348144355059E-2</v>
      </c>
      <c r="G83" s="53">
        <f>+Assumptions!M132</f>
        <v>6.7500000000000004E-2</v>
      </c>
      <c r="H83" s="53"/>
    </row>
    <row r="84" spans="2:18" ht="15.95" customHeight="1">
      <c r="B84" s="21" t="str">
        <f t="shared" si="8"/>
        <v>Office</v>
      </c>
      <c r="C84" s="21"/>
      <c r="D84" s="21"/>
      <c r="E84" s="53">
        <f ca="1">-$E$19/E73</f>
        <v>8.0522430195818354E-2</v>
      </c>
      <c r="F84" s="53">
        <f ca="1">-$E$19/SUM(E73:F73)</f>
        <v>0.12817464324133387</v>
      </c>
      <c r="G84" s="53">
        <f>+Assumptions!M133</f>
        <v>6.5000000000000002E-2</v>
      </c>
      <c r="H84" s="53"/>
    </row>
    <row r="85" spans="2:18" ht="15.95" customHeight="1">
      <c r="B85" s="21" t="str">
        <f t="shared" si="8"/>
        <v>Light Industrial</v>
      </c>
      <c r="C85" s="21"/>
      <c r="D85" s="21"/>
      <c r="E85" s="53">
        <f ca="1">-$E$52/E74</f>
        <v>6.6961007915969317E-2</v>
      </c>
      <c r="F85" s="53">
        <f ca="1">-$E$52/SUM(E74:F74)</f>
        <v>8.1597070572992217E-2</v>
      </c>
      <c r="G85" s="53">
        <f>+Assumptions!M134</f>
        <v>5.5E-2</v>
      </c>
      <c r="H85" s="53"/>
    </row>
    <row r="86" spans="2:18" ht="15.95" customHeight="1">
      <c r="B86" s="21" t="str">
        <f t="shared" si="8"/>
        <v>Parking</v>
      </c>
      <c r="C86" s="21"/>
      <c r="D86" s="21"/>
      <c r="E86" s="53">
        <f ca="1">-$E$20/E75</f>
        <v>0.86551784910440632</v>
      </c>
      <c r="F86" s="53">
        <f ca="1">-$E$20/SUM(E75:F75)</f>
        <v>0.93242344088915974</v>
      </c>
      <c r="G86" s="53">
        <f>+Assumptions!M135</f>
        <v>6.5000000000000002E-2</v>
      </c>
      <c r="H86" s="53"/>
    </row>
    <row r="87" spans="2:18" ht="15.95" customHeight="1">
      <c r="B87" s="54"/>
      <c r="C87" s="21"/>
      <c r="D87" s="21"/>
      <c r="E87" s="16"/>
      <c r="F87" s="16"/>
      <c r="G87" s="16"/>
      <c r="H87" s="21"/>
    </row>
    <row r="88" spans="2:18" ht="15.95" customHeight="1">
      <c r="B88" s="54"/>
      <c r="C88" s="21"/>
      <c r="D88" s="21"/>
      <c r="E88" s="243" t="s">
        <v>599</v>
      </c>
    </row>
    <row r="89" spans="2:18" ht="15.95" customHeight="1">
      <c r="B89" s="21" t="s">
        <v>111</v>
      </c>
      <c r="C89" s="21"/>
      <c r="D89" s="21"/>
      <c r="E89" s="53">
        <f ca="1">+'Cash Flow Roll-up'!$C$58</f>
        <v>0.13026177012390683</v>
      </c>
    </row>
    <row r="90" spans="2:18" ht="15.95" customHeight="1">
      <c r="B90" s="21" t="s">
        <v>600</v>
      </c>
      <c r="C90" s="21"/>
      <c r="D90" s="21"/>
      <c r="E90" s="53">
        <f ca="1">+'Cash Flow Roll-up'!$D$58</f>
        <v>0.16318184493039323</v>
      </c>
    </row>
    <row r="91" spans="2:18" ht="15.95" customHeight="1">
      <c r="B91" s="21" t="s">
        <v>601</v>
      </c>
      <c r="C91" s="21"/>
      <c r="D91" s="21"/>
      <c r="E91" s="53">
        <f ca="1">+'Cash Flow Roll-up'!$E$58</f>
        <v>0.30439856080056854</v>
      </c>
    </row>
    <row r="96" spans="2:18" ht="15.95" customHeight="1" thickBot="1">
      <c r="B96" s="54" t="s">
        <v>1</v>
      </c>
      <c r="C96" s="21"/>
      <c r="D96" s="21"/>
      <c r="E96" s="243" t="s">
        <v>595</v>
      </c>
      <c r="F96" s="243" t="s">
        <v>596</v>
      </c>
      <c r="G96" s="243" t="s">
        <v>281</v>
      </c>
      <c r="H96" s="243" t="s">
        <v>151</v>
      </c>
      <c r="J96" s="885" t="s">
        <v>1</v>
      </c>
      <c r="K96" s="885"/>
      <c r="L96" s="885"/>
      <c r="M96" s="885"/>
      <c r="N96" s="885"/>
      <c r="O96" s="885"/>
      <c r="P96" s="885"/>
      <c r="Q96" s="885"/>
      <c r="R96" s="885"/>
    </row>
    <row r="97" spans="1:8" ht="15.95" customHeight="1">
      <c r="A97" s="101">
        <v>0</v>
      </c>
      <c r="B97" s="21" t="s">
        <v>130</v>
      </c>
      <c r="C97" s="21"/>
      <c r="D97" s="21"/>
      <c r="E97" s="16">
        <f ca="1">-OFFSET(Budget!$Y$82,0,'Loan Sizing'!A97)</f>
        <v>-97970946.904615223</v>
      </c>
      <c r="F97" s="742">
        <f ca="1">+'S&amp;U'!$R$20*'Loan Sizing'!E97/'Loan Sizing'!$E$105+G97</f>
        <v>6193741.796710751</v>
      </c>
      <c r="G97" s="16">
        <f>+'S&amp;U'!$H$20</f>
        <v>5335733.8687902158</v>
      </c>
      <c r="H97" s="22">
        <f ca="1">+Budget!$H$12</f>
        <v>356081.2</v>
      </c>
    </row>
    <row r="98" spans="1:8" ht="15.95" customHeight="1">
      <c r="A98" s="101">
        <f>+A97+1</f>
        <v>1</v>
      </c>
      <c r="B98" s="21" t="s">
        <v>132</v>
      </c>
      <c r="C98" s="21"/>
      <c r="D98" s="21"/>
      <c r="E98" s="16">
        <f ca="1">-OFFSET(Budget!$Y$82,0,'Loan Sizing'!A98)</f>
        <v>-126384695.23680249</v>
      </c>
      <c r="F98" s="16">
        <f ca="1">+'S&amp;U'!$R$20*'Loan Sizing'!E98/'Loan Sizing'!$E$105+G98</f>
        <v>21106849.264063701</v>
      </c>
      <c r="G98" s="16">
        <f>+'S&amp;U'!$H$22</f>
        <v>20000000</v>
      </c>
      <c r="H98" s="22">
        <f ca="1">+Budget!$H$13</f>
        <v>534121.80000000005</v>
      </c>
    </row>
    <row r="99" spans="1:8" ht="15.95" customHeight="1">
      <c r="A99" s="101">
        <f t="shared" ref="A99:A104" si="9">+A98+1</f>
        <v>2</v>
      </c>
      <c r="B99" s="21" t="s">
        <v>14</v>
      </c>
      <c r="C99" s="21"/>
      <c r="D99" s="21"/>
      <c r="E99" s="16">
        <f ca="1">-OFFSET(Budget!$Y$82,0,'Loan Sizing'!A99)</f>
        <v>-57176038.672037721</v>
      </c>
      <c r="F99" s="16">
        <f ca="1">+'S&amp;U'!$R$20*'Loan Sizing'!E99/'Loan Sizing'!$E$105+G99</f>
        <v>500735.12625597051</v>
      </c>
      <c r="G99" s="16">
        <v>0</v>
      </c>
      <c r="H99" s="22">
        <f ca="1">+Budget!$H$14</f>
        <v>110506</v>
      </c>
    </row>
    <row r="100" spans="1:8" ht="15.95" customHeight="1">
      <c r="A100" s="101">
        <f t="shared" si="9"/>
        <v>3</v>
      </c>
      <c r="B100" s="21" t="s">
        <v>16</v>
      </c>
      <c r="C100" s="21"/>
      <c r="D100" s="21"/>
      <c r="E100" s="16">
        <f ca="1">-OFFSET(Budget!$Y$82,0,'Loan Sizing'!A100)</f>
        <v>-21531654.194427382</v>
      </c>
      <c r="F100" s="16">
        <f ca="1">+'S&amp;U'!$R$20*'Loan Sizing'!E100/'Loan Sizing'!$E$105+G100</f>
        <v>479255.59500040545</v>
      </c>
      <c r="G100" s="16">
        <v>0</v>
      </c>
      <c r="H100" s="22">
        <f ca="1">+Budget!$H$15</f>
        <v>79256</v>
      </c>
    </row>
    <row r="101" spans="1:8" ht="15.95" customHeight="1">
      <c r="A101" s="101">
        <f t="shared" si="9"/>
        <v>4</v>
      </c>
      <c r="B101" s="21" t="s">
        <v>769</v>
      </c>
      <c r="C101" s="21"/>
      <c r="D101" s="21"/>
      <c r="E101" s="16">
        <f ca="1">-OFFSET(Budget!$Y$82,0,'Loan Sizing'!A101)</f>
        <v>-17335013.49341679</v>
      </c>
      <c r="F101" s="16">
        <f ca="1">+'S&amp;U'!$R$20*'Loan Sizing'!E101/'Loan Sizing'!$E$105+G101</f>
        <v>5689816.2218279056</v>
      </c>
      <c r="G101" s="16">
        <f>+'S&amp;U'!$H$21</f>
        <v>5538000</v>
      </c>
      <c r="H101" s="22">
        <f ca="1">+Budget!$H$16</f>
        <v>125425</v>
      </c>
    </row>
    <row r="102" spans="1:8" ht="15.95" customHeight="1">
      <c r="A102" s="101">
        <f t="shared" si="9"/>
        <v>5</v>
      </c>
      <c r="B102" s="21" t="s">
        <v>137</v>
      </c>
      <c r="C102" s="21"/>
      <c r="D102" s="21"/>
      <c r="E102" s="16">
        <f ca="1">-OFFSET(Budget!$Y$82,0,'Loan Sizing'!A102)</f>
        <v>-107381834.21374291</v>
      </c>
      <c r="F102" s="16">
        <f ca="1">+'S&amp;U'!$R$20*'Loan Sizing'!E102/'Loan Sizing'!$E$105+G102</f>
        <v>940426.40171419771</v>
      </c>
      <c r="G102" s="16">
        <v>0</v>
      </c>
      <c r="H102" s="22">
        <f ca="1">+Budget!$H$17</f>
        <v>324177</v>
      </c>
    </row>
    <row r="103" spans="1:8" ht="15.95" customHeight="1">
      <c r="A103" s="101">
        <f t="shared" si="9"/>
        <v>6</v>
      </c>
      <c r="B103" s="21" t="s">
        <v>323</v>
      </c>
      <c r="C103" s="21"/>
      <c r="D103" s="21"/>
      <c r="E103" s="16">
        <f ca="1">-OFFSET(Budget!$Y$82,0,'Loan Sizing'!A103)</f>
        <v>-7030396.0071889963</v>
      </c>
      <c r="F103" s="742">
        <f ca="1">+'S&amp;U'!$R$20*'Loan Sizing'!E103/'Loan Sizing'!$E$105+G103</f>
        <v>61570.656415742713</v>
      </c>
      <c r="G103" s="16">
        <v>0</v>
      </c>
      <c r="H103" s="22">
        <f ca="1">+Budget!$H$18</f>
        <v>37784</v>
      </c>
    </row>
    <row r="104" spans="1:8" ht="15.95" customHeight="1">
      <c r="A104" s="101">
        <f t="shared" si="9"/>
        <v>7</v>
      </c>
      <c r="B104" s="21" t="s">
        <v>201</v>
      </c>
      <c r="C104" s="21"/>
      <c r="D104" s="21"/>
      <c r="E104" s="16">
        <f ca="1">-Budget!$AF$82-Budget!$AG$82</f>
        <v>-32222958.115404807</v>
      </c>
      <c r="F104" s="742">
        <f ca="1">+'S&amp;U'!$R$20*'Loan Sizing'!E104/'Loan Sizing'!$E$105+G104</f>
        <v>282201.55461992638</v>
      </c>
      <c r="G104" s="16">
        <v>0</v>
      </c>
      <c r="H104" s="22">
        <f ca="1">+Budget!$H$19+Budget!$H$20</f>
        <v>254516</v>
      </c>
    </row>
    <row r="105" spans="1:8" ht="15.95" customHeight="1">
      <c r="B105" s="54" t="s">
        <v>70</v>
      </c>
      <c r="C105" s="21"/>
      <c r="D105" s="21"/>
      <c r="E105" s="16">
        <f ca="1">+SUM(E97:E104)</f>
        <v>-399644692.09183216</v>
      </c>
      <c r="F105" s="16">
        <f ca="1">+SUM(F97:F104)</f>
        <v>35254596.616608597</v>
      </c>
      <c r="G105" s="16">
        <f>+SUM(G97:G104)</f>
        <v>30873733.868790217</v>
      </c>
      <c r="H105" s="21"/>
    </row>
    <row r="106" spans="1:8" ht="15.95" customHeight="1">
      <c r="B106" s="21"/>
      <c r="C106" s="21"/>
      <c r="D106" s="21"/>
      <c r="E106" s="16"/>
      <c r="F106" s="242"/>
      <c r="G106" s="21"/>
      <c r="H106" s="21"/>
    </row>
    <row r="107" spans="1:8" ht="15.95" customHeight="1">
      <c r="B107" s="54"/>
      <c r="C107" s="21"/>
      <c r="D107" s="21"/>
      <c r="E107" s="243" t="s">
        <v>115</v>
      </c>
      <c r="F107" s="243" t="s">
        <v>597</v>
      </c>
      <c r="G107" s="243" t="s">
        <v>598</v>
      </c>
      <c r="H107" s="21"/>
    </row>
    <row r="108" spans="1:8" ht="15.95" customHeight="1">
      <c r="B108" s="21" t="str">
        <f t="shared" ref="B108:B115" si="10">+B97</f>
        <v>Affordable Residential</v>
      </c>
      <c r="C108" s="21"/>
      <c r="D108" s="21"/>
      <c r="E108" s="53">
        <f ca="1">-$F$15/E97</f>
        <v>3.9783733067260867E-3</v>
      </c>
      <c r="F108" s="53">
        <f ca="1">-$F$15/SUM(E97:F97)</f>
        <v>4.2468606397606532E-3</v>
      </c>
      <c r="G108" s="53">
        <f>+$G$79</f>
        <v>5.7500000000000002E-2</v>
      </c>
      <c r="H108" s="53"/>
    </row>
    <row r="109" spans="1:8" ht="15.95" customHeight="1">
      <c r="B109" s="21" t="str">
        <f t="shared" si="10"/>
        <v>Market Rate Residential</v>
      </c>
      <c r="C109" s="21"/>
      <c r="D109" s="21"/>
      <c r="E109" s="53">
        <f ca="1">-$F$16/E98</f>
        <v>1.4609756218590817E-2</v>
      </c>
      <c r="F109" s="53">
        <f ca="1">-$F$16/SUM(E98:F98)</f>
        <v>1.7538823767810657E-2</v>
      </c>
      <c r="G109" s="53">
        <f>+$G$80</f>
        <v>5.5E-2</v>
      </c>
      <c r="H109" s="53"/>
    </row>
    <row r="110" spans="1:8" ht="15.95" customHeight="1">
      <c r="B110" s="21" t="str">
        <f t="shared" si="10"/>
        <v>Retail</v>
      </c>
      <c r="C110" s="21"/>
      <c r="D110" s="21"/>
      <c r="E110" s="53">
        <f ca="1">-$F$17/E99</f>
        <v>0.10777273542018873</v>
      </c>
      <c r="F110" s="53">
        <f ca="1">-$F$17/SUM(E99:F99)</f>
        <v>0.10872492430849326</v>
      </c>
      <c r="G110" s="53">
        <f>+$G$81</f>
        <v>0.06</v>
      </c>
      <c r="H110" s="53"/>
    </row>
    <row r="111" spans="1:8" ht="15.95" customHeight="1">
      <c r="B111" s="21" t="str">
        <f t="shared" si="10"/>
        <v>Hotel</v>
      </c>
      <c r="C111" s="21"/>
      <c r="D111" s="21"/>
      <c r="E111" s="53">
        <f ca="1">-$F$36/E100</f>
        <v>8.8583987071695208E-2</v>
      </c>
      <c r="F111" s="53">
        <f ca="1">-$F$36/SUM(E100:F100)</f>
        <v>9.0600592031507665E-2</v>
      </c>
      <c r="G111" s="53">
        <f>+$G$82</f>
        <v>6.5000000000000002E-2</v>
      </c>
      <c r="H111" s="53"/>
    </row>
    <row r="112" spans="1:8" ht="15.95" customHeight="1">
      <c r="B112" s="21" t="s">
        <v>769</v>
      </c>
      <c r="C112" s="21"/>
      <c r="D112" s="21"/>
      <c r="E112" s="53">
        <f ca="1">-$F$18/E101</f>
        <v>6.8735885348604017E-2</v>
      </c>
      <c r="F112" s="53">
        <f ca="1">-$F$18/SUM(E101:F101)</f>
        <v>0.10232007858785076</v>
      </c>
      <c r="G112" s="53">
        <f>+$G$83</f>
        <v>6.7500000000000004E-2</v>
      </c>
      <c r="H112" s="53"/>
    </row>
    <row r="113" spans="1:18" ht="15.95" customHeight="1">
      <c r="B113" s="21" t="str">
        <f t="shared" si="10"/>
        <v>Office</v>
      </c>
      <c r="C113" s="21"/>
      <c r="D113" s="21"/>
      <c r="E113" s="53">
        <f ca="1">-$F$19/E102</f>
        <v>0.14434404788753635</v>
      </c>
      <c r="F113" s="53">
        <f ca="1">-$F$19/SUM(E102:F102)</f>
        <v>0.1456193500124712</v>
      </c>
      <c r="G113" s="53">
        <f>+$G$84</f>
        <v>6.5000000000000002E-2</v>
      </c>
      <c r="H113" s="53"/>
    </row>
    <row r="114" spans="1:18" ht="15.95" customHeight="1">
      <c r="B114" s="21" t="str">
        <f>+B103</f>
        <v>Light Industrial</v>
      </c>
      <c r="C114" s="21"/>
      <c r="D114" s="21"/>
      <c r="E114" s="53">
        <v>0</v>
      </c>
      <c r="F114" s="53">
        <v>0</v>
      </c>
      <c r="G114" s="53">
        <v>0</v>
      </c>
      <c r="H114" s="53"/>
    </row>
    <row r="115" spans="1:18" ht="15.95" customHeight="1">
      <c r="B115" s="21" t="str">
        <f t="shared" si="10"/>
        <v>Parking</v>
      </c>
      <c r="C115" s="21"/>
      <c r="D115" s="21"/>
      <c r="E115" s="53">
        <f ca="1">-$F$20/E104</f>
        <v>5.1693942893015606E-2</v>
      </c>
      <c r="F115" s="53">
        <f ca="1">-$F$20/SUM(E104:F104)</f>
        <v>5.2150666922738599E-2</v>
      </c>
      <c r="G115" s="53">
        <f>+$G$86</f>
        <v>6.5000000000000002E-2</v>
      </c>
      <c r="H115" s="53"/>
    </row>
    <row r="116" spans="1:18" ht="15.95" customHeight="1">
      <c r="B116" s="54"/>
      <c r="C116" s="21"/>
      <c r="D116" s="21"/>
      <c r="E116" s="16"/>
      <c r="F116" s="16"/>
      <c r="G116" s="16"/>
      <c r="H116" s="21"/>
    </row>
    <row r="117" spans="1:18" ht="15.95" customHeight="1">
      <c r="B117" s="54"/>
      <c r="C117" s="21"/>
      <c r="D117" s="21"/>
      <c r="E117" s="243" t="s">
        <v>599</v>
      </c>
    </row>
    <row r="118" spans="1:18" ht="15.95" customHeight="1">
      <c r="B118" s="21" t="s">
        <v>111</v>
      </c>
      <c r="C118" s="21"/>
      <c r="D118" s="21"/>
      <c r="E118" s="53">
        <f ca="1">+'Cash Flow Roll-up'!C55</f>
        <v>0.13222313628872229</v>
      </c>
    </row>
    <row r="119" spans="1:18" ht="15.95" customHeight="1">
      <c r="B119" s="21" t="s">
        <v>600</v>
      </c>
      <c r="C119" s="21"/>
      <c r="D119" s="21"/>
      <c r="E119" s="53">
        <f ca="1">+'Cash Flow Roll-up'!D55</f>
        <v>0.20216207550226173</v>
      </c>
    </row>
    <row r="120" spans="1:18" ht="15.95" customHeight="1">
      <c r="B120" s="21" t="s">
        <v>601</v>
      </c>
      <c r="C120" s="21"/>
      <c r="D120" s="21"/>
      <c r="E120" s="53">
        <f ca="1">+'Cash Flow Roll-up'!E55</f>
        <v>0.29690186695228693</v>
      </c>
    </row>
    <row r="125" spans="1:18" ht="15.95" customHeight="1" thickBot="1">
      <c r="B125" s="54" t="s">
        <v>2</v>
      </c>
      <c r="C125" s="21"/>
      <c r="D125" s="21"/>
      <c r="E125" s="243" t="s">
        <v>595</v>
      </c>
      <c r="F125" s="243" t="s">
        <v>596</v>
      </c>
      <c r="G125" s="243" t="s">
        <v>281</v>
      </c>
      <c r="H125" s="243" t="s">
        <v>151</v>
      </c>
      <c r="J125" s="885" t="s">
        <v>2</v>
      </c>
      <c r="K125" s="885"/>
      <c r="L125" s="885"/>
      <c r="M125" s="885"/>
      <c r="N125" s="885"/>
      <c r="O125" s="885"/>
      <c r="P125" s="885"/>
      <c r="Q125" s="885"/>
      <c r="R125" s="885"/>
    </row>
    <row r="126" spans="1:18" ht="15.95" customHeight="1">
      <c r="A126" s="101">
        <v>0</v>
      </c>
      <c r="B126" s="21" t="s">
        <v>130</v>
      </c>
      <c r="C126" s="21"/>
      <c r="D126" s="21"/>
      <c r="E126" s="16">
        <f ca="1">-OFFSET(Budget!$AJ$82,0,'Loan Sizing'!A126)</f>
        <v>-71251556.454212025</v>
      </c>
      <c r="F126" s="242">
        <f ca="1">+'S&amp;U'!$S$20*'Loan Sizing'!E126/'Loan Sizing'!$E$134+G126</f>
        <v>30999141.328687135</v>
      </c>
      <c r="G126" s="16">
        <f>+'S&amp;U'!$I$20</f>
        <v>30758147.960353643</v>
      </c>
      <c r="H126" s="22">
        <f ca="1">+Budget!$I$12</f>
        <v>299512.80000000005</v>
      </c>
    </row>
    <row r="127" spans="1:18" ht="15.95" customHeight="1">
      <c r="A127" s="101">
        <f>+A126+1</f>
        <v>1</v>
      </c>
      <c r="B127" s="21" t="s">
        <v>132</v>
      </c>
      <c r="C127" s="21"/>
      <c r="D127" s="21"/>
      <c r="E127" s="16">
        <f ca="1">-OFFSET(Budget!$AJ$82,0,'Loan Sizing'!A127)</f>
        <v>-88915177.99947226</v>
      </c>
      <c r="F127" s="16">
        <f ca="1">+'S&amp;U'!$S$20*'Loan Sizing'!E127/'Loan Sizing'!$E$134+G127</f>
        <v>10300736.844335955</v>
      </c>
      <c r="G127" s="16">
        <f>+'S&amp;U'!$I$22</f>
        <v>10000000</v>
      </c>
      <c r="H127" s="22">
        <f ca="1">+Budget!$I$13</f>
        <v>449269.19999999995</v>
      </c>
    </row>
    <row r="128" spans="1:18" ht="15.95" customHeight="1">
      <c r="A128" s="101">
        <f t="shared" ref="A128:A133" si="11">+A127+1</f>
        <v>2</v>
      </c>
      <c r="B128" s="21" t="s">
        <v>14</v>
      </c>
      <c r="C128" s="21"/>
      <c r="D128" s="21"/>
      <c r="E128" s="16">
        <f ca="1">-OFFSET(Budget!$AJ$82,0,'Loan Sizing'!A128)</f>
        <v>-28028712.527985815</v>
      </c>
      <c r="F128" s="16">
        <f ca="1">+'S&amp;U'!$S$20*'Loan Sizing'!E128/'Loan Sizing'!$E$134+G128</f>
        <v>120164.32979414586</v>
      </c>
      <c r="G128" s="16">
        <v>0</v>
      </c>
      <c r="H128" s="22">
        <f ca="1">+Budget!$I$14</f>
        <v>125925</v>
      </c>
    </row>
    <row r="129" spans="1:8" ht="15.95" customHeight="1">
      <c r="A129" s="101">
        <f t="shared" si="11"/>
        <v>3</v>
      </c>
      <c r="B129" s="21" t="s">
        <v>16</v>
      </c>
      <c r="C129" s="21"/>
      <c r="D129" s="21"/>
      <c r="E129" s="16">
        <f ca="1">-OFFSET(Budget!$AJ$82,0,'Loan Sizing'!A129)</f>
        <v>-33290588.70297496</v>
      </c>
      <c r="F129" s="16">
        <f ca="1">+'S&amp;U'!$S$20*'Loan Sizing'!E129/'Loan Sizing'!$E$134+G129</f>
        <v>112598.39790995263</v>
      </c>
      <c r="G129" s="16">
        <v>0</v>
      </c>
      <c r="H129" s="22">
        <f ca="1">+Budget!$I$15</f>
        <v>0</v>
      </c>
    </row>
    <row r="130" spans="1:8" ht="15.95" customHeight="1">
      <c r="A130" s="101">
        <f t="shared" si="11"/>
        <v>4</v>
      </c>
      <c r="B130" s="21" t="s">
        <v>769</v>
      </c>
      <c r="C130" s="21"/>
      <c r="D130" s="21"/>
      <c r="E130" s="16">
        <f ca="1">-OFFSET(Budget!$AJ$82,0,'Loan Sizing'!A130)</f>
        <v>0</v>
      </c>
      <c r="F130" s="16">
        <f ca="1">+'S&amp;U'!$S$20*'Loan Sizing'!E130/'Loan Sizing'!$E$134+G130</f>
        <v>6.2400000000000012E-5</v>
      </c>
      <c r="G130" s="16">
        <f>+'S&amp;U'!$I$21</f>
        <v>6.2400000000000012E-5</v>
      </c>
      <c r="H130" s="22">
        <f ca="1">+Budget!$I$16</f>
        <v>0</v>
      </c>
    </row>
    <row r="131" spans="1:8" ht="15.95" customHeight="1">
      <c r="A131" s="101">
        <f t="shared" si="11"/>
        <v>5</v>
      </c>
      <c r="B131" s="21" t="s">
        <v>137</v>
      </c>
      <c r="C131" s="21"/>
      <c r="D131" s="21"/>
      <c r="E131" s="16">
        <f ca="1">-OFFSET(Budget!$AJ$82,0,'Loan Sizing'!A131)</f>
        <v>-34706428.519706115</v>
      </c>
      <c r="F131" s="16">
        <f ca="1">+'S&amp;U'!$S$20*'Loan Sizing'!E131/'Loan Sizing'!$E$134+G131</f>
        <v>117387.17760031608</v>
      </c>
      <c r="G131" s="16">
        <v>0</v>
      </c>
      <c r="H131" s="22">
        <f ca="1">+Budget!$I$17</f>
        <v>308760</v>
      </c>
    </row>
    <row r="132" spans="1:8" ht="15.95" customHeight="1">
      <c r="A132" s="101">
        <f t="shared" si="11"/>
        <v>6</v>
      </c>
      <c r="B132" s="21" t="s">
        <v>323</v>
      </c>
      <c r="C132" s="21"/>
      <c r="D132" s="21"/>
      <c r="E132" s="16">
        <f ca="1">-OFFSET(Budget!$AJ$82,0,'Loan Sizing'!A132)</f>
        <v>-1.4329080152423967E-5</v>
      </c>
      <c r="F132" s="16">
        <f ca="1">+'S&amp;U'!$S$20*'Loan Sizing'!E132/'Loan Sizing'!$E$134+G132</f>
        <v>4.8465092734814178E-8</v>
      </c>
      <c r="G132" s="16">
        <v>0</v>
      </c>
      <c r="H132" s="22">
        <f ca="1">+Budget!$I$18</f>
        <v>0</v>
      </c>
    </row>
    <row r="133" spans="1:8" ht="15.95" customHeight="1">
      <c r="A133" s="101">
        <f t="shared" si="11"/>
        <v>7</v>
      </c>
      <c r="B133" s="21" t="s">
        <v>201</v>
      </c>
      <c r="C133" s="21"/>
      <c r="D133" s="21"/>
      <c r="E133" s="16">
        <f ca="1">-Budget!AQ82-Budget!AR82</f>
        <v>-11182571.875802973</v>
      </c>
      <c r="F133" s="16">
        <f ca="1">+'S&amp;U'!$S$20*'Loan Sizing'!E133/'Loan Sizing'!$E$134+G133</f>
        <v>31896.172246597966</v>
      </c>
      <c r="G133" s="16">
        <v>0</v>
      </c>
      <c r="H133" s="22">
        <f ca="1">+Budget!$I$19+Budget!$I$20</f>
        <v>143198</v>
      </c>
    </row>
    <row r="134" spans="1:8" ht="15.95" customHeight="1">
      <c r="B134" s="54" t="s">
        <v>70</v>
      </c>
      <c r="C134" s="21"/>
      <c r="D134" s="21"/>
      <c r="E134" s="16">
        <f ca="1">+SUM(E126:E133)</f>
        <v>-221743310.65703633</v>
      </c>
      <c r="F134" s="16">
        <f ca="1">+SUM(F126:F133)</f>
        <v>41681924.250636555</v>
      </c>
      <c r="G134" s="16">
        <f>+SUM(G126:G133)</f>
        <v>40758147.960416041</v>
      </c>
      <c r="H134" s="21"/>
    </row>
    <row r="135" spans="1:8" ht="15.95" customHeight="1">
      <c r="B135" s="21"/>
      <c r="C135" s="21"/>
      <c r="D135" s="21"/>
      <c r="E135" s="16"/>
      <c r="F135" s="242"/>
      <c r="G135" s="21"/>
      <c r="H135" s="21"/>
    </row>
    <row r="136" spans="1:8" ht="15.95" customHeight="1">
      <c r="B136" s="54"/>
      <c r="C136" s="21"/>
      <c r="D136" s="21"/>
      <c r="E136" s="243" t="s">
        <v>115</v>
      </c>
      <c r="F136" s="243" t="s">
        <v>597</v>
      </c>
      <c r="G136" s="243" t="s">
        <v>598</v>
      </c>
      <c r="H136" s="21"/>
    </row>
    <row r="137" spans="1:8" ht="15.95" customHeight="1">
      <c r="B137" s="21" t="str">
        <f t="shared" ref="B137:B144" si="12">+B126</f>
        <v>Affordable Residential</v>
      </c>
      <c r="C137" s="21"/>
      <c r="D137" s="21"/>
      <c r="E137" s="53">
        <f ca="1">-$G$15/E126</f>
        <v>0.11756988000321116</v>
      </c>
      <c r="F137" s="53">
        <f ca="1">-$G$15/SUM(E126:F126)</f>
        <v>0.32748293097883296</v>
      </c>
      <c r="G137" s="53">
        <f>+$G$79</f>
        <v>5.7500000000000002E-2</v>
      </c>
      <c r="H137" s="53"/>
    </row>
    <row r="138" spans="1:8" ht="15.95" customHeight="1">
      <c r="B138" s="21" t="str">
        <f t="shared" si="12"/>
        <v>Market Rate Residential</v>
      </c>
      <c r="C138" s="21"/>
      <c r="D138" s="21"/>
      <c r="E138" s="53">
        <f ca="1">-$G$16/E127</f>
        <v>0.12606605087818307</v>
      </c>
      <c r="F138" s="53">
        <f ca="1">-$G$16/SUM(E127:F127)</f>
        <v>0.1425843037083247</v>
      </c>
      <c r="G138" s="53">
        <f>+$G$80</f>
        <v>5.5E-2</v>
      </c>
      <c r="H138" s="53"/>
    </row>
    <row r="139" spans="1:8" ht="15.95" customHeight="1">
      <c r="B139" s="21" t="str">
        <f t="shared" si="12"/>
        <v>Retail</v>
      </c>
      <c r="C139" s="21"/>
      <c r="D139" s="21"/>
      <c r="E139" s="53">
        <f ca="1">-$G$17/E128</f>
        <v>0.20930337676488819</v>
      </c>
      <c r="F139" s="53">
        <f ca="1">-$G$17/SUM(E128:F128)</f>
        <v>0.26050763863365789</v>
      </c>
      <c r="G139" s="53">
        <f>+$G$81</f>
        <v>0.06</v>
      </c>
      <c r="H139" s="53"/>
    </row>
    <row r="140" spans="1:8" ht="15.95" customHeight="1">
      <c r="B140" s="21" t="str">
        <f t="shared" si="12"/>
        <v>Hotel</v>
      </c>
      <c r="C140" s="21"/>
      <c r="D140" s="21"/>
      <c r="E140" s="53">
        <f ca="1">-$G$36/E129</f>
        <v>0</v>
      </c>
      <c r="F140" s="53">
        <f ca="1">-$G$36/SUM(E129:F129)</f>
        <v>0</v>
      </c>
      <c r="G140" s="53">
        <f>+$G$82</f>
        <v>6.5000000000000002E-2</v>
      </c>
      <c r="H140" s="53"/>
    </row>
    <row r="141" spans="1:8" ht="15.95" customHeight="1">
      <c r="B141" s="21" t="s">
        <v>769</v>
      </c>
      <c r="C141" s="21"/>
      <c r="D141" s="21"/>
      <c r="E141" s="366">
        <v>0</v>
      </c>
      <c r="F141" s="53">
        <v>0</v>
      </c>
      <c r="G141" s="53">
        <v>0</v>
      </c>
      <c r="H141" s="53"/>
    </row>
    <row r="142" spans="1:8" ht="15.95" customHeight="1">
      <c r="B142" s="21" t="str">
        <f t="shared" si="12"/>
        <v>Office</v>
      </c>
      <c r="C142" s="21"/>
      <c r="D142" s="21"/>
      <c r="E142" s="53">
        <f ca="1">-$G$19/E131</f>
        <v>8.0920664766031589E-2</v>
      </c>
      <c r="F142" s="53">
        <f ca="1">-$G$19/SUM(E131:F131)</f>
        <v>0.10071720590797985</v>
      </c>
      <c r="G142" s="53">
        <f>+$G$84</f>
        <v>6.5000000000000002E-2</v>
      </c>
      <c r="H142" s="53"/>
    </row>
    <row r="143" spans="1:8" ht="15.95" customHeight="1">
      <c r="B143" s="21" t="str">
        <f t="shared" si="12"/>
        <v>Light Industrial</v>
      </c>
      <c r="C143" s="21"/>
      <c r="D143" s="21"/>
      <c r="E143" s="53">
        <v>0</v>
      </c>
      <c r="F143" s="53">
        <v>0</v>
      </c>
      <c r="G143" s="53">
        <v>0</v>
      </c>
      <c r="H143" s="53"/>
    </row>
    <row r="144" spans="1:8" ht="15.95" customHeight="1">
      <c r="B144" s="21" t="str">
        <f t="shared" si="12"/>
        <v>Parking</v>
      </c>
      <c r="C144" s="21"/>
      <c r="D144" s="21"/>
      <c r="E144" s="53">
        <f ca="1">-$F$20/E133</f>
        <v>0.17663519155157892</v>
      </c>
      <c r="F144" s="53">
        <f ca="1">-$G$20/SUM(E133:F133)</f>
        <v>9.8901839073602477E-2</v>
      </c>
      <c r="G144" s="53">
        <f>+$G$86</f>
        <v>6.5000000000000002E-2</v>
      </c>
      <c r="H144" s="53"/>
    </row>
    <row r="145" spans="1:20" ht="15.95" customHeight="1">
      <c r="B145" s="54"/>
      <c r="C145" s="21"/>
      <c r="D145" s="21"/>
      <c r="E145" s="16"/>
      <c r="F145" s="16"/>
      <c r="G145" s="16"/>
      <c r="H145" s="21"/>
    </row>
    <row r="146" spans="1:20" ht="15.95" customHeight="1">
      <c r="B146" s="54"/>
      <c r="C146" s="21"/>
      <c r="D146" s="21"/>
      <c r="E146" s="243" t="s">
        <v>599</v>
      </c>
    </row>
    <row r="147" spans="1:20" ht="15.95" customHeight="1">
      <c r="B147" s="21" t="s">
        <v>111</v>
      </c>
      <c r="C147" s="21"/>
      <c r="D147" s="21"/>
      <c r="E147" s="53">
        <f ca="1">+'Cash Flow Roll-up'!C56</f>
        <v>0.13786783674743441</v>
      </c>
    </row>
    <row r="148" spans="1:20" ht="15.95" customHeight="1">
      <c r="B148" s="21" t="s">
        <v>600</v>
      </c>
      <c r="C148" s="21"/>
      <c r="D148" s="21"/>
      <c r="E148" s="53">
        <f ca="1">+'Cash Flow Roll-up'!D56</f>
        <v>0.25394836654862729</v>
      </c>
    </row>
    <row r="149" spans="1:20" ht="15.95" customHeight="1">
      <c r="B149" s="21" t="s">
        <v>601</v>
      </c>
      <c r="C149" s="21"/>
      <c r="D149" s="21"/>
      <c r="E149" s="53">
        <f ca="1">+'Cash Flow Roll-up'!E56</f>
        <v>0.32970544661755119</v>
      </c>
    </row>
    <row r="153" spans="1:20" ht="15.95" customHeight="1">
      <c r="T153" t="s">
        <v>464</v>
      </c>
    </row>
    <row r="154" spans="1:20" ht="15.95" customHeight="1" thickBot="1">
      <c r="B154" s="54" t="s">
        <v>3</v>
      </c>
      <c r="C154" s="21"/>
      <c r="D154" s="21"/>
      <c r="E154" s="243" t="s">
        <v>595</v>
      </c>
      <c r="F154" s="243" t="s">
        <v>596</v>
      </c>
      <c r="G154" s="243" t="s">
        <v>281</v>
      </c>
      <c r="H154" s="243" t="s">
        <v>151</v>
      </c>
      <c r="J154" s="885" t="s">
        <v>3</v>
      </c>
      <c r="K154" s="885"/>
      <c r="L154" s="885"/>
      <c r="M154" s="885"/>
      <c r="N154" s="885"/>
      <c r="O154" s="885"/>
      <c r="P154" s="885"/>
      <c r="Q154" s="885"/>
      <c r="R154" s="885"/>
    </row>
    <row r="155" spans="1:20" ht="15.95" customHeight="1">
      <c r="A155" s="101">
        <v>0</v>
      </c>
      <c r="B155" s="21" t="s">
        <v>130</v>
      </c>
      <c r="C155" s="21"/>
      <c r="D155" s="21"/>
      <c r="E155" s="16">
        <f ca="1">-OFFSET(Budget!$AU$82,0,'Loan Sizing'!A155)</f>
        <v>-89789190.135955662</v>
      </c>
      <c r="F155" s="742">
        <f ca="1">+'S&amp;U'!$T$20*'Loan Sizing'!E155/'Loan Sizing'!$E$163+G155</f>
        <v>25453628.27665665</v>
      </c>
      <c r="G155" s="16">
        <f>+'S&amp;U'!$J$20</f>
        <v>25165038.484953787</v>
      </c>
      <c r="H155" s="22">
        <f ca="1">+Budget!$J$12</f>
        <v>344086</v>
      </c>
    </row>
    <row r="156" spans="1:20" ht="15.95" customHeight="1">
      <c r="A156" s="101">
        <f>+A155+1</f>
        <v>1</v>
      </c>
      <c r="B156" s="21" t="s">
        <v>132</v>
      </c>
      <c r="C156" s="21"/>
      <c r="D156" s="21"/>
      <c r="E156" s="16">
        <f ca="1">-OFFSET(Budget!$AU$82,0,'Loan Sizing'!A156)</f>
        <v>-113993039.9115651</v>
      </c>
      <c r="F156" s="16">
        <f ca="1">+'S&amp;U'!$T$20*'Loan Sizing'!E156/'Loan Sizing'!$E$163+G156</f>
        <v>10217241.373905102</v>
      </c>
      <c r="G156" s="16">
        <f>+'S&amp;U'!$J$22</f>
        <v>10000000</v>
      </c>
      <c r="H156" s="22">
        <f ca="1">+Budget!$J$13</f>
        <v>516129</v>
      </c>
    </row>
    <row r="157" spans="1:20" ht="15.95" customHeight="1">
      <c r="A157" s="101">
        <f t="shared" ref="A157:A162" si="13">+A156+1</f>
        <v>2</v>
      </c>
      <c r="B157" s="21" t="s">
        <v>14</v>
      </c>
      <c r="C157" s="21"/>
      <c r="D157" s="21"/>
      <c r="E157" s="16">
        <f ca="1">-OFFSET(Budget!$AU$82,0,'Loan Sizing'!A157)</f>
        <v>-12252558.431344977</v>
      </c>
      <c r="F157" s="742">
        <f ca="1">+'S&amp;U'!$T$20*'Loan Sizing'!E157/'Loan Sizing'!$E$163+G157</f>
        <v>39380.723672581917</v>
      </c>
      <c r="G157" s="16">
        <v>0</v>
      </c>
      <c r="H157" s="22">
        <f ca="1">+Budget!$J$14</f>
        <v>40599</v>
      </c>
    </row>
    <row r="158" spans="1:20" ht="15.95" customHeight="1">
      <c r="A158" s="101">
        <f t="shared" si="13"/>
        <v>3</v>
      </c>
      <c r="B158" s="21" t="s">
        <v>16</v>
      </c>
      <c r="C158" s="21"/>
      <c r="D158" s="21"/>
      <c r="E158" s="16">
        <f ca="1">-OFFSET(Budget!$AU$82,0,'Loan Sizing'!A158)</f>
        <v>-6142677.4854149157</v>
      </c>
      <c r="F158" s="16">
        <f ca="1">+'S&amp;U'!$T$20*'Loan Sizing'!E158/'Loan Sizing'!$E$163+G158</f>
        <v>11706.361172776174</v>
      </c>
      <c r="G158" s="16">
        <v>0</v>
      </c>
      <c r="H158" s="22">
        <f ca="1">+Budget!$J$15</f>
        <v>0</v>
      </c>
    </row>
    <row r="159" spans="1:20" ht="15.95" customHeight="1">
      <c r="A159" s="101">
        <f t="shared" si="13"/>
        <v>4</v>
      </c>
      <c r="B159" s="21" t="s">
        <v>769</v>
      </c>
      <c r="C159" s="21"/>
      <c r="D159" s="21"/>
      <c r="E159" s="16">
        <f ca="1">-OFFSET(Budget!$AU$82,0,'Loan Sizing'!A159)</f>
        <v>0</v>
      </c>
      <c r="F159" s="16">
        <f ca="1">+'S&amp;U'!$T$20*'Loan Sizing'!E159/'Loan Sizing'!$E$163+G159</f>
        <v>5573644.4737269646</v>
      </c>
      <c r="G159" s="16">
        <f>+'S&amp;U'!$J$21</f>
        <v>5538000</v>
      </c>
      <c r="H159" s="22">
        <f ca="1">+Budget!$J$16</f>
        <v>0</v>
      </c>
    </row>
    <row r="160" spans="1:20" ht="15.95" customHeight="1">
      <c r="A160" s="101">
        <f t="shared" si="13"/>
        <v>5</v>
      </c>
      <c r="B160" s="21" t="s">
        <v>137</v>
      </c>
      <c r="C160" s="21"/>
      <c r="D160" s="21"/>
      <c r="E160" s="16">
        <f ca="1">-OFFSET(Budget!$AU$82,0,'Loan Sizing'!A160)</f>
        <v>0</v>
      </c>
      <c r="F160" s="16">
        <f ca="1">+'S&amp;U'!$T$20*'Loan Sizing'!E160/'Loan Sizing'!$E$163+G160</f>
        <v>292746.51001738041</v>
      </c>
      <c r="G160" s="16">
        <v>0</v>
      </c>
      <c r="H160" s="22">
        <f ca="1">+Budget!$J$17</f>
        <v>0</v>
      </c>
    </row>
    <row r="161" spans="1:8" ht="15.95" customHeight="1">
      <c r="A161" s="101">
        <f t="shared" si="13"/>
        <v>6</v>
      </c>
      <c r="B161" s="21" t="s">
        <v>18</v>
      </c>
      <c r="C161" s="21"/>
      <c r="D161" s="21"/>
      <c r="E161" s="16">
        <f ca="1">-OFFSET(Budget!$AU$82,0,'Loan Sizing'!A161)</f>
        <v>0</v>
      </c>
      <c r="F161" s="16">
        <f ca="1">+'S&amp;U'!$T$20*'Loan Sizing'!E161/'Loan Sizing'!$E$163+G161</f>
        <v>81316.718210222476</v>
      </c>
      <c r="G161" s="16">
        <v>0</v>
      </c>
      <c r="H161" s="22">
        <f ca="1">+Budget!$J$18</f>
        <v>0</v>
      </c>
    </row>
    <row r="162" spans="1:8" ht="15.95" customHeight="1">
      <c r="A162" s="101">
        <f t="shared" si="13"/>
        <v>7</v>
      </c>
      <c r="B162" s="21" t="s">
        <v>201</v>
      </c>
      <c r="C162" s="21"/>
      <c r="D162" s="21"/>
      <c r="E162" s="16">
        <f ca="1">-Budget!BB82-Budget!BC82</f>
        <v>-11170679.18183534</v>
      </c>
      <c r="F162" s="16">
        <f ca="1">+'S&amp;U'!$T$20*'Loan Sizing'!E162/'Loan Sizing'!$E$163+G162</f>
        <v>25469.829628261028</v>
      </c>
      <c r="G162" s="16">
        <v>0</v>
      </c>
      <c r="H162" s="22">
        <f ca="1">+Budget!$J$19+Budget!$J$20</f>
        <v>118490</v>
      </c>
    </row>
    <row r="163" spans="1:8" ht="15.95" customHeight="1">
      <c r="B163" s="54" t="s">
        <v>70</v>
      </c>
      <c r="C163" s="21"/>
      <c r="D163" s="21"/>
      <c r="E163" s="16">
        <f ca="1">+SUM(E155:E162)</f>
        <v>-233348145.14611602</v>
      </c>
      <c r="F163" s="16">
        <f ca="1">+SUM(F155:F162)</f>
        <v>41695134.266989931</v>
      </c>
      <c r="G163" s="16">
        <f>+SUM(G155:G162)</f>
        <v>40703038.484953791</v>
      </c>
      <c r="H163" s="21"/>
    </row>
    <row r="164" spans="1:8" ht="15.95" customHeight="1">
      <c r="B164" s="21"/>
      <c r="C164" s="21"/>
      <c r="D164" s="21"/>
      <c r="E164" s="16"/>
      <c r="F164" s="242"/>
      <c r="G164" s="21"/>
      <c r="H164" s="21"/>
    </row>
    <row r="165" spans="1:8" ht="15.95" customHeight="1">
      <c r="B165" s="54"/>
      <c r="C165" s="21"/>
      <c r="D165" s="21"/>
      <c r="E165" s="243" t="s">
        <v>115</v>
      </c>
      <c r="F165" s="243" t="s">
        <v>597</v>
      </c>
      <c r="G165" s="243" t="s">
        <v>598</v>
      </c>
      <c r="H165" s="21"/>
    </row>
    <row r="166" spans="1:8" ht="15.95" customHeight="1">
      <c r="B166" s="21" t="str">
        <f t="shared" ref="B166:B173" si="14">+B155</f>
        <v>Affordable Residential</v>
      </c>
      <c r="C166" s="21"/>
      <c r="D166" s="21"/>
      <c r="E166" s="53">
        <f ca="1">-$H$15/E155</f>
        <v>2.214241945363234E-2</v>
      </c>
      <c r="F166" s="53">
        <f ca="1">-$H$15/SUM(E155:F155)</f>
        <v>3.0902814134744546E-2</v>
      </c>
      <c r="G166" s="53">
        <f>+$G$79</f>
        <v>5.7500000000000002E-2</v>
      </c>
      <c r="H166" s="53"/>
    </row>
    <row r="167" spans="1:8" ht="15.95" customHeight="1">
      <c r="B167" s="21" t="str">
        <f t="shared" si="14"/>
        <v>Market Rate Residential</v>
      </c>
      <c r="C167" s="21"/>
      <c r="D167" s="21"/>
      <c r="E167" s="53">
        <f ca="1">-$H$16/E156</f>
        <v>8.1924039763588322E-2</v>
      </c>
      <c r="F167" s="53">
        <f ca="1">-$H$16/SUM(E156:F156)</f>
        <v>8.9989867253089384E-2</v>
      </c>
      <c r="G167" s="53">
        <f>+$G$80</f>
        <v>5.5E-2</v>
      </c>
      <c r="H167" s="53"/>
    </row>
    <row r="168" spans="1:8" ht="15.95" customHeight="1">
      <c r="B168" s="21" t="str">
        <f t="shared" si="14"/>
        <v>Retail</v>
      </c>
      <c r="C168" s="21"/>
      <c r="D168" s="21"/>
      <c r="E168" s="53">
        <f ca="1">-$H$17/E157</f>
        <v>0.19642198515978962</v>
      </c>
      <c r="F168" s="53">
        <f ca="1">-$H$17/SUM(E157:F157)</f>
        <v>0.19705533711011278</v>
      </c>
      <c r="G168" s="53">
        <f>+$G$81</f>
        <v>0.06</v>
      </c>
      <c r="H168" s="53"/>
    </row>
    <row r="169" spans="1:8" ht="15.95" customHeight="1">
      <c r="B169" s="21" t="str">
        <f t="shared" si="14"/>
        <v>Hotel</v>
      </c>
      <c r="C169" s="21"/>
      <c r="D169" s="21"/>
      <c r="E169" s="53">
        <f ca="1">-$H$36/E158</f>
        <v>0</v>
      </c>
      <c r="F169" s="53">
        <f ca="1">-$H$36/SUM(E158:F158)</f>
        <v>0</v>
      </c>
      <c r="G169" s="53">
        <f>+$G$82</f>
        <v>6.5000000000000002E-2</v>
      </c>
      <c r="H169" s="53"/>
    </row>
    <row r="170" spans="1:8" ht="15.95" customHeight="1">
      <c r="B170" s="21" t="s">
        <v>769</v>
      </c>
      <c r="C170" s="21"/>
      <c r="D170" s="21"/>
      <c r="E170" s="53">
        <f ca="1">-$H$18/E159</f>
        <v>3.9724449693898788E-2</v>
      </c>
      <c r="F170" s="53">
        <f ca="1">-$H$18/SUM(E159:F159)</f>
        <v>0</v>
      </c>
      <c r="G170" s="53">
        <f>+$G$83</f>
        <v>6.7500000000000004E-2</v>
      </c>
      <c r="H170" s="53"/>
    </row>
    <row r="171" spans="1:8" ht="15.95" customHeight="1">
      <c r="B171" s="21" t="str">
        <f t="shared" si="14"/>
        <v>Office</v>
      </c>
      <c r="C171" s="21"/>
      <c r="D171" s="21"/>
      <c r="E171" s="53">
        <f ca="1">-$H$19/E160</f>
        <v>8.3404355286620144E-2</v>
      </c>
      <c r="F171" s="53">
        <f ca="1">-$H$19/SUM(E160:F160)</f>
        <v>0</v>
      </c>
      <c r="G171" s="53">
        <f>+$G$84</f>
        <v>6.5000000000000002E-2</v>
      </c>
      <c r="H171" s="53"/>
    </row>
    <row r="172" spans="1:8" ht="15.95" customHeight="1">
      <c r="B172" s="21" t="str">
        <f t="shared" si="14"/>
        <v>Industrial</v>
      </c>
      <c r="C172" s="21"/>
      <c r="D172" s="21"/>
      <c r="E172" s="53">
        <f ca="1">-$H$52/E161</f>
        <v>6.7139436155090992E-2</v>
      </c>
      <c r="F172" s="53">
        <f ca="1">-$H$52/SUM(E161:F161)</f>
        <v>0</v>
      </c>
      <c r="G172" s="53">
        <f>+$G$85</f>
        <v>5.5E-2</v>
      </c>
      <c r="H172" s="53"/>
    </row>
    <row r="173" spans="1:8" ht="15.95" customHeight="1">
      <c r="B173" s="21" t="str">
        <f t="shared" si="14"/>
        <v>Parking</v>
      </c>
      <c r="C173" s="21"/>
      <c r="D173" s="21"/>
      <c r="E173" s="53">
        <f ca="1">-$H$20/E162</f>
        <v>5.6730439833444481E-2</v>
      </c>
      <c r="F173" s="53">
        <f ca="1">-$H$20/SUM(E162:F162)</f>
        <v>5.6860084292479074E-2</v>
      </c>
      <c r="G173" s="53">
        <f>+$G$86</f>
        <v>6.5000000000000002E-2</v>
      </c>
      <c r="H173" s="53"/>
    </row>
    <row r="174" spans="1:8" ht="15.95" customHeight="1">
      <c r="B174" s="54"/>
      <c r="C174" s="21"/>
      <c r="D174" s="21"/>
      <c r="E174" s="16"/>
      <c r="F174" s="16"/>
      <c r="G174" s="16"/>
      <c r="H174" s="21"/>
    </row>
    <row r="175" spans="1:8" ht="15.95" customHeight="1">
      <c r="B175" s="54"/>
      <c r="C175" s="21"/>
      <c r="D175" s="21"/>
      <c r="E175" s="243" t="s">
        <v>599</v>
      </c>
    </row>
    <row r="176" spans="1:8" ht="15.95" customHeight="1">
      <c r="B176" s="21" t="s">
        <v>111</v>
      </c>
      <c r="C176" s="21"/>
      <c r="D176" s="21"/>
      <c r="E176" s="53">
        <f ca="1">+'Cash Flow Roll-up'!C57</f>
        <v>0.14871588484395204</v>
      </c>
    </row>
    <row r="177" spans="2:5" ht="15.95" customHeight="1">
      <c r="B177" s="21" t="s">
        <v>600</v>
      </c>
      <c r="C177" s="21"/>
      <c r="D177" s="21"/>
      <c r="E177" s="53">
        <v>0.23400000000000001</v>
      </c>
    </row>
    <row r="178" spans="2:5" ht="15.95" customHeight="1">
      <c r="B178" s="21" t="s">
        <v>601</v>
      </c>
      <c r="C178" s="21"/>
      <c r="D178" s="21"/>
      <c r="E178" s="53">
        <v>0.32</v>
      </c>
    </row>
  </sheetData>
  <mergeCells count="8">
    <mergeCell ref="J96:R96"/>
    <mergeCell ref="J125:R125"/>
    <mergeCell ref="J154:R154"/>
    <mergeCell ref="B65:H65"/>
    <mergeCell ref="I3:J3"/>
    <mergeCell ref="K3:L3"/>
    <mergeCell ref="M3:N3"/>
    <mergeCell ref="J67:R67"/>
  </mergeCells>
  <pageMargins left="0.7" right="0.7" top="0.75" bottom="0.75" header="0.3" footer="0.3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B050"/>
  </sheetPr>
  <dimension ref="A2:Z434"/>
  <sheetViews>
    <sheetView showGridLines="0" topLeftCell="A172" zoomScaleNormal="100" workbookViewId="0">
      <selection activeCell="G39" sqref="G39"/>
    </sheetView>
  </sheetViews>
  <sheetFormatPr defaultColWidth="14.42578125" defaultRowHeight="15"/>
  <cols>
    <col min="1" max="1" width="8.5703125" style="21" bestFit="1" customWidth="1"/>
    <col min="2" max="2" width="78.140625" style="21" bestFit="1" customWidth="1"/>
    <col min="3" max="3" width="1.85546875" style="21" bestFit="1" customWidth="1"/>
    <col min="4" max="4" width="18.140625" style="21" bestFit="1" customWidth="1"/>
    <col min="5" max="5" width="3.42578125" style="21" bestFit="1" customWidth="1"/>
    <col min="6" max="6" width="15.5703125" style="21" bestFit="1" customWidth="1"/>
    <col min="7" max="7" width="16.85546875" style="21" bestFit="1" customWidth="1"/>
    <col min="8" max="26" width="16.140625" style="21" bestFit="1" customWidth="1"/>
    <col min="27" max="16384" width="14.42578125" style="21"/>
  </cols>
  <sheetData>
    <row r="2" spans="1:26">
      <c r="B2" s="71" t="s">
        <v>602</v>
      </c>
      <c r="C2" s="71"/>
      <c r="E2" s="71">
        <v>0</v>
      </c>
      <c r="F2" s="72">
        <v>0</v>
      </c>
      <c r="G2" s="72">
        <v>0</v>
      </c>
      <c r="H2" s="72">
        <v>0</v>
      </c>
      <c r="I2" s="72">
        <v>1</v>
      </c>
      <c r="J2" s="72">
        <v>2</v>
      </c>
      <c r="K2" s="72">
        <v>3</v>
      </c>
      <c r="L2" s="72">
        <v>4</v>
      </c>
      <c r="M2" s="72">
        <v>5</v>
      </c>
      <c r="N2" s="72">
        <v>6</v>
      </c>
      <c r="O2" s="72">
        <v>7</v>
      </c>
      <c r="P2" s="72">
        <v>8</v>
      </c>
      <c r="Q2" s="72">
        <v>9</v>
      </c>
      <c r="R2" s="72">
        <v>10</v>
      </c>
      <c r="S2" s="72">
        <v>11</v>
      </c>
      <c r="T2" s="72">
        <v>12</v>
      </c>
      <c r="U2" s="72">
        <v>13</v>
      </c>
      <c r="V2" s="72">
        <v>14</v>
      </c>
      <c r="W2" s="72">
        <v>15</v>
      </c>
      <c r="X2" s="72">
        <v>16</v>
      </c>
      <c r="Y2" s="72">
        <v>17</v>
      </c>
      <c r="Z2" s="72">
        <v>18</v>
      </c>
    </row>
    <row r="3" spans="1:26">
      <c r="B3" s="71" t="s">
        <v>603</v>
      </c>
      <c r="C3" s="71"/>
      <c r="F3" s="72">
        <v>0</v>
      </c>
      <c r="G3" s="72">
        <v>0</v>
      </c>
      <c r="H3" s="72">
        <v>0</v>
      </c>
      <c r="I3" s="72">
        <v>0</v>
      </c>
      <c r="J3" s="72">
        <v>0</v>
      </c>
      <c r="K3" s="72">
        <v>1</v>
      </c>
      <c r="L3" s="72">
        <v>2</v>
      </c>
      <c r="M3" s="72">
        <v>3</v>
      </c>
      <c r="N3" s="72">
        <v>4</v>
      </c>
      <c r="O3" s="72">
        <v>5</v>
      </c>
      <c r="P3" s="72">
        <v>6</v>
      </c>
      <c r="Q3" s="72">
        <v>7</v>
      </c>
      <c r="R3" s="72">
        <v>8</v>
      </c>
      <c r="S3" s="72">
        <v>9</v>
      </c>
      <c r="T3" s="72">
        <v>10</v>
      </c>
      <c r="U3" s="72">
        <v>11</v>
      </c>
      <c r="V3" s="72">
        <v>12</v>
      </c>
      <c r="W3" s="72">
        <v>13</v>
      </c>
      <c r="X3" s="72">
        <v>14</v>
      </c>
      <c r="Y3" s="72">
        <v>15</v>
      </c>
      <c r="Z3" s="72">
        <v>16</v>
      </c>
    </row>
    <row r="4" spans="1:26">
      <c r="F4" s="22"/>
      <c r="G4" s="22"/>
      <c r="H4" s="22"/>
      <c r="I4" s="22"/>
      <c r="J4" s="22"/>
      <c r="K4" s="22"/>
      <c r="L4" s="22"/>
      <c r="M4" s="22"/>
      <c r="N4" s="22"/>
    </row>
    <row r="5" spans="1:26" ht="15.75">
      <c r="B5" s="648" t="s">
        <v>604</v>
      </c>
      <c r="C5" s="648"/>
      <c r="D5" s="649"/>
      <c r="E5" s="649"/>
      <c r="F5" s="650"/>
      <c r="G5" s="650"/>
      <c r="H5" s="650"/>
      <c r="I5" s="650"/>
      <c r="J5" s="650"/>
      <c r="K5" s="650"/>
      <c r="L5" s="650"/>
      <c r="M5" s="650"/>
      <c r="N5" s="650"/>
      <c r="O5" s="650"/>
      <c r="P5" s="650"/>
      <c r="Q5" s="650"/>
      <c r="R5" s="650"/>
      <c r="S5" s="650"/>
      <c r="T5" s="650"/>
      <c r="U5" s="650"/>
      <c r="V5" s="650"/>
      <c r="W5" s="650"/>
      <c r="X5" s="650"/>
      <c r="Y5" s="650"/>
      <c r="Z5" s="650"/>
    </row>
    <row r="6" spans="1:26" ht="15.75">
      <c r="B6" s="54"/>
      <c r="F6" s="651">
        <v>2021</v>
      </c>
      <c r="G6" s="651">
        <v>2022</v>
      </c>
      <c r="H6" s="651">
        <v>2023</v>
      </c>
      <c r="I6" s="651">
        <v>2024</v>
      </c>
      <c r="J6" s="651">
        <v>2025</v>
      </c>
      <c r="K6" s="651">
        <v>2026</v>
      </c>
      <c r="L6" s="651">
        <v>2027</v>
      </c>
      <c r="M6" s="651">
        <v>2028</v>
      </c>
      <c r="N6" s="651">
        <v>2029</v>
      </c>
      <c r="O6" s="651">
        <v>2030</v>
      </c>
      <c r="P6" s="651">
        <v>2031</v>
      </c>
      <c r="Q6" s="651">
        <v>2032</v>
      </c>
      <c r="R6" s="651">
        <v>2033</v>
      </c>
      <c r="S6" s="651">
        <v>2034</v>
      </c>
      <c r="T6" s="651">
        <v>2035</v>
      </c>
      <c r="U6" s="651">
        <v>2036</v>
      </c>
      <c r="V6" s="651">
        <v>2037</v>
      </c>
      <c r="W6" s="651">
        <v>2038</v>
      </c>
      <c r="X6" s="651">
        <v>2039</v>
      </c>
      <c r="Y6" s="651">
        <v>2040</v>
      </c>
      <c r="Z6" s="651">
        <v>2041</v>
      </c>
    </row>
    <row r="7" spans="1:26" s="15" customFormat="1" ht="15.75">
      <c r="B7" s="731" t="s">
        <v>130</v>
      </c>
      <c r="C7" s="731"/>
      <c r="D7" s="732"/>
      <c r="E7" s="732"/>
      <c r="F7" s="733">
        <v>44561</v>
      </c>
      <c r="G7" s="733">
        <v>44926</v>
      </c>
      <c r="H7" s="733">
        <v>45291</v>
      </c>
      <c r="I7" s="733">
        <v>45657</v>
      </c>
      <c r="J7" s="733">
        <v>46022</v>
      </c>
      <c r="K7" s="733">
        <v>46387</v>
      </c>
      <c r="L7" s="733">
        <v>46752</v>
      </c>
      <c r="M7" s="733">
        <v>47118</v>
      </c>
      <c r="N7" s="733">
        <v>47483</v>
      </c>
      <c r="O7" s="733">
        <v>11323</v>
      </c>
      <c r="P7" s="733">
        <v>11688</v>
      </c>
      <c r="Q7" s="733">
        <v>12054</v>
      </c>
      <c r="R7" s="733">
        <v>12419</v>
      </c>
      <c r="S7" s="733">
        <v>12784</v>
      </c>
      <c r="T7" s="733">
        <v>13149</v>
      </c>
      <c r="U7" s="733">
        <v>13515</v>
      </c>
      <c r="V7" s="733">
        <v>13880</v>
      </c>
      <c r="W7" s="733">
        <v>14245</v>
      </c>
      <c r="X7" s="733">
        <v>14610</v>
      </c>
      <c r="Y7" s="733">
        <v>14976</v>
      </c>
      <c r="Z7" s="733">
        <v>15341</v>
      </c>
    </row>
    <row r="8" spans="1:26" s="15" customFormat="1">
      <c r="A8" s="8" t="b">
        <v>1</v>
      </c>
      <c r="B8" s="15" t="s">
        <v>605</v>
      </c>
      <c r="D8" s="7"/>
      <c r="E8" s="7"/>
      <c r="F8" s="715">
        <v>0</v>
      </c>
      <c r="G8" s="715">
        <v>0</v>
      </c>
      <c r="H8" s="715">
        <v>0</v>
      </c>
      <c r="I8" s="715">
        <v>22026</v>
      </c>
      <c r="J8" s="715">
        <v>22026</v>
      </c>
      <c r="K8" s="715">
        <v>0</v>
      </c>
      <c r="L8" s="715">
        <v>0</v>
      </c>
      <c r="M8" s="715">
        <v>0</v>
      </c>
      <c r="N8" s="715">
        <v>0</v>
      </c>
      <c r="O8" s="715">
        <v>0</v>
      </c>
      <c r="P8" s="715">
        <v>0</v>
      </c>
      <c r="Q8" s="715">
        <v>0</v>
      </c>
      <c r="R8" s="715">
        <v>0</v>
      </c>
      <c r="S8" s="715">
        <v>0</v>
      </c>
      <c r="T8" s="715">
        <v>0</v>
      </c>
      <c r="U8" s="715">
        <v>0</v>
      </c>
      <c r="V8" s="715">
        <v>0</v>
      </c>
      <c r="W8" s="715">
        <v>0</v>
      </c>
      <c r="X8" s="715">
        <v>0</v>
      </c>
      <c r="Y8" s="715">
        <v>0</v>
      </c>
      <c r="Z8" s="715">
        <v>0</v>
      </c>
    </row>
    <row r="9" spans="1:26" s="15" customFormat="1">
      <c r="B9" s="15" t="s">
        <v>606</v>
      </c>
      <c r="D9" s="715">
        <v>0</v>
      </c>
      <c r="E9" s="715"/>
      <c r="F9" s="715">
        <v>0</v>
      </c>
      <c r="G9" s="715">
        <v>0</v>
      </c>
      <c r="H9" s="715">
        <v>0</v>
      </c>
      <c r="I9" s="715">
        <v>22026</v>
      </c>
      <c r="J9" s="715">
        <v>44052</v>
      </c>
      <c r="K9" s="715">
        <v>44052</v>
      </c>
      <c r="L9" s="715">
        <v>44052</v>
      </c>
      <c r="M9" s="715">
        <v>44052</v>
      </c>
      <c r="N9" s="715">
        <v>44052</v>
      </c>
      <c r="O9" s="715">
        <v>44052</v>
      </c>
      <c r="P9" s="715">
        <v>44052</v>
      </c>
      <c r="Q9" s="715">
        <v>44052</v>
      </c>
      <c r="R9" s="715">
        <v>44052</v>
      </c>
      <c r="S9" s="715">
        <v>44052</v>
      </c>
      <c r="T9" s="715">
        <v>44052</v>
      </c>
      <c r="U9" s="715">
        <v>44052</v>
      </c>
      <c r="V9" s="715">
        <v>44052</v>
      </c>
      <c r="W9" s="715">
        <v>44052</v>
      </c>
      <c r="X9" s="715">
        <v>44052</v>
      </c>
      <c r="Y9" s="715">
        <v>44052</v>
      </c>
      <c r="Z9" s="715">
        <v>44052</v>
      </c>
    </row>
    <row r="10" spans="1:26" s="15" customFormat="1">
      <c r="B10" s="15" t="s">
        <v>607</v>
      </c>
      <c r="D10" s="715"/>
      <c r="E10" s="715"/>
      <c r="F10" s="715">
        <v>0</v>
      </c>
      <c r="G10" s="715">
        <v>0</v>
      </c>
      <c r="H10" s="715">
        <v>0</v>
      </c>
      <c r="I10" s="715">
        <v>31</v>
      </c>
      <c r="J10" s="715">
        <v>31</v>
      </c>
      <c r="K10" s="734">
        <v>0</v>
      </c>
      <c r="L10" s="715">
        <v>0</v>
      </c>
      <c r="M10" s="715">
        <v>0</v>
      </c>
      <c r="N10" s="715">
        <v>0</v>
      </c>
      <c r="O10" s="715">
        <v>0</v>
      </c>
      <c r="P10" s="715">
        <v>0</v>
      </c>
      <c r="Q10" s="715">
        <v>0</v>
      </c>
      <c r="R10" s="715">
        <v>0</v>
      </c>
      <c r="S10" s="715">
        <v>0</v>
      </c>
      <c r="T10" s="715">
        <v>0</v>
      </c>
      <c r="U10" s="715">
        <v>0</v>
      </c>
      <c r="V10" s="715">
        <v>0</v>
      </c>
      <c r="W10" s="715">
        <v>0</v>
      </c>
      <c r="X10" s="715">
        <v>0</v>
      </c>
      <c r="Y10" s="715">
        <v>0</v>
      </c>
      <c r="Z10" s="715">
        <v>0</v>
      </c>
    </row>
    <row r="11" spans="1:26" s="15" customFormat="1">
      <c r="B11" s="15" t="s">
        <v>608</v>
      </c>
      <c r="D11" s="715"/>
      <c r="E11" s="715"/>
      <c r="F11" s="715">
        <v>0</v>
      </c>
      <c r="G11" s="715">
        <v>0</v>
      </c>
      <c r="H11" s="715">
        <v>0</v>
      </c>
      <c r="I11" s="715">
        <v>31</v>
      </c>
      <c r="J11" s="715">
        <v>63</v>
      </c>
      <c r="K11" s="715">
        <v>63</v>
      </c>
      <c r="L11" s="715">
        <v>63</v>
      </c>
      <c r="M11" s="715">
        <v>63</v>
      </c>
      <c r="N11" s="715">
        <v>63</v>
      </c>
      <c r="O11" s="715">
        <v>63</v>
      </c>
      <c r="P11" s="715">
        <v>63</v>
      </c>
      <c r="Q11" s="715">
        <v>63</v>
      </c>
      <c r="R11" s="715">
        <v>63</v>
      </c>
      <c r="S11" s="715">
        <v>63</v>
      </c>
      <c r="T11" s="715">
        <v>63</v>
      </c>
      <c r="U11" s="715">
        <v>63</v>
      </c>
      <c r="V11" s="715">
        <v>63</v>
      </c>
      <c r="W11" s="715">
        <v>63</v>
      </c>
      <c r="X11" s="715">
        <v>63</v>
      </c>
      <c r="Y11" s="715">
        <v>63</v>
      </c>
      <c r="Z11" s="715">
        <v>63</v>
      </c>
    </row>
    <row r="12" spans="1:26" s="15" customFormat="1">
      <c r="B12" s="15" t="s">
        <v>609</v>
      </c>
      <c r="D12" s="715"/>
      <c r="E12" s="715"/>
      <c r="F12" s="729">
        <v>0</v>
      </c>
      <c r="G12" s="729">
        <v>0</v>
      </c>
      <c r="H12" s="729">
        <v>0</v>
      </c>
      <c r="I12" s="729">
        <v>0.5</v>
      </c>
      <c r="J12" s="729">
        <v>1</v>
      </c>
      <c r="K12" s="729">
        <v>1</v>
      </c>
      <c r="L12" s="729">
        <v>1</v>
      </c>
      <c r="M12" s="729">
        <v>1</v>
      </c>
      <c r="N12" s="729">
        <v>1</v>
      </c>
      <c r="O12" s="729">
        <v>1</v>
      </c>
      <c r="P12" s="729">
        <v>1</v>
      </c>
      <c r="Q12" s="729">
        <v>1</v>
      </c>
      <c r="R12" s="729">
        <v>1</v>
      </c>
      <c r="S12" s="729">
        <v>1</v>
      </c>
      <c r="T12" s="729">
        <v>1</v>
      </c>
      <c r="U12" s="729">
        <v>1</v>
      </c>
      <c r="V12" s="729">
        <v>1</v>
      </c>
      <c r="W12" s="729">
        <v>1</v>
      </c>
      <c r="X12" s="729">
        <v>1</v>
      </c>
      <c r="Y12" s="729">
        <v>1</v>
      </c>
      <c r="Z12" s="729">
        <v>1</v>
      </c>
    </row>
    <row r="13" spans="1:26" s="15" customFormat="1">
      <c r="D13" s="715"/>
      <c r="E13" s="715"/>
      <c r="F13" s="729"/>
      <c r="G13" s="729"/>
      <c r="H13" s="729"/>
      <c r="I13" s="729"/>
      <c r="J13" s="729"/>
      <c r="K13" s="729"/>
      <c r="L13" s="729"/>
      <c r="M13" s="729"/>
      <c r="N13" s="729"/>
      <c r="O13" s="729"/>
      <c r="P13" s="729"/>
      <c r="Q13" s="729"/>
      <c r="R13" s="729"/>
      <c r="S13" s="729"/>
      <c r="T13" s="729"/>
      <c r="U13" s="729"/>
      <c r="V13" s="729"/>
      <c r="W13" s="729"/>
      <c r="X13" s="729"/>
      <c r="Y13" s="729"/>
      <c r="Z13" s="729"/>
    </row>
    <row r="14" spans="1:26" s="15" customFormat="1">
      <c r="B14" s="15" t="s">
        <v>610</v>
      </c>
      <c r="D14" s="715"/>
      <c r="E14" s="715"/>
      <c r="F14" s="729">
        <v>1</v>
      </c>
      <c r="G14" s="729">
        <v>1.02</v>
      </c>
      <c r="H14" s="729">
        <v>1.04</v>
      </c>
      <c r="I14" s="729">
        <v>1.06</v>
      </c>
      <c r="J14" s="729">
        <v>1.08</v>
      </c>
      <c r="K14" s="729">
        <v>1.1000000000000001</v>
      </c>
      <c r="L14" s="729">
        <v>1.1299999999999999</v>
      </c>
      <c r="M14" s="729">
        <v>1.1499999999999999</v>
      </c>
      <c r="N14" s="729">
        <v>1.17</v>
      </c>
      <c r="O14" s="729">
        <v>1.2</v>
      </c>
      <c r="P14" s="729">
        <v>1.22</v>
      </c>
      <c r="Q14" s="729">
        <v>1.24</v>
      </c>
      <c r="R14" s="729">
        <v>1.27</v>
      </c>
      <c r="S14" s="729">
        <v>1.29</v>
      </c>
      <c r="T14" s="729">
        <v>1.32</v>
      </c>
      <c r="U14" s="729">
        <v>1.35</v>
      </c>
      <c r="V14" s="729">
        <v>1.37</v>
      </c>
      <c r="W14" s="729">
        <v>1.4</v>
      </c>
      <c r="X14" s="729">
        <v>1.43</v>
      </c>
      <c r="Y14" s="729">
        <v>1.46</v>
      </c>
      <c r="Z14" s="729">
        <v>1.49</v>
      </c>
    </row>
    <row r="15" spans="1:26" s="15" customFormat="1">
      <c r="B15" s="15" t="s">
        <v>611</v>
      </c>
      <c r="D15" s="715"/>
      <c r="E15" s="715"/>
      <c r="F15" s="729">
        <v>1</v>
      </c>
      <c r="G15" s="729">
        <v>1.02</v>
      </c>
      <c r="H15" s="729">
        <v>1.04</v>
      </c>
      <c r="I15" s="729">
        <v>1.06</v>
      </c>
      <c r="J15" s="729">
        <v>1.08</v>
      </c>
      <c r="K15" s="729">
        <v>1.1000000000000001</v>
      </c>
      <c r="L15" s="729">
        <v>1.1299999999999999</v>
      </c>
      <c r="M15" s="729">
        <v>1.1499999999999999</v>
      </c>
      <c r="N15" s="729">
        <v>1.17</v>
      </c>
      <c r="O15" s="729">
        <v>1.2</v>
      </c>
      <c r="P15" s="729">
        <v>1.22</v>
      </c>
      <c r="Q15" s="729">
        <v>1.24</v>
      </c>
      <c r="R15" s="729">
        <v>1.27</v>
      </c>
      <c r="S15" s="729">
        <v>1.29</v>
      </c>
      <c r="T15" s="729">
        <v>1.32</v>
      </c>
      <c r="U15" s="729">
        <v>1.35</v>
      </c>
      <c r="V15" s="729">
        <v>1.37</v>
      </c>
      <c r="W15" s="729">
        <v>1.4</v>
      </c>
      <c r="X15" s="729">
        <v>1.43</v>
      </c>
      <c r="Y15" s="729">
        <v>1.46</v>
      </c>
      <c r="Z15" s="729">
        <v>1.49</v>
      </c>
    </row>
    <row r="16" spans="1:26" s="15" customFormat="1"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spans="2:26" s="15" customFormat="1">
      <c r="B17" s="15" t="s">
        <v>612</v>
      </c>
      <c r="D17" s="7"/>
      <c r="E17" s="7"/>
      <c r="F17" s="7">
        <v>0</v>
      </c>
      <c r="G17" s="7">
        <v>0</v>
      </c>
      <c r="H17" s="7">
        <v>0</v>
      </c>
      <c r="I17" s="7">
        <v>386436</v>
      </c>
      <c r="J17" s="7">
        <v>788329</v>
      </c>
      <c r="K17" s="7">
        <v>804096</v>
      </c>
      <c r="L17" s="7">
        <v>820177</v>
      </c>
      <c r="M17" s="7">
        <v>836581</v>
      </c>
      <c r="N17" s="7">
        <v>853313</v>
      </c>
      <c r="O17" s="7">
        <v>870379</v>
      </c>
      <c r="P17" s="7">
        <v>887786</v>
      </c>
      <c r="Q17" s="7">
        <v>905542</v>
      </c>
      <c r="R17" s="7">
        <v>923653</v>
      </c>
      <c r="S17" s="7">
        <v>942126</v>
      </c>
      <c r="T17" s="7">
        <v>960969</v>
      </c>
      <c r="U17" s="7">
        <v>980188</v>
      </c>
      <c r="V17" s="7">
        <v>999792</v>
      </c>
      <c r="W17" s="7">
        <v>1019788</v>
      </c>
      <c r="X17" s="7">
        <v>1040183</v>
      </c>
      <c r="Y17" s="7">
        <v>1060987</v>
      </c>
      <c r="Z17" s="7">
        <v>1082207</v>
      </c>
    </row>
    <row r="18" spans="2:26" s="15" customFormat="1">
      <c r="B18" s="15" t="s">
        <v>613</v>
      </c>
      <c r="D18" s="7"/>
      <c r="E18" s="7"/>
      <c r="F18" s="715">
        <v>0</v>
      </c>
      <c r="G18" s="715">
        <v>0</v>
      </c>
      <c r="H18" s="715">
        <v>0</v>
      </c>
      <c r="I18" s="715">
        <v>-7729</v>
      </c>
      <c r="J18" s="715">
        <v>-15767</v>
      </c>
      <c r="K18" s="715">
        <v>-16082</v>
      </c>
      <c r="L18" s="715">
        <v>-16404</v>
      </c>
      <c r="M18" s="715">
        <v>-16732</v>
      </c>
      <c r="N18" s="715">
        <v>-17066</v>
      </c>
      <c r="O18" s="715">
        <v>-17408</v>
      </c>
      <c r="P18" s="715">
        <v>-17756</v>
      </c>
      <c r="Q18" s="715">
        <v>-18111</v>
      </c>
      <c r="R18" s="715">
        <v>-18473</v>
      </c>
      <c r="S18" s="715">
        <v>-18843</v>
      </c>
      <c r="T18" s="715">
        <v>-19219</v>
      </c>
      <c r="U18" s="715">
        <v>-19604</v>
      </c>
      <c r="V18" s="715">
        <v>-19996</v>
      </c>
      <c r="W18" s="715">
        <v>-20396</v>
      </c>
      <c r="X18" s="715">
        <v>-20804</v>
      </c>
      <c r="Y18" s="715">
        <v>-21220</v>
      </c>
      <c r="Z18" s="715">
        <v>-21644</v>
      </c>
    </row>
    <row r="19" spans="2:26" s="15" customFormat="1">
      <c r="B19" s="15" t="s">
        <v>186</v>
      </c>
      <c r="D19" s="7"/>
      <c r="E19" s="7"/>
      <c r="F19" s="717">
        <v>0</v>
      </c>
      <c r="G19" s="717">
        <v>0</v>
      </c>
      <c r="H19" s="717">
        <v>0</v>
      </c>
      <c r="I19" s="717">
        <v>1846</v>
      </c>
      <c r="J19" s="717">
        <v>3691</v>
      </c>
      <c r="K19" s="717">
        <v>3691</v>
      </c>
      <c r="L19" s="717">
        <v>3691</v>
      </c>
      <c r="M19" s="717">
        <v>3691</v>
      </c>
      <c r="N19" s="717">
        <v>3691</v>
      </c>
      <c r="O19" s="717">
        <v>3691</v>
      </c>
      <c r="P19" s="717">
        <v>3691</v>
      </c>
      <c r="Q19" s="717">
        <v>3691</v>
      </c>
      <c r="R19" s="717">
        <v>3691</v>
      </c>
      <c r="S19" s="717">
        <v>3691</v>
      </c>
      <c r="T19" s="717">
        <v>3691</v>
      </c>
      <c r="U19" s="717">
        <v>3691</v>
      </c>
      <c r="V19" s="717">
        <v>3691</v>
      </c>
      <c r="W19" s="717">
        <v>3691</v>
      </c>
      <c r="X19" s="717">
        <v>3691</v>
      </c>
      <c r="Y19" s="717">
        <v>3691</v>
      </c>
      <c r="Z19" s="717">
        <v>3691</v>
      </c>
    </row>
    <row r="20" spans="2:26" s="15" customFormat="1">
      <c r="B20" s="718" t="s">
        <v>614</v>
      </c>
      <c r="C20" s="718"/>
      <c r="D20" s="718"/>
      <c r="E20" s="718"/>
      <c r="F20" s="719">
        <v>0</v>
      </c>
      <c r="G20" s="719">
        <v>0</v>
      </c>
      <c r="H20" s="719">
        <v>0</v>
      </c>
      <c r="I20" s="675">
        <f>SUM(I17:I19)</f>
        <v>380553</v>
      </c>
      <c r="J20" s="675">
        <f>SUM(J17:J19)</f>
        <v>776253</v>
      </c>
      <c r="K20" s="675">
        <f>SUM(K17:K19)</f>
        <v>791705</v>
      </c>
      <c r="L20" s="675">
        <f>SUM(L17:L19)</f>
        <v>807464</v>
      </c>
      <c r="M20" s="675">
        <f>SUM(M17:M19)</f>
        <v>823540</v>
      </c>
      <c r="N20" s="675">
        <f>+N12*Assumptions!$F$54*N14</f>
        <v>852104.15051010216</v>
      </c>
      <c r="O20" s="675">
        <f>SUM(O17:O19)</f>
        <v>856662</v>
      </c>
      <c r="P20" s="675">
        <f t="shared" ref="P20:T20" si="0">SUM(P17:P19)</f>
        <v>873721</v>
      </c>
      <c r="Q20" s="675">
        <f t="shared" si="0"/>
        <v>891122</v>
      </c>
      <c r="R20" s="675">
        <f t="shared" si="0"/>
        <v>908871</v>
      </c>
      <c r="S20" s="675">
        <f t="shared" si="0"/>
        <v>926974</v>
      </c>
      <c r="T20" s="675">
        <f t="shared" si="0"/>
        <v>945441</v>
      </c>
      <c r="U20" s="675">
        <f>+U12*Assumptions!$F$54*U14</f>
        <v>983197.0967424257</v>
      </c>
      <c r="V20" s="675">
        <f t="shared" ref="V20:Z20" si="1">SUM(V17:V19)</f>
        <v>983487</v>
      </c>
      <c r="W20" s="675">
        <f t="shared" si="1"/>
        <v>1003083</v>
      </c>
      <c r="X20" s="675">
        <f t="shared" si="1"/>
        <v>1023070</v>
      </c>
      <c r="Y20" s="675">
        <f t="shared" si="1"/>
        <v>1043458</v>
      </c>
      <c r="Z20" s="675">
        <f t="shared" si="1"/>
        <v>1064254</v>
      </c>
    </row>
    <row r="21" spans="2:26" s="15" customFormat="1"/>
    <row r="22" spans="2:26" s="15" customFormat="1">
      <c r="B22" s="15" t="s">
        <v>615</v>
      </c>
      <c r="F22" s="7">
        <v>0</v>
      </c>
      <c r="G22" s="7">
        <v>0</v>
      </c>
      <c r="H22" s="7">
        <v>0</v>
      </c>
      <c r="I22" s="7">
        <f>I11*Assumptions!$N$95*I15</f>
        <v>190588</v>
      </c>
      <c r="J22" s="7">
        <f>J11*Assumptions!$N$95*J15</f>
        <v>394632</v>
      </c>
      <c r="K22" s="7">
        <f>K11*Assumptions!$N$95*K15</f>
        <v>401940.00000000006</v>
      </c>
      <c r="L22" s="7">
        <f>L11*Assumptions!$N$95*L15</f>
        <v>412901.99999999994</v>
      </c>
      <c r="M22" s="7">
        <f>M11*Assumptions!$N$95*M15</f>
        <v>420209.99999999994</v>
      </c>
      <c r="N22" s="7">
        <f>N11*Assumptions!$N$95*N15</f>
        <v>427518</v>
      </c>
      <c r="O22" s="7">
        <f>O11*Assumptions!$N$95*O15</f>
        <v>438480</v>
      </c>
      <c r="P22" s="7">
        <f>P11*Assumptions!$N$95*P15</f>
        <v>445788</v>
      </c>
      <c r="Q22" s="7">
        <f>Q11*Assumptions!$N$95*Q15</f>
        <v>453096</v>
      </c>
      <c r="R22" s="7">
        <f>R11*Assumptions!$N$95*R15</f>
        <v>464058</v>
      </c>
      <c r="S22" s="7">
        <f>S11*Assumptions!$N$95*S15</f>
        <v>471366</v>
      </c>
      <c r="T22" s="7">
        <f>T11*Assumptions!$N$95*T15</f>
        <v>482328</v>
      </c>
      <c r="U22" s="7">
        <f>U11*Assumptions!$N$95*U15</f>
        <v>493290.00000000006</v>
      </c>
      <c r="V22" s="7">
        <f>V11*Assumptions!$N$95*V15</f>
        <v>500598.00000000006</v>
      </c>
      <c r="W22" s="7">
        <f>W11*Assumptions!$N$95*W15</f>
        <v>511559.99999999994</v>
      </c>
      <c r="X22" s="7">
        <f>X11*Assumptions!$N$95*X15</f>
        <v>522522</v>
      </c>
      <c r="Y22" s="7">
        <f>Y11*Assumptions!$N$95*Y15</f>
        <v>533484</v>
      </c>
      <c r="Z22" s="7">
        <f>Z11*Assumptions!$N$95*Z15</f>
        <v>544446</v>
      </c>
    </row>
    <row r="23" spans="2:26" s="15" customFormat="1">
      <c r="B23" s="718" t="s">
        <v>617</v>
      </c>
      <c r="C23" s="718"/>
      <c r="D23" s="718"/>
      <c r="E23" s="718"/>
      <c r="F23" s="719">
        <v>0</v>
      </c>
      <c r="G23" s="719">
        <v>0</v>
      </c>
      <c r="H23" s="719">
        <v>0</v>
      </c>
      <c r="I23" s="719">
        <f>I22</f>
        <v>190588</v>
      </c>
      <c r="J23" s="719">
        <f>J22</f>
        <v>394632</v>
      </c>
      <c r="K23" s="719">
        <f t="shared" ref="K23:Z23" si="2">K22</f>
        <v>401940.00000000006</v>
      </c>
      <c r="L23" s="719">
        <f t="shared" si="2"/>
        <v>412901.99999999994</v>
      </c>
      <c r="M23" s="719">
        <f t="shared" si="2"/>
        <v>420209.99999999994</v>
      </c>
      <c r="N23" s="719">
        <f t="shared" si="2"/>
        <v>427518</v>
      </c>
      <c r="O23" s="719">
        <f t="shared" si="2"/>
        <v>438480</v>
      </c>
      <c r="P23" s="719">
        <f t="shared" si="2"/>
        <v>445788</v>
      </c>
      <c r="Q23" s="719">
        <f t="shared" si="2"/>
        <v>453096</v>
      </c>
      <c r="R23" s="719">
        <f t="shared" si="2"/>
        <v>464058</v>
      </c>
      <c r="S23" s="719">
        <f t="shared" si="2"/>
        <v>471366</v>
      </c>
      <c r="T23" s="719">
        <f t="shared" si="2"/>
        <v>482328</v>
      </c>
      <c r="U23" s="719">
        <f t="shared" si="2"/>
        <v>493290.00000000006</v>
      </c>
      <c r="V23" s="719">
        <f t="shared" si="2"/>
        <v>500598.00000000006</v>
      </c>
      <c r="W23" s="719">
        <f t="shared" si="2"/>
        <v>511559.99999999994</v>
      </c>
      <c r="X23" s="719">
        <f t="shared" si="2"/>
        <v>522522</v>
      </c>
      <c r="Y23" s="719">
        <f t="shared" si="2"/>
        <v>533484</v>
      </c>
      <c r="Z23" s="719">
        <f t="shared" si="2"/>
        <v>544446</v>
      </c>
    </row>
    <row r="24" spans="2:26">
      <c r="B24" s="655"/>
    </row>
    <row r="25" spans="2:26" ht="15.75">
      <c r="B25" s="677" t="s">
        <v>618</v>
      </c>
      <c r="C25" s="677"/>
      <c r="D25" s="677"/>
      <c r="E25" s="677"/>
      <c r="F25" s="678">
        <v>0</v>
      </c>
      <c r="G25" s="678">
        <f>G20-G23</f>
        <v>0</v>
      </c>
      <c r="H25" s="679">
        <v>0</v>
      </c>
      <c r="I25" s="678">
        <f>SUM(I20-I23)</f>
        <v>189965</v>
      </c>
      <c r="J25" s="678">
        <f t="shared" ref="J25:Z25" si="3">J20-J23</f>
        <v>381621</v>
      </c>
      <c r="K25" s="678">
        <f t="shared" si="3"/>
        <v>389764.99999999994</v>
      </c>
      <c r="L25" s="678">
        <f t="shared" si="3"/>
        <v>394562.00000000006</v>
      </c>
      <c r="M25" s="678">
        <f t="shared" si="3"/>
        <v>403330.00000000006</v>
      </c>
      <c r="N25" s="678">
        <f t="shared" si="3"/>
        <v>424586.15051010216</v>
      </c>
      <c r="O25" s="678">
        <f t="shared" si="3"/>
        <v>418182</v>
      </c>
      <c r="P25" s="678">
        <f t="shared" si="3"/>
        <v>427933</v>
      </c>
      <c r="Q25" s="678">
        <f t="shared" si="3"/>
        <v>438026</v>
      </c>
      <c r="R25" s="678">
        <f t="shared" si="3"/>
        <v>444813</v>
      </c>
      <c r="S25" s="678">
        <f t="shared" si="3"/>
        <v>455608</v>
      </c>
      <c r="T25" s="678">
        <f t="shared" si="3"/>
        <v>463113</v>
      </c>
      <c r="U25" s="678">
        <f t="shared" si="3"/>
        <v>489907.09674242564</v>
      </c>
      <c r="V25" s="678">
        <f t="shared" si="3"/>
        <v>482888.99999999994</v>
      </c>
      <c r="W25" s="678">
        <f t="shared" si="3"/>
        <v>491523.00000000006</v>
      </c>
      <c r="X25" s="678">
        <f t="shared" si="3"/>
        <v>500548</v>
      </c>
      <c r="Y25" s="678">
        <f t="shared" si="3"/>
        <v>509974</v>
      </c>
      <c r="Z25" s="678">
        <f t="shared" si="3"/>
        <v>519808</v>
      </c>
    </row>
    <row r="26" spans="2:26" ht="15.75">
      <c r="B26" s="680" t="s">
        <v>619</v>
      </c>
      <c r="C26" s="681"/>
      <c r="D26" s="681"/>
      <c r="E26" s="681"/>
      <c r="F26" s="682"/>
      <c r="G26" s="682">
        <v>0</v>
      </c>
      <c r="H26" s="682"/>
      <c r="I26" s="683">
        <f>+IFERROR(I25/I20,"")</f>
        <v>0.49918145435721173</v>
      </c>
      <c r="J26" s="683">
        <f>+IFERROR(J25/J20,"")</f>
        <v>0.49161935606045964</v>
      </c>
      <c r="K26" s="683">
        <f t="shared" ref="K26:Z26" si="4">+IFERROR(K25/K20,"")</f>
        <v>0.49231089863017152</v>
      </c>
      <c r="L26" s="683">
        <f t="shared" si="4"/>
        <v>0.48864345655038499</v>
      </c>
      <c r="M26" s="683">
        <f t="shared" si="4"/>
        <v>0.48975156033708145</v>
      </c>
      <c r="N26" s="683">
        <f t="shared" si="4"/>
        <v>0.49827964135126984</v>
      </c>
      <c r="O26" s="683">
        <f t="shared" si="4"/>
        <v>0.4881528537509543</v>
      </c>
      <c r="P26" s="683">
        <f t="shared" si="4"/>
        <v>0.48978220736367789</v>
      </c>
      <c r="Q26" s="683">
        <f t="shared" si="4"/>
        <v>0.49154436766234028</v>
      </c>
      <c r="R26" s="683">
        <f t="shared" si="4"/>
        <v>0.48941268892945206</v>
      </c>
      <c r="S26" s="683">
        <f t="shared" si="4"/>
        <v>0.49150030097931552</v>
      </c>
      <c r="T26" s="683">
        <f t="shared" si="4"/>
        <v>0.48983807556473646</v>
      </c>
      <c r="U26" s="683">
        <f t="shared" si="4"/>
        <v>0.49827964135126984</v>
      </c>
      <c r="V26" s="683">
        <f t="shared" si="4"/>
        <v>0.49099683066476724</v>
      </c>
      <c r="W26" s="683">
        <f t="shared" si="4"/>
        <v>0.49001229210344516</v>
      </c>
      <c r="X26" s="683">
        <f t="shared" si="4"/>
        <v>0.48926075439608235</v>
      </c>
      <c r="Y26" s="683">
        <f t="shared" si="4"/>
        <v>0.48873457292962441</v>
      </c>
      <c r="Z26" s="683">
        <f t="shared" si="4"/>
        <v>0.48842475574439936</v>
      </c>
    </row>
    <row r="27" spans="2:26" ht="15.75">
      <c r="B27" s="680" t="s">
        <v>568</v>
      </c>
      <c r="C27" s="681"/>
      <c r="D27" s="681"/>
      <c r="E27" s="681"/>
      <c r="F27" s="684">
        <f>F25/Assumptions!$N$128</f>
        <v>0</v>
      </c>
      <c r="G27" s="684">
        <f>G25/Assumptions!$N$128</f>
        <v>0</v>
      </c>
      <c r="H27" s="684">
        <f>H25/Assumptions!$N$128</f>
        <v>0</v>
      </c>
      <c r="I27" s="684">
        <f>I25/Assumptions!$N$128</f>
        <v>3303739.1304347822</v>
      </c>
      <c r="J27" s="684">
        <f>J25/Assumptions!$N$128</f>
        <v>6636886.9565217393</v>
      </c>
      <c r="K27" s="684">
        <f>K25/Assumptions!$N$128</f>
        <v>6778521.7391304336</v>
      </c>
      <c r="L27" s="684">
        <f>L25/Assumptions!$N$128</f>
        <v>6861947.826086957</v>
      </c>
      <c r="M27" s="684">
        <f>M25/Assumptions!$N$128</f>
        <v>7014434.7826086963</v>
      </c>
      <c r="N27" s="684">
        <f>N25/Assumptions!$N$128</f>
        <v>7384106.9653930804</v>
      </c>
      <c r="O27" s="684">
        <f>O25/Assumptions!$N$128</f>
        <v>7272730.4347826084</v>
      </c>
      <c r="P27" s="684">
        <f>P25/Assumptions!$N$128</f>
        <v>7442313.0434782607</v>
      </c>
      <c r="Q27" s="684">
        <f>Q25/Assumptions!$N$128</f>
        <v>7617843.4782608692</v>
      </c>
      <c r="R27" s="684">
        <f>R25/Assumptions!$N$128</f>
        <v>7735878.2608695645</v>
      </c>
      <c r="S27" s="684">
        <f>S25/Assumptions!$N$128</f>
        <v>7923617.3913043477</v>
      </c>
      <c r="T27" s="684">
        <f>T25/Assumptions!$N$128</f>
        <v>8054139.1304347822</v>
      </c>
      <c r="U27" s="684">
        <f>U25/Assumptions!$N$128</f>
        <v>8520123.4216074012</v>
      </c>
      <c r="V27" s="684">
        <f>V25/Assumptions!$N$128</f>
        <v>8398069.5652173907</v>
      </c>
      <c r="W27" s="684">
        <f>W25/Assumptions!$N$128</f>
        <v>8548226.0869565215</v>
      </c>
      <c r="X27" s="684">
        <f>X25/Assumptions!$N$128</f>
        <v>8705182.6086956523</v>
      </c>
      <c r="Y27" s="684">
        <f>Y25/Assumptions!$N$128</f>
        <v>8869113.0434782598</v>
      </c>
      <c r="Z27" s="684">
        <f>Z25/Assumptions!$N$128</f>
        <v>9040139.1304347813</v>
      </c>
    </row>
    <row r="29" spans="2:26" ht="15.75">
      <c r="B29" s="652" t="s">
        <v>620</v>
      </c>
      <c r="C29" s="652"/>
      <c r="D29" s="653"/>
      <c r="E29" s="653"/>
      <c r="F29" s="654">
        <v>44561</v>
      </c>
      <c r="G29" s="654">
        <v>44926</v>
      </c>
      <c r="H29" s="654">
        <v>45291</v>
      </c>
      <c r="I29" s="654">
        <v>45657</v>
      </c>
      <c r="J29" s="654">
        <v>46022</v>
      </c>
      <c r="K29" s="654">
        <v>46387</v>
      </c>
      <c r="L29" s="654">
        <v>46752</v>
      </c>
      <c r="M29" s="654">
        <v>47118</v>
      </c>
      <c r="N29" s="654">
        <v>47483</v>
      </c>
      <c r="O29" s="654">
        <v>11323</v>
      </c>
      <c r="P29" s="654">
        <v>11688</v>
      </c>
      <c r="Q29" s="654">
        <v>12054</v>
      </c>
      <c r="R29" s="654">
        <v>12419</v>
      </c>
      <c r="S29" s="654">
        <v>12784</v>
      </c>
      <c r="T29" s="654">
        <v>13149</v>
      </c>
      <c r="U29" s="654">
        <v>13515</v>
      </c>
      <c r="V29" s="654">
        <v>13880</v>
      </c>
      <c r="W29" s="654">
        <v>14245</v>
      </c>
      <c r="X29" s="654">
        <v>14610</v>
      </c>
      <c r="Y29" s="654">
        <v>14976</v>
      </c>
      <c r="Z29" s="654">
        <v>15341</v>
      </c>
    </row>
    <row r="30" spans="2:26">
      <c r="B30" s="655" t="s">
        <v>605</v>
      </c>
      <c r="C30" s="655"/>
      <c r="D30" s="20"/>
      <c r="E30" s="20"/>
      <c r="F30" s="22">
        <v>0</v>
      </c>
      <c r="G30" s="22">
        <v>0</v>
      </c>
      <c r="H30" s="22">
        <v>0</v>
      </c>
      <c r="I30" s="22">
        <v>33039</v>
      </c>
      <c r="J30" s="22">
        <v>33039</v>
      </c>
      <c r="K30" s="22">
        <v>0</v>
      </c>
      <c r="L30" s="22">
        <v>0</v>
      </c>
      <c r="M30" s="22">
        <v>0</v>
      </c>
      <c r="N30" s="22">
        <v>0</v>
      </c>
      <c r="O30" s="22">
        <v>0</v>
      </c>
      <c r="P30" s="22">
        <v>0</v>
      </c>
      <c r="Q30" s="22">
        <v>0</v>
      </c>
      <c r="R30" s="22">
        <v>0</v>
      </c>
      <c r="S30" s="22">
        <v>0</v>
      </c>
      <c r="T30" s="22">
        <v>0</v>
      </c>
      <c r="U30" s="22">
        <v>0</v>
      </c>
      <c r="V30" s="22">
        <v>0</v>
      </c>
      <c r="W30" s="22">
        <v>0</v>
      </c>
      <c r="X30" s="22">
        <v>0</v>
      </c>
      <c r="Y30" s="22">
        <v>0</v>
      </c>
      <c r="Z30" s="22">
        <v>0</v>
      </c>
    </row>
    <row r="31" spans="2:26">
      <c r="B31" s="655" t="s">
        <v>606</v>
      </c>
      <c r="C31" s="655"/>
      <c r="D31" s="22">
        <v>0</v>
      </c>
      <c r="E31" s="22"/>
      <c r="F31" s="22">
        <v>0</v>
      </c>
      <c r="G31" s="22">
        <v>0</v>
      </c>
      <c r="H31" s="22">
        <v>0</v>
      </c>
      <c r="I31" s="22">
        <v>33039</v>
      </c>
      <c r="J31" s="22">
        <v>66078</v>
      </c>
      <c r="K31" s="22">
        <v>66078</v>
      </c>
      <c r="L31" s="22">
        <v>66078</v>
      </c>
      <c r="M31" s="22">
        <v>66078</v>
      </c>
      <c r="N31" s="22">
        <v>66078</v>
      </c>
      <c r="O31" s="22">
        <v>66078</v>
      </c>
      <c r="P31" s="22">
        <v>66078</v>
      </c>
      <c r="Q31" s="22">
        <v>66078</v>
      </c>
      <c r="R31" s="22">
        <v>66078</v>
      </c>
      <c r="S31" s="22">
        <v>66078</v>
      </c>
      <c r="T31" s="22">
        <v>66078</v>
      </c>
      <c r="U31" s="22">
        <v>66078</v>
      </c>
      <c r="V31" s="22">
        <v>66078</v>
      </c>
      <c r="W31" s="22">
        <v>66078</v>
      </c>
      <c r="X31" s="22">
        <v>66078</v>
      </c>
      <c r="Y31" s="22">
        <v>66078</v>
      </c>
      <c r="Z31" s="22">
        <v>66078</v>
      </c>
    </row>
    <row r="32" spans="2:26">
      <c r="B32" s="655" t="s">
        <v>607</v>
      </c>
      <c r="C32" s="655"/>
      <c r="D32" s="22"/>
      <c r="E32" s="22"/>
      <c r="F32" s="22">
        <v>0</v>
      </c>
      <c r="G32" s="22">
        <v>0</v>
      </c>
      <c r="H32" s="22">
        <v>0</v>
      </c>
      <c r="I32" s="22">
        <v>47</v>
      </c>
      <c r="J32" s="22">
        <v>47</v>
      </c>
      <c r="K32" s="22">
        <v>0</v>
      </c>
      <c r="L32" s="22">
        <v>0</v>
      </c>
      <c r="M32" s="22">
        <v>0</v>
      </c>
      <c r="N32" s="22">
        <v>0</v>
      </c>
      <c r="O32" s="22">
        <v>0</v>
      </c>
      <c r="P32" s="22">
        <v>0</v>
      </c>
      <c r="Q32" s="22">
        <v>0</v>
      </c>
      <c r="R32" s="22">
        <v>0</v>
      </c>
      <c r="S32" s="22">
        <v>0</v>
      </c>
      <c r="T32" s="22">
        <v>0</v>
      </c>
      <c r="U32" s="22">
        <v>0</v>
      </c>
      <c r="V32" s="22">
        <v>0</v>
      </c>
      <c r="W32" s="22">
        <v>0</v>
      </c>
      <c r="X32" s="22">
        <v>0</v>
      </c>
      <c r="Y32" s="22">
        <v>0</v>
      </c>
      <c r="Z32" s="22">
        <v>0</v>
      </c>
    </row>
    <row r="33" spans="1:26">
      <c r="B33" s="655" t="s">
        <v>608</v>
      </c>
      <c r="C33" s="655"/>
      <c r="D33" s="22"/>
      <c r="E33" s="22"/>
      <c r="F33" s="22">
        <v>0</v>
      </c>
      <c r="G33" s="22">
        <v>0</v>
      </c>
      <c r="H33" s="22">
        <v>0</v>
      </c>
      <c r="I33" s="22">
        <v>47</v>
      </c>
      <c r="J33" s="22">
        <v>94</v>
      </c>
      <c r="K33" s="22">
        <v>94</v>
      </c>
      <c r="L33" s="22">
        <v>94</v>
      </c>
      <c r="M33" s="22">
        <v>94</v>
      </c>
      <c r="N33" s="22">
        <v>94</v>
      </c>
      <c r="O33" s="22">
        <v>94</v>
      </c>
      <c r="P33" s="22">
        <v>94</v>
      </c>
      <c r="Q33" s="22">
        <v>94</v>
      </c>
      <c r="R33" s="22">
        <v>94</v>
      </c>
      <c r="S33" s="22">
        <v>94</v>
      </c>
      <c r="T33" s="22">
        <v>94</v>
      </c>
      <c r="U33" s="22">
        <v>94</v>
      </c>
      <c r="V33" s="22">
        <v>94</v>
      </c>
      <c r="W33" s="22">
        <v>94</v>
      </c>
      <c r="X33" s="22">
        <v>94</v>
      </c>
      <c r="Y33" s="22">
        <v>94</v>
      </c>
      <c r="Z33" s="22">
        <v>94</v>
      </c>
    </row>
    <row r="34" spans="1:26">
      <c r="B34" s="655" t="s">
        <v>609</v>
      </c>
      <c r="C34" s="655"/>
      <c r="D34" s="22"/>
      <c r="E34" s="22"/>
      <c r="F34" s="49">
        <v>0</v>
      </c>
      <c r="G34" s="49">
        <v>0</v>
      </c>
      <c r="H34" s="49">
        <v>0</v>
      </c>
      <c r="I34" s="49">
        <v>0.5</v>
      </c>
      <c r="J34" s="49">
        <v>1</v>
      </c>
      <c r="K34" s="49">
        <v>1</v>
      </c>
      <c r="L34" s="49">
        <v>1</v>
      </c>
      <c r="M34" s="49">
        <v>1</v>
      </c>
      <c r="N34" s="49">
        <v>1</v>
      </c>
      <c r="O34" s="49">
        <v>1</v>
      </c>
      <c r="P34" s="49">
        <v>1</v>
      </c>
      <c r="Q34" s="49">
        <v>1</v>
      </c>
      <c r="R34" s="49">
        <v>1</v>
      </c>
      <c r="S34" s="49">
        <v>1</v>
      </c>
      <c r="T34" s="49">
        <v>1</v>
      </c>
      <c r="U34" s="49">
        <v>1</v>
      </c>
      <c r="V34" s="49">
        <v>1</v>
      </c>
      <c r="W34" s="49">
        <v>1</v>
      </c>
      <c r="X34" s="49">
        <v>1</v>
      </c>
      <c r="Y34" s="49">
        <v>1</v>
      </c>
      <c r="Z34" s="49">
        <v>1</v>
      </c>
    </row>
    <row r="35" spans="1:26">
      <c r="B35" s="655"/>
      <c r="C35" s="655"/>
      <c r="D35" s="20"/>
      <c r="E35" s="20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</row>
    <row r="36" spans="1:26">
      <c r="B36" s="655" t="s">
        <v>610</v>
      </c>
      <c r="C36" s="655"/>
      <c r="D36" s="22"/>
      <c r="E36" s="22"/>
      <c r="F36" s="49">
        <v>1</v>
      </c>
      <c r="G36" s="49">
        <v>1.03</v>
      </c>
      <c r="H36" s="49">
        <v>1.06</v>
      </c>
      <c r="I36" s="49">
        <v>1.0900000000000001</v>
      </c>
      <c r="J36" s="49">
        <v>1.1299999999999999</v>
      </c>
      <c r="K36" s="49">
        <v>1.1599999999999999</v>
      </c>
      <c r="L36" s="49">
        <v>1.19</v>
      </c>
      <c r="M36" s="49">
        <v>1.23</v>
      </c>
      <c r="N36" s="49">
        <v>1.27</v>
      </c>
      <c r="O36" s="49">
        <v>1.3</v>
      </c>
      <c r="P36" s="49">
        <v>1.34</v>
      </c>
      <c r="Q36" s="49">
        <v>1.38</v>
      </c>
      <c r="R36" s="49">
        <v>1.43</v>
      </c>
      <c r="S36" s="49">
        <v>1.47</v>
      </c>
      <c r="T36" s="49">
        <v>1.51</v>
      </c>
      <c r="U36" s="49">
        <v>1.56</v>
      </c>
      <c r="V36" s="49">
        <v>1.6</v>
      </c>
      <c r="W36" s="49">
        <v>1.65</v>
      </c>
      <c r="X36" s="49">
        <v>1.7</v>
      </c>
      <c r="Y36" s="49">
        <v>1.75</v>
      </c>
      <c r="Z36" s="49">
        <v>1.81</v>
      </c>
    </row>
    <row r="37" spans="1:26">
      <c r="B37" s="655" t="s">
        <v>611</v>
      </c>
      <c r="C37" s="655"/>
      <c r="D37" s="22"/>
      <c r="E37" s="22"/>
      <c r="F37" s="49">
        <v>1</v>
      </c>
      <c r="G37" s="49">
        <v>1.02</v>
      </c>
      <c r="H37" s="49">
        <v>1.04</v>
      </c>
      <c r="I37" s="49">
        <v>1.06</v>
      </c>
      <c r="J37" s="49">
        <v>1.08</v>
      </c>
      <c r="K37" s="49">
        <v>1.1000000000000001</v>
      </c>
      <c r="L37" s="49">
        <v>1.1299999999999999</v>
      </c>
      <c r="M37" s="49">
        <v>1.1499999999999999</v>
      </c>
      <c r="N37" s="49">
        <v>1.17</v>
      </c>
      <c r="O37" s="49">
        <v>1.2</v>
      </c>
      <c r="P37" s="49">
        <v>1.22</v>
      </c>
      <c r="Q37" s="49">
        <v>1.24</v>
      </c>
      <c r="R37" s="49">
        <v>1.27</v>
      </c>
      <c r="S37" s="49">
        <v>1.29</v>
      </c>
      <c r="T37" s="49">
        <v>1.32</v>
      </c>
      <c r="U37" s="49">
        <v>1.35</v>
      </c>
      <c r="V37" s="49">
        <v>1.37</v>
      </c>
      <c r="W37" s="49">
        <v>1.4</v>
      </c>
      <c r="X37" s="49">
        <v>1.43</v>
      </c>
      <c r="Y37" s="49">
        <v>1.46</v>
      </c>
      <c r="Z37" s="49">
        <v>1.49</v>
      </c>
    </row>
    <row r="38" spans="1:26">
      <c r="B38" s="655"/>
      <c r="C38" s="655"/>
      <c r="D38" s="20"/>
      <c r="E38" s="20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</row>
    <row r="39" spans="1:26" s="15" customFormat="1">
      <c r="B39" s="15" t="s">
        <v>612</v>
      </c>
      <c r="D39" s="7"/>
      <c r="E39" s="7"/>
      <c r="F39" s="7">
        <v>0</v>
      </c>
      <c r="G39" s="7">
        <v>0</v>
      </c>
      <c r="H39" s="7">
        <v>0</v>
      </c>
      <c r="I39" s="7">
        <f>I34*Assumptions!$F$82*'Phase I Pro Forma'!I36</f>
        <v>1303359.3961368676</v>
      </c>
      <c r="J39" s="7">
        <f>J34*Assumptions!$F$82*'Phase I Pro Forma'!J36</f>
        <v>2702378.1974947895</v>
      </c>
      <c r="K39" s="7">
        <f>K34*Assumptions!$F$82*'Phase I Pro Forma'!K36</f>
        <v>2774122.7514105802</v>
      </c>
      <c r="L39" s="7">
        <f>L34*Assumptions!$F$82*'Phase I Pro Forma'!L36</f>
        <v>2845867.305326371</v>
      </c>
      <c r="M39" s="7">
        <f>M34*Assumptions!$F$82*'Phase I Pro Forma'!M36</f>
        <v>2941526.7105474258</v>
      </c>
      <c r="N39" s="7">
        <f>N34*Assumptions!$F$82*'Phase I Pro Forma'!N36</f>
        <v>3037186.1157684806</v>
      </c>
      <c r="O39" s="7">
        <f>O34*Assumptions!$F$82*'Phase I Pro Forma'!O36</f>
        <v>3108930.6696842713</v>
      </c>
      <c r="P39" s="7">
        <f>P34*Assumptions!$F$82*'Phase I Pro Forma'!P36</f>
        <v>3204590.0749053257</v>
      </c>
      <c r="Q39" s="7">
        <f>Q34*Assumptions!$F$82*'Phase I Pro Forma'!Q36</f>
        <v>3300249.48012638</v>
      </c>
      <c r="R39" s="7">
        <f>R34*Assumptions!$F$82*'Phase I Pro Forma'!R36</f>
        <v>3419823.7366526984</v>
      </c>
      <c r="S39" s="7">
        <f>S34*Assumptions!$F$82*'Phase I Pro Forma'!S36</f>
        <v>3515483.1418737527</v>
      </c>
      <c r="T39" s="7">
        <f>T34*Assumptions!$F$82*'Phase I Pro Forma'!T36</f>
        <v>3611142.5470948075</v>
      </c>
      <c r="U39" s="7">
        <f>U34*Assumptions!$F$82*'Phase I Pro Forma'!U36</f>
        <v>3730716.8036211254</v>
      </c>
      <c r="V39" s="7">
        <f>V34*Assumptions!$F$82*'Phase I Pro Forma'!V36</f>
        <v>3826376.2088421802</v>
      </c>
      <c r="W39" s="7">
        <f>W34*Assumptions!$F$82*'Phase I Pro Forma'!W36</f>
        <v>3945950.4653684977</v>
      </c>
      <c r="X39" s="7">
        <f>X34*Assumptions!$F$82*'Phase I Pro Forma'!X36</f>
        <v>4065524.721894816</v>
      </c>
      <c r="Y39" s="7">
        <f>Y34*Assumptions!$F$82*'Phase I Pro Forma'!Y36</f>
        <v>4185098.9784211344</v>
      </c>
      <c r="Z39" s="7">
        <f>Z34*Assumptions!$F$82*'Phase I Pro Forma'!Z36</f>
        <v>4328588.0862527164</v>
      </c>
    </row>
    <row r="40" spans="1:26" s="15" customFormat="1">
      <c r="B40" s="15" t="s">
        <v>613</v>
      </c>
      <c r="D40" s="7"/>
      <c r="E40" s="7"/>
      <c r="F40" s="715">
        <v>0</v>
      </c>
      <c r="G40" s="715">
        <v>0</v>
      </c>
      <c r="H40" s="715">
        <v>0</v>
      </c>
      <c r="I40" s="715">
        <v>-65331</v>
      </c>
      <c r="J40" s="715">
        <v>-134582</v>
      </c>
      <c r="K40" s="715">
        <v>-138619</v>
      </c>
      <c r="L40" s="715">
        <v>-142778</v>
      </c>
      <c r="M40" s="715">
        <v>-147061</v>
      </c>
      <c r="N40" s="715">
        <v>-151473</v>
      </c>
      <c r="O40" s="715">
        <v>-156017</v>
      </c>
      <c r="P40" s="715">
        <v>-160698</v>
      </c>
      <c r="Q40" s="715">
        <v>-165519</v>
      </c>
      <c r="R40" s="715">
        <v>-170484</v>
      </c>
      <c r="S40" s="715">
        <v>-175599</v>
      </c>
      <c r="T40" s="715">
        <v>-180867</v>
      </c>
      <c r="U40" s="715">
        <v>-186293</v>
      </c>
      <c r="V40" s="715">
        <v>-191882</v>
      </c>
      <c r="W40" s="715">
        <v>-197638</v>
      </c>
      <c r="X40" s="715">
        <v>-203567</v>
      </c>
      <c r="Y40" s="715">
        <v>-209674</v>
      </c>
      <c r="Z40" s="715">
        <v>-215964</v>
      </c>
    </row>
    <row r="41" spans="1:26" s="15" customFormat="1">
      <c r="B41" s="15" t="s">
        <v>621</v>
      </c>
      <c r="D41" s="7"/>
      <c r="E41" s="7"/>
      <c r="F41" s="717">
        <v>0</v>
      </c>
      <c r="G41" s="717">
        <v>0</v>
      </c>
      <c r="H41" s="717">
        <v>0</v>
      </c>
      <c r="I41" s="717">
        <v>29519</v>
      </c>
      <c r="J41" s="717">
        <v>59038</v>
      </c>
      <c r="K41" s="717">
        <v>59038</v>
      </c>
      <c r="L41" s="717">
        <v>59038</v>
      </c>
      <c r="M41" s="717">
        <v>59038</v>
      </c>
      <c r="N41" s="717">
        <v>59038</v>
      </c>
      <c r="O41" s="717">
        <v>59038</v>
      </c>
      <c r="P41" s="717">
        <v>59038</v>
      </c>
      <c r="Q41" s="717">
        <v>59038</v>
      </c>
      <c r="R41" s="717">
        <v>59038</v>
      </c>
      <c r="S41" s="717">
        <v>59038</v>
      </c>
      <c r="T41" s="717">
        <v>59038</v>
      </c>
      <c r="U41" s="717">
        <v>59038</v>
      </c>
      <c r="V41" s="717">
        <v>59038</v>
      </c>
      <c r="W41" s="717">
        <v>59038</v>
      </c>
      <c r="X41" s="717">
        <v>59038</v>
      </c>
      <c r="Y41" s="717">
        <v>59038</v>
      </c>
      <c r="Z41" s="717">
        <v>59038</v>
      </c>
    </row>
    <row r="42" spans="1:26" s="15" customFormat="1">
      <c r="B42" s="718" t="s">
        <v>614</v>
      </c>
      <c r="C42" s="718"/>
      <c r="D42" s="718"/>
      <c r="E42" s="718"/>
      <c r="F42" s="719">
        <v>0</v>
      </c>
      <c r="G42" s="719">
        <v>0</v>
      </c>
      <c r="H42" s="719">
        <v>0</v>
      </c>
      <c r="I42" s="719">
        <f>SUM(I39:I41)</f>
        <v>1267547.3961368676</v>
      </c>
      <c r="J42" s="719">
        <f>SUM(J39:J41)</f>
        <v>2626834.1974947895</v>
      </c>
      <c r="K42" s="719">
        <f t="shared" ref="K42:Z42" si="5">SUM(K39:K41)</f>
        <v>2694541.7514105802</v>
      </c>
      <c r="L42" s="719">
        <f t="shared" si="5"/>
        <v>2762127.305326371</v>
      </c>
      <c r="M42" s="719">
        <f t="shared" si="5"/>
        <v>2853503.7105474258</v>
      </c>
      <c r="N42" s="719">
        <f t="shared" si="5"/>
        <v>2944751.1157684806</v>
      </c>
      <c r="O42" s="719">
        <f t="shared" si="5"/>
        <v>3011951.6696842713</v>
      </c>
      <c r="P42" s="719">
        <f t="shared" si="5"/>
        <v>3102930.0749053257</v>
      </c>
      <c r="Q42" s="719">
        <f t="shared" si="5"/>
        <v>3193768.48012638</v>
      </c>
      <c r="R42" s="719">
        <f t="shared" si="5"/>
        <v>3308377.7366526984</v>
      </c>
      <c r="S42" s="719">
        <f t="shared" si="5"/>
        <v>3398922.1418737527</v>
      </c>
      <c r="T42" s="719">
        <f t="shared" si="5"/>
        <v>3489313.5470948075</v>
      </c>
      <c r="U42" s="719">
        <f t="shared" si="5"/>
        <v>3603461.8036211254</v>
      </c>
      <c r="V42" s="719">
        <f t="shared" si="5"/>
        <v>3693532.2088421802</v>
      </c>
      <c r="W42" s="719">
        <f t="shared" si="5"/>
        <v>3807350.4653684977</v>
      </c>
      <c r="X42" s="719">
        <f t="shared" si="5"/>
        <v>3920995.721894816</v>
      </c>
      <c r="Y42" s="719">
        <f t="shared" si="5"/>
        <v>4034462.9784211344</v>
      </c>
      <c r="Z42" s="719">
        <f t="shared" si="5"/>
        <v>4171662.0862527164</v>
      </c>
    </row>
    <row r="43" spans="1:26" s="15" customFormat="1"/>
    <row r="44" spans="1:26" s="15" customFormat="1">
      <c r="B44" s="15" t="s">
        <v>615</v>
      </c>
      <c r="F44" s="7">
        <v>0</v>
      </c>
      <c r="G44" s="7">
        <v>0</v>
      </c>
      <c r="H44" s="7">
        <v>0</v>
      </c>
      <c r="I44" s="7">
        <f>I33*Assumptions!$N$96*I37</f>
        <v>298920</v>
      </c>
      <c r="J44" s="7">
        <f>J33*Assumptions!$N$96*J37</f>
        <v>609120</v>
      </c>
      <c r="K44" s="7">
        <f>K33*Assumptions!$N$96*K37</f>
        <v>620400</v>
      </c>
      <c r="L44" s="7">
        <f>L33*Assumptions!$N$96*L37</f>
        <v>637319.99999999988</v>
      </c>
      <c r="M44" s="7">
        <f>M33*Assumptions!$N$96*M37</f>
        <v>648600</v>
      </c>
      <c r="N44" s="7">
        <f>N33*Assumptions!$N$96*N37</f>
        <v>659880</v>
      </c>
      <c r="O44" s="7">
        <f>O33*Assumptions!$N$96*O37</f>
        <v>676800</v>
      </c>
      <c r="P44" s="7">
        <f>P33*Assumptions!$N$96*P37</f>
        <v>688080</v>
      </c>
      <c r="Q44" s="7">
        <f>Q33*Assumptions!$N$96*Q37</f>
        <v>699360</v>
      </c>
      <c r="R44" s="7">
        <f>R33*Assumptions!$N$96*R37</f>
        <v>716280</v>
      </c>
      <c r="S44" s="7">
        <f>S33*Assumptions!$N$96*S37</f>
        <v>727560</v>
      </c>
      <c r="T44" s="7">
        <f>T33*Assumptions!$N$96*T37</f>
        <v>744480</v>
      </c>
      <c r="U44" s="7">
        <f>U33*Assumptions!$N$96*U37</f>
        <v>761400</v>
      </c>
      <c r="V44" s="7">
        <f>V33*Assumptions!$N$96*V37</f>
        <v>772680.00000000012</v>
      </c>
      <c r="W44" s="7">
        <f>W33*Assumptions!$N$96*W37</f>
        <v>789600</v>
      </c>
      <c r="X44" s="7">
        <f>X33*Assumptions!$N$96*X37</f>
        <v>806520</v>
      </c>
      <c r="Y44" s="7">
        <f>Y33*Assumptions!$N$96*Y37</f>
        <v>823440</v>
      </c>
      <c r="Z44" s="7">
        <f>Z33*Assumptions!$N$96*Z37</f>
        <v>840360</v>
      </c>
    </row>
    <row r="45" spans="1:26" s="15" customFormat="1">
      <c r="B45" s="15" t="s">
        <v>616</v>
      </c>
      <c r="F45" s="717"/>
      <c r="G45" s="717">
        <v>0</v>
      </c>
      <c r="H45" s="717">
        <v>0</v>
      </c>
      <c r="I45" s="717">
        <f>-('Parcel x Block Info'!$P$15*0.36)*I34</f>
        <v>-729502.22660399985</v>
      </c>
      <c r="J45" s="717">
        <f>(729502*1.02)*0.3</f>
        <v>223227.61199999999</v>
      </c>
      <c r="K45" s="717">
        <f t="shared" ref="K45:Z45" si="6">J45*1.02</f>
        <v>227692.16423999998</v>
      </c>
      <c r="L45" s="717">
        <f t="shared" si="6"/>
        <v>232246.00752479999</v>
      </c>
      <c r="M45" s="717">
        <f t="shared" si="6"/>
        <v>236890.927675296</v>
      </c>
      <c r="N45" s="717">
        <f t="shared" si="6"/>
        <v>241628.74622880193</v>
      </c>
      <c r="O45" s="717">
        <f t="shared" si="6"/>
        <v>246461.32115337797</v>
      </c>
      <c r="P45" s="717">
        <f t="shared" si="6"/>
        <v>251390.54757644553</v>
      </c>
      <c r="Q45" s="717">
        <f t="shared" si="6"/>
        <v>256418.35852797446</v>
      </c>
      <c r="R45" s="717">
        <f t="shared" si="6"/>
        <v>261546.72569853396</v>
      </c>
      <c r="S45" s="717">
        <f t="shared" si="6"/>
        <v>266777.66021250462</v>
      </c>
      <c r="T45" s="717">
        <f t="shared" si="6"/>
        <v>272113.21341675473</v>
      </c>
      <c r="U45" s="717">
        <f t="shared" si="6"/>
        <v>277555.47768508981</v>
      </c>
      <c r="V45" s="717">
        <f t="shared" si="6"/>
        <v>283106.58723879163</v>
      </c>
      <c r="W45" s="717">
        <f t="shared" si="6"/>
        <v>288768.71898356749</v>
      </c>
      <c r="X45" s="717">
        <f t="shared" si="6"/>
        <v>294544.09336323885</v>
      </c>
      <c r="Y45" s="717">
        <f t="shared" si="6"/>
        <v>300434.97523050365</v>
      </c>
      <c r="Z45" s="717">
        <f t="shared" si="6"/>
        <v>306443.67473511375</v>
      </c>
    </row>
    <row r="46" spans="1:26" s="15" customFormat="1">
      <c r="B46" s="718" t="s">
        <v>617</v>
      </c>
      <c r="C46" s="718"/>
      <c r="D46" s="718"/>
      <c r="E46" s="718"/>
      <c r="F46" s="719">
        <v>0</v>
      </c>
      <c r="G46" s="719">
        <v>0</v>
      </c>
      <c r="H46" s="719">
        <v>0</v>
      </c>
      <c r="I46" s="719">
        <f t="shared" ref="I46:Z46" si="7">SUM(I44:I45)</f>
        <v>-430582.22660399985</v>
      </c>
      <c r="J46" s="719">
        <f t="shared" si="7"/>
        <v>832347.61199999996</v>
      </c>
      <c r="K46" s="719">
        <f t="shared" si="7"/>
        <v>848092.16423999995</v>
      </c>
      <c r="L46" s="719">
        <f t="shared" si="7"/>
        <v>869566.0075247999</v>
      </c>
      <c r="M46" s="719">
        <f t="shared" si="7"/>
        <v>885490.92767529597</v>
      </c>
      <c r="N46" s="719">
        <f t="shared" si="7"/>
        <v>901508.7462288019</v>
      </c>
      <c r="O46" s="719">
        <f t="shared" si="7"/>
        <v>923261.321153378</v>
      </c>
      <c r="P46" s="719">
        <f t="shared" si="7"/>
        <v>939470.5475764455</v>
      </c>
      <c r="Q46" s="719">
        <f t="shared" si="7"/>
        <v>955778.35852797446</v>
      </c>
      <c r="R46" s="719">
        <f t="shared" si="7"/>
        <v>977826.72569853393</v>
      </c>
      <c r="S46" s="719">
        <f t="shared" si="7"/>
        <v>994337.66021250468</v>
      </c>
      <c r="T46" s="719">
        <f t="shared" si="7"/>
        <v>1016593.2134167547</v>
      </c>
      <c r="U46" s="719">
        <f t="shared" si="7"/>
        <v>1038955.4776850898</v>
      </c>
      <c r="V46" s="719">
        <f t="shared" si="7"/>
        <v>1055786.5872387919</v>
      </c>
      <c r="W46" s="719">
        <f t="shared" si="7"/>
        <v>1078368.7189835676</v>
      </c>
      <c r="X46" s="719">
        <f t="shared" si="7"/>
        <v>1101064.093363239</v>
      </c>
      <c r="Y46" s="719">
        <f t="shared" si="7"/>
        <v>1123874.9752305036</v>
      </c>
      <c r="Z46" s="719">
        <f t="shared" si="7"/>
        <v>1146803.6747351137</v>
      </c>
    </row>
    <row r="47" spans="1:26" s="15" customFormat="1"/>
    <row r="48" spans="1:26" s="15" customFormat="1" ht="15.75">
      <c r="A48" s="729"/>
      <c r="B48" s="721" t="s">
        <v>618</v>
      </c>
      <c r="C48" s="721"/>
      <c r="D48" s="721"/>
      <c r="E48" s="721"/>
      <c r="F48" s="722">
        <v>0</v>
      </c>
      <c r="G48" s="722">
        <v>0</v>
      </c>
      <c r="H48" s="722">
        <v>0</v>
      </c>
      <c r="I48" s="722">
        <f>I42+I46</f>
        <v>836965.16953286773</v>
      </c>
      <c r="J48" s="722">
        <f t="shared" ref="J48:Y48" si="8">J42-J46</f>
        <v>1794486.5854947895</v>
      </c>
      <c r="K48" s="722">
        <f t="shared" si="8"/>
        <v>1846449.5871705804</v>
      </c>
      <c r="L48" s="722">
        <f t="shared" si="8"/>
        <v>1892561.297801571</v>
      </c>
      <c r="M48" s="730">
        <f t="shared" si="8"/>
        <v>1968012.7828721297</v>
      </c>
      <c r="N48" s="722">
        <f t="shared" si="8"/>
        <v>2043242.3695396786</v>
      </c>
      <c r="O48" s="722">
        <f t="shared" si="8"/>
        <v>2088690.3485308932</v>
      </c>
      <c r="P48" s="722">
        <f t="shared" si="8"/>
        <v>2163459.52732888</v>
      </c>
      <c r="Q48" s="722">
        <f t="shared" si="8"/>
        <v>2237990.1215984058</v>
      </c>
      <c r="R48" s="722">
        <f t="shared" si="8"/>
        <v>2330551.0109541644</v>
      </c>
      <c r="S48" s="722">
        <f t="shared" si="8"/>
        <v>2404584.481661248</v>
      </c>
      <c r="T48" s="722">
        <f t="shared" si="8"/>
        <v>2472720.3336780528</v>
      </c>
      <c r="U48" s="722">
        <f t="shared" si="8"/>
        <v>2564506.3259360357</v>
      </c>
      <c r="V48" s="722">
        <f t="shared" si="8"/>
        <v>2637745.6216033883</v>
      </c>
      <c r="W48" s="722">
        <f t="shared" si="8"/>
        <v>2728981.7463849299</v>
      </c>
      <c r="X48" s="722">
        <f t="shared" si="8"/>
        <v>2819931.6285315771</v>
      </c>
      <c r="Y48" s="722">
        <f t="shared" si="8"/>
        <v>2910588.003190631</v>
      </c>
      <c r="Z48" s="722">
        <f t="shared" ref="Z48" si="9">Z42-Z46</f>
        <v>3024858.4115176024</v>
      </c>
    </row>
    <row r="49" spans="2:26" s="15" customFormat="1" ht="15.75">
      <c r="B49" s="723" t="s">
        <v>619</v>
      </c>
      <c r="C49" s="724"/>
      <c r="D49" s="724"/>
      <c r="E49" s="724"/>
      <c r="F49" s="725"/>
      <c r="G49" s="725"/>
      <c r="H49" s="725"/>
      <c r="I49" s="726">
        <f t="shared" ref="I49:Y49" si="10">+IFERROR(I48/I42,"")</f>
        <v>0.66030285895715235</v>
      </c>
      <c r="J49" s="726">
        <f t="shared" si="10"/>
        <v>0.68313660116279529</v>
      </c>
      <c r="K49" s="726">
        <f t="shared" si="10"/>
        <v>0.68525551188953471</v>
      </c>
      <c r="L49" s="726">
        <f t="shared" si="10"/>
        <v>0.68518250196217778</v>
      </c>
      <c r="M49" s="726">
        <f t="shared" si="10"/>
        <v>0.68968292404798714</v>
      </c>
      <c r="N49" s="726">
        <f t="shared" si="10"/>
        <v>0.69385910360932535</v>
      </c>
      <c r="O49" s="726">
        <f t="shared" si="10"/>
        <v>0.69346741833670944</v>
      </c>
      <c r="P49" s="726">
        <f t="shared" si="10"/>
        <v>0.69723115735854602</v>
      </c>
      <c r="Q49" s="726">
        <f t="shared" si="10"/>
        <v>0.70073649217987355</v>
      </c>
      <c r="R49" s="726">
        <f t="shared" si="10"/>
        <v>0.70443921355610828</v>
      </c>
      <c r="S49" s="726">
        <f t="shared" si="10"/>
        <v>0.70745500523164451</v>
      </c>
      <c r="T49" s="726">
        <f t="shared" si="10"/>
        <v>0.70865524129719804</v>
      </c>
      <c r="U49" s="726">
        <f t="shared" si="10"/>
        <v>0.7116785096373045</v>
      </c>
      <c r="V49" s="726">
        <f t="shared" si="10"/>
        <v>0.71415259769191197</v>
      </c>
      <c r="W49" s="726">
        <f t="shared" si="10"/>
        <v>0.71676662582224437</v>
      </c>
      <c r="X49" s="726">
        <f t="shared" si="10"/>
        <v>0.71918763205608616</v>
      </c>
      <c r="Y49" s="726">
        <f t="shared" si="10"/>
        <v>0.72143133268499449</v>
      </c>
      <c r="Z49" s="726">
        <f t="shared" ref="Z49" si="11">+IFERROR(Z48/Z42,"")</f>
        <v>0.7250966998227667</v>
      </c>
    </row>
    <row r="50" spans="2:26" s="15" customFormat="1" ht="15.75">
      <c r="B50" s="723" t="s">
        <v>568</v>
      </c>
      <c r="C50" s="724"/>
      <c r="D50" s="724"/>
      <c r="E50" s="724"/>
      <c r="F50" s="727">
        <v>0</v>
      </c>
      <c r="G50" s="727">
        <v>0</v>
      </c>
      <c r="H50" s="727">
        <v>0</v>
      </c>
      <c r="I50" s="727">
        <f>I48/Assumptions!$N$129</f>
        <v>15217548.536961231</v>
      </c>
      <c r="J50" s="727">
        <f>J48/Assumptions!$N$129</f>
        <v>32627028.82717799</v>
      </c>
      <c r="K50" s="727">
        <f>K48/Assumptions!$N$129</f>
        <v>33571810.675828733</v>
      </c>
      <c r="L50" s="727">
        <f>L48/Assumptions!$N$129</f>
        <v>34410205.41457402</v>
      </c>
      <c r="M50" s="727">
        <f>M48/Assumptions!$N$129</f>
        <v>35782050.597675085</v>
      </c>
      <c r="N50" s="727">
        <f>N48/Assumptions!$N$129</f>
        <v>37149861.26435779</v>
      </c>
      <c r="O50" s="727">
        <f>O48/Assumptions!$N$129</f>
        <v>37976188.155107148</v>
      </c>
      <c r="P50" s="727">
        <f>P48/Assumptions!$N$129</f>
        <v>39335627.769616</v>
      </c>
      <c r="Q50" s="727">
        <f>Q48/Assumptions!$N$129</f>
        <v>40690729.483607374</v>
      </c>
      <c r="R50" s="727">
        <f>R48/Assumptions!$N$129</f>
        <v>42373654.744621173</v>
      </c>
      <c r="S50" s="727">
        <f>S48/Assumptions!$N$129</f>
        <v>43719717.848386325</v>
      </c>
      <c r="T50" s="727">
        <f>T48/Assumptions!$N$129</f>
        <v>44958551.521419138</v>
      </c>
      <c r="U50" s="727">
        <f>U48/Assumptions!$N$129</f>
        <v>46627387.744291559</v>
      </c>
      <c r="V50" s="727">
        <f>V48/Assumptions!$N$129</f>
        <v>47959011.301879786</v>
      </c>
      <c r="W50" s="727">
        <f>W48/Assumptions!$N$129</f>
        <v>49617849.934271455</v>
      </c>
      <c r="X50" s="727">
        <f>X48/Assumptions!$N$129</f>
        <v>51271484.155119583</v>
      </c>
      <c r="Y50" s="727">
        <f>Y48/Assumptions!$N$129</f>
        <v>52919781.876193292</v>
      </c>
      <c r="Z50" s="727">
        <f>Z48/Assumptions!$N$129</f>
        <v>54997425.663956404</v>
      </c>
    </row>
    <row r="52" spans="2:26" ht="15.75">
      <c r="B52" s="652" t="s">
        <v>14</v>
      </c>
      <c r="C52" s="653"/>
      <c r="D52" s="653"/>
      <c r="E52" s="653"/>
      <c r="F52" s="654">
        <v>44561</v>
      </c>
      <c r="G52" s="654">
        <v>44926</v>
      </c>
      <c r="H52" s="654">
        <v>45291</v>
      </c>
      <c r="I52" s="654">
        <v>45657</v>
      </c>
      <c r="J52" s="654">
        <v>46022</v>
      </c>
      <c r="K52" s="654">
        <v>46387</v>
      </c>
      <c r="L52" s="654">
        <v>46752</v>
      </c>
      <c r="M52" s="654">
        <v>47118</v>
      </c>
      <c r="N52" s="654">
        <v>47483</v>
      </c>
      <c r="O52" s="654">
        <v>11323</v>
      </c>
      <c r="P52" s="654">
        <v>11688</v>
      </c>
      <c r="Q52" s="654">
        <v>12054</v>
      </c>
      <c r="R52" s="654">
        <v>12419</v>
      </c>
      <c r="S52" s="654">
        <v>12784</v>
      </c>
      <c r="T52" s="654">
        <v>13149</v>
      </c>
      <c r="U52" s="654">
        <v>13515</v>
      </c>
      <c r="V52" s="654">
        <v>13880</v>
      </c>
      <c r="W52" s="654">
        <v>14245</v>
      </c>
      <c r="X52" s="654">
        <v>14610</v>
      </c>
      <c r="Y52" s="654">
        <v>14976</v>
      </c>
      <c r="Z52" s="654">
        <v>15341</v>
      </c>
    </row>
    <row r="53" spans="2:26">
      <c r="B53" s="655" t="s">
        <v>605</v>
      </c>
      <c r="C53" s="655"/>
      <c r="D53" s="20"/>
      <c r="E53" s="20"/>
      <c r="F53" s="22">
        <v>0</v>
      </c>
      <c r="G53" s="22">
        <v>0</v>
      </c>
      <c r="H53" s="22">
        <v>0</v>
      </c>
      <c r="I53" s="22">
        <v>45856</v>
      </c>
      <c r="J53" s="22">
        <v>45856</v>
      </c>
      <c r="K53" s="22">
        <v>0</v>
      </c>
      <c r="L53" s="22">
        <v>0</v>
      </c>
      <c r="M53" s="22">
        <v>0</v>
      </c>
      <c r="N53" s="22">
        <v>0</v>
      </c>
      <c r="O53" s="22">
        <v>0</v>
      </c>
      <c r="P53" s="22">
        <v>0</v>
      </c>
      <c r="Q53" s="22">
        <v>0</v>
      </c>
      <c r="R53" s="22">
        <v>0</v>
      </c>
      <c r="S53" s="22">
        <v>0</v>
      </c>
      <c r="T53" s="22">
        <v>0</v>
      </c>
      <c r="U53" s="22">
        <v>0</v>
      </c>
      <c r="V53" s="22">
        <v>0</v>
      </c>
      <c r="W53" s="22">
        <v>0</v>
      </c>
      <c r="X53" s="22">
        <v>0</v>
      </c>
      <c r="Y53" s="22">
        <v>0</v>
      </c>
      <c r="Z53" s="22">
        <v>0</v>
      </c>
    </row>
    <row r="54" spans="2:26">
      <c r="B54" s="655" t="s">
        <v>606</v>
      </c>
      <c r="C54" s="655"/>
      <c r="D54" s="22">
        <v>0</v>
      </c>
      <c r="E54" s="22"/>
      <c r="F54" s="22">
        <v>0</v>
      </c>
      <c r="G54" s="22">
        <v>0</v>
      </c>
      <c r="H54" s="22">
        <v>0</v>
      </c>
      <c r="I54" s="22">
        <v>45856</v>
      </c>
      <c r="J54" s="22">
        <v>91711</v>
      </c>
      <c r="K54" s="22">
        <v>91711</v>
      </c>
      <c r="L54" s="22">
        <v>91711</v>
      </c>
      <c r="M54" s="22">
        <v>91711</v>
      </c>
      <c r="N54" s="22">
        <v>91711</v>
      </c>
      <c r="O54" s="22">
        <v>91711</v>
      </c>
      <c r="P54" s="22">
        <v>91711</v>
      </c>
      <c r="Q54" s="22">
        <v>91711</v>
      </c>
      <c r="R54" s="22">
        <v>91711</v>
      </c>
      <c r="S54" s="22">
        <v>91711</v>
      </c>
      <c r="T54" s="22">
        <v>91711</v>
      </c>
      <c r="U54" s="22">
        <v>91711</v>
      </c>
      <c r="V54" s="22">
        <v>91711</v>
      </c>
      <c r="W54" s="22">
        <v>91711</v>
      </c>
      <c r="X54" s="22">
        <v>91711</v>
      </c>
      <c r="Y54" s="22">
        <v>91711</v>
      </c>
      <c r="Z54" s="22">
        <v>91711</v>
      </c>
    </row>
    <row r="55" spans="2:26">
      <c r="B55" s="655" t="s">
        <v>609</v>
      </c>
      <c r="C55" s="655"/>
      <c r="D55" s="22"/>
      <c r="E55" s="22"/>
      <c r="F55" s="49">
        <v>0</v>
      </c>
      <c r="G55" s="49">
        <v>0</v>
      </c>
      <c r="H55" s="49">
        <v>0</v>
      </c>
      <c r="I55" s="49">
        <v>0.5</v>
      </c>
      <c r="J55" s="49">
        <v>1</v>
      </c>
      <c r="K55" s="49">
        <v>1</v>
      </c>
      <c r="L55" s="49">
        <v>1</v>
      </c>
      <c r="M55" s="49">
        <v>1</v>
      </c>
      <c r="N55" s="49">
        <v>1</v>
      </c>
      <c r="O55" s="49">
        <v>1</v>
      </c>
      <c r="P55" s="49">
        <v>1</v>
      </c>
      <c r="Q55" s="49">
        <v>1</v>
      </c>
      <c r="R55" s="49">
        <v>1</v>
      </c>
      <c r="S55" s="49">
        <v>1</v>
      </c>
      <c r="T55" s="49">
        <v>1</v>
      </c>
      <c r="U55" s="49">
        <v>1</v>
      </c>
      <c r="V55" s="49">
        <v>1</v>
      </c>
      <c r="W55" s="49">
        <v>1</v>
      </c>
      <c r="X55" s="49">
        <v>1</v>
      </c>
      <c r="Y55" s="49">
        <v>1</v>
      </c>
      <c r="Z55" s="49">
        <v>1</v>
      </c>
    </row>
    <row r="56" spans="2:26">
      <c r="B56" s="655"/>
      <c r="C56" s="655"/>
      <c r="D56" s="20"/>
      <c r="E56" s="20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</row>
    <row r="57" spans="2:26">
      <c r="B57" s="655" t="s">
        <v>610</v>
      </c>
      <c r="C57" s="655"/>
      <c r="D57" s="22"/>
      <c r="E57" s="22"/>
      <c r="F57" s="49">
        <v>1</v>
      </c>
      <c r="G57" s="49">
        <v>1</v>
      </c>
      <c r="H57" s="49">
        <v>1</v>
      </c>
      <c r="I57" s="49">
        <v>1</v>
      </c>
      <c r="J57" s="49">
        <v>1</v>
      </c>
      <c r="K57" s="49">
        <v>1</v>
      </c>
      <c r="L57" s="49">
        <v>1.1000000000000001</v>
      </c>
      <c r="M57" s="49">
        <v>1.1000000000000001</v>
      </c>
      <c r="N57" s="49">
        <v>1.1000000000000001</v>
      </c>
      <c r="O57" s="49">
        <v>1.1000000000000001</v>
      </c>
      <c r="P57" s="49">
        <v>1.1000000000000001</v>
      </c>
      <c r="Q57" s="49">
        <v>1.21</v>
      </c>
      <c r="R57" s="49">
        <v>1.21</v>
      </c>
      <c r="S57" s="49">
        <v>1.21</v>
      </c>
      <c r="T57" s="49">
        <v>1.21</v>
      </c>
      <c r="U57" s="49">
        <v>1.21</v>
      </c>
      <c r="V57" s="49">
        <v>1.33</v>
      </c>
      <c r="W57" s="49">
        <v>1.33</v>
      </c>
      <c r="X57" s="49">
        <v>1.33</v>
      </c>
      <c r="Y57" s="49">
        <v>1.33</v>
      </c>
      <c r="Z57" s="49">
        <v>1.33</v>
      </c>
    </row>
    <row r="58" spans="2:26">
      <c r="B58" s="655" t="s">
        <v>611</v>
      </c>
      <c r="C58" s="655"/>
      <c r="D58" s="22"/>
      <c r="E58" s="22"/>
      <c r="F58" s="49">
        <v>1</v>
      </c>
      <c r="G58" s="49">
        <v>1.02</v>
      </c>
      <c r="H58" s="49">
        <v>1.04</v>
      </c>
      <c r="I58" s="49">
        <v>1.06</v>
      </c>
      <c r="J58" s="49">
        <v>1.08</v>
      </c>
      <c r="K58" s="49">
        <v>1.1000000000000001</v>
      </c>
      <c r="L58" s="49">
        <v>1.1299999999999999</v>
      </c>
      <c r="M58" s="49">
        <v>1.1499999999999999</v>
      </c>
      <c r="N58" s="49">
        <v>1.17</v>
      </c>
      <c r="O58" s="49">
        <v>1.2</v>
      </c>
      <c r="P58" s="49">
        <v>1.22</v>
      </c>
      <c r="Q58" s="49">
        <v>1.24</v>
      </c>
      <c r="R58" s="49">
        <v>1.27</v>
      </c>
      <c r="S58" s="49">
        <v>1.29</v>
      </c>
      <c r="T58" s="49">
        <v>1.32</v>
      </c>
      <c r="U58" s="49">
        <v>1.35</v>
      </c>
      <c r="V58" s="49">
        <v>1.37</v>
      </c>
      <c r="W58" s="49">
        <v>1.4</v>
      </c>
      <c r="X58" s="49">
        <v>1.43</v>
      </c>
      <c r="Y58" s="49">
        <v>1.46</v>
      </c>
      <c r="Z58" s="49">
        <v>1.49</v>
      </c>
    </row>
    <row r="59" spans="2:26">
      <c r="B59" s="655"/>
      <c r="C59" s="655"/>
      <c r="D59" s="20"/>
      <c r="E59" s="20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</row>
    <row r="60" spans="2:26" s="15" customFormat="1">
      <c r="B60" s="15" t="s">
        <v>612</v>
      </c>
      <c r="D60" s="7"/>
      <c r="E60" s="7"/>
      <c r="F60" s="7">
        <v>0</v>
      </c>
      <c r="G60" s="7">
        <v>0</v>
      </c>
      <c r="H60" s="7">
        <v>0</v>
      </c>
      <c r="I60" s="7">
        <f>I55*Assumptions!$F$136*I57</f>
        <v>2601081.4</v>
      </c>
      <c r="J60" s="7">
        <f>J55*Assumptions!$F$136*J57</f>
        <v>5202162.8</v>
      </c>
      <c r="K60" s="7">
        <f>K55*Assumptions!$F$136*K57</f>
        <v>5202162.8</v>
      </c>
      <c r="L60" s="7">
        <f>L55*Assumptions!$F$136*L57</f>
        <v>5722379.0800000001</v>
      </c>
      <c r="M60" s="7">
        <f>M55*Assumptions!$F$136*M57</f>
        <v>5722379.0800000001</v>
      </c>
      <c r="N60" s="7">
        <f>N55*Assumptions!$F$136*N57</f>
        <v>5722379.0800000001</v>
      </c>
      <c r="O60" s="7">
        <f>O55*Assumptions!$F$136*O57</f>
        <v>5722379.0800000001</v>
      </c>
      <c r="P60" s="7">
        <f>P55*Assumptions!$F$136*P57</f>
        <v>5722379.0800000001</v>
      </c>
      <c r="Q60" s="7">
        <f>Q55*Assumptions!$F$136*Q57</f>
        <v>6294616.9879999999</v>
      </c>
      <c r="R60" s="7">
        <f>R55*Assumptions!$F$136*R57</f>
        <v>6294616.9879999999</v>
      </c>
      <c r="S60" s="7">
        <f>S55*Assumptions!$F$136*S57</f>
        <v>6294616.9879999999</v>
      </c>
      <c r="T60" s="7">
        <f>T55*Assumptions!$F$136*T57</f>
        <v>6294616.9879999999</v>
      </c>
      <c r="U60" s="7">
        <f>U55*Assumptions!$F$136*U57</f>
        <v>6294616.9879999999</v>
      </c>
      <c r="V60" s="7">
        <f>V55*Assumptions!$F$136*V57</f>
        <v>6918876.5240000002</v>
      </c>
      <c r="W60" s="7">
        <f>W55*Assumptions!$F$136*W57</f>
        <v>6918876.5240000002</v>
      </c>
      <c r="X60" s="7">
        <f>X55*Assumptions!$F$136*X57</f>
        <v>6918876.5240000002</v>
      </c>
      <c r="Y60" s="7">
        <f>Y55*Assumptions!$F$136*Y57</f>
        <v>6918876.5240000002</v>
      </c>
      <c r="Z60" s="7">
        <f>Z55*Assumptions!$F$136*Z57</f>
        <v>6918876.5240000002</v>
      </c>
    </row>
    <row r="61" spans="2:26" s="15" customFormat="1">
      <c r="B61" s="15" t="s">
        <v>613</v>
      </c>
      <c r="D61" s="7"/>
      <c r="E61" s="7"/>
      <c r="F61" s="715">
        <v>0</v>
      </c>
      <c r="G61" s="715">
        <v>0</v>
      </c>
      <c r="H61" s="715">
        <v>0</v>
      </c>
      <c r="I61" s="716">
        <f>-I60*Assumptions!$M$56</f>
        <v>-130054.07</v>
      </c>
      <c r="J61" s="716">
        <f>-J60*Assumptions!$M$56</f>
        <v>-260108.14</v>
      </c>
      <c r="K61" s="716">
        <f>-K60*Assumptions!$M$56</f>
        <v>-260108.14</v>
      </c>
      <c r="L61" s="716">
        <f>-L60*Assumptions!$M$56</f>
        <v>-286118.95400000003</v>
      </c>
      <c r="M61" s="716">
        <f>-M60*Assumptions!$M$56</f>
        <v>-286118.95400000003</v>
      </c>
      <c r="N61" s="716">
        <f>-N60*Assumptions!$M$56</f>
        <v>-286118.95400000003</v>
      </c>
      <c r="O61" s="716">
        <f>-O60*Assumptions!$M$56</f>
        <v>-286118.95400000003</v>
      </c>
      <c r="P61" s="716">
        <f>-P60*Assumptions!$M$56</f>
        <v>-286118.95400000003</v>
      </c>
      <c r="Q61" s="716">
        <f>-Q60*Assumptions!$M$56</f>
        <v>-314730.84940000001</v>
      </c>
      <c r="R61" s="716">
        <f>-R60*Assumptions!$M$56</f>
        <v>-314730.84940000001</v>
      </c>
      <c r="S61" s="716">
        <f>-S60*Assumptions!$M$56</f>
        <v>-314730.84940000001</v>
      </c>
      <c r="T61" s="716">
        <f>-T60*Assumptions!$M$56</f>
        <v>-314730.84940000001</v>
      </c>
      <c r="U61" s="716">
        <f>-U60*Assumptions!$M$56</f>
        <v>-314730.84940000001</v>
      </c>
      <c r="V61" s="716">
        <f>-V60*Assumptions!$M$56</f>
        <v>-345943.82620000001</v>
      </c>
      <c r="W61" s="716">
        <f>-W60*Assumptions!$M$56</f>
        <v>-345943.82620000001</v>
      </c>
      <c r="X61" s="716">
        <f>-X60*Assumptions!$M$56</f>
        <v>-345943.82620000001</v>
      </c>
      <c r="Y61" s="716">
        <f>-Y60*Assumptions!$M$56</f>
        <v>-345943.82620000001</v>
      </c>
      <c r="Z61" s="716">
        <f>-Z60*Assumptions!$M$56</f>
        <v>-345943.82620000001</v>
      </c>
    </row>
    <row r="62" spans="2:26" s="15" customFormat="1">
      <c r="B62" s="15" t="s">
        <v>622</v>
      </c>
      <c r="D62" s="7"/>
      <c r="E62" s="7"/>
      <c r="F62" s="717">
        <v>0</v>
      </c>
      <c r="G62" s="717">
        <v>0</v>
      </c>
      <c r="H62" s="717">
        <v>0</v>
      </c>
      <c r="I62" s="717">
        <f>I67*Assumptions!$N$89</f>
        <v>337045.85836479999</v>
      </c>
      <c r="J62" s="717">
        <f>J67*Assumptions!$N$89</f>
        <v>620809.66321209609</v>
      </c>
      <c r="K62" s="717">
        <f>K67*Assumptions!$N$89</f>
        <v>824318.32945920015</v>
      </c>
      <c r="L62" s="717">
        <f>L67*Assumptions!$N$89</f>
        <v>844913.34884838387</v>
      </c>
      <c r="M62" s="717">
        <f>M67*Assumptions!$N$89</f>
        <v>849997.40945919999</v>
      </c>
      <c r="N62" s="717">
        <f>N67*Assumptions!$N$89</f>
        <v>865456.61284838396</v>
      </c>
      <c r="O62" s="717">
        <f>O67*Assumptions!$N$89</f>
        <v>875676.48945920006</v>
      </c>
      <c r="P62" s="717">
        <f>P67*Assumptions!$N$89</f>
        <v>891135.69284838403</v>
      </c>
      <c r="Q62" s="717">
        <f>Q67*Assumptions!$N$89</f>
        <v>896219.75345919991</v>
      </c>
      <c r="R62" s="717">
        <f>R67*Assumptions!$N$89</f>
        <v>916814.77284838411</v>
      </c>
      <c r="S62" s="717">
        <f>S67*Assumptions!$N$89</f>
        <v>921898.83345919999</v>
      </c>
      <c r="T62" s="717">
        <f>T67*Assumptions!$N$89</f>
        <v>942493.85284838406</v>
      </c>
      <c r="U62" s="717">
        <f>U67*Assumptions!$N$89</f>
        <v>952713.72945920005</v>
      </c>
      <c r="V62" s="717">
        <f>V67*Assumptions!$N$89</f>
        <v>968172.93284838414</v>
      </c>
      <c r="W62" s="717">
        <f>W67*Assumptions!$N$89</f>
        <v>978392.80945920001</v>
      </c>
      <c r="X62" s="717">
        <f>X67*Assumptions!$N$89</f>
        <v>998987.82884838397</v>
      </c>
      <c r="Y62" s="717">
        <f>Y67*Assumptions!$N$89</f>
        <v>1009207.7054591998</v>
      </c>
      <c r="Z62" s="717">
        <f>Z67*Assumptions!$N$89</f>
        <v>1029802.724848384</v>
      </c>
    </row>
    <row r="63" spans="2:26" s="15" customFormat="1">
      <c r="B63" s="718" t="s">
        <v>614</v>
      </c>
      <c r="C63" s="718"/>
      <c r="D63" s="718"/>
      <c r="E63" s="718"/>
      <c r="F63" s="719">
        <v>0</v>
      </c>
      <c r="G63" s="719">
        <v>0</v>
      </c>
      <c r="H63" s="719">
        <v>0</v>
      </c>
      <c r="I63" s="719">
        <f>SUM(I60:I62)</f>
        <v>2808073.1883648001</v>
      </c>
      <c r="J63" s="719">
        <v>7151914</v>
      </c>
      <c r="K63" s="719">
        <v>7192416</v>
      </c>
      <c r="L63" s="719">
        <v>7698182</v>
      </c>
      <c r="M63" s="719">
        <v>7764378</v>
      </c>
      <c r="N63" s="719">
        <v>7808635</v>
      </c>
      <c r="O63" s="719">
        <v>7854221</v>
      </c>
      <c r="P63" s="719">
        <v>7924866</v>
      </c>
      <c r="Q63" s="719">
        <v>8483681</v>
      </c>
      <c r="R63" s="719">
        <v>8533494</v>
      </c>
      <c r="S63" s="719">
        <v>8608966</v>
      </c>
      <c r="T63" s="719">
        <v>8661812</v>
      </c>
      <c r="U63" s="719">
        <v>8716243</v>
      </c>
      <c r="V63" s="719">
        <v>9358456</v>
      </c>
      <c r="W63" s="719">
        <v>9416202</v>
      </c>
      <c r="X63" s="719">
        <v>9475681</v>
      </c>
      <c r="Y63" s="719">
        <v>9562086</v>
      </c>
      <c r="Z63" s="719">
        <v>9625187</v>
      </c>
    </row>
    <row r="64" spans="2:26" s="15" customFormat="1"/>
    <row r="65" spans="2:26" s="15" customFormat="1">
      <c r="B65" s="15" t="s">
        <v>615</v>
      </c>
      <c r="F65" s="7">
        <v>0</v>
      </c>
      <c r="G65" s="7">
        <v>0</v>
      </c>
      <c r="H65" s="7">
        <v>0</v>
      </c>
      <c r="I65" s="7">
        <f>I54*Assumptions!$N$121*'Phase I Pro Forma'!I58</f>
        <v>340251.52</v>
      </c>
      <c r="J65" s="7">
        <f>J54*Assumptions!$N$121*'Phase I Pro Forma'!J58</f>
        <v>693335.16</v>
      </c>
      <c r="K65" s="7">
        <f>K54*Assumptions!$N$121*'Phase I Pro Forma'!K58</f>
        <v>706174.70000000007</v>
      </c>
      <c r="L65" s="7">
        <f>L54*Assumptions!$N$121*'Phase I Pro Forma'!L58</f>
        <v>725434.00999999989</v>
      </c>
      <c r="M65" s="7">
        <f>M54*Assumptions!$N$121*'Phase I Pro Forma'!M58</f>
        <v>738273.54999999993</v>
      </c>
      <c r="N65" s="7">
        <f>N54*Assumptions!$N$121*'Phase I Pro Forma'!N58</f>
        <v>751113.09</v>
      </c>
      <c r="O65" s="7">
        <f>O54*Assumptions!$N$121*'Phase I Pro Forma'!O58</f>
        <v>770372.4</v>
      </c>
      <c r="P65" s="7">
        <f>P54*Assumptions!$N$121*'Phase I Pro Forma'!P58</f>
        <v>783211.94</v>
      </c>
      <c r="Q65" s="7">
        <f>Q54*Assumptions!$N$121*'Phase I Pro Forma'!Q58</f>
        <v>796051.48</v>
      </c>
      <c r="R65" s="7">
        <f>R54*Assumptions!$N$121*'Phase I Pro Forma'!R58</f>
        <v>815310.79</v>
      </c>
      <c r="S65" s="7">
        <f>S54*Assumptions!$N$121*'Phase I Pro Forma'!S58</f>
        <v>828150.33000000007</v>
      </c>
      <c r="T65" s="7">
        <f>T54*Assumptions!$N$121*'Phase I Pro Forma'!T58</f>
        <v>847409.64</v>
      </c>
      <c r="U65" s="7">
        <f>U54*Assumptions!$N$121*'Phase I Pro Forma'!U58</f>
        <v>866668.95000000007</v>
      </c>
      <c r="V65" s="7">
        <f>V54*Assumptions!$N$121*'Phase I Pro Forma'!V58</f>
        <v>879508.49000000011</v>
      </c>
      <c r="W65" s="7">
        <f>W54*Assumptions!$N$121*'Phase I Pro Forma'!W58</f>
        <v>898767.79999999993</v>
      </c>
      <c r="X65" s="7">
        <f>X54*Assumptions!$N$121*'Phase I Pro Forma'!X58</f>
        <v>918027.11</v>
      </c>
      <c r="Y65" s="7">
        <f>Y54*Assumptions!$N$121*'Phase I Pro Forma'!Y58</f>
        <v>937286.41999999993</v>
      </c>
      <c r="Z65" s="7">
        <f>Z54*Assumptions!$N$121*'Phase I Pro Forma'!Z58</f>
        <v>956545.73</v>
      </c>
    </row>
    <row r="66" spans="2:26" s="15" customFormat="1">
      <c r="B66" s="15" t="s">
        <v>616</v>
      </c>
      <c r="F66" s="717">
        <v>0</v>
      </c>
      <c r="G66" s="717">
        <v>0</v>
      </c>
      <c r="H66" s="717">
        <v>0</v>
      </c>
      <c r="I66" s="717">
        <f>(('Parcel x Block Info'!$P$15*0.08)*I55)*0.5</f>
        <v>81055.802955999985</v>
      </c>
      <c r="J66" s="717">
        <f>I66*1.02</f>
        <v>82676.919015119987</v>
      </c>
      <c r="K66" s="717">
        <f>(('Parcel x Block Info'!$P$15*0.08)*K55)</f>
        <v>324223.21182399994</v>
      </c>
      <c r="L66" s="717">
        <f>K66*1.02</f>
        <v>330707.67606047995</v>
      </c>
      <c r="M66" s="717">
        <f>(('Parcel x Block Info'!$P$15*0.08)*M55)</f>
        <v>324223.21182399994</v>
      </c>
      <c r="N66" s="717">
        <f>M66*1.02</f>
        <v>330707.67606047995</v>
      </c>
      <c r="O66" s="717">
        <f>(('Parcel x Block Info'!$P$15*0.08)*O55)</f>
        <v>324223.21182399994</v>
      </c>
      <c r="P66" s="717">
        <f>O66*1.02</f>
        <v>330707.67606047995</v>
      </c>
      <c r="Q66" s="717">
        <f>(('Parcel x Block Info'!$P$15*0.08)*Q55)</f>
        <v>324223.21182399994</v>
      </c>
      <c r="R66" s="717">
        <f>Q66*1.02</f>
        <v>330707.67606047995</v>
      </c>
      <c r="S66" s="717">
        <f>(('Parcel x Block Info'!$P$15*0.08)*S55)</f>
        <v>324223.21182399994</v>
      </c>
      <c r="T66" s="717">
        <f>S66*1.02</f>
        <v>330707.67606047995</v>
      </c>
      <c r="U66" s="717">
        <f>(('Parcel x Block Info'!$P$15*0.08)*U55)</f>
        <v>324223.21182399994</v>
      </c>
      <c r="V66" s="717">
        <f>U66*1.02</f>
        <v>330707.67606047995</v>
      </c>
      <c r="W66" s="717">
        <f>(('Parcel x Block Info'!$P$15*0.08)*W55)</f>
        <v>324223.21182399994</v>
      </c>
      <c r="X66" s="717">
        <f>W66*1.02</f>
        <v>330707.67606047995</v>
      </c>
      <c r="Y66" s="717">
        <f>(('Parcel x Block Info'!$P$15*0.08)*Y55)</f>
        <v>324223.21182399994</v>
      </c>
      <c r="Z66" s="717">
        <f>Y66*1.02</f>
        <v>330707.67606047995</v>
      </c>
    </row>
    <row r="67" spans="2:26" s="15" customFormat="1">
      <c r="B67" s="718" t="s">
        <v>617</v>
      </c>
      <c r="C67" s="718"/>
      <c r="D67" s="718"/>
      <c r="E67" s="718"/>
      <c r="F67" s="719">
        <v>0</v>
      </c>
      <c r="G67" s="719">
        <v>0</v>
      </c>
      <c r="H67" s="719">
        <v>0</v>
      </c>
      <c r="I67" s="719">
        <f t="shared" ref="I67:Z67" si="12">SUM(I65:I66)</f>
        <v>421307.32295599999</v>
      </c>
      <c r="J67" s="719">
        <f t="shared" si="12"/>
        <v>776012.07901512005</v>
      </c>
      <c r="K67" s="719">
        <f t="shared" si="12"/>
        <v>1030397.9118240001</v>
      </c>
      <c r="L67" s="719">
        <f t="shared" si="12"/>
        <v>1056141.6860604798</v>
      </c>
      <c r="M67" s="719">
        <f t="shared" si="12"/>
        <v>1062496.7618239999</v>
      </c>
      <c r="N67" s="719">
        <f t="shared" si="12"/>
        <v>1081820.7660604799</v>
      </c>
      <c r="O67" s="719">
        <f t="shared" si="12"/>
        <v>1094595.611824</v>
      </c>
      <c r="P67" s="719">
        <f t="shared" si="12"/>
        <v>1113919.61606048</v>
      </c>
      <c r="Q67" s="719">
        <f t="shared" si="12"/>
        <v>1120274.6918239999</v>
      </c>
      <c r="R67" s="719">
        <f t="shared" si="12"/>
        <v>1146018.4660604801</v>
      </c>
      <c r="S67" s="719">
        <f t="shared" si="12"/>
        <v>1152373.541824</v>
      </c>
      <c r="T67" s="719">
        <f t="shared" si="12"/>
        <v>1178117.31606048</v>
      </c>
      <c r="U67" s="719">
        <f t="shared" si="12"/>
        <v>1190892.1618240001</v>
      </c>
      <c r="V67" s="720">
        <f t="shared" si="12"/>
        <v>1210216.1660604801</v>
      </c>
      <c r="W67" s="719">
        <f t="shared" si="12"/>
        <v>1222991.0118239999</v>
      </c>
      <c r="X67" s="719">
        <f t="shared" si="12"/>
        <v>1248734.7860604799</v>
      </c>
      <c r="Y67" s="719">
        <f t="shared" si="12"/>
        <v>1261509.6318239998</v>
      </c>
      <c r="Z67" s="719">
        <f t="shared" si="12"/>
        <v>1287253.40606048</v>
      </c>
    </row>
    <row r="68" spans="2:26" s="15" customFormat="1"/>
    <row r="69" spans="2:26" s="15" customFormat="1" ht="15.75">
      <c r="B69" s="721" t="s">
        <v>618</v>
      </c>
      <c r="C69" s="721"/>
      <c r="D69" s="721"/>
      <c r="E69" s="721"/>
      <c r="F69" s="722">
        <v>0</v>
      </c>
      <c r="G69" s="722">
        <v>0</v>
      </c>
      <c r="H69" s="722">
        <v>0</v>
      </c>
      <c r="I69" s="722">
        <f t="shared" ref="I69:Z69" si="13">I63-I67</f>
        <v>2386765.8654088001</v>
      </c>
      <c r="J69" s="722">
        <f t="shared" si="13"/>
        <v>6375901.9209848801</v>
      </c>
      <c r="K69" s="722">
        <f t="shared" si="13"/>
        <v>6162018.0881759999</v>
      </c>
      <c r="L69" s="722">
        <f t="shared" si="13"/>
        <v>6642040.3139395202</v>
      </c>
      <c r="M69" s="722">
        <f t="shared" si="13"/>
        <v>6701881.2381760003</v>
      </c>
      <c r="N69" s="722">
        <f t="shared" si="13"/>
        <v>6726814.2339395201</v>
      </c>
      <c r="O69" s="722">
        <f t="shared" si="13"/>
        <v>6759625.3881759997</v>
      </c>
      <c r="P69" s="722">
        <f t="shared" si="13"/>
        <v>6810946.3839395195</v>
      </c>
      <c r="Q69" s="722">
        <f t="shared" si="13"/>
        <v>7363406.3081759997</v>
      </c>
      <c r="R69" s="722">
        <f t="shared" si="13"/>
        <v>7387475.5339395199</v>
      </c>
      <c r="S69" s="722">
        <f t="shared" si="13"/>
        <v>7456592.458176</v>
      </c>
      <c r="T69" s="722">
        <f t="shared" si="13"/>
        <v>7483694.6839395203</v>
      </c>
      <c r="U69" s="722">
        <f t="shared" si="13"/>
        <v>7525350.8381759999</v>
      </c>
      <c r="V69" s="722">
        <f t="shared" si="13"/>
        <v>8148239.8339395197</v>
      </c>
      <c r="W69" s="722">
        <f t="shared" si="13"/>
        <v>8193210.9881760003</v>
      </c>
      <c r="X69" s="722">
        <f t="shared" si="13"/>
        <v>8226946.2139395196</v>
      </c>
      <c r="Y69" s="722">
        <f t="shared" si="13"/>
        <v>8300576.3681760002</v>
      </c>
      <c r="Z69" s="722">
        <f t="shared" si="13"/>
        <v>8337933.5939395204</v>
      </c>
    </row>
    <row r="70" spans="2:26" s="15" customFormat="1" ht="15.75">
      <c r="B70" s="723" t="s">
        <v>619</v>
      </c>
      <c r="C70" s="724"/>
      <c r="D70" s="724"/>
      <c r="E70" s="724"/>
      <c r="F70" s="725"/>
      <c r="G70" s="725"/>
      <c r="H70" s="725"/>
      <c r="I70" s="726">
        <f t="shared" ref="I70:Z70" si="14">+IFERROR(I69/I63,"")</f>
        <v>0.84996569010320699</v>
      </c>
      <c r="J70" s="726">
        <f t="shared" si="14"/>
        <v>0.89149588781197309</v>
      </c>
      <c r="K70" s="726">
        <f t="shared" si="14"/>
        <v>0.85673827656464807</v>
      </c>
      <c r="L70" s="726">
        <f t="shared" si="14"/>
        <v>0.862806350114809</v>
      </c>
      <c r="M70" s="726">
        <f t="shared" si="14"/>
        <v>0.8631575173408611</v>
      </c>
      <c r="N70" s="726">
        <f t="shared" si="14"/>
        <v>0.86145840264521523</v>
      </c>
      <c r="O70" s="726">
        <f t="shared" si="14"/>
        <v>0.86063600555370157</v>
      </c>
      <c r="P70" s="726">
        <f t="shared" si="14"/>
        <v>0.85943994307784122</v>
      </c>
      <c r="Q70" s="726">
        <f t="shared" si="14"/>
        <v>0.86794945592320127</v>
      </c>
      <c r="R70" s="726">
        <f t="shared" si="14"/>
        <v>0.86570348956002308</v>
      </c>
      <c r="S70" s="726">
        <f t="shared" si="14"/>
        <v>0.86614263062207475</v>
      </c>
      <c r="T70" s="726">
        <f t="shared" si="14"/>
        <v>0.86398719851452799</v>
      </c>
      <c r="U70" s="726">
        <f t="shared" si="14"/>
        <v>0.86337093150982591</v>
      </c>
      <c r="V70" s="726">
        <f t="shared" si="14"/>
        <v>0.87068206912972823</v>
      </c>
      <c r="W70" s="726">
        <f t="shared" si="14"/>
        <v>0.87011843927902144</v>
      </c>
      <c r="X70" s="726">
        <f t="shared" si="14"/>
        <v>0.86821688213644166</v>
      </c>
      <c r="Y70" s="726">
        <f t="shared" si="14"/>
        <v>0.86807171240417624</v>
      </c>
      <c r="Z70" s="726">
        <f t="shared" si="14"/>
        <v>0.8662619847219093</v>
      </c>
    </row>
    <row r="71" spans="2:26" s="15" customFormat="1" ht="15.75">
      <c r="B71" s="723" t="s">
        <v>568</v>
      </c>
      <c r="C71" s="724"/>
      <c r="D71" s="724"/>
      <c r="E71" s="724"/>
      <c r="F71" s="727">
        <v>0</v>
      </c>
      <c r="G71" s="727">
        <v>0</v>
      </c>
      <c r="H71" s="727">
        <v>0</v>
      </c>
      <c r="I71" s="727">
        <f>I69/Assumptions!$N$130</f>
        <v>39779431.090146668</v>
      </c>
      <c r="J71" s="727">
        <f>J69/Assumptions!$N$130</f>
        <v>106265032.01641467</v>
      </c>
      <c r="K71" s="727">
        <f>K69/Assumptions!$N$130</f>
        <v>102700301.46960001</v>
      </c>
      <c r="L71" s="727">
        <f>L69/Assumptions!$N$130</f>
        <v>110700671.898992</v>
      </c>
      <c r="M71" s="728">
        <f>M69/Assumptions!$N$130</f>
        <v>111698020.63626668</v>
      </c>
      <c r="N71" s="727">
        <f>N69/Assumptions!$N$130</f>
        <v>112113570.56565867</v>
      </c>
      <c r="O71" s="728">
        <f>O69/Assumptions!$N$130</f>
        <v>112660423.13626666</v>
      </c>
      <c r="P71" s="727">
        <f>P69/Assumptions!$N$130</f>
        <v>113515773.06565866</v>
      </c>
      <c r="Q71" s="727">
        <f>Q69/Assumptions!$N$130</f>
        <v>122723438.46959999</v>
      </c>
      <c r="R71" s="727">
        <f>R69/Assumptions!$N$130</f>
        <v>123124592.23232533</v>
      </c>
      <c r="S71" s="727">
        <f>S69/Assumptions!$N$130</f>
        <v>124276540.96960001</v>
      </c>
      <c r="T71" s="727">
        <f>T69/Assumptions!$N$130</f>
        <v>124728244.73232535</v>
      </c>
      <c r="U71" s="727">
        <f>U69/Assumptions!$N$130</f>
        <v>125422513.96960001</v>
      </c>
      <c r="V71" s="727">
        <f>V69/Assumptions!$N$130</f>
        <v>135803997.23232535</v>
      </c>
      <c r="W71" s="727">
        <f>W69/Assumptions!$N$130</f>
        <v>136553516.46960002</v>
      </c>
      <c r="X71" s="727">
        <f>X69/Assumptions!$N$130</f>
        <v>137115770.23232535</v>
      </c>
      <c r="Y71" s="727">
        <f>Y69/Assumptions!$N$130</f>
        <v>138342939.46960002</v>
      </c>
      <c r="Z71" s="727">
        <f>Z69/Assumptions!$N$130</f>
        <v>138965559.898992</v>
      </c>
    </row>
    <row r="73" spans="2:26" ht="15.75">
      <c r="B73" s="652" t="s">
        <v>769</v>
      </c>
      <c r="C73" s="652"/>
      <c r="D73" s="653"/>
      <c r="E73" s="653"/>
      <c r="F73" s="654">
        <v>44561</v>
      </c>
      <c r="G73" s="654">
        <v>44926</v>
      </c>
      <c r="H73" s="654">
        <v>45291</v>
      </c>
      <c r="I73" s="654">
        <v>45657</v>
      </c>
      <c r="J73" s="654">
        <v>46022</v>
      </c>
      <c r="K73" s="654">
        <v>46387</v>
      </c>
      <c r="L73" s="654">
        <v>46752</v>
      </c>
      <c r="M73" s="654">
        <v>47118</v>
      </c>
      <c r="N73" s="654">
        <v>47483</v>
      </c>
      <c r="O73" s="654">
        <v>11323</v>
      </c>
      <c r="P73" s="654">
        <v>11688</v>
      </c>
      <c r="Q73" s="654">
        <v>12054</v>
      </c>
      <c r="R73" s="654">
        <v>12419</v>
      </c>
      <c r="S73" s="654">
        <v>12784</v>
      </c>
      <c r="T73" s="654">
        <v>13149</v>
      </c>
      <c r="U73" s="654">
        <v>13515</v>
      </c>
      <c r="V73" s="654">
        <v>13880</v>
      </c>
      <c r="W73" s="654">
        <v>14245</v>
      </c>
      <c r="X73" s="654">
        <v>14610</v>
      </c>
      <c r="Y73" s="654">
        <v>14976</v>
      </c>
      <c r="Z73" s="654">
        <v>15341</v>
      </c>
    </row>
    <row r="74" spans="2:26">
      <c r="B74" s="655" t="s">
        <v>605</v>
      </c>
      <c r="C74" s="655"/>
      <c r="D74" s="20"/>
      <c r="E74" s="20"/>
      <c r="F74" s="22">
        <v>0</v>
      </c>
      <c r="G74" s="22">
        <v>0</v>
      </c>
      <c r="H74" s="22">
        <v>0</v>
      </c>
      <c r="I74" s="22">
        <v>62713</v>
      </c>
      <c r="J74" s="22">
        <v>62713</v>
      </c>
      <c r="K74" s="22">
        <v>0</v>
      </c>
      <c r="L74" s="22">
        <v>0</v>
      </c>
      <c r="M74" s="22">
        <v>0</v>
      </c>
      <c r="N74" s="22">
        <v>0</v>
      </c>
      <c r="O74" s="22">
        <v>0</v>
      </c>
      <c r="P74" s="22">
        <v>0</v>
      </c>
      <c r="Q74" s="22">
        <v>0</v>
      </c>
      <c r="R74" s="22">
        <v>0</v>
      </c>
      <c r="S74" s="22">
        <v>0</v>
      </c>
      <c r="T74" s="22">
        <v>0</v>
      </c>
      <c r="U74" s="22">
        <v>0</v>
      </c>
      <c r="V74" s="22">
        <v>0</v>
      </c>
      <c r="W74" s="22">
        <v>0</v>
      </c>
      <c r="X74" s="22">
        <v>0</v>
      </c>
      <c r="Y74" s="22">
        <v>0</v>
      </c>
      <c r="Z74" s="22">
        <v>0</v>
      </c>
    </row>
    <row r="75" spans="2:26">
      <c r="B75" s="655" t="s">
        <v>606</v>
      </c>
      <c r="C75" s="655"/>
      <c r="D75" s="22">
        <v>0</v>
      </c>
      <c r="E75" s="22"/>
      <c r="F75" s="22">
        <v>0</v>
      </c>
      <c r="G75" s="22">
        <v>0</v>
      </c>
      <c r="H75" s="22">
        <v>0</v>
      </c>
      <c r="I75" s="22">
        <v>62713</v>
      </c>
      <c r="J75" s="22">
        <v>125425</v>
      </c>
      <c r="K75" s="22">
        <v>125425</v>
      </c>
      <c r="L75" s="22">
        <v>125425</v>
      </c>
      <c r="M75" s="22">
        <v>125425</v>
      </c>
      <c r="N75" s="22">
        <v>125425</v>
      </c>
      <c r="O75" s="22">
        <v>125425</v>
      </c>
      <c r="P75" s="22">
        <v>125425</v>
      </c>
      <c r="Q75" s="22">
        <v>125425</v>
      </c>
      <c r="R75" s="22">
        <v>125425</v>
      </c>
      <c r="S75" s="22">
        <v>125425</v>
      </c>
      <c r="T75" s="22">
        <v>125425</v>
      </c>
      <c r="U75" s="22">
        <v>125425</v>
      </c>
      <c r="V75" s="22">
        <v>125425</v>
      </c>
      <c r="W75" s="22">
        <v>125425</v>
      </c>
      <c r="X75" s="22">
        <v>125425</v>
      </c>
      <c r="Y75" s="22">
        <v>125425</v>
      </c>
      <c r="Z75" s="22">
        <v>125425</v>
      </c>
    </row>
    <row r="76" spans="2:26">
      <c r="B76" s="655" t="s">
        <v>609</v>
      </c>
      <c r="C76" s="655"/>
      <c r="D76" s="22"/>
      <c r="E76" s="22"/>
      <c r="F76" s="49">
        <v>0</v>
      </c>
      <c r="G76" s="49">
        <v>0</v>
      </c>
      <c r="H76" s="49">
        <v>0</v>
      </c>
      <c r="I76" s="49">
        <v>0.5</v>
      </c>
      <c r="J76" s="49">
        <v>1</v>
      </c>
      <c r="K76" s="49">
        <v>1</v>
      </c>
      <c r="L76" s="49">
        <v>1</v>
      </c>
      <c r="M76" s="49">
        <v>1</v>
      </c>
      <c r="N76" s="49">
        <v>1</v>
      </c>
      <c r="O76" s="49">
        <v>1</v>
      </c>
      <c r="P76" s="49">
        <v>1</v>
      </c>
      <c r="Q76" s="49">
        <v>1</v>
      </c>
      <c r="R76" s="49">
        <v>1</v>
      </c>
      <c r="S76" s="49">
        <v>1</v>
      </c>
      <c r="T76" s="49">
        <v>1</v>
      </c>
      <c r="U76" s="49">
        <v>1</v>
      </c>
      <c r="V76" s="49">
        <v>1</v>
      </c>
      <c r="W76" s="49">
        <v>1</v>
      </c>
      <c r="X76" s="49">
        <v>1</v>
      </c>
      <c r="Y76" s="49">
        <v>1</v>
      </c>
      <c r="Z76" s="49">
        <v>1</v>
      </c>
    </row>
    <row r="77" spans="2:26">
      <c r="B77" s="655"/>
      <c r="C77" s="655"/>
      <c r="D77" s="20"/>
      <c r="E77" s="20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</row>
    <row r="78" spans="2:26">
      <c r="B78" s="655" t="s">
        <v>610</v>
      </c>
      <c r="C78" s="655"/>
      <c r="D78" s="22"/>
      <c r="E78" s="22"/>
      <c r="F78" s="49">
        <v>1</v>
      </c>
      <c r="G78" s="49">
        <v>1</v>
      </c>
      <c r="H78" s="49">
        <v>1</v>
      </c>
      <c r="I78" s="49">
        <v>1</v>
      </c>
      <c r="J78" s="49">
        <v>1</v>
      </c>
      <c r="K78" s="49">
        <v>1</v>
      </c>
      <c r="L78" s="49">
        <v>1.05</v>
      </c>
      <c r="M78" s="49">
        <v>1.05</v>
      </c>
      <c r="N78" s="49">
        <v>1.05</v>
      </c>
      <c r="O78" s="49">
        <v>1.05</v>
      </c>
      <c r="P78" s="49">
        <v>1.05</v>
      </c>
      <c r="Q78" s="49">
        <v>1.1000000000000001</v>
      </c>
      <c r="R78" s="49">
        <v>1.1000000000000001</v>
      </c>
      <c r="S78" s="49">
        <v>1.1000000000000001</v>
      </c>
      <c r="T78" s="49">
        <v>1.1000000000000001</v>
      </c>
      <c r="U78" s="49">
        <v>1.1000000000000001</v>
      </c>
      <c r="V78" s="49">
        <v>1.1599999999999999</v>
      </c>
      <c r="W78" s="49">
        <v>1.1599999999999999</v>
      </c>
      <c r="X78" s="49">
        <v>1.1599999999999999</v>
      </c>
      <c r="Y78" s="49">
        <v>1.1599999999999999</v>
      </c>
      <c r="Z78" s="49">
        <v>1.1599999999999999</v>
      </c>
    </row>
    <row r="79" spans="2:26">
      <c r="B79" s="655" t="s">
        <v>611</v>
      </c>
      <c r="C79" s="655"/>
      <c r="D79" s="22"/>
      <c r="E79" s="22"/>
      <c r="F79" s="49">
        <v>1</v>
      </c>
      <c r="G79" s="49">
        <v>1.02</v>
      </c>
      <c r="H79" s="49">
        <v>1.04</v>
      </c>
      <c r="I79" s="49">
        <v>1.06</v>
      </c>
      <c r="J79" s="49">
        <v>1.08</v>
      </c>
      <c r="K79" s="49">
        <v>1.1000000000000001</v>
      </c>
      <c r="L79" s="49">
        <v>1.1299999999999999</v>
      </c>
      <c r="M79" s="49">
        <v>1.1499999999999999</v>
      </c>
      <c r="N79" s="49">
        <v>1.17</v>
      </c>
      <c r="O79" s="49">
        <v>1.2</v>
      </c>
      <c r="P79" s="49">
        <v>1.22</v>
      </c>
      <c r="Q79" s="49">
        <v>1.24</v>
      </c>
      <c r="R79" s="49">
        <v>1.27</v>
      </c>
      <c r="S79" s="49">
        <v>1.29</v>
      </c>
      <c r="T79" s="49">
        <v>1.32</v>
      </c>
      <c r="U79" s="49">
        <v>1.35</v>
      </c>
      <c r="V79" s="49">
        <v>1.37</v>
      </c>
      <c r="W79" s="49">
        <v>1.4</v>
      </c>
      <c r="X79" s="49">
        <v>1.43</v>
      </c>
      <c r="Y79" s="49">
        <v>1.46</v>
      </c>
      <c r="Z79" s="49">
        <v>1.49</v>
      </c>
    </row>
    <row r="80" spans="2:26">
      <c r="B80" s="655"/>
      <c r="C80" s="655"/>
      <c r="D80" s="20"/>
      <c r="E80" s="20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</row>
    <row r="81" spans="2:26">
      <c r="B81" s="655" t="s">
        <v>612</v>
      </c>
      <c r="C81" s="655"/>
      <c r="D81" s="20"/>
      <c r="E81" s="20"/>
      <c r="F81" s="16">
        <v>0</v>
      </c>
      <c r="G81" s="16">
        <v>0</v>
      </c>
      <c r="H81" s="16">
        <v>0</v>
      </c>
      <c r="I81" s="16">
        <f>I76*Assumptions!$F$153*'Phase I Pro Forma'!I78</f>
        <v>627125</v>
      </c>
      <c r="J81" s="16">
        <f>J76*Assumptions!$F$153*'Phase I Pro Forma'!J78</f>
        <v>1254250</v>
      </c>
      <c r="K81" s="16">
        <f>K76*Assumptions!$F$153*'Phase I Pro Forma'!K78</f>
        <v>1254250</v>
      </c>
      <c r="L81" s="16">
        <f>L76*Assumptions!$F$153*'Phase I Pro Forma'!L78</f>
        <v>1316962.5</v>
      </c>
      <c r="M81" s="16">
        <f>M76*Assumptions!$F$153*'Phase I Pro Forma'!M78</f>
        <v>1316962.5</v>
      </c>
      <c r="N81" s="16">
        <f>N76*Assumptions!$F$153*'Phase I Pro Forma'!N78</f>
        <v>1316962.5</v>
      </c>
      <c r="O81" s="16">
        <f>O76*Assumptions!$F$153*'Phase I Pro Forma'!O78</f>
        <v>1316962.5</v>
      </c>
      <c r="P81" s="16">
        <f>P76*Assumptions!$F$153*'Phase I Pro Forma'!P78</f>
        <v>1316962.5</v>
      </c>
      <c r="Q81" s="16">
        <f>Q76*Assumptions!$F$153*'Phase I Pro Forma'!Q78</f>
        <v>1379675</v>
      </c>
      <c r="R81" s="16">
        <f>R76*Assumptions!$F$153*'Phase I Pro Forma'!R78</f>
        <v>1379675</v>
      </c>
      <c r="S81" s="16">
        <f>S76*Assumptions!$F$153*'Phase I Pro Forma'!S78</f>
        <v>1379675</v>
      </c>
      <c r="T81" s="16">
        <f>T76*Assumptions!$F$153*'Phase I Pro Forma'!T78</f>
        <v>1379675</v>
      </c>
      <c r="U81" s="16">
        <f>U76*Assumptions!$F$153*'Phase I Pro Forma'!U78</f>
        <v>1379675</v>
      </c>
      <c r="V81" s="16">
        <f>V76*Assumptions!$F$153*'Phase I Pro Forma'!V78</f>
        <v>1454930</v>
      </c>
      <c r="W81" s="16">
        <f>W76*Assumptions!$F$153*'Phase I Pro Forma'!W78</f>
        <v>1454930</v>
      </c>
      <c r="X81" s="16">
        <f>X76*Assumptions!$F$153*'Phase I Pro Forma'!X78</f>
        <v>1454930</v>
      </c>
      <c r="Y81" s="16">
        <f>Y76*Assumptions!$F$153*'Phase I Pro Forma'!Y78</f>
        <v>1454930</v>
      </c>
      <c r="Z81" s="16">
        <f>Z76*Assumptions!$F$153*'Phase I Pro Forma'!Z78</f>
        <v>1454930</v>
      </c>
    </row>
    <row r="82" spans="2:26">
      <c r="B82" s="655" t="s">
        <v>613</v>
      </c>
      <c r="C82" s="655"/>
      <c r="D82" s="20"/>
      <c r="E82" s="20"/>
      <c r="F82" s="22">
        <v>0</v>
      </c>
      <c r="G82" s="22">
        <v>0</v>
      </c>
      <c r="H82" s="22">
        <v>0</v>
      </c>
      <c r="I82" s="22">
        <f>-I81*Assumptions!$N$57</f>
        <v>-31356.25</v>
      </c>
      <c r="J82" s="22">
        <f>-J81*Assumptions!$N$57</f>
        <v>-62712.5</v>
      </c>
      <c r="K82" s="22">
        <f>-K81*Assumptions!$N$57</f>
        <v>-62712.5</v>
      </c>
      <c r="L82" s="22">
        <f>-L81*Assumptions!$N$57</f>
        <v>-65848.125</v>
      </c>
      <c r="M82" s="22">
        <f>-M81*Assumptions!$N$57</f>
        <v>-65848.125</v>
      </c>
      <c r="N82" s="22">
        <f>-N81*Assumptions!$N$57</f>
        <v>-65848.125</v>
      </c>
      <c r="O82" s="22">
        <f>-O81*Assumptions!$N$57</f>
        <v>-65848.125</v>
      </c>
      <c r="P82" s="22">
        <f>-P81*Assumptions!$N$57</f>
        <v>-65848.125</v>
      </c>
      <c r="Q82" s="22">
        <f>-Q81*Assumptions!$N$57</f>
        <v>-68983.75</v>
      </c>
      <c r="R82" s="22">
        <f>-R81*Assumptions!$N$57</f>
        <v>-68983.75</v>
      </c>
      <c r="S82" s="22">
        <f>-S81*Assumptions!$N$57</f>
        <v>-68983.75</v>
      </c>
      <c r="T82" s="22">
        <f>-T81*Assumptions!$N$57</f>
        <v>-68983.75</v>
      </c>
      <c r="U82" s="22">
        <f>-U81*Assumptions!$N$57</f>
        <v>-68983.75</v>
      </c>
      <c r="V82" s="22">
        <f>-V81*Assumptions!$N$57</f>
        <v>-72746.5</v>
      </c>
      <c r="W82" s="22">
        <f>-W81*Assumptions!$N$57</f>
        <v>-72746.5</v>
      </c>
      <c r="X82" s="22">
        <f>-X81*Assumptions!$N$57</f>
        <v>-72746.5</v>
      </c>
      <c r="Y82" s="22">
        <f>-Y81*Assumptions!$N$57</f>
        <v>-72746.5</v>
      </c>
      <c r="Z82" s="22">
        <f>-Z81*Assumptions!$N$57</f>
        <v>-72746.5</v>
      </c>
    </row>
    <row r="83" spans="2:26">
      <c r="B83" s="655" t="s">
        <v>622</v>
      </c>
      <c r="C83" s="655"/>
      <c r="D83" s="20"/>
      <c r="E83" s="20"/>
      <c r="F83" s="656">
        <v>0</v>
      </c>
      <c r="G83" s="656">
        <v>0</v>
      </c>
      <c r="H83" s="656">
        <v>0</v>
      </c>
      <c r="I83" s="656">
        <f>I88*Assumptions!$N$90</f>
        <v>465330.46</v>
      </c>
      <c r="J83" s="656">
        <f>J88*Assumptions!$N$90</f>
        <v>948213.00000000012</v>
      </c>
      <c r="K83" s="656">
        <f>K88*Assumptions!$N$90</f>
        <v>965772.50000000012</v>
      </c>
      <c r="L83" s="699">
        <f>L88*Assumptions!$N$90</f>
        <v>992111.74999999988</v>
      </c>
      <c r="M83" s="656">
        <f>M88*Assumptions!$N$90</f>
        <v>1009671.2499999999</v>
      </c>
      <c r="N83" s="656">
        <f>N88*Assumptions!$N$90</f>
        <v>1027230.7499999999</v>
      </c>
      <c r="O83" s="656">
        <f>O88*Assumptions!$N$90</f>
        <v>1053570</v>
      </c>
      <c r="P83" s="656">
        <f>P88*Assumptions!$N$90</f>
        <v>1071129.5</v>
      </c>
      <c r="Q83" s="656">
        <f>Q88*Assumptions!$N$90</f>
        <v>1088689</v>
      </c>
      <c r="R83" s="656">
        <f>R88*Assumptions!$N$90</f>
        <v>1115028.25</v>
      </c>
      <c r="S83" s="656">
        <f>S88*Assumptions!$N$90</f>
        <v>1132587.75</v>
      </c>
      <c r="T83" s="656">
        <f>T88*Assumptions!$N$90</f>
        <v>1158927</v>
      </c>
      <c r="U83" s="656">
        <f>U88*Assumptions!$N$90</f>
        <v>1185266.25</v>
      </c>
      <c r="V83" s="656">
        <f>V88*Assumptions!$N$90</f>
        <v>1202825.75</v>
      </c>
      <c r="W83" s="656">
        <f>W88*Assumptions!$N$90</f>
        <v>1229165</v>
      </c>
      <c r="X83" s="656">
        <f>X88*Assumptions!$N$90</f>
        <v>1255504.25</v>
      </c>
      <c r="Y83" s="656">
        <f>Y88*Assumptions!$N$90</f>
        <v>1281843.5</v>
      </c>
      <c r="Z83" s="656">
        <f>Z88*Assumptions!$N$90</f>
        <v>1308182.75</v>
      </c>
    </row>
    <row r="84" spans="2:26">
      <c r="B84" s="657" t="s">
        <v>614</v>
      </c>
      <c r="C84" s="657"/>
      <c r="D84" s="657"/>
      <c r="E84" s="657"/>
      <c r="F84" s="658">
        <v>0</v>
      </c>
      <c r="G84" s="658">
        <v>0</v>
      </c>
      <c r="H84" s="658">
        <v>0</v>
      </c>
      <c r="I84" s="658">
        <f t="shared" ref="I84:Z84" si="15">SUM(I81:I83)</f>
        <v>1061099.21</v>
      </c>
      <c r="J84" s="658">
        <f t="shared" si="15"/>
        <v>2139750.5</v>
      </c>
      <c r="K84" s="658">
        <f t="shared" si="15"/>
        <v>2157310</v>
      </c>
      <c r="L84" s="658">
        <f t="shared" si="15"/>
        <v>2243226.125</v>
      </c>
      <c r="M84" s="658">
        <f t="shared" si="15"/>
        <v>2260785.625</v>
      </c>
      <c r="N84" s="658">
        <f t="shared" si="15"/>
        <v>2278345.125</v>
      </c>
      <c r="O84" s="658">
        <f t="shared" si="15"/>
        <v>2304684.375</v>
      </c>
      <c r="P84" s="658">
        <f t="shared" si="15"/>
        <v>2322243.875</v>
      </c>
      <c r="Q84" s="658">
        <f t="shared" si="15"/>
        <v>2399380.25</v>
      </c>
      <c r="R84" s="658">
        <f t="shared" si="15"/>
        <v>2425719.5</v>
      </c>
      <c r="S84" s="658">
        <f t="shared" si="15"/>
        <v>2443279</v>
      </c>
      <c r="T84" s="658">
        <f t="shared" si="15"/>
        <v>2469618.25</v>
      </c>
      <c r="U84" s="658">
        <f t="shared" si="15"/>
        <v>2495957.5</v>
      </c>
      <c r="V84" s="658">
        <f t="shared" si="15"/>
        <v>2585009.25</v>
      </c>
      <c r="W84" s="658">
        <f t="shared" si="15"/>
        <v>2611348.5</v>
      </c>
      <c r="X84" s="658">
        <f t="shared" si="15"/>
        <v>2637687.75</v>
      </c>
      <c r="Y84" s="658">
        <f t="shared" si="15"/>
        <v>2664027</v>
      </c>
      <c r="Z84" s="658">
        <f t="shared" si="15"/>
        <v>2690366.25</v>
      </c>
    </row>
    <row r="86" spans="2:26">
      <c r="B86" s="655" t="s">
        <v>615</v>
      </c>
      <c r="C86" s="655"/>
      <c r="D86" s="655"/>
      <c r="F86" s="16">
        <v>0</v>
      </c>
      <c r="G86" s="16">
        <v>0</v>
      </c>
      <c r="H86" s="16">
        <v>0</v>
      </c>
      <c r="I86" s="16">
        <f>I75*Assumptions!$N$122*'Phase I Pro Forma'!I79</f>
        <v>465330.46</v>
      </c>
      <c r="J86" s="16">
        <f>J75*Assumptions!$N$122*'Phase I Pro Forma'!J79</f>
        <v>948213.00000000012</v>
      </c>
      <c r="K86" s="16">
        <f>K75*Assumptions!$N$122*'Phase I Pro Forma'!K79</f>
        <v>965772.50000000012</v>
      </c>
      <c r="L86" s="16">
        <f>L75*Assumptions!$N$122*'Phase I Pro Forma'!L79</f>
        <v>992111.74999999988</v>
      </c>
      <c r="M86" s="16">
        <f>M75*Assumptions!$N$122*'Phase I Pro Forma'!M79</f>
        <v>1009671.2499999999</v>
      </c>
      <c r="N86" s="16">
        <f>N75*Assumptions!$N$122*'Phase I Pro Forma'!N79</f>
        <v>1027230.7499999999</v>
      </c>
      <c r="O86" s="16">
        <f>O75*Assumptions!$N$122*'Phase I Pro Forma'!O79</f>
        <v>1053570</v>
      </c>
      <c r="P86" s="16">
        <f>P75*Assumptions!$N$122*'Phase I Pro Forma'!P79</f>
        <v>1071129.5</v>
      </c>
      <c r="Q86" s="16">
        <f>Q75*Assumptions!$N$122*'Phase I Pro Forma'!Q79</f>
        <v>1088689</v>
      </c>
      <c r="R86" s="16">
        <f>R75*Assumptions!$N$122*'Phase I Pro Forma'!R79</f>
        <v>1115028.25</v>
      </c>
      <c r="S86" s="16">
        <f>S75*Assumptions!$N$122*'Phase I Pro Forma'!S79</f>
        <v>1132587.75</v>
      </c>
      <c r="T86" s="16">
        <f>T75*Assumptions!$N$122*'Phase I Pro Forma'!T79</f>
        <v>1158927</v>
      </c>
      <c r="U86" s="16">
        <f>U75*Assumptions!$N$122*'Phase I Pro Forma'!U79</f>
        <v>1185266.25</v>
      </c>
      <c r="V86" s="16">
        <f>V75*Assumptions!$N$122*'Phase I Pro Forma'!V79</f>
        <v>1202825.75</v>
      </c>
      <c r="W86" s="16">
        <f>W75*Assumptions!$N$122*'Phase I Pro Forma'!W79</f>
        <v>1229165</v>
      </c>
      <c r="X86" s="16">
        <f>X75*Assumptions!$N$122*'Phase I Pro Forma'!X79</f>
        <v>1255504.25</v>
      </c>
      <c r="Y86" s="16">
        <f>Y75*Assumptions!$N$122*'Phase I Pro Forma'!Y79</f>
        <v>1281843.5</v>
      </c>
      <c r="Z86" s="16">
        <f>Z75*Assumptions!$N$122*'Phase I Pro Forma'!Z79</f>
        <v>1308182.75</v>
      </c>
    </row>
    <row r="87" spans="2:26">
      <c r="B87" s="655" t="s">
        <v>616</v>
      </c>
      <c r="C87" s="655"/>
      <c r="F87" s="656">
        <v>0</v>
      </c>
      <c r="G87" s="656">
        <v>0</v>
      </c>
      <c r="H87" s="656">
        <v>0</v>
      </c>
      <c r="I87" s="656">
        <v>0</v>
      </c>
      <c r="J87" s="656">
        <v>0</v>
      </c>
      <c r="K87" s="656">
        <v>0</v>
      </c>
      <c r="L87" s="656">
        <v>0</v>
      </c>
      <c r="M87" s="656">
        <v>0</v>
      </c>
      <c r="N87" s="656">
        <v>0</v>
      </c>
      <c r="O87" s="656">
        <v>0</v>
      </c>
      <c r="P87" s="656">
        <v>0</v>
      </c>
      <c r="Q87" s="656">
        <v>0</v>
      </c>
      <c r="R87" s="656">
        <v>0</v>
      </c>
      <c r="S87" s="656">
        <v>0</v>
      </c>
      <c r="T87" s="656">
        <v>0</v>
      </c>
      <c r="U87" s="656">
        <v>0</v>
      </c>
      <c r="V87" s="656">
        <v>0</v>
      </c>
      <c r="W87" s="656">
        <v>0</v>
      </c>
      <c r="X87" s="656">
        <v>0</v>
      </c>
      <c r="Y87" s="656">
        <v>0</v>
      </c>
      <c r="Z87" s="656">
        <v>0</v>
      </c>
    </row>
    <row r="88" spans="2:26">
      <c r="B88" s="657" t="s">
        <v>617</v>
      </c>
      <c r="C88" s="657"/>
      <c r="D88" s="657"/>
      <c r="E88" s="657"/>
      <c r="F88" s="658">
        <v>0</v>
      </c>
      <c r="G88" s="658">
        <v>0</v>
      </c>
      <c r="H88" s="658">
        <v>0</v>
      </c>
      <c r="I88" s="658">
        <f t="shared" ref="I88:Z88" si="16">SUM(I86:I87)</f>
        <v>465330.46</v>
      </c>
      <c r="J88" s="658">
        <f t="shared" si="16"/>
        <v>948213.00000000012</v>
      </c>
      <c r="K88" s="658">
        <f t="shared" si="16"/>
        <v>965772.50000000012</v>
      </c>
      <c r="L88" s="658">
        <f t="shared" si="16"/>
        <v>992111.74999999988</v>
      </c>
      <c r="M88" s="658">
        <f t="shared" si="16"/>
        <v>1009671.2499999999</v>
      </c>
      <c r="N88" s="658">
        <f t="shared" si="16"/>
        <v>1027230.7499999999</v>
      </c>
      <c r="O88" s="658">
        <f t="shared" si="16"/>
        <v>1053570</v>
      </c>
      <c r="P88" s="658">
        <f t="shared" si="16"/>
        <v>1071129.5</v>
      </c>
      <c r="Q88" s="658">
        <f t="shared" si="16"/>
        <v>1088689</v>
      </c>
      <c r="R88" s="658">
        <f t="shared" si="16"/>
        <v>1115028.25</v>
      </c>
      <c r="S88" s="658">
        <f t="shared" si="16"/>
        <v>1132587.75</v>
      </c>
      <c r="T88" s="658">
        <f t="shared" si="16"/>
        <v>1158927</v>
      </c>
      <c r="U88" s="658">
        <f t="shared" si="16"/>
        <v>1185266.25</v>
      </c>
      <c r="V88" s="658">
        <f t="shared" si="16"/>
        <v>1202825.75</v>
      </c>
      <c r="W88" s="658">
        <f t="shared" si="16"/>
        <v>1229165</v>
      </c>
      <c r="X88" s="658">
        <f t="shared" si="16"/>
        <v>1255504.25</v>
      </c>
      <c r="Y88" s="658">
        <f t="shared" si="16"/>
        <v>1281843.5</v>
      </c>
      <c r="Z88" s="658">
        <f t="shared" si="16"/>
        <v>1308182.75</v>
      </c>
    </row>
    <row r="89" spans="2:26">
      <c r="B89" s="655"/>
    </row>
    <row r="90" spans="2:26" ht="15.75">
      <c r="B90" s="685" t="s">
        <v>618</v>
      </c>
      <c r="C90" s="685"/>
      <c r="D90" s="685"/>
      <c r="E90" s="685"/>
      <c r="F90" s="686">
        <v>0</v>
      </c>
      <c r="G90" s="686">
        <v>0</v>
      </c>
      <c r="H90" s="686">
        <v>0</v>
      </c>
      <c r="I90" s="686">
        <f t="shared" ref="I90:Z90" si="17">I84-I88</f>
        <v>595768.75</v>
      </c>
      <c r="J90" s="686">
        <f t="shared" si="17"/>
        <v>1191537.5</v>
      </c>
      <c r="K90" s="686">
        <f t="shared" si="17"/>
        <v>1191537.5</v>
      </c>
      <c r="L90" s="686">
        <f t="shared" si="17"/>
        <v>1251114.375</v>
      </c>
      <c r="M90" s="686">
        <f t="shared" si="17"/>
        <v>1251114.375</v>
      </c>
      <c r="N90" s="686">
        <f t="shared" si="17"/>
        <v>1251114.375</v>
      </c>
      <c r="O90" s="686">
        <f t="shared" si="17"/>
        <v>1251114.375</v>
      </c>
      <c r="P90" s="686">
        <f t="shared" si="17"/>
        <v>1251114.375</v>
      </c>
      <c r="Q90" s="686">
        <f t="shared" si="17"/>
        <v>1310691.25</v>
      </c>
      <c r="R90" s="686">
        <f t="shared" si="17"/>
        <v>1310691.25</v>
      </c>
      <c r="S90" s="686">
        <f t="shared" si="17"/>
        <v>1310691.25</v>
      </c>
      <c r="T90" s="686">
        <f t="shared" si="17"/>
        <v>1310691.25</v>
      </c>
      <c r="U90" s="686">
        <f t="shared" si="17"/>
        <v>1310691.25</v>
      </c>
      <c r="V90" s="686">
        <f t="shared" si="17"/>
        <v>1382183.5</v>
      </c>
      <c r="W90" s="686">
        <f t="shared" si="17"/>
        <v>1382183.5</v>
      </c>
      <c r="X90" s="686">
        <f t="shared" si="17"/>
        <v>1382183.5</v>
      </c>
      <c r="Y90" s="686">
        <f t="shared" si="17"/>
        <v>1382183.5</v>
      </c>
      <c r="Z90" s="686">
        <f t="shared" si="17"/>
        <v>1382183.5</v>
      </c>
    </row>
    <row r="91" spans="2:26" ht="15.75">
      <c r="B91" s="680" t="s">
        <v>619</v>
      </c>
      <c r="C91" s="681"/>
      <c r="D91" s="681"/>
      <c r="E91" s="681"/>
      <c r="F91" s="682">
        <v>0</v>
      </c>
      <c r="G91" s="682">
        <v>0</v>
      </c>
      <c r="H91" s="682">
        <v>0</v>
      </c>
      <c r="I91" s="682">
        <f t="shared" ref="I91:Z91" si="18">+IFERROR(I90/I84,"")</f>
        <v>0.56146375794587577</v>
      </c>
      <c r="J91" s="682">
        <f t="shared" si="18"/>
        <v>0.55685814771395081</v>
      </c>
      <c r="K91" s="682">
        <f t="shared" si="18"/>
        <v>0.55232558139534882</v>
      </c>
      <c r="L91" s="682">
        <f t="shared" si="18"/>
        <v>0.55772994129158515</v>
      </c>
      <c r="M91" s="682">
        <f t="shared" si="18"/>
        <v>0.55339805825242716</v>
      </c>
      <c r="N91" s="682">
        <f t="shared" si="18"/>
        <v>0.54913294797687862</v>
      </c>
      <c r="O91" s="682">
        <f t="shared" si="18"/>
        <v>0.54285714285714282</v>
      </c>
      <c r="P91" s="682">
        <f t="shared" si="18"/>
        <v>0.53875236294896034</v>
      </c>
      <c r="Q91" s="682">
        <f t="shared" si="18"/>
        <v>0.5462624150548876</v>
      </c>
      <c r="R91" s="682">
        <f t="shared" si="18"/>
        <v>0.54033092037228547</v>
      </c>
      <c r="S91" s="682">
        <f t="shared" si="18"/>
        <v>0.53644763860369615</v>
      </c>
      <c r="T91" s="682">
        <f t="shared" si="18"/>
        <v>0.53072625698324027</v>
      </c>
      <c r="U91" s="682">
        <f t="shared" si="18"/>
        <v>0.52512562814070352</v>
      </c>
      <c r="V91" s="682">
        <f t="shared" si="18"/>
        <v>0.53469189713731202</v>
      </c>
      <c r="W91" s="682">
        <f t="shared" si="18"/>
        <v>0.52929875120076852</v>
      </c>
      <c r="X91" s="682">
        <f t="shared" si="18"/>
        <v>0.52401331431288634</v>
      </c>
      <c r="Y91" s="682">
        <f t="shared" si="18"/>
        <v>0.51883239171374762</v>
      </c>
      <c r="Z91" s="682">
        <f t="shared" si="18"/>
        <v>0.51375291375291376</v>
      </c>
    </row>
    <row r="92" spans="2:26" ht="15.75">
      <c r="B92" s="680" t="s">
        <v>568</v>
      </c>
      <c r="C92" s="681"/>
      <c r="D92" s="681"/>
      <c r="E92" s="681"/>
      <c r="F92" s="684">
        <v>0</v>
      </c>
      <c r="G92" s="684">
        <v>0</v>
      </c>
      <c r="H92" s="684">
        <v>0</v>
      </c>
      <c r="I92" s="684">
        <f>I90/Assumptions!$N$132</f>
        <v>8826203.7037037034</v>
      </c>
      <c r="J92" s="684">
        <f>J90/Assumptions!$N$132</f>
        <v>17652407.407407407</v>
      </c>
      <c r="K92" s="684">
        <f>K90/Assumptions!$N$132</f>
        <v>17652407.407407407</v>
      </c>
      <c r="L92" s="684">
        <f>L90/Assumptions!$N$132</f>
        <v>18535027.777777776</v>
      </c>
      <c r="M92" s="684">
        <f>M90/Assumptions!$N$132</f>
        <v>18535027.777777776</v>
      </c>
      <c r="N92" s="684">
        <f>N90/Assumptions!$N$132</f>
        <v>18535027.777777776</v>
      </c>
      <c r="O92" s="684">
        <f>O90/Assumptions!$N$132</f>
        <v>18535027.777777776</v>
      </c>
      <c r="P92" s="684">
        <f>P90/Assumptions!$N$132</f>
        <v>18535027.777777776</v>
      </c>
      <c r="Q92" s="684">
        <f>Q90/Assumptions!$N$132</f>
        <v>19417648.148148146</v>
      </c>
      <c r="R92" s="684">
        <f>R90/Assumptions!$N$132</f>
        <v>19417648.148148146</v>
      </c>
      <c r="S92" s="684">
        <f>S90/Assumptions!$N$132</f>
        <v>19417648.148148146</v>
      </c>
      <c r="T92" s="684">
        <f>T90/Assumptions!$N$132</f>
        <v>19417648.148148146</v>
      </c>
      <c r="U92" s="684">
        <f>U90/Assumptions!$N$132</f>
        <v>19417648.148148146</v>
      </c>
      <c r="V92" s="684">
        <f>V90/Assumptions!$N$132</f>
        <v>20476792.59259259</v>
      </c>
      <c r="W92" s="684">
        <f>W90/Assumptions!$N$132</f>
        <v>20476792.59259259</v>
      </c>
      <c r="X92" s="684">
        <f>X90/Assumptions!$N$132</f>
        <v>20476792.59259259</v>
      </c>
      <c r="Y92" s="684">
        <f>Y90/Assumptions!$N$132</f>
        <v>20476792.59259259</v>
      </c>
      <c r="Z92" s="684">
        <f>Z90/Assumptions!$N$132</f>
        <v>20476792.59259259</v>
      </c>
    </row>
    <row r="94" spans="2:26" ht="15.75">
      <c r="B94" s="652" t="s">
        <v>137</v>
      </c>
      <c r="C94" s="653"/>
      <c r="D94" s="653"/>
      <c r="E94" s="653"/>
      <c r="F94" s="654">
        <v>44561</v>
      </c>
      <c r="G94" s="654">
        <v>44926</v>
      </c>
      <c r="H94" s="654">
        <v>45291</v>
      </c>
      <c r="I94" s="654">
        <v>45657</v>
      </c>
      <c r="J94" s="654">
        <v>46022</v>
      </c>
      <c r="K94" s="654">
        <v>46387</v>
      </c>
      <c r="L94" s="654">
        <v>46752</v>
      </c>
      <c r="M94" s="654">
        <v>47118</v>
      </c>
      <c r="N94" s="654">
        <v>47483</v>
      </c>
      <c r="O94" s="654">
        <v>11323</v>
      </c>
      <c r="P94" s="654">
        <v>11688</v>
      </c>
      <c r="Q94" s="654">
        <v>12054</v>
      </c>
      <c r="R94" s="654">
        <v>12419</v>
      </c>
      <c r="S94" s="654">
        <v>12784</v>
      </c>
      <c r="T94" s="654">
        <v>13149</v>
      </c>
      <c r="U94" s="654">
        <v>13515</v>
      </c>
      <c r="V94" s="654">
        <v>13880</v>
      </c>
      <c r="W94" s="654">
        <v>14245</v>
      </c>
      <c r="X94" s="654">
        <v>14610</v>
      </c>
      <c r="Y94" s="654">
        <v>14976</v>
      </c>
      <c r="Z94" s="654">
        <v>15341</v>
      </c>
    </row>
    <row r="95" spans="2:26">
      <c r="B95" s="655" t="s">
        <v>623</v>
      </c>
      <c r="C95" s="655"/>
      <c r="D95" s="20"/>
      <c r="E95" s="20"/>
      <c r="F95" s="22">
        <v>0</v>
      </c>
      <c r="G95" s="22">
        <v>0</v>
      </c>
      <c r="H95" s="22">
        <v>0</v>
      </c>
      <c r="I95" s="22">
        <v>145880</v>
      </c>
      <c r="J95" s="22">
        <v>145880</v>
      </c>
      <c r="K95" s="22">
        <v>0</v>
      </c>
      <c r="L95" s="22">
        <v>0</v>
      </c>
      <c r="M95" s="22">
        <v>0</v>
      </c>
      <c r="N95" s="22">
        <v>0</v>
      </c>
      <c r="O95" s="22">
        <v>0</v>
      </c>
      <c r="P95" s="22">
        <v>0</v>
      </c>
      <c r="Q95" s="22">
        <v>0</v>
      </c>
      <c r="R95" s="22">
        <v>0</v>
      </c>
      <c r="S95" s="22">
        <v>0</v>
      </c>
      <c r="T95" s="22">
        <v>0</v>
      </c>
      <c r="U95" s="22">
        <v>0</v>
      </c>
      <c r="V95" s="22">
        <v>0</v>
      </c>
      <c r="W95" s="22">
        <v>0</v>
      </c>
      <c r="X95" s="22">
        <v>0</v>
      </c>
      <c r="Y95" s="22">
        <v>0</v>
      </c>
      <c r="Z95" s="22">
        <v>0</v>
      </c>
    </row>
    <row r="96" spans="2:26">
      <c r="B96" s="655" t="s">
        <v>606</v>
      </c>
      <c r="C96" s="655"/>
      <c r="D96" s="22">
        <v>0</v>
      </c>
      <c r="E96" s="22"/>
      <c r="F96" s="22">
        <v>0</v>
      </c>
      <c r="G96" s="22">
        <v>0</v>
      </c>
      <c r="H96" s="22">
        <v>0</v>
      </c>
      <c r="I96" s="22">
        <v>145880</v>
      </c>
      <c r="J96" s="22">
        <v>291759</v>
      </c>
      <c r="K96" s="22">
        <v>291759</v>
      </c>
      <c r="L96" s="22">
        <v>291759</v>
      </c>
      <c r="M96" s="22">
        <v>291759</v>
      </c>
      <c r="N96" s="22">
        <v>291759</v>
      </c>
      <c r="O96" s="22">
        <v>291759</v>
      </c>
      <c r="P96" s="22">
        <v>291759</v>
      </c>
      <c r="Q96" s="22">
        <v>291759</v>
      </c>
      <c r="R96" s="22">
        <v>291759</v>
      </c>
      <c r="S96" s="22">
        <v>291759</v>
      </c>
      <c r="T96" s="22">
        <v>291759</v>
      </c>
      <c r="U96" s="22">
        <v>291759</v>
      </c>
      <c r="V96" s="22">
        <v>291759</v>
      </c>
      <c r="W96" s="22">
        <v>291759</v>
      </c>
      <c r="X96" s="22">
        <v>291759</v>
      </c>
      <c r="Y96" s="22">
        <v>291759</v>
      </c>
      <c r="Z96" s="22">
        <v>291759</v>
      </c>
    </row>
    <row r="97" spans="2:26">
      <c r="B97" s="655" t="s">
        <v>609</v>
      </c>
      <c r="C97" s="655"/>
      <c r="D97" s="22"/>
      <c r="E97" s="22"/>
      <c r="F97" s="49">
        <v>0</v>
      </c>
      <c r="G97" s="49">
        <v>0</v>
      </c>
      <c r="H97" s="49">
        <v>0</v>
      </c>
      <c r="I97" s="49">
        <v>0.5</v>
      </c>
      <c r="J97" s="49">
        <v>1</v>
      </c>
      <c r="K97" s="49">
        <v>1</v>
      </c>
      <c r="L97" s="49">
        <v>1</v>
      </c>
      <c r="M97" s="49">
        <v>1</v>
      </c>
      <c r="N97" s="49">
        <v>1</v>
      </c>
      <c r="O97" s="49">
        <v>1</v>
      </c>
      <c r="P97" s="49">
        <v>1</v>
      </c>
      <c r="Q97" s="49">
        <v>1</v>
      </c>
      <c r="R97" s="49">
        <v>1</v>
      </c>
      <c r="S97" s="49">
        <v>1</v>
      </c>
      <c r="T97" s="49">
        <v>1</v>
      </c>
      <c r="U97" s="49">
        <v>1</v>
      </c>
      <c r="V97" s="49">
        <v>1</v>
      </c>
      <c r="W97" s="49">
        <v>1</v>
      </c>
      <c r="X97" s="49">
        <v>1</v>
      </c>
      <c r="Y97" s="49">
        <v>1</v>
      </c>
      <c r="Z97" s="49">
        <v>1</v>
      </c>
    </row>
    <row r="98" spans="2:26">
      <c r="B98" s="655"/>
      <c r="C98" s="655"/>
      <c r="D98" s="20"/>
      <c r="E98" s="20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</row>
    <row r="99" spans="2:26">
      <c r="B99" s="655" t="s">
        <v>610</v>
      </c>
      <c r="C99" s="655"/>
      <c r="D99" s="22"/>
      <c r="E99" s="22"/>
      <c r="F99" s="49">
        <v>1</v>
      </c>
      <c r="G99" s="49">
        <v>1</v>
      </c>
      <c r="H99" s="49">
        <v>1</v>
      </c>
      <c r="I99" s="49">
        <v>1</v>
      </c>
      <c r="J99" s="49">
        <v>1</v>
      </c>
      <c r="K99" s="49">
        <v>1</v>
      </c>
      <c r="L99" s="49">
        <v>1.1000000000000001</v>
      </c>
      <c r="M99" s="49">
        <v>1.1000000000000001</v>
      </c>
      <c r="N99" s="49">
        <v>1.1000000000000001</v>
      </c>
      <c r="O99" s="49">
        <v>1.1000000000000001</v>
      </c>
      <c r="P99" s="49">
        <v>1.1000000000000001</v>
      </c>
      <c r="Q99" s="49">
        <v>1.21</v>
      </c>
      <c r="R99" s="49">
        <v>1.21</v>
      </c>
      <c r="S99" s="49">
        <v>1.21</v>
      </c>
      <c r="T99" s="49">
        <v>1.21</v>
      </c>
      <c r="U99" s="49">
        <v>1.21</v>
      </c>
      <c r="V99" s="49">
        <v>1.33</v>
      </c>
      <c r="W99" s="49">
        <v>1.33</v>
      </c>
      <c r="X99" s="49">
        <v>1.33</v>
      </c>
      <c r="Y99" s="49">
        <v>1.33</v>
      </c>
      <c r="Z99" s="49">
        <v>1.33</v>
      </c>
    </row>
    <row r="100" spans="2:26">
      <c r="B100" s="655" t="s">
        <v>611</v>
      </c>
      <c r="C100" s="655"/>
      <c r="D100" s="22"/>
      <c r="E100" s="22"/>
      <c r="F100" s="49">
        <v>1</v>
      </c>
      <c r="G100" s="49">
        <v>1.02</v>
      </c>
      <c r="H100" s="49">
        <v>1.04</v>
      </c>
      <c r="I100" s="49">
        <v>1.06</v>
      </c>
      <c r="J100" s="49">
        <v>1.08</v>
      </c>
      <c r="K100" s="49">
        <v>1.1000000000000001</v>
      </c>
      <c r="L100" s="49">
        <v>1.1299999999999999</v>
      </c>
      <c r="M100" s="49">
        <v>1.1499999999999999</v>
      </c>
      <c r="N100" s="49">
        <v>1.17</v>
      </c>
      <c r="O100" s="49">
        <v>1.2</v>
      </c>
      <c r="P100" s="49">
        <v>1.22</v>
      </c>
      <c r="Q100" s="49">
        <v>1.24</v>
      </c>
      <c r="R100" s="49">
        <v>1.27</v>
      </c>
      <c r="S100" s="49">
        <v>1.29</v>
      </c>
      <c r="T100" s="49">
        <v>1.32</v>
      </c>
      <c r="U100" s="49">
        <v>1.35</v>
      </c>
      <c r="V100" s="49">
        <v>1.37</v>
      </c>
      <c r="W100" s="49">
        <v>1.4</v>
      </c>
      <c r="X100" s="49">
        <v>1.43</v>
      </c>
      <c r="Y100" s="49">
        <v>1.46</v>
      </c>
      <c r="Z100" s="49">
        <v>1.49</v>
      </c>
    </row>
    <row r="101" spans="2:26">
      <c r="B101" s="655"/>
      <c r="C101" s="655"/>
      <c r="D101" s="20"/>
      <c r="E101" s="20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</row>
    <row r="102" spans="2:26" s="15" customFormat="1">
      <c r="B102" s="15" t="s">
        <v>612</v>
      </c>
      <c r="D102" s="7"/>
      <c r="E102" s="7"/>
      <c r="F102" s="7">
        <v>0</v>
      </c>
      <c r="G102" s="7">
        <v>0</v>
      </c>
      <c r="H102" s="7">
        <v>0</v>
      </c>
      <c r="I102" s="7">
        <f>I97*Assumptions!$F$171*'Phase I Pro Forma'!I99</f>
        <v>6331176.8099999996</v>
      </c>
      <c r="J102" s="7">
        <f>J97*Assumptions!$F$171*'Phase I Pro Forma'!J99</f>
        <v>12662353.619999999</v>
      </c>
      <c r="K102" s="7">
        <f>K97*Assumptions!$F$171*'Phase I Pro Forma'!K99</f>
        <v>12662353.619999999</v>
      </c>
      <c r="L102" s="7">
        <f>L97*Assumptions!$F$171*'Phase I Pro Forma'!L99</f>
        <v>13928588.982000001</v>
      </c>
      <c r="M102" s="7">
        <f>M97*Assumptions!$F$171*'Phase I Pro Forma'!M99</f>
        <v>13928588.982000001</v>
      </c>
      <c r="N102" s="7">
        <f>N97*Assumptions!$F$171*'Phase I Pro Forma'!N99</f>
        <v>13928588.982000001</v>
      </c>
      <c r="O102" s="7">
        <f>O97*Assumptions!$F$171*'Phase I Pro Forma'!O99</f>
        <v>13928588.982000001</v>
      </c>
      <c r="P102" s="7">
        <f>P97*Assumptions!$F$171*'Phase I Pro Forma'!P99</f>
        <v>13928588.982000001</v>
      </c>
      <c r="Q102" s="7">
        <f>Q97*Assumptions!$F$171*'Phase I Pro Forma'!Q99</f>
        <v>15321447.880199999</v>
      </c>
      <c r="R102" s="7">
        <f>R97*Assumptions!$F$171*'Phase I Pro Forma'!R99</f>
        <v>15321447.880199999</v>
      </c>
      <c r="S102" s="7">
        <f>S97*Assumptions!$F$171*'Phase I Pro Forma'!S99</f>
        <v>15321447.880199999</v>
      </c>
      <c r="T102" s="7">
        <f>T97*Assumptions!$F$171*'Phase I Pro Forma'!T99</f>
        <v>15321447.880199999</v>
      </c>
      <c r="U102" s="7">
        <f>U97*Assumptions!$F$171*'Phase I Pro Forma'!U99</f>
        <v>15321447.880199999</v>
      </c>
      <c r="V102" s="7">
        <f>V97*Assumptions!$F$171*'Phase I Pro Forma'!V99</f>
        <v>16840930.314599998</v>
      </c>
      <c r="W102" s="7">
        <f>W97*Assumptions!$F$171*'Phase I Pro Forma'!W99</f>
        <v>16840930.314599998</v>
      </c>
      <c r="X102" s="7">
        <f>X97*Assumptions!$F$171*'Phase I Pro Forma'!X99</f>
        <v>16840930.314599998</v>
      </c>
      <c r="Y102" s="7">
        <f>Y97*Assumptions!$F$171*'Phase I Pro Forma'!Y99</f>
        <v>16840930.314599998</v>
      </c>
      <c r="Z102" s="7">
        <f>Z97*Assumptions!$F$171*'Phase I Pro Forma'!Z99</f>
        <v>16840930.314599998</v>
      </c>
    </row>
    <row r="103" spans="2:26" s="15" customFormat="1">
      <c r="B103" s="15" t="s">
        <v>613</v>
      </c>
      <c r="D103" s="7"/>
      <c r="E103" s="7"/>
      <c r="F103" s="715">
        <v>0</v>
      </c>
      <c r="G103" s="715">
        <v>0</v>
      </c>
      <c r="H103" s="715">
        <v>0</v>
      </c>
      <c r="I103" s="715">
        <v>-316559</v>
      </c>
      <c r="J103" s="715">
        <v>-633118</v>
      </c>
      <c r="K103" s="715">
        <v>-633118</v>
      </c>
      <c r="L103" s="715">
        <v>-696429</v>
      </c>
      <c r="M103" s="715">
        <v>-696429</v>
      </c>
      <c r="N103" s="715">
        <v>-696429</v>
      </c>
      <c r="O103" s="715">
        <v>-696429</v>
      </c>
      <c r="P103" s="715">
        <v>-696429</v>
      </c>
      <c r="Q103" s="715">
        <v>-766072</v>
      </c>
      <c r="R103" s="715">
        <v>-766072</v>
      </c>
      <c r="S103" s="715">
        <v>-766072</v>
      </c>
      <c r="T103" s="715">
        <v>-766072</v>
      </c>
      <c r="U103" s="715">
        <v>-766072</v>
      </c>
      <c r="V103" s="715">
        <v>-842680</v>
      </c>
      <c r="W103" s="715">
        <v>-842680</v>
      </c>
      <c r="X103" s="715">
        <v>-842680</v>
      </c>
      <c r="Y103" s="715">
        <v>-842680</v>
      </c>
      <c r="Z103" s="715">
        <v>-842680</v>
      </c>
    </row>
    <row r="104" spans="2:26" s="15" customFormat="1">
      <c r="B104" s="15" t="s">
        <v>622</v>
      </c>
      <c r="D104" s="7"/>
      <c r="E104" s="7"/>
      <c r="F104" s="717">
        <v>0</v>
      </c>
      <c r="G104" s="717">
        <v>0</v>
      </c>
      <c r="H104" s="717">
        <v>0</v>
      </c>
      <c r="I104" s="717">
        <v>2824965</v>
      </c>
      <c r="J104" s="717">
        <v>5793176</v>
      </c>
      <c r="K104" s="717">
        <v>5886637</v>
      </c>
      <c r="L104" s="717">
        <v>5982902</v>
      </c>
      <c r="M104" s="717">
        <v>6135611</v>
      </c>
      <c r="N104" s="717">
        <v>6237738</v>
      </c>
      <c r="O104" s="717">
        <v>6342929</v>
      </c>
      <c r="P104" s="717">
        <v>6505903</v>
      </c>
      <c r="Q104" s="717">
        <v>6617501</v>
      </c>
      <c r="R104" s="717">
        <v>6732446</v>
      </c>
      <c r="S104" s="717">
        <v>6906560</v>
      </c>
      <c r="T104" s="717">
        <v>7028505</v>
      </c>
      <c r="U104" s="717">
        <v>7154109</v>
      </c>
      <c r="V104" s="717">
        <v>7340315</v>
      </c>
      <c r="W104" s="717">
        <v>7473568</v>
      </c>
      <c r="X104" s="717">
        <v>7610819</v>
      </c>
      <c r="Y104" s="717">
        <v>7810158</v>
      </c>
      <c r="Z104" s="717">
        <v>7955767</v>
      </c>
    </row>
    <row r="105" spans="2:26" s="15" customFormat="1">
      <c r="B105" s="718" t="s">
        <v>614</v>
      </c>
      <c r="C105" s="718"/>
      <c r="D105" s="718"/>
      <c r="E105" s="718"/>
      <c r="F105" s="719">
        <v>0</v>
      </c>
      <c r="G105" s="719">
        <v>0</v>
      </c>
      <c r="H105" s="719">
        <v>0</v>
      </c>
      <c r="I105" s="719">
        <f>SUM(I102:I104)</f>
        <v>8839582.8099999987</v>
      </c>
      <c r="J105" s="719">
        <f t="shared" ref="J105:Z105" si="19">SUM(J102:J104)</f>
        <v>17822411.619999997</v>
      </c>
      <c r="K105" s="719">
        <f t="shared" si="19"/>
        <v>17915872.619999997</v>
      </c>
      <c r="L105" s="719">
        <f t="shared" si="19"/>
        <v>19215061.982000001</v>
      </c>
      <c r="M105" s="719">
        <f t="shared" si="19"/>
        <v>19367770.982000001</v>
      </c>
      <c r="N105" s="719">
        <f t="shared" si="19"/>
        <v>19469897.982000001</v>
      </c>
      <c r="O105" s="719">
        <f t="shared" si="19"/>
        <v>19575088.982000001</v>
      </c>
      <c r="P105" s="719">
        <f t="shared" si="19"/>
        <v>19738062.982000001</v>
      </c>
      <c r="Q105" s="719">
        <f t="shared" si="19"/>
        <v>21172876.880199999</v>
      </c>
      <c r="R105" s="719">
        <f t="shared" si="19"/>
        <v>21287821.880199999</v>
      </c>
      <c r="S105" s="719">
        <f t="shared" si="19"/>
        <v>21461935.880199999</v>
      </c>
      <c r="T105" s="719">
        <f t="shared" si="19"/>
        <v>21583880.880199999</v>
      </c>
      <c r="U105" s="719">
        <f t="shared" si="19"/>
        <v>21709484.880199999</v>
      </c>
      <c r="V105" s="719">
        <f t="shared" si="19"/>
        <v>23338565.314599998</v>
      </c>
      <c r="W105" s="719">
        <f t="shared" si="19"/>
        <v>23471818.314599998</v>
      </c>
      <c r="X105" s="719">
        <f t="shared" si="19"/>
        <v>23609069.314599998</v>
      </c>
      <c r="Y105" s="719">
        <f t="shared" si="19"/>
        <v>23808408.314599998</v>
      </c>
      <c r="Z105" s="719">
        <f t="shared" si="19"/>
        <v>23954017.314599998</v>
      </c>
    </row>
    <row r="106" spans="2:26" s="15" customFormat="1"/>
    <row r="107" spans="2:26">
      <c r="B107" s="655" t="s">
        <v>615</v>
      </c>
      <c r="C107" s="655"/>
      <c r="D107" s="655"/>
      <c r="F107" s="16">
        <v>0</v>
      </c>
      <c r="G107" s="16">
        <v>0</v>
      </c>
      <c r="H107" s="16">
        <v>0</v>
      </c>
      <c r="I107" s="16">
        <v>1161065</v>
      </c>
      <c r="J107" s="16">
        <v>2368572</v>
      </c>
      <c r="K107" s="16">
        <v>2415944</v>
      </c>
      <c r="L107" s="16">
        <v>2464263</v>
      </c>
      <c r="M107" s="16">
        <v>2513548</v>
      </c>
      <c r="N107" s="16">
        <v>2563819</v>
      </c>
      <c r="O107" s="16">
        <v>2615095</v>
      </c>
      <c r="P107" s="16">
        <v>2667397</v>
      </c>
      <c r="Q107" s="16">
        <v>2720745</v>
      </c>
      <c r="R107" s="16">
        <v>2775160</v>
      </c>
      <c r="S107" s="16">
        <v>2830663</v>
      </c>
      <c r="T107" s="16">
        <v>2887277</v>
      </c>
      <c r="U107" s="16">
        <v>2945022</v>
      </c>
      <c r="V107" s="16">
        <v>3003922</v>
      </c>
      <c r="W107" s="16">
        <v>3064001</v>
      </c>
      <c r="X107" s="16">
        <v>3125281</v>
      </c>
      <c r="Y107" s="16">
        <v>3187787</v>
      </c>
      <c r="Z107" s="16">
        <v>3251542</v>
      </c>
    </row>
    <row r="108" spans="2:26">
      <c r="B108" s="655" t="s">
        <v>616</v>
      </c>
      <c r="C108" s="655"/>
      <c r="F108" s="656">
        <v>0</v>
      </c>
      <c r="G108" s="656">
        <v>0</v>
      </c>
      <c r="H108" s="656">
        <v>0</v>
      </c>
      <c r="I108" s="656">
        <v>0</v>
      </c>
      <c r="J108" s="656">
        <v>0</v>
      </c>
      <c r="K108" s="656">
        <v>0</v>
      </c>
      <c r="L108" s="656">
        <v>0</v>
      </c>
      <c r="M108" s="656">
        <v>0</v>
      </c>
      <c r="N108" s="656">
        <v>0</v>
      </c>
      <c r="O108" s="656">
        <v>0</v>
      </c>
      <c r="P108" s="656">
        <v>0</v>
      </c>
      <c r="Q108" s="656">
        <v>0</v>
      </c>
      <c r="R108" s="656">
        <v>0</v>
      </c>
      <c r="S108" s="656">
        <v>0</v>
      </c>
      <c r="T108" s="656">
        <v>0</v>
      </c>
      <c r="U108" s="656">
        <v>0</v>
      </c>
      <c r="V108" s="656">
        <v>0</v>
      </c>
      <c r="W108" s="656">
        <v>0</v>
      </c>
      <c r="X108" s="656">
        <v>0</v>
      </c>
      <c r="Y108" s="656">
        <v>0</v>
      </c>
      <c r="Z108" s="656">
        <v>0</v>
      </c>
    </row>
    <row r="109" spans="2:26" s="15" customFormat="1">
      <c r="B109" s="718" t="s">
        <v>617</v>
      </c>
      <c r="C109" s="718"/>
      <c r="D109" s="718"/>
      <c r="E109" s="718"/>
      <c r="F109" s="719">
        <v>0</v>
      </c>
      <c r="G109" s="719">
        <v>0</v>
      </c>
      <c r="H109" s="719">
        <v>0</v>
      </c>
      <c r="I109" s="719">
        <f>SUM(I107:I108)</f>
        <v>1161065</v>
      </c>
      <c r="J109" s="719">
        <f t="shared" ref="J109:Z109" si="20">SUM(J107:J108)</f>
        <v>2368572</v>
      </c>
      <c r="K109" s="719">
        <f t="shared" si="20"/>
        <v>2415944</v>
      </c>
      <c r="L109" s="719">
        <f t="shared" si="20"/>
        <v>2464263</v>
      </c>
      <c r="M109" s="719">
        <f t="shared" si="20"/>
        <v>2513548</v>
      </c>
      <c r="N109" s="719">
        <f t="shared" si="20"/>
        <v>2563819</v>
      </c>
      <c r="O109" s="719">
        <f t="shared" si="20"/>
        <v>2615095</v>
      </c>
      <c r="P109" s="719">
        <f t="shared" si="20"/>
        <v>2667397</v>
      </c>
      <c r="Q109" s="719">
        <f t="shared" si="20"/>
        <v>2720745</v>
      </c>
      <c r="R109" s="719">
        <f t="shared" si="20"/>
        <v>2775160</v>
      </c>
      <c r="S109" s="719">
        <f t="shared" si="20"/>
        <v>2830663</v>
      </c>
      <c r="T109" s="719">
        <f t="shared" si="20"/>
        <v>2887277</v>
      </c>
      <c r="U109" s="719">
        <f t="shared" si="20"/>
        <v>2945022</v>
      </c>
      <c r="V109" s="719">
        <f t="shared" si="20"/>
        <v>3003922</v>
      </c>
      <c r="W109" s="719">
        <f t="shared" si="20"/>
        <v>3064001</v>
      </c>
      <c r="X109" s="719">
        <f t="shared" si="20"/>
        <v>3125281</v>
      </c>
      <c r="Y109" s="719">
        <f t="shared" si="20"/>
        <v>3187787</v>
      </c>
      <c r="Z109" s="719">
        <f t="shared" si="20"/>
        <v>3251542</v>
      </c>
    </row>
    <row r="110" spans="2:26">
      <c r="B110" s="655"/>
    </row>
    <row r="111" spans="2:26" s="15" customFormat="1" ht="15.75">
      <c r="B111" s="721" t="s">
        <v>618</v>
      </c>
      <c r="C111" s="721"/>
      <c r="D111" s="721"/>
      <c r="E111" s="721"/>
      <c r="F111" s="722">
        <v>0</v>
      </c>
      <c r="G111" s="722">
        <v>0</v>
      </c>
      <c r="H111" s="722">
        <v>0</v>
      </c>
      <c r="I111" s="722">
        <f>I105-I109</f>
        <v>7678517.8099999987</v>
      </c>
      <c r="J111" s="722">
        <f t="shared" ref="J111:Z111" si="21">J105-J109</f>
        <v>15453839.619999997</v>
      </c>
      <c r="K111" s="722">
        <f t="shared" si="21"/>
        <v>15499928.619999997</v>
      </c>
      <c r="L111" s="722">
        <f t="shared" si="21"/>
        <v>16750798.982000001</v>
      </c>
      <c r="M111" s="722">
        <f t="shared" si="21"/>
        <v>16854222.982000001</v>
      </c>
      <c r="N111" s="722">
        <f t="shared" si="21"/>
        <v>16906078.982000001</v>
      </c>
      <c r="O111" s="722">
        <f t="shared" si="21"/>
        <v>16959993.982000001</v>
      </c>
      <c r="P111" s="722">
        <f t="shared" si="21"/>
        <v>17070665.982000001</v>
      </c>
      <c r="Q111" s="722">
        <f t="shared" si="21"/>
        <v>18452131.880199999</v>
      </c>
      <c r="R111" s="722">
        <f t="shared" si="21"/>
        <v>18512661.880199999</v>
      </c>
      <c r="S111" s="722">
        <f t="shared" si="21"/>
        <v>18631272.880199999</v>
      </c>
      <c r="T111" s="722">
        <f t="shared" si="21"/>
        <v>18696603.880199999</v>
      </c>
      <c r="U111" s="722">
        <f t="shared" si="21"/>
        <v>18764462.880199999</v>
      </c>
      <c r="V111" s="722">
        <f t="shared" si="21"/>
        <v>20334643.314599998</v>
      </c>
      <c r="W111" s="722">
        <f t="shared" si="21"/>
        <v>20407817.314599998</v>
      </c>
      <c r="X111" s="722">
        <f t="shared" si="21"/>
        <v>20483788.314599998</v>
      </c>
      <c r="Y111" s="722">
        <f t="shared" si="21"/>
        <v>20620621.314599998</v>
      </c>
      <c r="Z111" s="722">
        <f t="shared" si="21"/>
        <v>20702475.314599998</v>
      </c>
    </row>
    <row r="112" spans="2:26" s="15" customFormat="1" ht="15.75">
      <c r="B112" s="723" t="s">
        <v>619</v>
      </c>
      <c r="C112" s="724"/>
      <c r="D112" s="724"/>
      <c r="E112" s="724"/>
      <c r="F112" s="725"/>
      <c r="G112" s="725"/>
      <c r="H112" s="725"/>
      <c r="I112" s="726">
        <f>+IFERROR(I111/I105,"")</f>
        <v>0.86865160664748609</v>
      </c>
      <c r="J112" s="726">
        <f t="shared" ref="J112:Z112" si="22">+IFERROR(J111/J105,"")</f>
        <v>0.86710148713308643</v>
      </c>
      <c r="K112" s="726">
        <f t="shared" si="22"/>
        <v>0.86515063758027544</v>
      </c>
      <c r="L112" s="726">
        <f t="shared" si="22"/>
        <v>0.87175357527816277</v>
      </c>
      <c r="M112" s="726">
        <f t="shared" si="22"/>
        <v>0.87022006805346686</v>
      </c>
      <c r="N112" s="726">
        <f t="shared" si="22"/>
        <v>0.86831882722907638</v>
      </c>
      <c r="O112" s="726">
        <f t="shared" si="22"/>
        <v>0.86640699296924406</v>
      </c>
      <c r="P112" s="726">
        <f t="shared" si="22"/>
        <v>0.86486024477515777</v>
      </c>
      <c r="Q112" s="726">
        <f t="shared" si="22"/>
        <v>0.87149856793696612</v>
      </c>
      <c r="R112" s="726">
        <f t="shared" si="22"/>
        <v>0.8696362636056626</v>
      </c>
      <c r="S112" s="726">
        <f t="shared" si="22"/>
        <v>0.86810775058686729</v>
      </c>
      <c r="T112" s="726">
        <f t="shared" si="22"/>
        <v>0.86622994187071112</v>
      </c>
      <c r="U112" s="726">
        <f t="shared" si="22"/>
        <v>0.8643439945143061</v>
      </c>
      <c r="V112" s="726">
        <f t="shared" si="22"/>
        <v>0.87128934621697485</v>
      </c>
      <c r="W112" s="726">
        <f t="shared" si="22"/>
        <v>0.86946043297829545</v>
      </c>
      <c r="X112" s="726">
        <f t="shared" si="22"/>
        <v>0.86762371026344076</v>
      </c>
      <c r="Y112" s="726">
        <f t="shared" si="22"/>
        <v>0.86610667299228239</v>
      </c>
      <c r="Z112" s="726">
        <f t="shared" si="22"/>
        <v>0.86425901103368652</v>
      </c>
    </row>
    <row r="113" spans="2:26" s="15" customFormat="1" ht="15.75">
      <c r="B113" s="723" t="s">
        <v>568</v>
      </c>
      <c r="C113" s="724"/>
      <c r="D113" s="724"/>
      <c r="E113" s="724"/>
      <c r="F113" s="727">
        <v>0</v>
      </c>
      <c r="G113" s="727">
        <v>0</v>
      </c>
      <c r="H113" s="727">
        <v>0</v>
      </c>
      <c r="I113" s="727">
        <f>I111/Assumptions!$N$133</f>
        <v>118131043.2307692</v>
      </c>
      <c r="J113" s="727">
        <f>J111/Assumptions!$N$133</f>
        <v>237751378.76923072</v>
      </c>
      <c r="K113" s="727">
        <f>K111/Assumptions!$N$133</f>
        <v>238460440.30769226</v>
      </c>
      <c r="L113" s="727">
        <f>L111/Assumptions!$N$133</f>
        <v>257704599.72307694</v>
      </c>
      <c r="M113" s="727">
        <f>M111/Assumptions!$N$133</f>
        <v>259295738.18461537</v>
      </c>
      <c r="N113" s="727">
        <f>N111/Assumptions!$N$133</f>
        <v>260093522.80000001</v>
      </c>
      <c r="O113" s="727">
        <f>O111/Assumptions!$N$133</f>
        <v>260922984.33846155</v>
      </c>
      <c r="P113" s="727">
        <f>P111/Assumptions!$N$133</f>
        <v>262625630.49230769</v>
      </c>
      <c r="Q113" s="727">
        <f>Q111/Assumptions!$N$133</f>
        <v>283878952.00307691</v>
      </c>
      <c r="R113" s="727">
        <f>R111/Assumptions!$N$133</f>
        <v>284810182.77230763</v>
      </c>
      <c r="S113" s="727">
        <f>S111/Assumptions!$N$133</f>
        <v>286634967.38769227</v>
      </c>
      <c r="T113" s="727">
        <f>T111/Assumptions!$N$133</f>
        <v>287640059.69538456</v>
      </c>
      <c r="U113" s="727">
        <f>U111/Assumptions!$N$133</f>
        <v>288684044.3107692</v>
      </c>
      <c r="V113" s="727">
        <f>V111/Assumptions!$N$133</f>
        <v>312840666.37846148</v>
      </c>
      <c r="W113" s="727">
        <f>W111/Assumptions!$N$133</f>
        <v>313966420.22461534</v>
      </c>
      <c r="X113" s="727">
        <f>X111/Assumptions!$N$133</f>
        <v>315135204.83999997</v>
      </c>
      <c r="Y113" s="727">
        <f>Y111/Assumptions!$N$133</f>
        <v>317240327.91692305</v>
      </c>
      <c r="Z113" s="727">
        <f>Z111/Assumptions!$N$133</f>
        <v>318499620.22461534</v>
      </c>
    </row>
    <row r="115" spans="2:26" ht="15.75">
      <c r="B115" s="652" t="s">
        <v>201</v>
      </c>
      <c r="C115" s="653"/>
      <c r="D115" s="653"/>
      <c r="E115" s="653"/>
      <c r="F115" s="654">
        <v>44561</v>
      </c>
      <c r="G115" s="654">
        <v>44926</v>
      </c>
      <c r="H115" s="654">
        <v>45291</v>
      </c>
      <c r="I115" s="654">
        <v>45657</v>
      </c>
      <c r="J115" s="654">
        <v>46022</v>
      </c>
      <c r="K115" s="654">
        <v>46387</v>
      </c>
      <c r="L115" s="654">
        <v>46752</v>
      </c>
      <c r="M115" s="654">
        <v>47118</v>
      </c>
      <c r="N115" s="654">
        <v>47483</v>
      </c>
      <c r="O115" s="654">
        <v>11323</v>
      </c>
      <c r="P115" s="654">
        <v>11688</v>
      </c>
      <c r="Q115" s="654">
        <v>12054</v>
      </c>
      <c r="R115" s="654">
        <v>12419</v>
      </c>
      <c r="S115" s="654">
        <v>12784</v>
      </c>
      <c r="T115" s="654">
        <v>13149</v>
      </c>
      <c r="U115" s="654">
        <v>13515</v>
      </c>
      <c r="V115" s="654">
        <v>13880</v>
      </c>
      <c r="W115" s="654">
        <v>14245</v>
      </c>
      <c r="X115" s="654">
        <v>14610</v>
      </c>
      <c r="Y115" s="654">
        <v>14976</v>
      </c>
      <c r="Z115" s="654">
        <v>15341</v>
      </c>
    </row>
    <row r="116" spans="2:26">
      <c r="B116" s="655" t="s">
        <v>605</v>
      </c>
      <c r="C116" s="655"/>
      <c r="D116" s="20"/>
      <c r="E116" s="20"/>
      <c r="F116" s="22">
        <v>0</v>
      </c>
      <c r="G116" s="22">
        <v>0</v>
      </c>
      <c r="H116" s="22">
        <v>0</v>
      </c>
      <c r="I116" s="22">
        <v>127258</v>
      </c>
      <c r="J116" s="22">
        <v>127258</v>
      </c>
      <c r="K116" s="22">
        <v>0</v>
      </c>
      <c r="L116" s="22">
        <v>0</v>
      </c>
      <c r="M116" s="22">
        <v>0</v>
      </c>
      <c r="N116" s="22">
        <v>0</v>
      </c>
      <c r="O116" s="22">
        <v>0</v>
      </c>
      <c r="P116" s="22">
        <v>0</v>
      </c>
      <c r="Q116" s="22">
        <v>0</v>
      </c>
      <c r="R116" s="22">
        <v>0</v>
      </c>
      <c r="S116" s="22">
        <v>0</v>
      </c>
      <c r="T116" s="22">
        <v>0</v>
      </c>
      <c r="U116" s="22">
        <v>0</v>
      </c>
      <c r="V116" s="22">
        <v>0</v>
      </c>
      <c r="W116" s="22">
        <v>0</v>
      </c>
      <c r="X116" s="22">
        <v>0</v>
      </c>
      <c r="Y116" s="22">
        <v>0</v>
      </c>
      <c r="Z116" s="22">
        <v>0</v>
      </c>
    </row>
    <row r="117" spans="2:26">
      <c r="B117" s="655" t="s">
        <v>607</v>
      </c>
      <c r="C117" s="655"/>
      <c r="D117" s="22"/>
      <c r="E117" s="22"/>
      <c r="F117" s="22">
        <v>0</v>
      </c>
      <c r="G117" s="22">
        <v>0</v>
      </c>
      <c r="H117" s="22">
        <v>0</v>
      </c>
      <c r="I117" s="22">
        <v>509</v>
      </c>
      <c r="J117" s="22">
        <v>509</v>
      </c>
      <c r="K117" s="22">
        <v>0</v>
      </c>
      <c r="L117" s="22">
        <v>0</v>
      </c>
      <c r="M117" s="22">
        <v>0</v>
      </c>
      <c r="N117" s="22">
        <v>0</v>
      </c>
      <c r="O117" s="22">
        <v>0</v>
      </c>
      <c r="P117" s="22">
        <v>0</v>
      </c>
      <c r="Q117" s="22">
        <v>0</v>
      </c>
      <c r="R117" s="22">
        <v>0</v>
      </c>
      <c r="S117" s="22">
        <v>0</v>
      </c>
      <c r="T117" s="22">
        <v>0</v>
      </c>
      <c r="U117" s="22">
        <v>0</v>
      </c>
      <c r="V117" s="22">
        <v>0</v>
      </c>
      <c r="W117" s="22">
        <v>0</v>
      </c>
      <c r="X117" s="22">
        <v>0</v>
      </c>
      <c r="Y117" s="22">
        <v>0</v>
      </c>
      <c r="Z117" s="22">
        <v>0</v>
      </c>
    </row>
    <row r="118" spans="2:26">
      <c r="B118" s="655" t="s">
        <v>608</v>
      </c>
      <c r="C118" s="655"/>
      <c r="D118" s="20"/>
      <c r="E118" s="20"/>
      <c r="F118" s="22">
        <v>0</v>
      </c>
      <c r="G118" s="22">
        <v>0</v>
      </c>
      <c r="H118" s="22">
        <v>0</v>
      </c>
      <c r="I118" s="22">
        <v>509</v>
      </c>
      <c r="J118" s="22">
        <v>1018</v>
      </c>
      <c r="K118" s="22">
        <v>1018</v>
      </c>
      <c r="L118" s="22">
        <v>1018</v>
      </c>
      <c r="M118" s="22">
        <v>1018</v>
      </c>
      <c r="N118" s="22">
        <v>1018</v>
      </c>
      <c r="O118" s="22">
        <v>1018</v>
      </c>
      <c r="P118" s="22">
        <v>1018</v>
      </c>
      <c r="Q118" s="22">
        <v>1018</v>
      </c>
      <c r="R118" s="22">
        <v>1018</v>
      </c>
      <c r="S118" s="22">
        <v>1018</v>
      </c>
      <c r="T118" s="22">
        <v>1018</v>
      </c>
      <c r="U118" s="22">
        <v>1018</v>
      </c>
      <c r="V118" s="22">
        <v>1018</v>
      </c>
      <c r="W118" s="22">
        <v>1018</v>
      </c>
      <c r="X118" s="22">
        <v>1018</v>
      </c>
      <c r="Y118" s="22">
        <v>1018</v>
      </c>
      <c r="Z118" s="22">
        <v>1018</v>
      </c>
    </row>
    <row r="119" spans="2:26">
      <c r="B119" s="655" t="s">
        <v>606</v>
      </c>
      <c r="C119" s="655"/>
      <c r="D119" s="22">
        <v>0</v>
      </c>
      <c r="E119" s="22"/>
      <c r="F119" s="22">
        <v>0</v>
      </c>
      <c r="G119" s="22">
        <v>0</v>
      </c>
      <c r="H119" s="22">
        <v>0</v>
      </c>
      <c r="I119" s="22">
        <v>127258</v>
      </c>
      <c r="J119" s="22">
        <v>254516</v>
      </c>
      <c r="K119" s="22">
        <v>254516</v>
      </c>
      <c r="L119" s="22">
        <v>254516</v>
      </c>
      <c r="M119" s="22">
        <v>254516</v>
      </c>
      <c r="N119" s="22">
        <v>254516</v>
      </c>
      <c r="O119" s="22">
        <v>254516</v>
      </c>
      <c r="P119" s="22">
        <v>254516</v>
      </c>
      <c r="Q119" s="22">
        <v>254516</v>
      </c>
      <c r="R119" s="22">
        <v>254516</v>
      </c>
      <c r="S119" s="22">
        <v>254516</v>
      </c>
      <c r="T119" s="22">
        <v>254516</v>
      </c>
      <c r="U119" s="22">
        <v>254516</v>
      </c>
      <c r="V119" s="22">
        <v>254516</v>
      </c>
      <c r="W119" s="22">
        <v>254516</v>
      </c>
      <c r="X119" s="22">
        <v>254516</v>
      </c>
      <c r="Y119" s="22">
        <v>254516</v>
      </c>
      <c r="Z119" s="22">
        <v>254516</v>
      </c>
    </row>
    <row r="120" spans="2:26">
      <c r="B120" s="655" t="s">
        <v>609</v>
      </c>
      <c r="C120" s="655"/>
      <c r="D120" s="22"/>
      <c r="E120" s="22"/>
      <c r="F120" s="49">
        <v>0</v>
      </c>
      <c r="G120" s="49">
        <v>0</v>
      </c>
      <c r="H120" s="49">
        <v>0</v>
      </c>
      <c r="I120" s="49">
        <v>0.5</v>
      </c>
      <c r="J120" s="49">
        <v>1</v>
      </c>
      <c r="K120" s="49">
        <v>1</v>
      </c>
      <c r="L120" s="49">
        <v>1</v>
      </c>
      <c r="M120" s="49">
        <v>1</v>
      </c>
      <c r="N120" s="49">
        <v>1</v>
      </c>
      <c r="O120" s="49">
        <v>1</v>
      </c>
      <c r="P120" s="49">
        <v>1</v>
      </c>
      <c r="Q120" s="49">
        <v>1</v>
      </c>
      <c r="R120" s="49">
        <v>1</v>
      </c>
      <c r="S120" s="49">
        <v>1</v>
      </c>
      <c r="T120" s="49">
        <v>1</v>
      </c>
      <c r="U120" s="49">
        <v>1</v>
      </c>
      <c r="V120" s="49">
        <v>1</v>
      </c>
      <c r="W120" s="49">
        <v>1</v>
      </c>
      <c r="X120" s="49">
        <v>1</v>
      </c>
      <c r="Y120" s="49">
        <v>1</v>
      </c>
      <c r="Z120" s="49">
        <v>1</v>
      </c>
    </row>
    <row r="121" spans="2:26">
      <c r="B121" s="655"/>
      <c r="C121" s="655"/>
      <c r="D121" s="20"/>
      <c r="E121" s="20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</row>
    <row r="122" spans="2:26">
      <c r="B122" s="655" t="s">
        <v>610</v>
      </c>
      <c r="C122" s="655"/>
      <c r="D122" s="22"/>
      <c r="E122" s="22"/>
      <c r="F122" s="49">
        <v>1</v>
      </c>
      <c r="G122" s="49">
        <v>1.02</v>
      </c>
      <c r="H122" s="49">
        <v>1.04</v>
      </c>
      <c r="I122" s="49">
        <v>1.06</v>
      </c>
      <c r="J122" s="49">
        <v>1.08</v>
      </c>
      <c r="K122" s="49">
        <v>1.1000000000000001</v>
      </c>
      <c r="L122" s="49">
        <v>1.1299999999999999</v>
      </c>
      <c r="M122" s="49">
        <v>1.1499999999999999</v>
      </c>
      <c r="N122" s="49">
        <v>1.17</v>
      </c>
      <c r="O122" s="49">
        <v>1.2</v>
      </c>
      <c r="P122" s="49">
        <v>1.22</v>
      </c>
      <c r="Q122" s="49">
        <v>1.24</v>
      </c>
      <c r="R122" s="49">
        <v>1.27</v>
      </c>
      <c r="S122" s="49">
        <v>1.29</v>
      </c>
      <c r="T122" s="49">
        <v>1.32</v>
      </c>
      <c r="U122" s="49">
        <v>1.35</v>
      </c>
      <c r="V122" s="49">
        <v>1.37</v>
      </c>
      <c r="W122" s="49">
        <v>1.4</v>
      </c>
      <c r="X122" s="49">
        <v>1.43</v>
      </c>
      <c r="Y122" s="49">
        <v>1.46</v>
      </c>
      <c r="Z122" s="49">
        <v>1.49</v>
      </c>
    </row>
    <row r="123" spans="2:26" s="15" customFormat="1">
      <c r="B123" s="15" t="s">
        <v>611</v>
      </c>
      <c r="D123" s="715"/>
      <c r="E123" s="715"/>
      <c r="F123" s="729">
        <v>1</v>
      </c>
      <c r="G123" s="729">
        <v>1.02</v>
      </c>
      <c r="H123" s="729">
        <v>1.04</v>
      </c>
      <c r="I123" s="729">
        <v>1.06</v>
      </c>
      <c r="J123" s="729">
        <v>1.08</v>
      </c>
      <c r="K123" s="729">
        <v>1.1000000000000001</v>
      </c>
      <c r="L123" s="729">
        <v>1.1299999999999999</v>
      </c>
      <c r="M123" s="729">
        <v>1.1499999999999999</v>
      </c>
      <c r="N123" s="729">
        <v>1.17</v>
      </c>
      <c r="O123" s="729">
        <v>1.2</v>
      </c>
      <c r="P123" s="729">
        <v>1.22</v>
      </c>
      <c r="Q123" s="729">
        <v>1.24</v>
      </c>
      <c r="R123" s="729">
        <v>1.27</v>
      </c>
      <c r="S123" s="729">
        <v>1.29</v>
      </c>
      <c r="T123" s="729">
        <v>1.32</v>
      </c>
      <c r="U123" s="729">
        <v>1.35</v>
      </c>
      <c r="V123" s="729">
        <v>1.37</v>
      </c>
      <c r="W123" s="729">
        <v>1.4</v>
      </c>
      <c r="X123" s="729">
        <v>1.43</v>
      </c>
      <c r="Y123" s="729">
        <v>1.46</v>
      </c>
      <c r="Z123" s="729">
        <v>1.49</v>
      </c>
    </row>
    <row r="124" spans="2:26" s="15" customFormat="1"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</row>
    <row r="125" spans="2:26" s="15" customFormat="1">
      <c r="B125" s="15" t="s">
        <v>612</v>
      </c>
      <c r="D125" s="7"/>
      <c r="E125" s="7"/>
      <c r="F125" s="7">
        <v>0</v>
      </c>
      <c r="G125" s="7">
        <v>0</v>
      </c>
      <c r="H125" s="7">
        <v>0</v>
      </c>
      <c r="I125" s="7">
        <f>I120*Assumptions!$F$203*'Phase I Pro Forma'!I122</f>
        <v>1230228.5375999999</v>
      </c>
      <c r="J125" s="7">
        <f>J120*Assumptions!$F$203*'Phase I Pro Forma'!J122</f>
        <v>2506880.7936</v>
      </c>
      <c r="K125" s="7">
        <f>K120*Assumptions!$F$203*'Phase I Pro Forma'!K122</f>
        <v>2553304.5120000001</v>
      </c>
      <c r="L125" s="7">
        <f>L120*Assumptions!$F$203*'Phase I Pro Forma'!L122</f>
        <v>2622940.0895999996</v>
      </c>
      <c r="M125" s="7">
        <f>M120*Assumptions!$F$203*'Phase I Pro Forma'!M122</f>
        <v>2669363.8079999997</v>
      </c>
      <c r="N125" s="7">
        <f>N120*Assumptions!$F$203*'Phase I Pro Forma'!N122</f>
        <v>2715787.5263999999</v>
      </c>
      <c r="O125" s="7">
        <f>O120*Assumptions!$F$203*'Phase I Pro Forma'!O122</f>
        <v>2785423.1039999998</v>
      </c>
      <c r="P125" s="7">
        <f>P120*Assumptions!$F$203*'Phase I Pro Forma'!P122</f>
        <v>2831846.8223999999</v>
      </c>
      <c r="Q125" s="7">
        <f>Q120*Assumptions!$F$203*'Phase I Pro Forma'!Q122</f>
        <v>2878270.5408000001</v>
      </c>
      <c r="R125" s="7">
        <f>R120*Assumptions!$F$203*'Phase I Pro Forma'!R122</f>
        <v>2947906.1184</v>
      </c>
      <c r="S125" s="7">
        <f>S120*Assumptions!$F$203*'Phase I Pro Forma'!S122</f>
        <v>2994329.8368000002</v>
      </c>
      <c r="T125" s="7">
        <f>T120*Assumptions!$F$203*'Phase I Pro Forma'!T122</f>
        <v>3063965.4144000001</v>
      </c>
      <c r="U125" s="7">
        <f>U120*Assumptions!$F$203*'Phase I Pro Forma'!U122</f>
        <v>3133600.9920000001</v>
      </c>
      <c r="V125" s="7">
        <f>V120*Assumptions!$F$203*'Phase I Pro Forma'!V122</f>
        <v>3180024.7104000002</v>
      </c>
      <c r="W125" s="7">
        <f>W120*Assumptions!$F$203*'Phase I Pro Forma'!W122</f>
        <v>3249660.2879999997</v>
      </c>
      <c r="X125" s="7">
        <f>X120*Assumptions!$F$203*'Phase I Pro Forma'!X122</f>
        <v>3319295.8655999997</v>
      </c>
      <c r="Y125" s="7">
        <f>Y120*Assumptions!$F$203*'Phase I Pro Forma'!Y122</f>
        <v>3388931.4431999996</v>
      </c>
      <c r="Z125" s="7">
        <f>Z120*Assumptions!$F$203*'Phase I Pro Forma'!Z122</f>
        <v>3458567.0208000001</v>
      </c>
    </row>
    <row r="126" spans="2:26" s="15" customFormat="1">
      <c r="B126" s="15" t="s">
        <v>613</v>
      </c>
      <c r="D126" s="7"/>
      <c r="E126" s="7"/>
      <c r="F126" s="715">
        <v>0</v>
      </c>
      <c r="G126" s="715">
        <v>0</v>
      </c>
      <c r="H126" s="715">
        <v>0</v>
      </c>
      <c r="I126" s="716">
        <f>-I125*Assumptions!$N$60</f>
        <v>-123022.85376</v>
      </c>
      <c r="J126" s="716">
        <f>-J125*Assumptions!$N$60</f>
        <v>-250688.07936</v>
      </c>
      <c r="K126" s="716">
        <f>-K125*Assumptions!$N$60</f>
        <v>-255330.45120000001</v>
      </c>
      <c r="L126" s="716">
        <f>-L125*Assumptions!$N$60</f>
        <v>-262294.00895999995</v>
      </c>
      <c r="M126" s="716">
        <f>-M125*Assumptions!$N$60</f>
        <v>-266936.38079999998</v>
      </c>
      <c r="N126" s="716">
        <f>-N125*Assumptions!$N$60</f>
        <v>-271578.75264000002</v>
      </c>
      <c r="O126" s="716">
        <f>-O125*Assumptions!$N$60</f>
        <v>-278542.31040000002</v>
      </c>
      <c r="P126" s="716">
        <f>-P125*Assumptions!$N$60</f>
        <v>-283184.68223999999</v>
      </c>
      <c r="Q126" s="716">
        <f>-Q125*Assumptions!$N$60</f>
        <v>-287827.05408000003</v>
      </c>
      <c r="R126" s="716">
        <f>-R125*Assumptions!$N$60</f>
        <v>-294790.61184000003</v>
      </c>
      <c r="S126" s="716">
        <f>-S125*Assumptions!$N$60</f>
        <v>-299432.98368</v>
      </c>
      <c r="T126" s="716">
        <f>-T125*Assumptions!$N$60</f>
        <v>-306396.54144</v>
      </c>
      <c r="U126" s="716">
        <f>-U125*Assumptions!$N$60</f>
        <v>-313360.0992</v>
      </c>
      <c r="V126" s="716">
        <f>-V125*Assumptions!$N$60</f>
        <v>-318002.47104000003</v>
      </c>
      <c r="W126" s="716">
        <f>-W125*Assumptions!$N$60</f>
        <v>-324966.02879999997</v>
      </c>
      <c r="X126" s="716">
        <f>-X125*Assumptions!$N$60</f>
        <v>-331929.58655999997</v>
      </c>
      <c r="Y126" s="716">
        <f>-Y125*Assumptions!$N$60</f>
        <v>-338893.14431999996</v>
      </c>
      <c r="Z126" s="716">
        <f>-Z125*Assumptions!$N$60</f>
        <v>-345856.70208000002</v>
      </c>
    </row>
    <row r="127" spans="2:26" s="15" customFormat="1">
      <c r="B127" s="718" t="s">
        <v>614</v>
      </c>
      <c r="C127" s="718"/>
      <c r="D127" s="718"/>
      <c r="E127" s="718"/>
      <c r="F127" s="719">
        <v>0</v>
      </c>
      <c r="G127" s="719">
        <v>0</v>
      </c>
      <c r="H127" s="719">
        <v>0</v>
      </c>
      <c r="I127" s="719">
        <f>SUM(I125:I126)</f>
        <v>1107205.6838399998</v>
      </c>
      <c r="J127" s="719">
        <f t="shared" ref="J127:Z127" si="23">SUM(J125:J126)</f>
        <v>2256192.7142400001</v>
      </c>
      <c r="K127" s="719">
        <f t="shared" si="23"/>
        <v>2297974.0608000001</v>
      </c>
      <c r="L127" s="719">
        <f t="shared" si="23"/>
        <v>2360646.0806399998</v>
      </c>
      <c r="M127" s="719">
        <f t="shared" si="23"/>
        <v>2402427.4271999998</v>
      </c>
      <c r="N127" s="719">
        <f t="shared" si="23"/>
        <v>2444208.7737599998</v>
      </c>
      <c r="O127" s="719">
        <f t="shared" si="23"/>
        <v>2506880.7936</v>
      </c>
      <c r="P127" s="719">
        <f t="shared" si="23"/>
        <v>2548662.14016</v>
      </c>
      <c r="Q127" s="719">
        <f t="shared" si="23"/>
        <v>2590443.4867199999</v>
      </c>
      <c r="R127" s="719">
        <f t="shared" si="23"/>
        <v>2653115.5065600001</v>
      </c>
      <c r="S127" s="719">
        <f t="shared" si="23"/>
        <v>2694896.8531200001</v>
      </c>
      <c r="T127" s="719">
        <f t="shared" si="23"/>
        <v>2757568.8729600003</v>
      </c>
      <c r="U127" s="719">
        <f t="shared" si="23"/>
        <v>2820240.8928</v>
      </c>
      <c r="V127" s="719">
        <f t="shared" si="23"/>
        <v>2862022.23936</v>
      </c>
      <c r="W127" s="719">
        <f t="shared" si="23"/>
        <v>2924694.2591999997</v>
      </c>
      <c r="X127" s="719">
        <f t="shared" si="23"/>
        <v>2987366.2790399995</v>
      </c>
      <c r="Y127" s="719">
        <f t="shared" si="23"/>
        <v>3050038.2988799997</v>
      </c>
      <c r="Z127" s="719">
        <f t="shared" si="23"/>
        <v>3112710.3187199999</v>
      </c>
    </row>
    <row r="128" spans="2:26" s="15" customFormat="1"/>
    <row r="129" spans="2:26" s="15" customFormat="1">
      <c r="B129" s="15" t="s">
        <v>615</v>
      </c>
      <c r="F129" s="7">
        <v>0</v>
      </c>
      <c r="G129" s="7">
        <v>0</v>
      </c>
      <c r="H129" s="7">
        <v>0</v>
      </c>
      <c r="I129" s="7">
        <f>I118*Assumptions!$N$97*'Phase I Pro Forma'!I123</f>
        <v>269770</v>
      </c>
      <c r="J129" s="7">
        <f>J118*Assumptions!$N$97*'Phase I Pro Forma'!J123</f>
        <v>549720</v>
      </c>
      <c r="K129" s="7">
        <f>K118*Assumptions!$N$97*'Phase I Pro Forma'!K123</f>
        <v>559900</v>
      </c>
      <c r="L129" s="7">
        <f>L118*Assumptions!$N$97*'Phase I Pro Forma'!L123</f>
        <v>575170</v>
      </c>
      <c r="M129" s="7">
        <f>M118*Assumptions!$N$97*'Phase I Pro Forma'!M123</f>
        <v>585350</v>
      </c>
      <c r="N129" s="7">
        <f>N118*Assumptions!$N$97*'Phase I Pro Forma'!N123</f>
        <v>595530</v>
      </c>
      <c r="O129" s="7">
        <f>O118*Assumptions!$N$97*'Phase I Pro Forma'!O123</f>
        <v>610800</v>
      </c>
      <c r="P129" s="7">
        <f>P118*Assumptions!$N$97*'Phase I Pro Forma'!P123</f>
        <v>620980</v>
      </c>
      <c r="Q129" s="7">
        <f>Q118*Assumptions!$N$97*'Phase I Pro Forma'!Q123</f>
        <v>631160</v>
      </c>
      <c r="R129" s="7">
        <f>R118*Assumptions!$N$97*'Phase I Pro Forma'!R123</f>
        <v>646430</v>
      </c>
      <c r="S129" s="7">
        <f>S118*Assumptions!$N$97*'Phase I Pro Forma'!S123</f>
        <v>656610</v>
      </c>
      <c r="T129" s="7">
        <f>T118*Assumptions!$N$97*'Phase I Pro Forma'!T123</f>
        <v>671880</v>
      </c>
      <c r="U129" s="7">
        <f>U118*Assumptions!$N$97*'Phase I Pro Forma'!U123</f>
        <v>687150</v>
      </c>
      <c r="V129" s="7">
        <f>V118*Assumptions!$N$97*'Phase I Pro Forma'!V123</f>
        <v>697330</v>
      </c>
      <c r="W129" s="7">
        <f>W118*Assumptions!$N$97*'Phase I Pro Forma'!W123</f>
        <v>712600</v>
      </c>
      <c r="X129" s="7">
        <f>X118*Assumptions!$N$97*'Phase I Pro Forma'!X123</f>
        <v>727870</v>
      </c>
      <c r="Y129" s="7">
        <f>Y118*Assumptions!$N$97*'Phase I Pro Forma'!Y123</f>
        <v>743140</v>
      </c>
      <c r="Z129" s="7">
        <f>Z118*Assumptions!$N$97*'Phase I Pro Forma'!Z123</f>
        <v>758410</v>
      </c>
    </row>
    <row r="130" spans="2:26" s="15" customFormat="1">
      <c r="B130" s="15" t="s">
        <v>616</v>
      </c>
      <c r="F130" s="717">
        <v>0</v>
      </c>
      <c r="G130" s="717">
        <v>0</v>
      </c>
      <c r="H130" s="717">
        <v>0</v>
      </c>
      <c r="I130" s="717">
        <f>J130*0.5</f>
        <v>35461.913793250002</v>
      </c>
      <c r="J130" s="717">
        <f>'Parcel x Block Info'!$P$15*0.0175</f>
        <v>70923.827586500003</v>
      </c>
      <c r="K130" s="717">
        <f t="shared" ref="K130:Z130" si="24">J130*1.02</f>
        <v>72342.30413823</v>
      </c>
      <c r="L130" s="717">
        <f t="shared" si="24"/>
        <v>73789.150220994605</v>
      </c>
      <c r="M130" s="717">
        <f t="shared" si="24"/>
        <v>75264.933225414497</v>
      </c>
      <c r="N130" s="717">
        <f t="shared" si="24"/>
        <v>76770.231889922783</v>
      </c>
      <c r="O130" s="717">
        <f t="shared" si="24"/>
        <v>78305.636527721246</v>
      </c>
      <c r="P130" s="717">
        <f t="shared" si="24"/>
        <v>79871.749258275668</v>
      </c>
      <c r="Q130" s="717">
        <f t="shared" si="24"/>
        <v>81469.184243441181</v>
      </c>
      <c r="R130" s="717">
        <f t="shared" si="24"/>
        <v>83098.567928310003</v>
      </c>
      <c r="S130" s="717">
        <f t="shared" si="24"/>
        <v>84760.539286876199</v>
      </c>
      <c r="T130" s="717">
        <f t="shared" si="24"/>
        <v>86455.750072613722</v>
      </c>
      <c r="U130" s="717">
        <f t="shared" si="24"/>
        <v>88184.865074065994</v>
      </c>
      <c r="V130" s="717">
        <f t="shared" si="24"/>
        <v>89948.562375547321</v>
      </c>
      <c r="W130" s="717">
        <f t="shared" si="24"/>
        <v>91747.533623058262</v>
      </c>
      <c r="X130" s="717">
        <f t="shared" si="24"/>
        <v>93582.484295519433</v>
      </c>
      <c r="Y130" s="717">
        <f t="shared" si="24"/>
        <v>95454.133981429826</v>
      </c>
      <c r="Z130" s="717">
        <f t="shared" si="24"/>
        <v>97363.216661058425</v>
      </c>
    </row>
    <row r="131" spans="2:26" s="15" customFormat="1">
      <c r="B131" s="718" t="s">
        <v>617</v>
      </c>
      <c r="C131" s="718" t="s">
        <v>464</v>
      </c>
      <c r="D131" s="718"/>
      <c r="E131" s="718"/>
      <c r="F131" s="719">
        <v>0</v>
      </c>
      <c r="G131" s="719">
        <v>0</v>
      </c>
      <c r="H131" s="719">
        <v>0</v>
      </c>
      <c r="I131" s="719">
        <f t="shared" ref="I131:Z131" si="25">SUM(I129:I130)</f>
        <v>305231.91379324999</v>
      </c>
      <c r="J131" s="719">
        <f t="shared" si="25"/>
        <v>620643.82758649997</v>
      </c>
      <c r="K131" s="719">
        <f t="shared" si="25"/>
        <v>632242.30413823004</v>
      </c>
      <c r="L131" s="719">
        <f t="shared" si="25"/>
        <v>648959.1502209946</v>
      </c>
      <c r="M131" s="719">
        <f t="shared" si="25"/>
        <v>660614.93322541448</v>
      </c>
      <c r="N131" s="719">
        <f t="shared" si="25"/>
        <v>672300.23188992275</v>
      </c>
      <c r="O131" s="719">
        <f t="shared" si="25"/>
        <v>689105.6365277213</v>
      </c>
      <c r="P131" s="719">
        <f t="shared" si="25"/>
        <v>700851.74925827561</v>
      </c>
      <c r="Q131" s="719">
        <f t="shared" si="25"/>
        <v>712629.18424344121</v>
      </c>
      <c r="R131" s="719">
        <f t="shared" si="25"/>
        <v>729528.56792831002</v>
      </c>
      <c r="S131" s="719">
        <f t="shared" si="25"/>
        <v>741370.53928687621</v>
      </c>
      <c r="T131" s="719">
        <f t="shared" si="25"/>
        <v>758335.75007261371</v>
      </c>
      <c r="U131" s="719">
        <f t="shared" si="25"/>
        <v>775334.86507406598</v>
      </c>
      <c r="V131" s="719">
        <f t="shared" si="25"/>
        <v>787278.56237554736</v>
      </c>
      <c r="W131" s="719">
        <f t="shared" si="25"/>
        <v>804347.53362305823</v>
      </c>
      <c r="X131" s="719">
        <f t="shared" si="25"/>
        <v>821452.48429551942</v>
      </c>
      <c r="Y131" s="719">
        <f t="shared" si="25"/>
        <v>838594.13398142986</v>
      </c>
      <c r="Z131" s="719">
        <f t="shared" si="25"/>
        <v>855773.21666105837</v>
      </c>
    </row>
    <row r="132" spans="2:26" s="15" customFormat="1"/>
    <row r="133" spans="2:26" s="15" customFormat="1" ht="15.75">
      <c r="B133" s="721" t="s">
        <v>618</v>
      </c>
      <c r="C133" s="721"/>
      <c r="D133" s="721"/>
      <c r="E133" s="721"/>
      <c r="F133" s="722">
        <v>0</v>
      </c>
      <c r="G133" s="722">
        <v>0</v>
      </c>
      <c r="H133" s="722">
        <v>0</v>
      </c>
      <c r="I133" s="722">
        <f t="shared" ref="I133:Z133" si="26">I127-I131</f>
        <v>801973.77004674985</v>
      </c>
      <c r="J133" s="722">
        <f t="shared" si="26"/>
        <v>1635548.8866535001</v>
      </c>
      <c r="K133" s="722">
        <f t="shared" si="26"/>
        <v>1665731.7566617699</v>
      </c>
      <c r="L133" s="722">
        <f t="shared" si="26"/>
        <v>1711686.9304190052</v>
      </c>
      <c r="M133" s="722">
        <f t="shared" si="26"/>
        <v>1741812.4939745853</v>
      </c>
      <c r="N133" s="722">
        <f t="shared" si="26"/>
        <v>1771908.5418700771</v>
      </c>
      <c r="O133" s="722">
        <f t="shared" si="26"/>
        <v>1817775.1570722787</v>
      </c>
      <c r="P133" s="722">
        <f t="shared" si="26"/>
        <v>1847810.3909017243</v>
      </c>
      <c r="Q133" s="722">
        <f t="shared" si="26"/>
        <v>1877814.3024765588</v>
      </c>
      <c r="R133" s="722">
        <f t="shared" si="26"/>
        <v>1923586.9386316901</v>
      </c>
      <c r="S133" s="722">
        <f t="shared" si="26"/>
        <v>1953526.313833124</v>
      </c>
      <c r="T133" s="722">
        <f t="shared" si="26"/>
        <v>1999233.1228873865</v>
      </c>
      <c r="U133" s="722">
        <f t="shared" si="26"/>
        <v>2044906.0277259341</v>
      </c>
      <c r="V133" s="722">
        <f t="shared" si="26"/>
        <v>2074743.6769844526</v>
      </c>
      <c r="W133" s="722">
        <f t="shared" si="26"/>
        <v>2120346.7255769414</v>
      </c>
      <c r="X133" s="722">
        <f t="shared" si="26"/>
        <v>2165913.7947444799</v>
      </c>
      <c r="Y133" s="722">
        <f t="shared" si="26"/>
        <v>2211444.1648985697</v>
      </c>
      <c r="Z133" s="722">
        <f t="shared" si="26"/>
        <v>2256937.1020589415</v>
      </c>
    </row>
    <row r="134" spans="2:26" s="15" customFormat="1" ht="15.75">
      <c r="B134" s="723" t="s">
        <v>619</v>
      </c>
      <c r="C134" s="724"/>
      <c r="D134" s="724"/>
      <c r="E134" s="724"/>
      <c r="F134" s="725"/>
      <c r="G134" s="725"/>
      <c r="H134" s="725"/>
      <c r="I134" s="726">
        <f t="shared" ref="I134:Z134" si="27">+IFERROR(I133/I127,"")</f>
        <v>0.72432230230732952</v>
      </c>
      <c r="J134" s="726">
        <f t="shared" si="27"/>
        <v>0.72491541894037004</v>
      </c>
      <c r="K134" s="726">
        <f t="shared" si="27"/>
        <v>0.72486969503993193</v>
      </c>
      <c r="L134" s="726">
        <f t="shared" si="27"/>
        <v>0.7250925687068458</v>
      </c>
      <c r="M134" s="726">
        <f t="shared" si="27"/>
        <v>0.72502189837411524</v>
      </c>
      <c r="N134" s="726">
        <f t="shared" si="27"/>
        <v>0.72494156836868606</v>
      </c>
      <c r="O134" s="726">
        <f t="shared" si="27"/>
        <v>0.72511431804536153</v>
      </c>
      <c r="P134" s="726">
        <f t="shared" si="27"/>
        <v>0.72501190400455451</v>
      </c>
      <c r="Q134" s="726">
        <f t="shared" si="27"/>
        <v>0.72490070217831049</v>
      </c>
      <c r="R134" s="726">
        <f t="shared" si="27"/>
        <v>0.72502947341549839</v>
      </c>
      <c r="S134" s="726">
        <f t="shared" si="27"/>
        <v>0.72489836172076161</v>
      </c>
      <c r="T134" s="726">
        <f t="shared" si="27"/>
        <v>0.72499843702594124</v>
      </c>
      <c r="U134" s="726">
        <f t="shared" si="27"/>
        <v>0.72508204279518274</v>
      </c>
      <c r="V134" s="726">
        <f t="shared" si="27"/>
        <v>0.72492227644198981</v>
      </c>
      <c r="W134" s="726">
        <f t="shared" si="27"/>
        <v>0.72498064332951029</v>
      </c>
      <c r="X134" s="726">
        <f t="shared" si="27"/>
        <v>0.72502451739547114</v>
      </c>
      <c r="Y134" s="726">
        <f t="shared" si="27"/>
        <v>0.72505455610528924</v>
      </c>
      <c r="Z134" s="726">
        <f t="shared" si="27"/>
        <v>0.72507135935059741</v>
      </c>
    </row>
    <row r="135" spans="2:26" s="15" customFormat="1" ht="15.75">
      <c r="B135" s="723" t="s">
        <v>568</v>
      </c>
      <c r="C135" s="724"/>
      <c r="D135" s="724"/>
      <c r="E135" s="724"/>
      <c r="F135" s="727">
        <v>0</v>
      </c>
      <c r="G135" s="727">
        <v>0</v>
      </c>
      <c r="H135" s="727">
        <v>0</v>
      </c>
      <c r="I135" s="727">
        <f>I133/Assumptions!$N$135</f>
        <v>12338058.000719229</v>
      </c>
      <c r="J135" s="727">
        <f>J133/Assumptions!$N$135</f>
        <v>25162290.563900001</v>
      </c>
      <c r="K135" s="727">
        <f>K133/Assumptions!$N$135</f>
        <v>25626642.410181075</v>
      </c>
      <c r="L135" s="727">
        <f>L133/Assumptions!$N$135</f>
        <v>26333645.083369311</v>
      </c>
      <c r="M135" s="727">
        <f>M133/Assumptions!$N$135</f>
        <v>26797115.291916694</v>
      </c>
      <c r="N135" s="727">
        <f>N133/Assumptions!$N$135</f>
        <v>27260131.413385801</v>
      </c>
      <c r="O135" s="727">
        <f>O133/Assumptions!$N$135</f>
        <v>27965771.647265825</v>
      </c>
      <c r="P135" s="727">
        <f>P133/Assumptions!$N$135</f>
        <v>28427852.167718835</v>
      </c>
      <c r="Q135" s="727">
        <f>Q133/Assumptions!$N$135</f>
        <v>28889450.807331674</v>
      </c>
      <c r="R135" s="727">
        <f>R133/Assumptions!$N$135</f>
        <v>29593645.209718309</v>
      </c>
      <c r="S135" s="727">
        <f>S133/Assumptions!$N$135</f>
        <v>30054250.982048061</v>
      </c>
      <c r="T135" s="727">
        <f>T133/Assumptions!$N$135</f>
        <v>30757432.659805946</v>
      </c>
      <c r="U135" s="727">
        <f>U133/Assumptions!$N$135</f>
        <v>31460092.734245136</v>
      </c>
      <c r="V135" s="727">
        <f>V133/Assumptions!$N$135</f>
        <v>31919133.492068499</v>
      </c>
      <c r="W135" s="727">
        <f>W133/Assumptions!$N$135</f>
        <v>32620718.855029866</v>
      </c>
      <c r="X135" s="727">
        <f>X133/Assumptions!$N$135</f>
        <v>33321750.688376613</v>
      </c>
      <c r="Y135" s="727">
        <f>Y133/Assumptions!$N$135</f>
        <v>34022217.921516456</v>
      </c>
      <c r="Z135" s="727">
        <f>Z133/Assumptions!$N$135</f>
        <v>34722109.262445256</v>
      </c>
    </row>
    <row r="136" spans="2:26" s="15" customFormat="1"/>
    <row r="137" spans="2:26" s="15" customFormat="1" ht="15.75">
      <c r="B137" s="721" t="s">
        <v>624</v>
      </c>
      <c r="C137" s="721"/>
      <c r="D137" s="721"/>
      <c r="E137" s="721"/>
      <c r="F137" s="722">
        <v>0</v>
      </c>
      <c r="G137" s="722">
        <v>0</v>
      </c>
      <c r="H137" s="722">
        <v>0</v>
      </c>
      <c r="I137" s="722">
        <f>I133+I111+I69+I48+I25</f>
        <v>11894187.614988416</v>
      </c>
      <c r="J137" s="722">
        <f>J133+J111+J69+J48+J25</f>
        <v>25641398.013133168</v>
      </c>
      <c r="K137" s="722">
        <f>K133+K111+K69+K48+K25</f>
        <v>25563893.052008346</v>
      </c>
      <c r="L137" s="722">
        <f t="shared" ref="L137:Z137" si="28">L133+L111+L69+L48+L25</f>
        <v>27391649.524160095</v>
      </c>
      <c r="M137" s="722">
        <f t="shared" si="28"/>
        <v>27669259.497022714</v>
      </c>
      <c r="N137" s="722">
        <f t="shared" si="28"/>
        <v>27872630.277859379</v>
      </c>
      <c r="O137" s="722">
        <f t="shared" si="28"/>
        <v>28044266.875779171</v>
      </c>
      <c r="P137" s="722">
        <f t="shared" si="28"/>
        <v>28320815.284170125</v>
      </c>
      <c r="Q137" s="722">
        <f t="shared" si="28"/>
        <v>30369368.612450965</v>
      </c>
      <c r="R137" s="722">
        <f t="shared" si="28"/>
        <v>30599088.363725372</v>
      </c>
      <c r="S137" s="722">
        <f t="shared" si="28"/>
        <v>30901584.133870374</v>
      </c>
      <c r="T137" s="722">
        <f t="shared" si="28"/>
        <v>31115365.020704959</v>
      </c>
      <c r="U137" s="722">
        <f t="shared" si="28"/>
        <v>31389133.168780394</v>
      </c>
      <c r="V137" s="722">
        <f t="shared" si="28"/>
        <v>33678261.447127357</v>
      </c>
      <c r="W137" s="722">
        <f t="shared" si="28"/>
        <v>33941879.774737872</v>
      </c>
      <c r="X137" s="722">
        <f t="shared" si="28"/>
        <v>34197127.951815575</v>
      </c>
      <c r="Y137" s="722">
        <f t="shared" si="28"/>
        <v>34553203.8508652</v>
      </c>
      <c r="Z137" s="722">
        <f t="shared" si="28"/>
        <v>34842012.422116064</v>
      </c>
    </row>
    <row r="138" spans="2:26" s="15" customFormat="1"/>
    <row r="139" spans="2:26" ht="15.75">
      <c r="B139" s="73" t="s">
        <v>625</v>
      </c>
      <c r="F139" s="75">
        <f>+Assumptions!$F$22</f>
        <v>44561</v>
      </c>
      <c r="G139" s="75">
        <f>+EOMONTH(F139,12)</f>
        <v>44926</v>
      </c>
      <c r="H139" s="75">
        <f t="shared" ref="H139:Z139" si="29">+EOMONTH(G139,12)</f>
        <v>45291</v>
      </c>
      <c r="I139" s="75">
        <f>+EOMONTH(H139,12)</f>
        <v>45657</v>
      </c>
      <c r="J139" s="75">
        <f>+EOMONTH(I139,12)</f>
        <v>46022</v>
      </c>
      <c r="K139" s="75">
        <f t="shared" si="29"/>
        <v>46387</v>
      </c>
      <c r="L139" s="75">
        <f t="shared" si="29"/>
        <v>46752</v>
      </c>
      <c r="M139" s="75">
        <f t="shared" si="29"/>
        <v>47118</v>
      </c>
      <c r="N139" s="75">
        <f t="shared" si="29"/>
        <v>47483</v>
      </c>
      <c r="O139" s="75">
        <f t="shared" si="29"/>
        <v>47848</v>
      </c>
      <c r="P139" s="75">
        <f t="shared" si="29"/>
        <v>48213</v>
      </c>
      <c r="Q139" s="75">
        <f t="shared" si="29"/>
        <v>48579</v>
      </c>
      <c r="R139" s="75">
        <f t="shared" si="29"/>
        <v>48944</v>
      </c>
      <c r="S139" s="75">
        <f t="shared" si="29"/>
        <v>49309</v>
      </c>
      <c r="T139" s="75">
        <f t="shared" si="29"/>
        <v>49674</v>
      </c>
      <c r="U139" s="75">
        <f t="shared" si="29"/>
        <v>50040</v>
      </c>
      <c r="V139" s="75">
        <f t="shared" si="29"/>
        <v>50405</v>
      </c>
      <c r="W139" s="75">
        <f t="shared" si="29"/>
        <v>50770</v>
      </c>
      <c r="X139" s="75">
        <f t="shared" si="29"/>
        <v>51135</v>
      </c>
      <c r="Y139" s="75">
        <f t="shared" si="29"/>
        <v>51501</v>
      </c>
      <c r="Z139" s="75">
        <f t="shared" si="29"/>
        <v>51866</v>
      </c>
    </row>
    <row r="140" spans="2:26">
      <c r="B140" s="15" t="s">
        <v>626</v>
      </c>
      <c r="F140" s="16">
        <v>0</v>
      </c>
      <c r="G140" s="16">
        <f t="shared" ref="G140:N140" si="30">+F143</f>
        <v>0</v>
      </c>
      <c r="H140" s="16">
        <f t="shared" si="30"/>
        <v>0</v>
      </c>
      <c r="I140" s="16">
        <f>+H143</f>
        <v>0</v>
      </c>
      <c r="J140" s="16">
        <f>+I143</f>
        <v>272916891.57361382</v>
      </c>
      <c r="K140" s="16">
        <f t="shared" si="30"/>
        <v>269512417.75370085</v>
      </c>
      <c r="L140" s="16">
        <f t="shared" si="30"/>
        <v>265886653.13549355</v>
      </c>
      <c r="M140" s="16">
        <f t="shared" si="30"/>
        <v>262025213.81710276</v>
      </c>
      <c r="N140" s="16">
        <f t="shared" si="30"/>
        <v>257912780.94301659</v>
      </c>
      <c r="O140" s="16">
        <f t="shared" ref="O140:Z140" si="31">+N143</f>
        <v>253533039.93211481</v>
      </c>
      <c r="P140" s="16">
        <f t="shared" si="31"/>
        <v>248868615.7555044</v>
      </c>
      <c r="Q140" s="16">
        <f t="shared" si="31"/>
        <v>243901004.00741431</v>
      </c>
      <c r="R140" s="16">
        <f t="shared" si="31"/>
        <v>238610497.49569839</v>
      </c>
      <c r="S140" s="16">
        <f t="shared" si="31"/>
        <v>232976108.06072092</v>
      </c>
      <c r="T140" s="16">
        <f t="shared" si="31"/>
        <v>226975483.31246993</v>
      </c>
      <c r="U140" s="16">
        <f t="shared" si="31"/>
        <v>220584817.95558262</v>
      </c>
      <c r="V140" s="16">
        <f t="shared" si="31"/>
        <v>213778759.35049763</v>
      </c>
      <c r="W140" s="16">
        <f t="shared" si="31"/>
        <v>206530306.93608212</v>
      </c>
      <c r="X140" s="16">
        <f t="shared" si="31"/>
        <v>198810705.11472958</v>
      </c>
      <c r="Y140" s="16">
        <f t="shared" si="31"/>
        <v>190589329.17498913</v>
      </c>
      <c r="Z140" s="16">
        <f t="shared" si="31"/>
        <v>181833563.79916555</v>
      </c>
    </row>
    <row r="141" spans="2:26">
      <c r="B141" s="15" t="s">
        <v>627</v>
      </c>
      <c r="F141" s="76">
        <f>+IF(YEAR(F$139)=YEAR(Assumptions!$F$26),'S&amp;U'!$R$17,0)</f>
        <v>0</v>
      </c>
      <c r="G141" s="76">
        <f>+IF(YEAR(G$139)=YEAR(Assumptions!$F$26),'S&amp;U'!$R$17,0)</f>
        <v>0</v>
      </c>
      <c r="H141" s="76">
        <f>+IF(YEAR(H$139)=YEAR(Assumptions!$F$26),'S&amp;U'!$R$17,0)</f>
        <v>0</v>
      </c>
      <c r="I141" s="76">
        <f>+IF(YEAR(I$139)=YEAR(Assumptions!$F$26),'S&amp;U'!$R$17,0)</f>
        <v>276113580.60639596</v>
      </c>
      <c r="J141" s="76">
        <f>+IF(YEAR(J$139)=YEAR(Assumptions!$F$26),'S&amp;U'!$R$17,0)</f>
        <v>0</v>
      </c>
      <c r="K141" s="76">
        <f>+IF(YEAR(K$139)=YEAR(Assumptions!$F$26),'S&amp;U'!$R$17,0)</f>
        <v>0</v>
      </c>
      <c r="L141" s="76">
        <f>+IF(YEAR(L$139)=YEAR(Assumptions!$F$26),'S&amp;U'!$R$17,0)</f>
        <v>0</v>
      </c>
      <c r="M141" s="76">
        <f>+IF(YEAR(M$139)=YEAR(Assumptions!$F$26),'S&amp;U'!$R$17,0)</f>
        <v>0</v>
      </c>
      <c r="N141" s="76">
        <f>+IF(YEAR(N$139)=YEAR(Assumptions!$F$26),'S&amp;U'!$R$17,0)</f>
        <v>0</v>
      </c>
      <c r="O141" s="76">
        <f>+IF(YEAR(O$139)=YEAR(Assumptions!$F$26),'S&amp;U'!$R$17,0)</f>
        <v>0</v>
      </c>
      <c r="P141" s="76">
        <f>+IF(YEAR(P$139)=YEAR(Assumptions!$F$26),'S&amp;U'!$R$17,0)</f>
        <v>0</v>
      </c>
      <c r="Q141" s="76">
        <f>+IF(YEAR(Q$139)=YEAR(Assumptions!$F$26),'S&amp;U'!$R$17,0)</f>
        <v>0</v>
      </c>
      <c r="R141" s="76">
        <f>+IF(YEAR(R$139)=YEAR(Assumptions!$F$26),'S&amp;U'!$R$17,0)</f>
        <v>0</v>
      </c>
      <c r="S141" s="76">
        <f>+IF(YEAR(S$139)=YEAR(Assumptions!$F$26),'S&amp;U'!$R$17,0)</f>
        <v>0</v>
      </c>
      <c r="T141" s="76">
        <f>+IF(YEAR(T$139)=YEAR(Assumptions!$F$26),'S&amp;U'!$R$17,0)</f>
        <v>0</v>
      </c>
      <c r="U141" s="76">
        <f>+IF(YEAR(U$139)=YEAR(Assumptions!$F$26),'S&amp;U'!$R$17,0)</f>
        <v>0</v>
      </c>
      <c r="V141" s="76">
        <f>+IF(YEAR(V$139)=YEAR(Assumptions!$F$26),'S&amp;U'!$R$17,0)</f>
        <v>0</v>
      </c>
      <c r="W141" s="76">
        <f>+IF(YEAR(W$139)=YEAR(Assumptions!$F$26),'S&amp;U'!$R$17,0)</f>
        <v>0</v>
      </c>
      <c r="X141" s="76">
        <f>+IF(YEAR(X$139)=YEAR(Assumptions!$F$26),'S&amp;U'!$R$17,0)</f>
        <v>0</v>
      </c>
      <c r="Y141" s="76">
        <f>+IF(YEAR(Y$139)=YEAR(Assumptions!$F$26),'S&amp;U'!$R$17,0)</f>
        <v>0</v>
      </c>
      <c r="Z141" s="76">
        <f>+IF(YEAR(Z$139)=YEAR(Assumptions!$F$26),'S&amp;U'!$R$17,0)</f>
        <v>0</v>
      </c>
    </row>
    <row r="142" spans="2:26">
      <c r="B142" s="15" t="s">
        <v>261</v>
      </c>
      <c r="F142" s="76">
        <f>+IFERROR(PPMT(Assumptions!$N$151,F2,Assumptions!$N$153,'S&amp;U'!$R$17),0)</f>
        <v>0</v>
      </c>
      <c r="G142" s="76">
        <f>+IFERROR(PPMT(Assumptions!$N$151,G2,Assumptions!$N$153,'S&amp;U'!$R$17),0)</f>
        <v>0</v>
      </c>
      <c r="H142" s="76">
        <f>+IFERROR(PPMT(Assumptions!$N$151,H2,Assumptions!$N$153,'S&amp;U'!$R$17),0)</f>
        <v>0</v>
      </c>
      <c r="I142" s="76">
        <f>+IFERROR(PPMT(Assumptions!$N$151,I2,Assumptions!$N$153,'S&amp;U'!$R$17),0)</f>
        <v>-3196689.0327821276</v>
      </c>
      <c r="J142" s="76">
        <f>+IFERROR(PPMT(Assumptions!$N$151,J2,Assumptions!$N$153,'S&amp;U'!$R$17),0)</f>
        <v>-3404473.8199129645</v>
      </c>
      <c r="K142" s="76">
        <f>+IFERROR(PPMT(Assumptions!$N$151,K2,Assumptions!$N$153,'S&amp;U'!$R$17),0)</f>
        <v>-3625764.6182073075</v>
      </c>
      <c r="L142" s="76">
        <f>+IFERROR(PPMT(Assumptions!$N$151,L2,Assumptions!$N$153,'S&amp;U'!$R$17),0)</f>
        <v>-3861439.3183907829</v>
      </c>
      <c r="M142" s="76">
        <f>+IFERROR(PPMT(Assumptions!$N$151,M2,Assumptions!$N$153,'S&amp;U'!$R$17),0)</f>
        <v>-4112432.874086184</v>
      </c>
      <c r="N142" s="76">
        <f>+IFERROR(PPMT(Assumptions!$N$151,N2,Assumptions!$N$153,'S&amp;U'!$R$17),0)</f>
        <v>-4379741.0109017855</v>
      </c>
      <c r="O142" s="76">
        <f>+IFERROR(PPMT(Assumptions!$N$151,O2,Assumptions!$N$153,'S&amp;U'!$R$17),0)</f>
        <v>-4664424.1766104018</v>
      </c>
      <c r="P142" s="76">
        <f>+IFERROR(PPMT(Assumptions!$N$151,P2,Assumptions!$N$153,'S&amp;U'!$R$17),0)</f>
        <v>-4967611.7480900781</v>
      </c>
      <c r="Q142" s="76">
        <f>+IFERROR(PPMT(Assumptions!$N$151,Q2,Assumptions!$N$153,'S&amp;U'!$R$17),0)</f>
        <v>-5290506.5117159327</v>
      </c>
      <c r="R142" s="76">
        <f>+IFERROR(PPMT(Assumptions!$N$151,R2,Assumptions!$N$153,'S&amp;U'!$R$17),0)</f>
        <v>-5634389.434977469</v>
      </c>
      <c r="S142" s="76">
        <f>+IFERROR(PPMT(Assumptions!$N$151,S2,Assumptions!$N$153,'S&amp;U'!$R$17),0)</f>
        <v>-6000624.7482510051</v>
      </c>
      <c r="T142" s="76">
        <f>+IFERROR(PPMT(Assumptions!$N$151,T2,Assumptions!$N$153,'S&amp;U'!$R$17),0)</f>
        <v>-6390665.3568873201</v>
      </c>
      <c r="U142" s="76">
        <f>+IFERROR(PPMT(Assumptions!$N$151,U2,Assumptions!$N$153,'S&amp;U'!$R$17),0)</f>
        <v>-6806058.6050849957</v>
      </c>
      <c r="V142" s="76">
        <f>+IFERROR(PPMT(Assumptions!$N$151,V2,Assumptions!$N$153,'S&amp;U'!$R$17),0)</f>
        <v>-7248452.4144155197</v>
      </c>
      <c r="W142" s="76">
        <f>+IFERROR(PPMT(Assumptions!$N$151,W2,Assumptions!$N$153,'S&amp;U'!$R$17),0)</f>
        <v>-7719601.8213525303</v>
      </c>
      <c r="X142" s="76">
        <f>+IFERROR(PPMT(Assumptions!$N$151,X2,Assumptions!$N$153,'S&amp;U'!$R$17),0)</f>
        <v>-8221375.9397404445</v>
      </c>
      <c r="Y142" s="76">
        <f>+IFERROR(PPMT(Assumptions!$N$151,Y2,Assumptions!$N$153,'S&amp;U'!$R$17),0)</f>
        <v>-8755765.3758235723</v>
      </c>
      <c r="Z142" s="76">
        <f>+IFERROR(PPMT(Assumptions!$N$151,Z2,Assumptions!$N$153,'S&amp;U'!$R$17),0)</f>
        <v>-9324890.1252521072</v>
      </c>
    </row>
    <row r="143" spans="2:26">
      <c r="B143" s="15" t="s">
        <v>628</v>
      </c>
      <c r="F143" s="76">
        <f t="shared" ref="F143:N143" si="32">+SUM(F140:F142)</f>
        <v>0</v>
      </c>
      <c r="G143" s="76">
        <f t="shared" si="32"/>
        <v>0</v>
      </c>
      <c r="H143" s="76">
        <f t="shared" si="32"/>
        <v>0</v>
      </c>
      <c r="I143" s="76">
        <f>+SUM(I140:I142)</f>
        <v>272916891.57361382</v>
      </c>
      <c r="J143" s="76">
        <f t="shared" si="32"/>
        <v>269512417.75370085</v>
      </c>
      <c r="K143" s="76">
        <f t="shared" si="32"/>
        <v>265886653.13549355</v>
      </c>
      <c r="L143" s="76">
        <f t="shared" si="32"/>
        <v>262025213.81710276</v>
      </c>
      <c r="M143" s="76">
        <f t="shared" si="32"/>
        <v>257912780.94301659</v>
      </c>
      <c r="N143" s="76">
        <f t="shared" si="32"/>
        <v>253533039.93211481</v>
      </c>
      <c r="O143" s="76">
        <f t="shared" ref="O143:Z143" si="33">+SUM(O140:O142)</f>
        <v>248868615.7555044</v>
      </c>
      <c r="P143" s="76">
        <f t="shared" si="33"/>
        <v>243901004.00741431</v>
      </c>
      <c r="Q143" s="76">
        <f t="shared" si="33"/>
        <v>238610497.49569839</v>
      </c>
      <c r="R143" s="76">
        <f t="shared" si="33"/>
        <v>232976108.06072092</v>
      </c>
      <c r="S143" s="76">
        <f t="shared" si="33"/>
        <v>226975483.31246993</v>
      </c>
      <c r="T143" s="76">
        <f t="shared" si="33"/>
        <v>220584817.95558262</v>
      </c>
      <c r="U143" s="76">
        <f t="shared" si="33"/>
        <v>213778759.35049763</v>
      </c>
      <c r="V143" s="76">
        <f t="shared" si="33"/>
        <v>206530306.93608212</v>
      </c>
      <c r="W143" s="76">
        <f t="shared" si="33"/>
        <v>198810705.11472958</v>
      </c>
      <c r="X143" s="76">
        <f t="shared" si="33"/>
        <v>190589329.17498913</v>
      </c>
      <c r="Y143" s="76">
        <f t="shared" si="33"/>
        <v>181833563.79916555</v>
      </c>
      <c r="Z143" s="76">
        <f t="shared" si="33"/>
        <v>172508673.67391345</v>
      </c>
    </row>
    <row r="145" spans="2:26">
      <c r="B145" s="21" t="s">
        <v>629</v>
      </c>
      <c r="F145" s="16">
        <f>-IFERROR(IPMT(Assumptions!$N$151,F2,Assumptions!$N$153,'S&amp;U'!$R$17),0)</f>
        <v>0</v>
      </c>
      <c r="G145" s="16">
        <f>-IFERROR(IPMT(Assumptions!$N$151,G2,Assumptions!$N$153,'S&amp;U'!$R$17),0)</f>
        <v>0</v>
      </c>
      <c r="H145" s="16">
        <f>-IFERROR(IPMT(Assumptions!$N$151,H2,Assumptions!$N$153,'S&amp;U'!$R$17),0)</f>
        <v>0</v>
      </c>
      <c r="I145" s="16">
        <f>-IFERROR(IPMT(Assumptions!$N$151,I2,Assumptions!$N$153,'S&amp;U'!$R$17),0)</f>
        <v>17947382.739415739</v>
      </c>
      <c r="J145" s="16">
        <f>-IFERROR(IPMT(Assumptions!$N$151,J2,Assumptions!$N$153,'S&amp;U'!$R$17),0)</f>
        <v>17739597.952284902</v>
      </c>
      <c r="K145" s="16">
        <f>-IFERROR(IPMT(Assumptions!$N$151,K2,Assumptions!$N$153,'S&amp;U'!$R$17),0)</f>
        <v>17518307.153990556</v>
      </c>
      <c r="L145" s="16">
        <f>-IFERROR(IPMT(Assumptions!$N$151,L2,Assumptions!$N$153,'S&amp;U'!$R$17),0)</f>
        <v>17282632.453807082</v>
      </c>
      <c r="M145" s="16">
        <f>-IFERROR(IPMT(Assumptions!$N$151,M2,Assumptions!$N$153,'S&amp;U'!$R$17),0)</f>
        <v>17031638.898111679</v>
      </c>
      <c r="N145" s="16">
        <f>-IFERROR(IPMT(Assumptions!$N$151,N2,Assumptions!$N$153,'S&amp;U'!$R$17),0)</f>
        <v>16764330.761296079</v>
      </c>
      <c r="O145" s="16">
        <f>-IFERROR(IPMT(Assumptions!$N$151,O2,Assumptions!$N$153,'S&amp;U'!$R$17),0)</f>
        <v>16479647.595587466</v>
      </c>
      <c r="P145" s="16">
        <f>-IFERROR(IPMT(Assumptions!$N$151,P2,Assumptions!$N$153,'S&amp;U'!$R$17),0)</f>
        <v>16176460.024107788</v>
      </c>
      <c r="Q145" s="16">
        <f>-IFERROR(IPMT(Assumptions!$N$151,Q2,Assumptions!$N$153,'S&amp;U'!$R$17),0)</f>
        <v>15853565.260481933</v>
      </c>
      <c r="R145" s="16">
        <f>-IFERROR(IPMT(Assumptions!$N$151,R2,Assumptions!$N$153,'S&amp;U'!$R$17),0)</f>
        <v>15509682.337220397</v>
      </c>
      <c r="S145" s="16">
        <f>-IFERROR(IPMT(Assumptions!$N$151,S2,Assumptions!$N$153,'S&amp;U'!$R$17),0)</f>
        <v>15143447.023946863</v>
      </c>
      <c r="T145" s="16">
        <f>-IFERROR(IPMT(Assumptions!$N$151,T2,Assumptions!$N$153,'S&amp;U'!$R$17),0)</f>
        <v>14753406.415310547</v>
      </c>
      <c r="U145" s="16">
        <f>-IFERROR(IPMT(Assumptions!$N$151,U2,Assumptions!$N$153,'S&amp;U'!$R$17),0)</f>
        <v>14338013.16711287</v>
      </c>
      <c r="V145" s="16">
        <f>-IFERROR(IPMT(Assumptions!$N$151,V2,Assumptions!$N$153,'S&amp;U'!$R$17),0)</f>
        <v>13895619.357782345</v>
      </c>
      <c r="W145" s="16">
        <f>-IFERROR(IPMT(Assumptions!$N$151,W2,Assumptions!$N$153,'S&amp;U'!$R$17),0)</f>
        <v>13424469.950845337</v>
      </c>
      <c r="X145" s="16">
        <f>-IFERROR(IPMT(Assumptions!$N$151,X2,Assumptions!$N$153,'S&amp;U'!$R$17),0)</f>
        <v>12922695.832457419</v>
      </c>
      <c r="Y145" s="16">
        <f>-IFERROR(IPMT(Assumptions!$N$151,Y2,Assumptions!$N$153,'S&amp;U'!$R$17),0)</f>
        <v>12388306.396374291</v>
      </c>
      <c r="Z145" s="16">
        <f>-IFERROR(IPMT(Assumptions!$N$151,Z2,Assumptions!$N$153,'S&amp;U'!$R$17),0)</f>
        <v>11819181.64694576</v>
      </c>
    </row>
    <row r="146" spans="2:26">
      <c r="B146" s="62" t="s">
        <v>630</v>
      </c>
      <c r="C146" s="62"/>
      <c r="D146" s="62"/>
      <c r="E146" s="62"/>
      <c r="F146" s="58">
        <f t="shared" ref="F146:K146" si="34">+F145-F142</f>
        <v>0</v>
      </c>
      <c r="G146" s="58">
        <f t="shared" si="34"/>
        <v>0</v>
      </c>
      <c r="H146" s="58">
        <f t="shared" si="34"/>
        <v>0</v>
      </c>
      <c r="I146" s="58">
        <f>+I145-I142</f>
        <v>21144071.772197865</v>
      </c>
      <c r="J146" s="58">
        <f t="shared" si="34"/>
        <v>21144071.772197865</v>
      </c>
      <c r="K146" s="58">
        <f t="shared" si="34"/>
        <v>21144071.772197865</v>
      </c>
      <c r="L146" s="58">
        <f>+L145-L142</f>
        <v>21144071.772197865</v>
      </c>
      <c r="M146" s="58">
        <f t="shared" ref="M146:Z146" si="35">+M145-M142</f>
        <v>21144071.772197861</v>
      </c>
      <c r="N146" s="58">
        <f t="shared" si="35"/>
        <v>21144071.772197865</v>
      </c>
      <c r="O146" s="58">
        <f t="shared" si="35"/>
        <v>21144071.772197869</v>
      </c>
      <c r="P146" s="58">
        <f t="shared" si="35"/>
        <v>21144071.772197865</v>
      </c>
      <c r="Q146" s="58">
        <f t="shared" si="35"/>
        <v>21144071.772197865</v>
      </c>
      <c r="R146" s="58">
        <f t="shared" si="35"/>
        <v>21144071.772197865</v>
      </c>
      <c r="S146" s="58">
        <f t="shared" si="35"/>
        <v>21144071.772197869</v>
      </c>
      <c r="T146" s="58">
        <f t="shared" si="35"/>
        <v>21144071.772197865</v>
      </c>
      <c r="U146" s="58">
        <f t="shared" si="35"/>
        <v>21144071.772197865</v>
      </c>
      <c r="V146" s="58">
        <f t="shared" si="35"/>
        <v>21144071.772197865</v>
      </c>
      <c r="W146" s="58">
        <f t="shared" si="35"/>
        <v>21144071.772197865</v>
      </c>
      <c r="X146" s="58">
        <f t="shared" si="35"/>
        <v>21144071.772197865</v>
      </c>
      <c r="Y146" s="58">
        <f t="shared" si="35"/>
        <v>21144071.772197865</v>
      </c>
      <c r="Z146" s="58">
        <f t="shared" si="35"/>
        <v>21144071.772197865</v>
      </c>
    </row>
    <row r="147" spans="2:26">
      <c r="B147" s="71" t="s">
        <v>259</v>
      </c>
      <c r="F147" s="90" t="str">
        <f>+IFERROR(F137/F146,"")</f>
        <v/>
      </c>
      <c r="G147" s="90" t="str">
        <f t="shared" ref="G147:Z147" si="36">+IFERROR(G137/G146,"")</f>
        <v/>
      </c>
      <c r="H147" s="90" t="str">
        <f t="shared" si="36"/>
        <v/>
      </c>
      <c r="I147" s="90">
        <f t="shared" si="36"/>
        <v>0.56253061109203994</v>
      </c>
      <c r="J147" s="90">
        <f t="shared" si="36"/>
        <v>1.2126991569735774</v>
      </c>
      <c r="K147" s="90">
        <f t="shared" si="36"/>
        <v>1.2090335923671078</v>
      </c>
      <c r="L147" s="90">
        <f t="shared" si="36"/>
        <v>1.2954765675822719</v>
      </c>
      <c r="M147" s="90">
        <f t="shared" si="36"/>
        <v>1.308606014731976</v>
      </c>
      <c r="N147" s="90">
        <f t="shared" si="36"/>
        <v>1.3182243504540516</v>
      </c>
      <c r="O147" s="90">
        <f t="shared" si="36"/>
        <v>1.3263418313143593</v>
      </c>
      <c r="P147" s="90">
        <f t="shared" si="36"/>
        <v>1.3394210722179296</v>
      </c>
      <c r="Q147" s="90">
        <f t="shared" si="36"/>
        <v>1.4363065420721544</v>
      </c>
      <c r="R147" s="90">
        <f t="shared" si="36"/>
        <v>1.4471710412920475</v>
      </c>
      <c r="S147" s="90">
        <f t="shared" si="36"/>
        <v>1.4614774517793003</v>
      </c>
      <c r="T147" s="90">
        <f t="shared" si="36"/>
        <v>1.471588129095279</v>
      </c>
      <c r="U147" s="90">
        <f t="shared" si="36"/>
        <v>1.4845358787541414</v>
      </c>
      <c r="V147" s="90">
        <f t="shared" si="36"/>
        <v>1.5927992398990329</v>
      </c>
      <c r="W147" s="90">
        <f t="shared" si="36"/>
        <v>1.6052669580590302</v>
      </c>
      <c r="X147" s="90">
        <f t="shared" si="36"/>
        <v>1.6173388134626485</v>
      </c>
      <c r="Y147" s="90">
        <f t="shared" si="36"/>
        <v>1.6341792736581076</v>
      </c>
      <c r="Z147" s="90">
        <f t="shared" si="36"/>
        <v>1.6478383538183732</v>
      </c>
    </row>
    <row r="149" spans="2:26">
      <c r="B149" s="21" t="s">
        <v>255</v>
      </c>
      <c r="F149" s="16">
        <f>+F141*Assumptions!$N$152</f>
        <v>0</v>
      </c>
      <c r="G149" s="16">
        <f>+G141*Assumptions!$N$152</f>
        <v>0</v>
      </c>
      <c r="H149" s="16">
        <f>+H141*Assumptions!$N$152</f>
        <v>0</v>
      </c>
      <c r="I149" s="16">
        <f>+I141*Assumptions!$N$152</f>
        <v>2070851.8545479695</v>
      </c>
      <c r="J149" s="16">
        <f>+J141*Assumptions!$N$152</f>
        <v>0</v>
      </c>
      <c r="K149" s="16">
        <f>+K141*Assumptions!$N$152</f>
        <v>0</v>
      </c>
      <c r="L149" s="16">
        <f>+L141*Assumptions!$N$152</f>
        <v>0</v>
      </c>
      <c r="M149" s="16">
        <f>+M141*Assumptions!$N$152</f>
        <v>0</v>
      </c>
      <c r="N149" s="16">
        <f>+N141*Assumptions!$N$152</f>
        <v>0</v>
      </c>
      <c r="O149" s="16">
        <f>+O141*Assumptions!$N$152</f>
        <v>0</v>
      </c>
      <c r="P149" s="16">
        <f>+P141*Assumptions!$N$152</f>
        <v>0</v>
      </c>
      <c r="Q149" s="16">
        <f>+Q141*Assumptions!$N$152</f>
        <v>0</v>
      </c>
      <c r="R149" s="16">
        <f>+R141*Assumptions!$N$152</f>
        <v>0</v>
      </c>
      <c r="S149" s="16">
        <f>+S141*Assumptions!$N$152</f>
        <v>0</v>
      </c>
      <c r="T149" s="16">
        <f>+T141*Assumptions!$N$152</f>
        <v>0</v>
      </c>
      <c r="U149" s="16">
        <f>+U141*Assumptions!$N$152</f>
        <v>0</v>
      </c>
      <c r="V149" s="16">
        <f>+V141*Assumptions!$N$152</f>
        <v>0</v>
      </c>
      <c r="W149" s="16">
        <f>+W141*Assumptions!$N$152</f>
        <v>0</v>
      </c>
      <c r="X149" s="16">
        <f>+X141*Assumptions!$N$152</f>
        <v>0</v>
      </c>
      <c r="Y149" s="16">
        <f>+Y141*Assumptions!$N$152</f>
        <v>0</v>
      </c>
      <c r="Z149" s="16">
        <f>+Z141*Assumptions!$N$152</f>
        <v>0</v>
      </c>
    </row>
    <row r="151" spans="2:26" s="82" customFormat="1">
      <c r="B151" s="62" t="s">
        <v>631</v>
      </c>
      <c r="C151" s="62"/>
      <c r="D151" s="62"/>
      <c r="E151" s="62"/>
      <c r="F151" s="58">
        <f>+F137-F146-F149</f>
        <v>0</v>
      </c>
      <c r="G151" s="58">
        <f t="shared" ref="G151:Y151" si="37">+G137-G146-G149</f>
        <v>0</v>
      </c>
      <c r="H151" s="58">
        <f t="shared" si="37"/>
        <v>0</v>
      </c>
      <c r="I151" s="58">
        <f>+I137-I146-I149</f>
        <v>-11320736.011757419</v>
      </c>
      <c r="J151" s="58">
        <f>+J137-J146-J149</f>
        <v>4497326.2409353033</v>
      </c>
      <c r="K151" s="58">
        <f>+K137-K146-K149</f>
        <v>4419821.2798104808</v>
      </c>
      <c r="L151" s="58">
        <f>+L137-L146-L149</f>
        <v>6247577.7519622296</v>
      </c>
      <c r="M151" s="58">
        <f>+M137-M146-M149</f>
        <v>6525187.7248248532</v>
      </c>
      <c r="N151" s="58">
        <f t="shared" si="37"/>
        <v>6728558.5056615137</v>
      </c>
      <c r="O151" s="58">
        <f t="shared" si="37"/>
        <v>6900195.1035813019</v>
      </c>
      <c r="P151" s="58">
        <f t="shared" si="37"/>
        <v>7176743.5119722597</v>
      </c>
      <c r="Q151" s="58">
        <f t="shared" si="37"/>
        <v>9225296.8402530998</v>
      </c>
      <c r="R151" s="58">
        <f t="shared" si="37"/>
        <v>9455016.5915275067</v>
      </c>
      <c r="S151" s="58">
        <f t="shared" si="37"/>
        <v>9757512.3616725057</v>
      </c>
      <c r="T151" s="58">
        <f t="shared" si="37"/>
        <v>9971293.2485070936</v>
      </c>
      <c r="U151" s="58">
        <f t="shared" si="37"/>
        <v>10245061.396582529</v>
      </c>
      <c r="V151" s="58">
        <f t="shared" si="37"/>
        <v>12534189.674929492</v>
      </c>
      <c r="W151" s="58">
        <f t="shared" si="37"/>
        <v>12797808.002540007</v>
      </c>
      <c r="X151" s="58">
        <f t="shared" si="37"/>
        <v>13053056.17961771</v>
      </c>
      <c r="Y151" s="58">
        <f t="shared" si="37"/>
        <v>13409132.078667335</v>
      </c>
      <c r="Z151" s="58">
        <f>+Z137-Z146-Z149</f>
        <v>13697940.649918199</v>
      </c>
    </row>
    <row r="153" spans="2:26" ht="15.75">
      <c r="B153" s="73" t="s">
        <v>632</v>
      </c>
    </row>
    <row r="154" spans="2:26">
      <c r="B154" s="15" t="s">
        <v>24</v>
      </c>
      <c r="F154" s="16">
        <f>+IF(YEAR(F$139)=YEAR(Assumptions!$F$30),F135+F113+F92+F71+F50+F27,0)</f>
        <v>0</v>
      </c>
      <c r="G154" s="16">
        <f>+IF(YEAR(G$139)=YEAR(Assumptions!$F$30),G135+G113+G92+G71+G50+G27,0)</f>
        <v>0</v>
      </c>
      <c r="H154" s="16">
        <f>+IF(YEAR(H$139)=YEAR(Assumptions!$F$30),H135+H113+H92+H71+H50+H27,0)</f>
        <v>0</v>
      </c>
      <c r="I154" s="16">
        <f>+IF(YEAR(I$139)=YEAR(Assumptions!$F$30),I135+I113+I92+I71+I50+I26,0)</f>
        <v>0</v>
      </c>
      <c r="J154" s="16">
        <f>+IF(YEAR(J$139)=YEAR(Assumptions!$F$30),J135+J113+J92+J71+J50+J27,0)</f>
        <v>0</v>
      </c>
      <c r="K154" s="16">
        <f>+IF(YEAR(K$139)=YEAR(Assumptions!$F$30),K135+K113+K92+K71+K50+K27,0)</f>
        <v>0</v>
      </c>
      <c r="L154" s="16">
        <f>+IF(YEAR(L$139)=YEAR(Assumptions!$F$30),L135+L113+L92+L71+L50+L27,0)</f>
        <v>0</v>
      </c>
      <c r="M154" s="16">
        <f>+IF(YEAR(M$139)=YEAR(Assumptions!$F$30),M135+M113+M92+M71+M50+M27,0)</f>
        <v>0</v>
      </c>
      <c r="N154" s="16">
        <f>+IF(YEAR(N$139)=YEAR(Assumptions!$F$30),N135+N113+N92+N71+N50+N27,0)</f>
        <v>0</v>
      </c>
      <c r="O154" s="16">
        <f>+IF(YEAR(O$139)=YEAR(Assumptions!$F$30),O135+O113+O92+O71+O50+O27,0)</f>
        <v>0</v>
      </c>
      <c r="P154" s="16">
        <f>+IF(YEAR(P$139)=YEAR(Assumptions!$F$30),P135+P113+P92+P71+P50+P27,0)</f>
        <v>469882224.31655729</v>
      </c>
      <c r="Q154" s="16">
        <f>+IF(YEAR(Q$139)=YEAR(Assumptions!$F$30),Q135+Q113+Q92+Q71+Q50+Q27,0)</f>
        <v>0</v>
      </c>
      <c r="R154" s="16">
        <f>+IF(YEAR(R$139)=YEAR(Assumptions!$F$30),R135+R113+R92+R71+R50+R27,0)</f>
        <v>0</v>
      </c>
      <c r="S154" s="16">
        <f>+IF(YEAR(S$139)=YEAR(Assumptions!$F$30),S135+S113+S92+S71+S50+S27,0)</f>
        <v>0</v>
      </c>
      <c r="T154" s="16">
        <f>+IF(YEAR(T$139)=YEAR(Assumptions!$F$30),T135+T113+T92+T71+T50+T27,0)</f>
        <v>0</v>
      </c>
      <c r="U154" s="16">
        <f>+IF(YEAR(U$139)=YEAR(Assumptions!$F$30),U135+U113+U92+U71+U50+U27,0)</f>
        <v>0</v>
      </c>
      <c r="V154" s="16">
        <f>+IF(YEAR(V$139)=YEAR(Assumptions!$F$30),V135+V113+V92+V71+V50+V27,0)</f>
        <v>0</v>
      </c>
      <c r="W154" s="16">
        <f>+IF(YEAR(W$139)=YEAR(Assumptions!$F$30),W135+W113+W92+W71+W50+W27,0)</f>
        <v>0</v>
      </c>
      <c r="X154" s="16">
        <f>+IF(YEAR(X$139)=YEAR(Assumptions!$F$30),X135+X113+X92+X71+X50+X27,0)</f>
        <v>0</v>
      </c>
      <c r="Y154" s="16">
        <f>+IF(YEAR(Y$139)=YEAR(Assumptions!$F$30),Y135+Y113+Y92+Y71+Y50+Y27,0)</f>
        <v>0</v>
      </c>
      <c r="Z154" s="16">
        <f>+IF(YEAR(Z$139)=YEAR(Assumptions!$F$30),Z135+Z113+Z92+Z71+Z50+Z27,0)</f>
        <v>0</v>
      </c>
    </row>
    <row r="155" spans="2:26" ht="18">
      <c r="B155" s="100" t="s">
        <v>633</v>
      </c>
      <c r="C155" s="100"/>
      <c r="D155" s="100"/>
      <c r="E155" s="100"/>
      <c r="F155" s="76">
        <f>+IF(YEAR(F$139)=YEAR(Assumptions!$F$26),('S&amp;U'!$H$23-'S&amp;U'!$R$25),0)</f>
        <v>0</v>
      </c>
      <c r="G155" s="76">
        <f>+IF(YEAR(G$139)=YEAR(Assumptions!$F$26),('S&amp;U'!$H$23-'S&amp;U'!$R$25),0)</f>
        <v>0</v>
      </c>
      <c r="H155" s="76">
        <f>+IF(YEAR(H$139)=YEAR(Assumptions!$F$26),('S&amp;U'!$H$23-'S&amp;U'!$R$25),0)</f>
        <v>0</v>
      </c>
      <c r="I155" s="76">
        <f ca="1">+IF(YEAR(I$139)=YEAR(Assumptions!$F$26),('S&amp;U'!$H$23-'S&amp;U'!$R$25),0)</f>
        <v>57159011.937496722</v>
      </c>
      <c r="J155" s="76">
        <f>+IF(YEAR(J$139)=YEAR(Assumptions!$F$26),('S&amp;U'!$H$23-'S&amp;U'!$R$25),0)</f>
        <v>0</v>
      </c>
      <c r="K155" s="76">
        <f>+IF(YEAR(K$139)=YEAR(Assumptions!$F$26),('S&amp;U'!$H$23-'S&amp;U'!$R$25),0)</f>
        <v>0</v>
      </c>
      <c r="L155" s="76">
        <f>+IF(YEAR(L$139)=YEAR(Assumptions!$F$26),('S&amp;U'!$H$23-'S&amp;U'!$R$25),0)</f>
        <v>0</v>
      </c>
      <c r="M155" s="76">
        <f>+IF(YEAR(M$139)=YEAR(Assumptions!$F$26),('S&amp;U'!$H$23-'S&amp;U'!$R$25),0)</f>
        <v>0</v>
      </c>
      <c r="N155" s="76">
        <f>+IF(YEAR(N$139)=YEAR(Assumptions!$F$26),('S&amp;U'!$H$23-'S&amp;U'!$R$25),0)</f>
        <v>0</v>
      </c>
      <c r="O155" s="76">
        <f>+IF(YEAR(O$139)=YEAR(Assumptions!$F$26),('S&amp;U'!$H$23-'S&amp;U'!$R$25),0)</f>
        <v>0</v>
      </c>
      <c r="P155" s="76">
        <f>+IF(YEAR(P$139)=YEAR(Assumptions!$F$26),('S&amp;U'!$H$23-'S&amp;U'!$R$25),0)</f>
        <v>0</v>
      </c>
      <c r="Q155" s="76">
        <f>+IF(YEAR(Q$139)=YEAR(Assumptions!$F$26),('S&amp;U'!$H$23-'S&amp;U'!$R$25),0)</f>
        <v>0</v>
      </c>
      <c r="R155" s="76">
        <f>+IF(YEAR(R$139)=YEAR(Assumptions!$F$26),('S&amp;U'!$H$23-'S&amp;U'!$R$25),0)</f>
        <v>0</v>
      </c>
      <c r="S155" s="76">
        <f>+IF(YEAR(S$139)=YEAR(Assumptions!$F$26),('S&amp;U'!$H$23-'S&amp;U'!$R$25),0)</f>
        <v>0</v>
      </c>
      <c r="T155" s="76">
        <f>+IF(YEAR(T$139)=YEAR(Assumptions!$F$26),('S&amp;U'!$H$23-'S&amp;U'!$R$25),0)</f>
        <v>0</v>
      </c>
      <c r="U155" s="76">
        <f>+IF(YEAR(U$139)=YEAR(Assumptions!$F$26),('S&amp;U'!$H$23-'S&amp;U'!$R$25),0)</f>
        <v>0</v>
      </c>
      <c r="V155" s="76">
        <f>+IF(YEAR(V$139)=YEAR(Assumptions!$F$26),('S&amp;U'!$H$23-'S&amp;U'!$R$25),0)</f>
        <v>0</v>
      </c>
      <c r="W155" s="76">
        <f>+IF(YEAR(W$139)=YEAR(Assumptions!$F$26),('S&amp;U'!$H$23-'S&amp;U'!$R$25),0)</f>
        <v>0</v>
      </c>
      <c r="X155" s="76">
        <f>+IF(YEAR(X$139)=YEAR(Assumptions!$F$26),('S&amp;U'!$H$23-'S&amp;U'!$R$25),0)</f>
        <v>0</v>
      </c>
      <c r="Y155" s="76">
        <f>+IF(YEAR(Y$139)=YEAR(Assumptions!$F$26),('S&amp;U'!$H$23-'S&amp;U'!$R$25),0)</f>
        <v>0</v>
      </c>
      <c r="Z155" s="76">
        <f>+IF(YEAR(Z$139)=YEAR(Assumptions!$F$26),('S&amp;U'!$H$23-'S&amp;U'!$R$25),0)</f>
        <v>0</v>
      </c>
    </row>
    <row r="156" spans="2:26">
      <c r="B156" s="15" t="s">
        <v>634</v>
      </c>
      <c r="F156" s="76">
        <f>-F154*Assumptions!$N$136</f>
        <v>0</v>
      </c>
      <c r="G156" s="76">
        <f>-G154*Assumptions!$N$136</f>
        <v>0</v>
      </c>
      <c r="H156" s="76">
        <f>-H154*Assumptions!$N$136</f>
        <v>0</v>
      </c>
      <c r="I156" s="76">
        <f>-I154*Assumptions!$N$136</f>
        <v>0</v>
      </c>
      <c r="J156" s="76">
        <f>-J154*Assumptions!$N$136</f>
        <v>0</v>
      </c>
      <c r="K156" s="76">
        <f>-K154*Assumptions!$N$136</f>
        <v>0</v>
      </c>
      <c r="L156" s="76">
        <f>-L154*Assumptions!$N$136</f>
        <v>0</v>
      </c>
      <c r="M156" s="76">
        <f>-M154*Assumptions!$N$136</f>
        <v>0</v>
      </c>
      <c r="N156" s="76">
        <f>-N154*Assumptions!$N$136</f>
        <v>0</v>
      </c>
      <c r="O156" s="76">
        <f>-O154*Assumptions!$N$136</f>
        <v>0</v>
      </c>
      <c r="P156" s="76">
        <f>-P154*Assumptions!$N$136</f>
        <v>-9397644.4863311462</v>
      </c>
      <c r="Q156" s="76">
        <f>-Q154*Assumptions!$N$136</f>
        <v>0</v>
      </c>
      <c r="R156" s="76">
        <f>-R154*Assumptions!$N$136</f>
        <v>0</v>
      </c>
      <c r="S156" s="76">
        <f>-S154*Assumptions!$N$136</f>
        <v>0</v>
      </c>
      <c r="T156" s="76">
        <f>-T154*Assumptions!$N$136</f>
        <v>0</v>
      </c>
      <c r="U156" s="76">
        <f>-U154*Assumptions!$N$136</f>
        <v>0</v>
      </c>
      <c r="V156" s="76">
        <f>-V154*Assumptions!$N$136</f>
        <v>0</v>
      </c>
      <c r="W156" s="76">
        <f>-W154*Assumptions!$N$136</f>
        <v>0</v>
      </c>
      <c r="X156" s="76">
        <f>-X154*Assumptions!$N$136</f>
        <v>0</v>
      </c>
      <c r="Y156" s="76">
        <f>-Y154*Assumptions!$N$136</f>
        <v>0</v>
      </c>
      <c r="Z156" s="76">
        <f>-Z154*Assumptions!$N$136</f>
        <v>0</v>
      </c>
    </row>
    <row r="157" spans="2:26">
      <c r="B157" s="15" t="s">
        <v>635</v>
      </c>
      <c r="F157" s="76">
        <f>+IF(YEAR(F$139)=YEAR(Assumptions!$F$30),-F143,0)</f>
        <v>0</v>
      </c>
      <c r="G157" s="76">
        <f>+IF(YEAR(G$139)=YEAR(Assumptions!$F$30),-G143,0)</f>
        <v>0</v>
      </c>
      <c r="H157" s="76">
        <f>+IF(YEAR(H$139)=YEAR(Assumptions!$F$30),-H143,0)</f>
        <v>0</v>
      </c>
      <c r="I157" s="76">
        <f>+IF(YEAR(I$139)=YEAR(Assumptions!$F$30),-I143,0)</f>
        <v>0</v>
      </c>
      <c r="J157" s="76">
        <f>+IF(YEAR(J$139)=YEAR(Assumptions!$F$30),-J143,0)</f>
        <v>0</v>
      </c>
      <c r="K157" s="76">
        <f>+IF(YEAR(K$139)=YEAR(Assumptions!$F$30),-K143,0)</f>
        <v>0</v>
      </c>
      <c r="L157" s="76">
        <f>+IF(YEAR(L$139)=YEAR(Assumptions!$F$30),-L143,0)</f>
        <v>0</v>
      </c>
      <c r="M157" s="76">
        <f>+IF(YEAR(M$139)=YEAR(Assumptions!$F$30),-M143,0)</f>
        <v>0</v>
      </c>
      <c r="N157" s="76">
        <f>+IF(YEAR(N$139)=YEAR(Assumptions!$F$30),-N143,0)</f>
        <v>0</v>
      </c>
      <c r="O157" s="76">
        <f>+IF(YEAR(O$139)=YEAR(Assumptions!$F$30),-O143,0)</f>
        <v>0</v>
      </c>
      <c r="P157" s="76">
        <f>+IF(YEAR(P$139)=YEAR(Assumptions!$F$30),-P143,0)</f>
        <v>-243901004.00741431</v>
      </c>
      <c r="Q157" s="76">
        <f>+IF(YEAR(Q$139)=YEAR(Assumptions!$F$30),-Q143,0)</f>
        <v>0</v>
      </c>
      <c r="R157" s="76">
        <f>+IF(YEAR(R$139)=YEAR(Assumptions!$F$30),-R143,0)</f>
        <v>0</v>
      </c>
      <c r="S157" s="76">
        <f>+IF(YEAR(S$139)=YEAR(Assumptions!$F$30),-S143,0)</f>
        <v>0</v>
      </c>
      <c r="T157" s="76">
        <f>+IF(YEAR(T$139)=YEAR(Assumptions!$F$30),-T143,0)</f>
        <v>0</v>
      </c>
      <c r="U157" s="76">
        <f>+IF(YEAR(U$139)=YEAR(Assumptions!$F$30),-U143,0)</f>
        <v>0</v>
      </c>
      <c r="V157" s="76">
        <f>+IF(YEAR(V$139)=YEAR(Assumptions!$F$30),-V143,0)</f>
        <v>0</v>
      </c>
      <c r="W157" s="76">
        <f>+IF(YEAR(W$139)=YEAR(Assumptions!$F$30),-W143,0)</f>
        <v>0</v>
      </c>
      <c r="X157" s="76">
        <f>+IF(YEAR(X$139)=YEAR(Assumptions!$F$30),-X143,0)</f>
        <v>0</v>
      </c>
      <c r="Y157" s="76">
        <f>+IF(YEAR(Y$139)=YEAR(Assumptions!$F$30),-Y143,0)</f>
        <v>0</v>
      </c>
      <c r="Z157" s="76">
        <f>+IF(YEAR(Z$139)=YEAR(Assumptions!$F$30),-Z143,0)</f>
        <v>0</v>
      </c>
    </row>
    <row r="158" spans="2:26">
      <c r="B158" s="62" t="s">
        <v>636</v>
      </c>
      <c r="C158" s="62"/>
      <c r="D158" s="62"/>
      <c r="E158" s="62"/>
      <c r="F158" s="58">
        <f>+SUM(F154:F157)</f>
        <v>0</v>
      </c>
      <c r="G158" s="58">
        <f t="shared" ref="G158:Z158" si="38">+SUM(G154:G157)</f>
        <v>0</v>
      </c>
      <c r="H158" s="58">
        <f t="shared" si="38"/>
        <v>0</v>
      </c>
      <c r="I158" s="58">
        <f ca="1">+SUM(I154:I157)</f>
        <v>34980880.000533104</v>
      </c>
      <c r="J158" s="58">
        <f t="shared" si="38"/>
        <v>0</v>
      </c>
      <c r="K158" s="58">
        <f t="shared" si="38"/>
        <v>0</v>
      </c>
      <c r="L158" s="58">
        <f t="shared" si="38"/>
        <v>0</v>
      </c>
      <c r="M158" s="58">
        <f t="shared" si="38"/>
        <v>0</v>
      </c>
      <c r="N158" s="58">
        <f t="shared" si="38"/>
        <v>0</v>
      </c>
      <c r="O158" s="58">
        <f t="shared" si="38"/>
        <v>0</v>
      </c>
      <c r="P158" s="58">
        <f t="shared" si="38"/>
        <v>216583575.82281181</v>
      </c>
      <c r="Q158" s="58">
        <f t="shared" si="38"/>
        <v>0</v>
      </c>
      <c r="R158" s="58">
        <f t="shared" si="38"/>
        <v>0</v>
      </c>
      <c r="S158" s="58">
        <f t="shared" si="38"/>
        <v>0</v>
      </c>
      <c r="T158" s="58">
        <f t="shared" si="38"/>
        <v>0</v>
      </c>
      <c r="U158" s="58">
        <f t="shared" si="38"/>
        <v>0</v>
      </c>
      <c r="V158" s="58">
        <f t="shared" si="38"/>
        <v>0</v>
      </c>
      <c r="W158" s="58">
        <f t="shared" si="38"/>
        <v>0</v>
      </c>
      <c r="X158" s="58">
        <f t="shared" si="38"/>
        <v>0</v>
      </c>
      <c r="Y158" s="58">
        <f t="shared" si="38"/>
        <v>0</v>
      </c>
      <c r="Z158" s="58">
        <f t="shared" si="38"/>
        <v>0</v>
      </c>
    </row>
    <row r="159" spans="2:26">
      <c r="B159" s="101" t="s">
        <v>637</v>
      </c>
    </row>
    <row r="161" spans="1:26" ht="15.75">
      <c r="A161" s="544"/>
      <c r="B161" s="687" t="s">
        <v>638</v>
      </c>
      <c r="C161" s="687"/>
      <c r="D161" s="687"/>
      <c r="E161" s="687"/>
      <c r="F161" s="550">
        <f>+IF(YEAR(F$139)&lt;=YEAR(Assumptions!$F$30),'Phase I Pro Forma'!F158+'Phase I Pro Forma'!F151,0)</f>
        <v>0</v>
      </c>
      <c r="G161" s="550">
        <f>+IF(YEAR(G$139)&lt;=YEAR(Assumptions!$F$30),'Phase I Pro Forma'!G158+'Phase I Pro Forma'!G151,0)</f>
        <v>0</v>
      </c>
      <c r="H161" s="550">
        <f>+IF(YEAR(H$139)&lt;=YEAR(Assumptions!$F$30),'Phase I Pro Forma'!H158+'Phase I Pro Forma'!H151,0)</f>
        <v>0</v>
      </c>
      <c r="I161" s="550">
        <f ca="1">+IF(YEAR(I$140)&lt;=YEAR(Assumptions!$F$30),'Phase I Pro Forma'!I158+'Phase I Pro Forma'!I151,0)</f>
        <v>23660143.988775685</v>
      </c>
      <c r="J161" s="550">
        <v>0</v>
      </c>
      <c r="K161" s="550">
        <v>0</v>
      </c>
      <c r="L161" s="550">
        <f>+IF(YEAR(L$139)&lt;=YEAR(Assumptions!$F$30),'Phase I Pro Forma'!L158+'Phase I Pro Forma'!L151,0)</f>
        <v>6247577.7519622296</v>
      </c>
      <c r="M161" s="550">
        <f>+IF(YEAR(M$139)&lt;=YEAR(Assumptions!$F$30),'Phase I Pro Forma'!M158+'Phase I Pro Forma'!M151,0)</f>
        <v>6525187.7248248532</v>
      </c>
      <c r="N161" s="550">
        <f>+IF(YEAR(N$139)&lt;=YEAR(Assumptions!$F$30),'Phase I Pro Forma'!N158+'Phase I Pro Forma'!N151,0)</f>
        <v>6728558.5056615137</v>
      </c>
      <c r="O161" s="550">
        <f>+IF(YEAR(O$139)&lt;=YEAR(Assumptions!$F$30),'Phase I Pro Forma'!O158+'Phase I Pro Forma'!O151,0)</f>
        <v>6900195.1035813019</v>
      </c>
      <c r="P161" s="550">
        <f>+IF(YEAR(P$139)&lt;=YEAR(Assumptions!$F$30),'Phase I Pro Forma'!P158+'Phase I Pro Forma'!P151,0)</f>
        <v>223760319.33478406</v>
      </c>
      <c r="Q161" s="550">
        <f>+IF(YEAR(Q$139)&lt;=YEAR(Assumptions!$F$30),'Phase I Pro Forma'!Q158+'Phase I Pro Forma'!Q151,0)</f>
        <v>0</v>
      </c>
      <c r="R161" s="550">
        <f>+IF(YEAR(R$139)&lt;=YEAR(Assumptions!$F$30),'Phase I Pro Forma'!R158+'Phase I Pro Forma'!R151,0)</f>
        <v>0</v>
      </c>
      <c r="S161" s="550">
        <f>+IF(YEAR(S$139)&lt;=YEAR(Assumptions!$F$30),'Phase I Pro Forma'!S158+'Phase I Pro Forma'!S151,0)</f>
        <v>0</v>
      </c>
      <c r="T161" s="550">
        <f>+IF(YEAR(T$139)&lt;=YEAR(Assumptions!$F$30),'Phase I Pro Forma'!T158+'Phase I Pro Forma'!T151,0)</f>
        <v>0</v>
      </c>
      <c r="U161" s="550">
        <f>+IF(YEAR(U$139)&lt;=YEAR(Assumptions!$F$30),'Phase I Pro Forma'!U158+'Phase I Pro Forma'!U151,0)</f>
        <v>0</v>
      </c>
      <c r="V161" s="550">
        <f>+IF(YEAR(V$139)&lt;=YEAR(Assumptions!$F$30),'Phase I Pro Forma'!V158+'Phase I Pro Forma'!V151,0)</f>
        <v>0</v>
      </c>
      <c r="W161" s="550">
        <f>+IF(YEAR(W$139)&lt;=YEAR(Assumptions!$F$30),'Phase I Pro Forma'!W158+'Phase I Pro Forma'!W151,0)</f>
        <v>0</v>
      </c>
      <c r="X161" s="550">
        <f>+IF(YEAR(X$139)&lt;=YEAR(Assumptions!$F$30),'Phase I Pro Forma'!X158+'Phase I Pro Forma'!X151,0)</f>
        <v>0</v>
      </c>
      <c r="Y161" s="550">
        <f>+IF(YEAR(Y$139)&lt;=YEAR(Assumptions!$F$30),'Phase I Pro Forma'!Y158+'Phase I Pro Forma'!Y151,0)</f>
        <v>0</v>
      </c>
      <c r="Z161" s="550">
        <f>+IF(YEAR(Z$139)&lt;=YEAR(Assumptions!$F$30),'Phase I Pro Forma'!Z158+'Phase I Pro Forma'!Z151,0)</f>
        <v>0</v>
      </c>
    </row>
    <row r="163" spans="1:26" ht="15.75">
      <c r="B163" s="444" t="s">
        <v>639</v>
      </c>
      <c r="C163" s="823"/>
      <c r="D163" s="823"/>
      <c r="E163" s="823"/>
      <c r="F163" s="824"/>
      <c r="G163" s="824"/>
      <c r="H163" s="824"/>
      <c r="I163" s="824"/>
      <c r="J163" s="824"/>
      <c r="K163" s="824"/>
      <c r="L163" s="824"/>
      <c r="M163" s="824"/>
      <c r="N163" s="824"/>
      <c r="O163" s="824"/>
      <c r="P163" s="824"/>
      <c r="Q163" s="824"/>
      <c r="R163" s="824"/>
      <c r="S163" s="824"/>
      <c r="T163" s="824"/>
      <c r="U163" s="824"/>
      <c r="V163" s="824"/>
      <c r="W163" s="824"/>
      <c r="X163" s="824"/>
      <c r="Y163" s="824"/>
      <c r="Z163" s="824"/>
    </row>
    <row r="165" spans="1:26" ht="15.75">
      <c r="B165" s="73" t="s">
        <v>16</v>
      </c>
      <c r="C165" s="74"/>
      <c r="D165" s="74"/>
      <c r="E165" s="74"/>
      <c r="F165" s="75">
        <f>+Assumptions!$F$22</f>
        <v>44561</v>
      </c>
      <c r="G165" s="75">
        <f>+EOMONTH(F165,12)</f>
        <v>44926</v>
      </c>
      <c r="H165" s="75">
        <f t="shared" ref="H165:Z165" si="39">+EOMONTH(G165,12)</f>
        <v>45291</v>
      </c>
      <c r="I165" s="75">
        <f>+EOMONTH(H165,12)</f>
        <v>45657</v>
      </c>
      <c r="J165" s="75">
        <f>+EOMONTH(I165,12)</f>
        <v>46022</v>
      </c>
      <c r="K165" s="75">
        <f t="shared" si="39"/>
        <v>46387</v>
      </c>
      <c r="L165" s="75">
        <f t="shared" si="39"/>
        <v>46752</v>
      </c>
      <c r="M165" s="75">
        <f t="shared" si="39"/>
        <v>47118</v>
      </c>
      <c r="N165" s="75">
        <f t="shared" si="39"/>
        <v>47483</v>
      </c>
      <c r="O165" s="75">
        <f t="shared" si="39"/>
        <v>47848</v>
      </c>
      <c r="P165" s="75">
        <f t="shared" si="39"/>
        <v>48213</v>
      </c>
      <c r="Q165" s="75">
        <f t="shared" si="39"/>
        <v>48579</v>
      </c>
      <c r="R165" s="75">
        <f t="shared" si="39"/>
        <v>48944</v>
      </c>
      <c r="S165" s="75">
        <f t="shared" si="39"/>
        <v>49309</v>
      </c>
      <c r="T165" s="75">
        <f t="shared" si="39"/>
        <v>49674</v>
      </c>
      <c r="U165" s="75">
        <f t="shared" si="39"/>
        <v>50040</v>
      </c>
      <c r="V165" s="75">
        <f t="shared" si="39"/>
        <v>50405</v>
      </c>
      <c r="W165" s="75">
        <f t="shared" si="39"/>
        <v>50770</v>
      </c>
      <c r="X165" s="75">
        <f t="shared" si="39"/>
        <v>51135</v>
      </c>
      <c r="Y165" s="75">
        <f t="shared" si="39"/>
        <v>51501</v>
      </c>
      <c r="Z165" s="75">
        <f t="shared" si="39"/>
        <v>51866</v>
      </c>
    </row>
    <row r="166" spans="1:26">
      <c r="B166" s="15" t="s">
        <v>640</v>
      </c>
      <c r="C166" s="15"/>
      <c r="D166" s="20"/>
      <c r="E166" s="20"/>
      <c r="F166" s="22">
        <f>+IF(AND(F165&gt;=Assumptions!$F$26,F165&lt;Assumptions!$F$28),Assumptions!$F$93/ROUNDUP((Assumptions!$F$27/12),0),0)</f>
        <v>0</v>
      </c>
      <c r="G166" s="22">
        <f>+IF(AND(G165&gt;=Assumptions!$F$26,G165&lt;Assumptions!$F$28),Assumptions!$F$93/ROUNDUP((Assumptions!$F$27/12),0),0)</f>
        <v>0</v>
      </c>
      <c r="H166" s="22">
        <f>+IF(AND(H165&gt;=Assumptions!$F$26,H165&lt;Assumptions!$F$28),Assumptions!$F$93/ROUNDUP((Assumptions!$F$27/12),0),0)</f>
        <v>0</v>
      </c>
      <c r="I166" s="22">
        <f>+IF(AND(I165&gt;=Assumptions!$F$26,I165&lt;Assumptions!$F$28),Assumptions!$F$93/ROUNDUP((Assumptions!$F$27/12),0),0)</f>
        <v>74.302499999999995</v>
      </c>
      <c r="J166" s="22">
        <f>+IF(AND(J165&gt;=Assumptions!$F$26,J165&lt;Assumptions!$F$28),Assumptions!$F$93/ROUNDUP((Assumptions!$F$27/12),0),0)</f>
        <v>74.302499999999995</v>
      </c>
      <c r="K166" s="22">
        <f>+IF(AND(K165&gt;=Assumptions!$F$26,K165&lt;Assumptions!$F$28),Assumptions!$F$93/ROUNDUP((Assumptions!$F$27/12),0),0)</f>
        <v>0</v>
      </c>
      <c r="L166" s="22">
        <f>+IF(AND(L165&gt;=Assumptions!$F$26,L165&lt;Assumptions!$F$28),Assumptions!$F$93/ROUNDUP((Assumptions!$F$27/12),0),0)</f>
        <v>0</v>
      </c>
      <c r="M166" s="22">
        <f>+IF(AND(M165&gt;=Assumptions!$F$26,M165&lt;Assumptions!$F$28),Assumptions!$F$93/ROUNDUP((Assumptions!$F$27/12),0),0)</f>
        <v>0</v>
      </c>
      <c r="N166" s="22">
        <f>+IF(AND(N165&gt;=Assumptions!$F$26,N165&lt;Assumptions!$F$28),Assumptions!$F$93/ROUNDUP((Assumptions!$F$27/12),0),0)</f>
        <v>0</v>
      </c>
      <c r="O166" s="22">
        <f>+IF(AND(O165&gt;=Assumptions!$F$26,O165&lt;Assumptions!$F$28),Assumptions!$F$93/ROUNDUP((Assumptions!$F$27/12),0),0)</f>
        <v>0</v>
      </c>
      <c r="P166" s="22">
        <f>+IF(AND(P165&gt;=Assumptions!$F$26,P165&lt;Assumptions!$F$28),Assumptions!$F$93/ROUNDUP((Assumptions!$F$27/12),0),0)</f>
        <v>0</v>
      </c>
      <c r="Q166" s="22">
        <f>+IF(AND(Q165&gt;=Assumptions!$F$26,Q165&lt;Assumptions!$F$28),Assumptions!$F$93/ROUNDUP((Assumptions!$F$27/12),0),0)</f>
        <v>0</v>
      </c>
      <c r="R166" s="22">
        <f>+IF(AND(R165&gt;=Assumptions!$F$26,R165&lt;Assumptions!$F$28),Assumptions!$F$93/ROUNDUP((Assumptions!$F$27/12),0),0)</f>
        <v>0</v>
      </c>
      <c r="S166" s="22">
        <f>+IF(AND(S165&gt;=Assumptions!$F$26,S165&lt;Assumptions!$F$28),Assumptions!$F$93/ROUNDUP((Assumptions!$F$27/12),0),0)</f>
        <v>0</v>
      </c>
      <c r="T166" s="22">
        <f>+IF(AND(T165&gt;=Assumptions!$F$26,T165&lt;Assumptions!$F$28),Assumptions!$F$93/ROUNDUP((Assumptions!$F$27/12),0),0)</f>
        <v>0</v>
      </c>
      <c r="U166" s="22">
        <f>+IF(AND(U165&gt;=Assumptions!$F$26,U165&lt;Assumptions!$F$28),Assumptions!$F$93/ROUNDUP((Assumptions!$F$27/12),0),0)</f>
        <v>0</v>
      </c>
      <c r="V166" s="22">
        <f>+IF(AND(V165&gt;=Assumptions!$F$26,V165&lt;Assumptions!$F$28),Assumptions!$F$93/ROUNDUP((Assumptions!$F$27/12),0),0)</f>
        <v>0</v>
      </c>
      <c r="W166" s="22">
        <f>+IF(AND(W165&gt;=Assumptions!$F$26,W165&lt;Assumptions!$F$28),Assumptions!$F$93/ROUNDUP((Assumptions!$F$27/12),0),0)</f>
        <v>0</v>
      </c>
      <c r="X166" s="22">
        <f>+IF(AND(X165&gt;=Assumptions!$F$26,X165&lt;Assumptions!$F$28),Assumptions!$F$93/ROUNDUP((Assumptions!$F$27/12),0),0)</f>
        <v>0</v>
      </c>
      <c r="Y166" s="22">
        <f>+IF(AND(Y165&gt;=Assumptions!$F$26,Y165&lt;Assumptions!$F$28),Assumptions!$F$93/ROUNDUP((Assumptions!$F$27/12),0),0)</f>
        <v>0</v>
      </c>
      <c r="Z166" s="22">
        <f>+IF(AND(Z165&gt;=Assumptions!$F$26,Z165&lt;Assumptions!$F$28),Assumptions!$F$93/ROUNDUP((Assumptions!$F$27/12),0),0)</f>
        <v>0</v>
      </c>
    </row>
    <row r="167" spans="1:26">
      <c r="B167" s="15" t="s">
        <v>641</v>
      </c>
      <c r="C167" s="15"/>
      <c r="D167" s="20"/>
      <c r="E167" s="20"/>
      <c r="F167" s="22">
        <f>+D167+F166</f>
        <v>0</v>
      </c>
      <c r="G167" s="22">
        <f t="shared" ref="G167:Z167" si="40">+F167+G166</f>
        <v>0</v>
      </c>
      <c r="H167" s="22">
        <f t="shared" si="40"/>
        <v>0</v>
      </c>
      <c r="I167" s="22">
        <f>+H167+I166</f>
        <v>74.302499999999995</v>
      </c>
      <c r="J167" s="22">
        <f>+I167+J166</f>
        <v>148.60499999999999</v>
      </c>
      <c r="K167" s="22">
        <f t="shared" si="40"/>
        <v>148.60499999999999</v>
      </c>
      <c r="L167" s="22">
        <f t="shared" si="40"/>
        <v>148.60499999999999</v>
      </c>
      <c r="M167" s="22">
        <f t="shared" si="40"/>
        <v>148.60499999999999</v>
      </c>
      <c r="N167" s="22">
        <f t="shared" si="40"/>
        <v>148.60499999999999</v>
      </c>
      <c r="O167" s="22">
        <f t="shared" si="40"/>
        <v>148.60499999999999</v>
      </c>
      <c r="P167" s="22">
        <f t="shared" si="40"/>
        <v>148.60499999999999</v>
      </c>
      <c r="Q167" s="22">
        <f t="shared" si="40"/>
        <v>148.60499999999999</v>
      </c>
      <c r="R167" s="22">
        <f t="shared" si="40"/>
        <v>148.60499999999999</v>
      </c>
      <c r="S167" s="22">
        <f t="shared" si="40"/>
        <v>148.60499999999999</v>
      </c>
      <c r="T167" s="22">
        <f t="shared" si="40"/>
        <v>148.60499999999999</v>
      </c>
      <c r="U167" s="22">
        <f t="shared" si="40"/>
        <v>148.60499999999999</v>
      </c>
      <c r="V167" s="22">
        <f t="shared" si="40"/>
        <v>148.60499999999999</v>
      </c>
      <c r="W167" s="22">
        <f t="shared" si="40"/>
        <v>148.60499999999999</v>
      </c>
      <c r="X167" s="22">
        <f t="shared" si="40"/>
        <v>148.60499999999999</v>
      </c>
      <c r="Y167" s="22">
        <f t="shared" si="40"/>
        <v>148.60499999999999</v>
      </c>
      <c r="Z167" s="22">
        <f t="shared" si="40"/>
        <v>148.60499999999999</v>
      </c>
    </row>
    <row r="168" spans="1:26">
      <c r="B168" s="15" t="s">
        <v>642</v>
      </c>
      <c r="C168" s="15"/>
      <c r="D168" s="22"/>
      <c r="E168" s="22"/>
      <c r="F168" s="49">
        <f t="shared" ref="F168:J168" si="41">+F167/SUM($F166:$Z166)</f>
        <v>0</v>
      </c>
      <c r="G168" s="49">
        <f t="shared" si="41"/>
        <v>0</v>
      </c>
      <c r="H168" s="49">
        <f t="shared" si="41"/>
        <v>0</v>
      </c>
      <c r="I168" s="49">
        <f>+I167/SUM($F166:$Z166)</f>
        <v>0.5</v>
      </c>
      <c r="J168" s="49">
        <f t="shared" si="41"/>
        <v>1</v>
      </c>
      <c r="K168" s="49">
        <f>+K167/SUM($F166:$Z166)</f>
        <v>1</v>
      </c>
      <c r="L168" s="49">
        <f t="shared" ref="L168:Z168" si="42">+L167/SUM($F166:$Z166)</f>
        <v>1</v>
      </c>
      <c r="M168" s="49">
        <f t="shared" si="42"/>
        <v>1</v>
      </c>
      <c r="N168" s="49">
        <f t="shared" si="42"/>
        <v>1</v>
      </c>
      <c r="O168" s="49">
        <f t="shared" si="42"/>
        <v>1</v>
      </c>
      <c r="P168" s="49">
        <f t="shared" si="42"/>
        <v>1</v>
      </c>
      <c r="Q168" s="49">
        <f t="shared" si="42"/>
        <v>1</v>
      </c>
      <c r="R168" s="49">
        <f t="shared" si="42"/>
        <v>1</v>
      </c>
      <c r="S168" s="49">
        <f t="shared" si="42"/>
        <v>1</v>
      </c>
      <c r="T168" s="49">
        <f t="shared" si="42"/>
        <v>1</v>
      </c>
      <c r="U168" s="49">
        <f t="shared" si="42"/>
        <v>1</v>
      </c>
      <c r="V168" s="49">
        <f t="shared" si="42"/>
        <v>1</v>
      </c>
      <c r="W168" s="49">
        <f t="shared" si="42"/>
        <v>1</v>
      </c>
      <c r="X168" s="49">
        <f t="shared" si="42"/>
        <v>1</v>
      </c>
      <c r="Y168" s="49">
        <f t="shared" si="42"/>
        <v>1</v>
      </c>
      <c r="Z168" s="49">
        <f t="shared" si="42"/>
        <v>1</v>
      </c>
    </row>
    <row r="169" spans="1:26">
      <c r="B169" s="15"/>
      <c r="C169" s="15"/>
      <c r="D169" s="22"/>
      <c r="E169" s="22"/>
      <c r="F169" s="49"/>
      <c r="G169" s="49"/>
      <c r="H169" s="49"/>
      <c r="I169" s="49"/>
      <c r="J169" s="49"/>
      <c r="K169" s="49"/>
      <c r="L169" s="49"/>
      <c r="M169" s="49"/>
      <c r="N169" s="49"/>
      <c r="O169" s="49"/>
      <c r="P169" s="49"/>
      <c r="Q169" s="49"/>
      <c r="R169" s="49"/>
      <c r="S169" s="49"/>
      <c r="T169" s="49"/>
      <c r="U169" s="49"/>
      <c r="V169" s="49"/>
      <c r="W169" s="49"/>
      <c r="X169" s="49"/>
      <c r="Y169" s="49"/>
      <c r="Z169" s="49"/>
    </row>
    <row r="170" spans="1:26">
      <c r="B170" s="15" t="s">
        <v>643</v>
      </c>
      <c r="F170" s="16">
        <f>+IF(F2=1,Assumptions!$F$118,IF(F2=2,Assumptions!$F$120,IF(F2&gt;2,Assumptions!$F$97,0)))</f>
        <v>0</v>
      </c>
      <c r="G170" s="16">
        <f>+IF(G2=1,Assumptions!$F$118,IF(G2=2,Assumptions!$F$120,IF(G2&gt;2,Assumptions!$F$97,0)))</f>
        <v>0</v>
      </c>
      <c r="H170" s="16">
        <f>+IF(H2=1,Assumptions!$F$118,IF(H2=2,Assumptions!$F$120,IF(H2&gt;2,Assumptions!$F$97,0)))</f>
        <v>0</v>
      </c>
      <c r="I170" s="16">
        <f>+IF(I2=1,Assumptions!$F$118,IF(I2=2,Assumptions!$F$120,IF(I2&gt;2,Assumptions!$F$97,0)))</f>
        <v>189.35</v>
      </c>
      <c r="J170" s="16">
        <f>+IF(J2=1,Assumptions!$F$118,IF(J2=2,Assumptions!$F$120,IF(J2&gt;2,Assumptions!$F$97,0)))</f>
        <v>194.35</v>
      </c>
      <c r="K170" s="16">
        <f>+IF(K2=1,Assumptions!$F$118,IF(K2=2,Assumptions!$F$120,IF(K2&gt;2,Assumptions!$F$97,0)))</f>
        <v>199.35</v>
      </c>
      <c r="L170" s="16">
        <f>+IF(L2=1,Assumptions!$F$118,IF(L2=2,Assumptions!$F$120,IF(L2&gt;2,Assumptions!$F$97,0)))</f>
        <v>199.35</v>
      </c>
      <c r="M170" s="16">
        <f>+IF(M2=1,Assumptions!$F$118,IF(M2=2,Assumptions!$F$120,IF(M2&gt;2,Assumptions!$F$97,0)))</f>
        <v>199.35</v>
      </c>
      <c r="N170" s="16">
        <f>+IF(N2=1,Assumptions!$F$118,IF(N2=2,Assumptions!$F$120,IF(N2&gt;2,Assumptions!$F$97,0)))</f>
        <v>199.35</v>
      </c>
      <c r="O170" s="16">
        <f>+IF(O2=1,Assumptions!$F$118,IF(O2=2,Assumptions!$F$120,IF(O2&gt;2,Assumptions!$F$97,0)))</f>
        <v>199.35</v>
      </c>
      <c r="P170" s="16">
        <f>+IF(P2=1,Assumptions!$F$118,IF(P2=2,Assumptions!$F$120,IF(P2&gt;2,Assumptions!$F$97,0)))</f>
        <v>199.35</v>
      </c>
      <c r="Q170" s="16">
        <f>+IF(Q2=1,Assumptions!$F$118,IF(Q2=2,Assumptions!$F$120,IF(Q2&gt;2,Assumptions!$F$97,0)))</f>
        <v>199.35</v>
      </c>
      <c r="R170" s="16">
        <f>+IF(R2=1,Assumptions!$F$118,IF(R2=2,Assumptions!$F$120,IF(R2&gt;2,Assumptions!$F$97,0)))</f>
        <v>199.35</v>
      </c>
      <c r="S170" s="16">
        <f>+IF(S2=1,Assumptions!$F$118,IF(S2=2,Assumptions!$F$120,IF(S2&gt;2,Assumptions!$F$97,0)))</f>
        <v>199.35</v>
      </c>
      <c r="T170" s="16">
        <f>+IF(T2=1,Assumptions!$F$118,IF(T2=2,Assumptions!$F$120,IF(T2&gt;2,Assumptions!$F$97,0)))</f>
        <v>199.35</v>
      </c>
      <c r="U170" s="16">
        <f>+IF(U2=1,Assumptions!$F$118,IF(U2=2,Assumptions!$F$120,IF(U2&gt;2,Assumptions!$F$97,0)))</f>
        <v>199.35</v>
      </c>
      <c r="V170" s="16">
        <f>+IF(V2=1,Assumptions!$F$118,IF(V2=2,Assumptions!$F$120,IF(V2&gt;2,Assumptions!$F$97,0)))</f>
        <v>199.35</v>
      </c>
      <c r="W170" s="16">
        <f>+IF(W2=1,Assumptions!$F$118,IF(W2=2,Assumptions!$F$120,IF(W2&gt;2,Assumptions!$F$97,0)))</f>
        <v>199.35</v>
      </c>
      <c r="X170" s="16">
        <f>+IF(X2=1,Assumptions!$F$118,IF(X2=2,Assumptions!$F$120,IF(X2&gt;2,Assumptions!$F$97,0)))</f>
        <v>199.35</v>
      </c>
      <c r="Y170" s="16">
        <f>+IF(Y2=1,Assumptions!$F$118,IF(Y2=2,Assumptions!$F$120,IF(Y2&gt;2,Assumptions!$F$97,0)))</f>
        <v>199.35</v>
      </c>
      <c r="Z170" s="16">
        <f>+IF(Z2=1,Assumptions!$F$118,IF(Z2=2,Assumptions!$F$120,IF(Z2&gt;2,Assumptions!$F$97,0)))</f>
        <v>199.35</v>
      </c>
    </row>
    <row r="171" spans="1:26">
      <c r="B171" s="15" t="s">
        <v>644</v>
      </c>
      <c r="C171" s="15"/>
      <c r="D171" s="22"/>
      <c r="E171" s="22"/>
      <c r="F171" s="49">
        <v>1</v>
      </c>
      <c r="G171" s="49">
        <f>+F171*(1+Assumptions!$N$67)</f>
        <v>1.02</v>
      </c>
      <c r="H171" s="49">
        <f>+G171*(1+Assumptions!$N$67)</f>
        <v>1.0404</v>
      </c>
      <c r="I171" s="49">
        <f>+H171*(1+Assumptions!$N$67)</f>
        <v>1.0612079999999999</v>
      </c>
      <c r="J171" s="49">
        <f>+I171*(1+Assumptions!$N$67)</f>
        <v>1.08243216</v>
      </c>
      <c r="K171" s="49">
        <f>+J171*(1+Assumptions!$N$67)</f>
        <v>1.1040808032</v>
      </c>
      <c r="L171" s="49">
        <f>+K171*(1+Assumptions!$N$67)</f>
        <v>1.1261624192640001</v>
      </c>
      <c r="M171" s="49">
        <f>+L171*(1+Assumptions!$N$67)</f>
        <v>1.14868566764928</v>
      </c>
      <c r="N171" s="49">
        <f>+M171*(1+Assumptions!$N$67)</f>
        <v>1.1716593810022657</v>
      </c>
      <c r="O171" s="49">
        <f>+N171*(1+Assumptions!$N$67)</f>
        <v>1.1950925686223111</v>
      </c>
      <c r="P171" s="49">
        <f>+O171*(1+Assumptions!$N$67)</f>
        <v>1.2189944199947573</v>
      </c>
      <c r="Q171" s="49">
        <f>+P171*(1+Assumptions!$N$67)</f>
        <v>1.2433743083946525</v>
      </c>
      <c r="R171" s="49">
        <f>+Q171*(1+Assumptions!$N$67)</f>
        <v>1.2682417945625455</v>
      </c>
      <c r="S171" s="49">
        <f>+R171*(1+Assumptions!$N$67)</f>
        <v>1.2936066304537963</v>
      </c>
      <c r="T171" s="49">
        <f>+S171*(1+Assumptions!$N$67)</f>
        <v>1.3194787630628724</v>
      </c>
      <c r="U171" s="49">
        <f>+T171*(1+Assumptions!$N$67)</f>
        <v>1.3458683383241299</v>
      </c>
      <c r="V171" s="49">
        <f>+U171*(1+Assumptions!$N$67)</f>
        <v>1.3727857050906125</v>
      </c>
      <c r="W171" s="49">
        <f>+V171*(1+Assumptions!$N$67)</f>
        <v>1.4002414191924248</v>
      </c>
      <c r="X171" s="49">
        <f>+W171*(1+Assumptions!$N$67)</f>
        <v>1.4282462475762734</v>
      </c>
      <c r="Y171" s="49">
        <f>+X171*(1+Assumptions!$N$67)</f>
        <v>1.4568111725277988</v>
      </c>
      <c r="Z171" s="49">
        <f>+Y171*(1+Assumptions!$N$67)</f>
        <v>1.4859473959783549</v>
      </c>
    </row>
    <row r="172" spans="1:26">
      <c r="B172" s="15" t="s">
        <v>645</v>
      </c>
      <c r="C172" s="15"/>
      <c r="D172" s="22"/>
      <c r="E172" s="22"/>
      <c r="F172" s="16">
        <f>+F170*F171</f>
        <v>0</v>
      </c>
      <c r="G172" s="16">
        <f t="shared" ref="G172:Z172" si="43">+G170*G171</f>
        <v>0</v>
      </c>
      <c r="H172" s="16">
        <f t="shared" si="43"/>
        <v>0</v>
      </c>
      <c r="I172" s="16">
        <f t="shared" si="43"/>
        <v>200.93973479999997</v>
      </c>
      <c r="J172" s="16">
        <f t="shared" si="43"/>
        <v>210.37069029599999</v>
      </c>
      <c r="K172" s="16">
        <f t="shared" si="43"/>
        <v>220.09850811792001</v>
      </c>
      <c r="L172" s="16">
        <f t="shared" si="43"/>
        <v>224.5004782802784</v>
      </c>
      <c r="M172" s="16">
        <f t="shared" si="43"/>
        <v>228.99048784588396</v>
      </c>
      <c r="N172" s="16">
        <f t="shared" si="43"/>
        <v>233.57029760280167</v>
      </c>
      <c r="O172" s="16">
        <f t="shared" si="43"/>
        <v>238.24170355485771</v>
      </c>
      <c r="P172" s="16">
        <f t="shared" si="43"/>
        <v>243.00653762595488</v>
      </c>
      <c r="Q172" s="16">
        <f t="shared" si="43"/>
        <v>247.86666837847397</v>
      </c>
      <c r="R172" s="16">
        <f t="shared" si="43"/>
        <v>252.82400174604342</v>
      </c>
      <c r="S172" s="16">
        <f t="shared" si="43"/>
        <v>257.88048178096426</v>
      </c>
      <c r="T172" s="16">
        <f t="shared" si="43"/>
        <v>263.0380914165836</v>
      </c>
      <c r="U172" s="16">
        <f t="shared" si="43"/>
        <v>268.29885324491528</v>
      </c>
      <c r="V172" s="16">
        <f t="shared" si="43"/>
        <v>273.66483030981357</v>
      </c>
      <c r="W172" s="16">
        <f t="shared" si="43"/>
        <v>279.13812691600987</v>
      </c>
      <c r="X172" s="16">
        <f t="shared" si="43"/>
        <v>284.72088945433012</v>
      </c>
      <c r="Y172" s="16">
        <f t="shared" si="43"/>
        <v>290.41530724341669</v>
      </c>
      <c r="Z172" s="16">
        <f t="shared" si="43"/>
        <v>296.22361338828506</v>
      </c>
    </row>
    <row r="173" spans="1:26">
      <c r="B173" s="15"/>
    </row>
    <row r="174" spans="1:26">
      <c r="B174" s="15" t="s">
        <v>199</v>
      </c>
      <c r="F174" s="49">
        <f>+IF(F2=1,Assumptions!$F$117,IF(F2=2,Assumptions!$F$119,IF(F2&gt;2,Assumptions!$F$96,0)))</f>
        <v>0</v>
      </c>
      <c r="G174" s="49">
        <f>+IF(G2=1,Assumptions!$F$117,IF(G2=2,Assumptions!$F$119,IF(G2&gt;2,Assumptions!$F$96,0)))</f>
        <v>0</v>
      </c>
      <c r="H174" s="49">
        <f>+IF(H2=1,Assumptions!$F$117,IF(H2=2,Assumptions!$F$119,IF(H2&gt;2,Assumptions!$F$96,0)))</f>
        <v>0</v>
      </c>
      <c r="I174" s="49">
        <f>+IF(I2=1,Assumptions!$F$117,IF(I2=2,Assumptions!$F$119,IF(I2&gt;2,Assumptions!$F$96,0)))</f>
        <v>0.7</v>
      </c>
      <c r="J174" s="49">
        <f>+IF(J2=1,Assumptions!$F$117,IF(J2=2,Assumptions!$F$119,IF(J2&gt;2,Assumptions!$F$96,0)))</f>
        <v>0.75</v>
      </c>
      <c r="K174" s="49">
        <f>+IF(K2=1,Assumptions!$F$117,IF(K2=2,Assumptions!$F$119,IF(K2&gt;2,Assumptions!$F$96,0)))</f>
        <v>0.76700000000000002</v>
      </c>
      <c r="L174" s="49">
        <f>+IF(L2=1,Assumptions!$F$117,IF(L2=2,Assumptions!$F$119,IF(L2&gt;2,Assumptions!$F$96,0)))</f>
        <v>0.76700000000000002</v>
      </c>
      <c r="M174" s="49">
        <f>+IF(M2=1,Assumptions!$F$117,IF(M2=2,Assumptions!$F$119,IF(M2&gt;2,Assumptions!$F$96,0)))</f>
        <v>0.76700000000000002</v>
      </c>
      <c r="N174" s="49">
        <f>+IF(N2=1,Assumptions!$F$117,IF(N2=2,Assumptions!$F$119,IF(N2&gt;2,Assumptions!$F$96,0)))</f>
        <v>0.76700000000000002</v>
      </c>
      <c r="O174" s="49">
        <f>+IF(O2=1,Assumptions!$F$117,IF(O2=2,Assumptions!$F$119,IF(O2&gt;2,Assumptions!$F$96,0)))</f>
        <v>0.76700000000000002</v>
      </c>
      <c r="P174" s="49">
        <f>+IF(P2=1,Assumptions!$F$117,IF(P2=2,Assumptions!$F$119,IF(P2&gt;2,Assumptions!$F$96,0)))</f>
        <v>0.76700000000000002</v>
      </c>
      <c r="Q174" s="49">
        <f>+IF(Q2=1,Assumptions!$F$117,IF(Q2=2,Assumptions!$F$119,IF(Q2&gt;2,Assumptions!$F$96,0)))</f>
        <v>0.76700000000000002</v>
      </c>
      <c r="R174" s="49">
        <f>+IF(R2=1,Assumptions!$F$117,IF(R2=2,Assumptions!$F$119,IF(R2&gt;2,Assumptions!$F$96,0)))</f>
        <v>0.76700000000000002</v>
      </c>
      <c r="S174" s="49">
        <f>+IF(S2=1,Assumptions!$F$117,IF(S2=2,Assumptions!$F$119,IF(S2&gt;2,Assumptions!$F$96,0)))</f>
        <v>0.76700000000000002</v>
      </c>
      <c r="T174" s="49">
        <f>+IF(T2=1,Assumptions!$F$117,IF(T2=2,Assumptions!$F$119,IF(T2&gt;2,Assumptions!$F$96,0)))</f>
        <v>0.76700000000000002</v>
      </c>
      <c r="U174" s="49">
        <f>+IF(U2=1,Assumptions!$F$117,IF(U2=2,Assumptions!$F$119,IF(U2&gt;2,Assumptions!$F$96,0)))</f>
        <v>0.76700000000000002</v>
      </c>
      <c r="V174" s="49">
        <f>+IF(V2=1,Assumptions!$F$117,IF(V2=2,Assumptions!$F$119,IF(V2&gt;2,Assumptions!$F$96,0)))</f>
        <v>0.76700000000000002</v>
      </c>
      <c r="W174" s="49">
        <f>+IF(W2=1,Assumptions!$F$117,IF(W2=2,Assumptions!$F$119,IF(W2&gt;2,Assumptions!$F$96,0)))</f>
        <v>0.76700000000000002</v>
      </c>
      <c r="X174" s="49">
        <f>+IF(X2=1,Assumptions!$F$117,IF(X2=2,Assumptions!$F$119,IF(X2&gt;2,Assumptions!$F$96,0)))</f>
        <v>0.76700000000000002</v>
      </c>
      <c r="Y174" s="49">
        <f>+IF(Y2=1,Assumptions!$F$117,IF(Y2=2,Assumptions!$F$119,IF(Y2&gt;2,Assumptions!$F$96,0)))</f>
        <v>0.76700000000000002</v>
      </c>
      <c r="Z174" s="49">
        <f>+IF(Z2=1,Assumptions!$F$117,IF(Z2=2,Assumptions!$F$119,IF(Z2&gt;2,Assumptions!$F$96,0)))</f>
        <v>0.76700000000000002</v>
      </c>
    </row>
    <row r="175" spans="1:26">
      <c r="B175" s="15" t="s">
        <v>198</v>
      </c>
      <c r="F175" s="16">
        <f>+F172*F174</f>
        <v>0</v>
      </c>
      <c r="G175" s="16">
        <f t="shared" ref="G175:Z175" si="44">+G172*G174</f>
        <v>0</v>
      </c>
      <c r="H175" s="16">
        <f t="shared" si="44"/>
        <v>0</v>
      </c>
      <c r="I175" s="16">
        <f t="shared" si="44"/>
        <v>140.65781435999997</v>
      </c>
      <c r="J175" s="16">
        <f t="shared" si="44"/>
        <v>157.77801772199999</v>
      </c>
      <c r="K175" s="16">
        <f t="shared" si="44"/>
        <v>168.81555572644464</v>
      </c>
      <c r="L175" s="16">
        <f t="shared" si="44"/>
        <v>172.19186684097355</v>
      </c>
      <c r="M175" s="16">
        <f t="shared" si="44"/>
        <v>175.635704177793</v>
      </c>
      <c r="N175" s="16">
        <f t="shared" si="44"/>
        <v>179.14841826134889</v>
      </c>
      <c r="O175" s="16">
        <f t="shared" si="44"/>
        <v>182.73138662657587</v>
      </c>
      <c r="P175" s="16">
        <f t="shared" si="44"/>
        <v>186.38601435910741</v>
      </c>
      <c r="Q175" s="16">
        <f t="shared" si="44"/>
        <v>190.11373464628954</v>
      </c>
      <c r="R175" s="16">
        <f t="shared" si="44"/>
        <v>193.91600933921532</v>
      </c>
      <c r="S175" s="16">
        <f t="shared" si="44"/>
        <v>197.79432952599959</v>
      </c>
      <c r="T175" s="16">
        <f t="shared" si="44"/>
        <v>201.75021611651962</v>
      </c>
      <c r="U175" s="16">
        <f t="shared" si="44"/>
        <v>205.78522043885002</v>
      </c>
      <c r="V175" s="16">
        <f t="shared" si="44"/>
        <v>209.90092484762701</v>
      </c>
      <c r="W175" s="16">
        <f t="shared" si="44"/>
        <v>214.09894334457957</v>
      </c>
      <c r="X175" s="16">
        <f t="shared" si="44"/>
        <v>218.38092221147122</v>
      </c>
      <c r="Y175" s="16">
        <f t="shared" si="44"/>
        <v>222.74854065570059</v>
      </c>
      <c r="Z175" s="16">
        <f t="shared" si="44"/>
        <v>227.20351146881464</v>
      </c>
    </row>
    <row r="176" spans="1:26">
      <c r="B176" s="62" t="s">
        <v>646</v>
      </c>
      <c r="C176" s="62"/>
      <c r="D176" s="62"/>
      <c r="E176" s="62"/>
      <c r="F176" s="58">
        <f>+F175*365.25*F167</f>
        <v>0</v>
      </c>
      <c r="G176" s="58">
        <f t="shared" ref="G176:Z176" si="45">+G175*365.25*G167</f>
        <v>0</v>
      </c>
      <c r="H176" s="58">
        <f t="shared" si="45"/>
        <v>0</v>
      </c>
      <c r="I176" s="58">
        <f>+I175*365.25*I167</f>
        <v>3817310.7536044936</v>
      </c>
      <c r="J176" s="58">
        <f t="shared" si="45"/>
        <v>8563871.4986867942</v>
      </c>
      <c r="K176" s="58">
        <f t="shared" si="45"/>
        <v>9162966.7243505139</v>
      </c>
      <c r="L176" s="58">
        <f t="shared" si="45"/>
        <v>9346226.0588375237</v>
      </c>
      <c r="M176" s="58">
        <f t="shared" si="45"/>
        <v>9533150.5800142735</v>
      </c>
      <c r="N176" s="58">
        <f t="shared" si="45"/>
        <v>9723813.5916145612</v>
      </c>
      <c r="O176" s="58">
        <f t="shared" si="45"/>
        <v>9918289.8634468522</v>
      </c>
      <c r="P176" s="58">
        <f t="shared" si="45"/>
        <v>10116655.660715789</v>
      </c>
      <c r="Q176" s="58">
        <f t="shared" si="45"/>
        <v>10318988.773930106</v>
      </c>
      <c r="R176" s="58">
        <f t="shared" si="45"/>
        <v>10525368.549408708</v>
      </c>
      <c r="S176" s="58">
        <f t="shared" si="45"/>
        <v>10735875.920396879</v>
      </c>
      <c r="T176" s="58">
        <f t="shared" si="45"/>
        <v>10950593.43880482</v>
      </c>
      <c r="U176" s="58">
        <f t="shared" si="45"/>
        <v>11169605.307580916</v>
      </c>
      <c r="V176" s="58">
        <f t="shared" si="45"/>
        <v>11392997.413732534</v>
      </c>
      <c r="W176" s="58">
        <f t="shared" si="45"/>
        <v>11620857.362007184</v>
      </c>
      <c r="X176" s="58">
        <f t="shared" si="45"/>
        <v>11853274.509247331</v>
      </c>
      <c r="Y176" s="58">
        <f t="shared" si="45"/>
        <v>12090339.999432275</v>
      </c>
      <c r="Z176" s="58">
        <f t="shared" si="45"/>
        <v>12332146.799420923</v>
      </c>
    </row>
    <row r="178" spans="2:26">
      <c r="B178" s="15" t="s">
        <v>647</v>
      </c>
      <c r="F178" s="16">
        <f>+Assumptions!$F$108*'Phase I Pro Forma'!F171*'Phase I Pro Forma'!F168</f>
        <v>0</v>
      </c>
      <c r="G178" s="16">
        <f>+Assumptions!$F$108*'Phase I Pro Forma'!G171*'Phase I Pro Forma'!G168</f>
        <v>0</v>
      </c>
      <c r="H178" s="16">
        <f>+Assumptions!$F$108*'Phase I Pro Forma'!H171*'Phase I Pro Forma'!H168</f>
        <v>0</v>
      </c>
      <c r="I178" s="16">
        <f>+Assumptions!$F$108*'Phase I Pro Forma'!I171*'Phase I Pro Forma'!I168</f>
        <v>883436.21933932742</v>
      </c>
      <c r="J178" s="16">
        <f>+Assumptions!$F$108*'Phase I Pro Forma'!J171*'Phase I Pro Forma'!J168</f>
        <v>1802209.887452228</v>
      </c>
      <c r="K178" s="16">
        <f>+Assumptions!$F$108*'Phase I Pro Forma'!K171*'Phase I Pro Forma'!K168</f>
        <v>1838254.0852012725</v>
      </c>
      <c r="L178" s="16">
        <f>+Assumptions!$F$108*'Phase I Pro Forma'!L171*'Phase I Pro Forma'!L168</f>
        <v>1875019.1669052981</v>
      </c>
      <c r="M178" s="16">
        <f>+Assumptions!$F$108*'Phase I Pro Forma'!M171*'Phase I Pro Forma'!M168</f>
        <v>1912519.550243404</v>
      </c>
      <c r="N178" s="16">
        <f>+Assumptions!$F$108*'Phase I Pro Forma'!N171*'Phase I Pro Forma'!N168</f>
        <v>1950769.9412482723</v>
      </c>
      <c r="O178" s="16">
        <f>+Assumptions!$F$108*'Phase I Pro Forma'!O171*'Phase I Pro Forma'!O168</f>
        <v>1989785.3400732377</v>
      </c>
      <c r="P178" s="16">
        <f>+Assumptions!$F$108*'Phase I Pro Forma'!P171*'Phase I Pro Forma'!P168</f>
        <v>2029581.0468747027</v>
      </c>
      <c r="Q178" s="16">
        <f>+Assumptions!$F$108*'Phase I Pro Forma'!Q171*'Phase I Pro Forma'!Q168</f>
        <v>2070172.6678121965</v>
      </c>
      <c r="R178" s="16">
        <f>+Assumptions!$F$108*'Phase I Pro Forma'!R171*'Phase I Pro Forma'!R168</f>
        <v>2111576.1211684407</v>
      </c>
      <c r="S178" s="16">
        <f>+Assumptions!$F$108*'Phase I Pro Forma'!S171*'Phase I Pro Forma'!S168</f>
        <v>2153807.6435918091</v>
      </c>
      <c r="T178" s="16">
        <f>+Assumptions!$F$108*'Phase I Pro Forma'!T171*'Phase I Pro Forma'!T168</f>
        <v>2196883.7964636455</v>
      </c>
      <c r="U178" s="16">
        <f>+Assumptions!$F$108*'Phase I Pro Forma'!U171*'Phase I Pro Forma'!U168</f>
        <v>2240821.4723929185</v>
      </c>
      <c r="V178" s="16">
        <f>+Assumptions!$F$108*'Phase I Pro Forma'!V171*'Phase I Pro Forma'!V168</f>
        <v>2285637.9018407771</v>
      </c>
      <c r="W178" s="16">
        <f>+Assumptions!$F$108*'Phase I Pro Forma'!W171*'Phase I Pro Forma'!W168</f>
        <v>2331350.6598775927</v>
      </c>
      <c r="X178" s="16">
        <f>+Assumptions!$F$108*'Phase I Pro Forma'!X171*'Phase I Pro Forma'!X168</f>
        <v>2377977.6730751446</v>
      </c>
      <c r="Y178" s="16">
        <f>+Assumptions!$F$108*'Phase I Pro Forma'!Y171*'Phase I Pro Forma'!Y168</f>
        <v>2425537.2265366474</v>
      </c>
      <c r="Z178" s="16">
        <f>+Assumptions!$F$108*'Phase I Pro Forma'!Z171*'Phase I Pro Forma'!Z168</f>
        <v>2474047.9710673806</v>
      </c>
    </row>
    <row r="179" spans="2:26">
      <c r="B179" s="62" t="s">
        <v>648</v>
      </c>
      <c r="C179" s="62"/>
      <c r="D179" s="62"/>
      <c r="E179" s="62"/>
      <c r="F179" s="58">
        <f>+F176+F178</f>
        <v>0</v>
      </c>
      <c r="G179" s="58">
        <f t="shared" ref="G179:Z179" si="46">+G176+G178</f>
        <v>0</v>
      </c>
      <c r="H179" s="58">
        <f t="shared" si="46"/>
        <v>0</v>
      </c>
      <c r="I179" s="58">
        <f t="shared" si="46"/>
        <v>4700746.972943821</v>
      </c>
      <c r="J179" s="58">
        <f t="shared" si="46"/>
        <v>10366081.386139022</v>
      </c>
      <c r="K179" s="58">
        <f t="shared" si="46"/>
        <v>11001220.809551787</v>
      </c>
      <c r="L179" s="58">
        <f t="shared" si="46"/>
        <v>11221245.225742823</v>
      </c>
      <c r="M179" s="58">
        <f t="shared" si="46"/>
        <v>11445670.130257677</v>
      </c>
      <c r="N179" s="58">
        <f t="shared" si="46"/>
        <v>11674583.532862833</v>
      </c>
      <c r="O179" s="58">
        <f t="shared" si="46"/>
        <v>11908075.203520089</v>
      </c>
      <c r="P179" s="58">
        <f t="shared" si="46"/>
        <v>12146236.707590491</v>
      </c>
      <c r="Q179" s="58">
        <f t="shared" si="46"/>
        <v>12389161.441742303</v>
      </c>
      <c r="R179" s="58">
        <f t="shared" si="46"/>
        <v>12636944.670577148</v>
      </c>
      <c r="S179" s="58">
        <f t="shared" si="46"/>
        <v>12889683.563988689</v>
      </c>
      <c r="T179" s="58">
        <f t="shared" si="46"/>
        <v>13147477.235268466</v>
      </c>
      <c r="U179" s="58">
        <f t="shared" si="46"/>
        <v>13410426.779973835</v>
      </c>
      <c r="V179" s="58">
        <f t="shared" si="46"/>
        <v>13678635.315573312</v>
      </c>
      <c r="W179" s="58">
        <f t="shared" si="46"/>
        <v>13952208.021884777</v>
      </c>
      <c r="X179" s="58">
        <f t="shared" si="46"/>
        <v>14231252.182322476</v>
      </c>
      <c r="Y179" s="58">
        <f t="shared" si="46"/>
        <v>14515877.225968923</v>
      </c>
      <c r="Z179" s="58">
        <f t="shared" si="46"/>
        <v>14806194.770488303</v>
      </c>
    </row>
    <row r="180" spans="2:26">
      <c r="B180" s="15"/>
      <c r="F180" s="16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  <c r="Y180" s="16"/>
      <c r="Z180" s="16"/>
    </row>
    <row r="181" spans="2:26">
      <c r="B181" s="15" t="s">
        <v>649</v>
      </c>
      <c r="F181" s="22">
        <f>+Assumptions!$F$115*'Phase I Pro Forma'!F171*'Phase I Pro Forma'!F168</f>
        <v>0</v>
      </c>
      <c r="G181" s="22">
        <f>+Assumptions!$F$115*'Phase I Pro Forma'!G171*'Phase I Pro Forma'!G168</f>
        <v>0</v>
      </c>
      <c r="H181" s="22">
        <f>+Assumptions!$F$115*'Phase I Pro Forma'!H171*'Phase I Pro Forma'!H168</f>
        <v>0</v>
      </c>
      <c r="I181" s="22">
        <f>+Assumptions!$F$115*'Phase I Pro Forma'!I171*'Phase I Pro Forma'!I168</f>
        <v>0</v>
      </c>
      <c r="J181" s="22">
        <f>+Assumptions!$F$115*'Phase I Pro Forma'!J171*'Phase I Pro Forma'!J168</f>
        <v>0</v>
      </c>
      <c r="K181" s="22">
        <f>+Assumptions!$F$115*'Phase I Pro Forma'!K171*'Phase I Pro Forma'!K168</f>
        <v>0</v>
      </c>
      <c r="L181" s="22">
        <f>+Assumptions!$F$115*'Phase I Pro Forma'!L171*'Phase I Pro Forma'!L168</f>
        <v>0</v>
      </c>
      <c r="M181" s="22">
        <f>+Assumptions!$F$115*'Phase I Pro Forma'!M171*'Phase I Pro Forma'!M168</f>
        <v>0</v>
      </c>
      <c r="N181" s="22">
        <f>+Assumptions!$F$115*'Phase I Pro Forma'!N171*'Phase I Pro Forma'!N168</f>
        <v>0</v>
      </c>
      <c r="O181" s="22">
        <f>+Assumptions!$F$115*'Phase I Pro Forma'!O171*'Phase I Pro Forma'!O168</f>
        <v>0</v>
      </c>
      <c r="P181" s="22">
        <f>+Assumptions!$F$115*'Phase I Pro Forma'!P171*'Phase I Pro Forma'!P168</f>
        <v>0</v>
      </c>
      <c r="Q181" s="22">
        <f>+Assumptions!$F$115*'Phase I Pro Forma'!Q171*'Phase I Pro Forma'!Q168</f>
        <v>0</v>
      </c>
      <c r="R181" s="22">
        <f>+Assumptions!$F$115*'Phase I Pro Forma'!R171*'Phase I Pro Forma'!R168</f>
        <v>0</v>
      </c>
      <c r="S181" s="22">
        <f>+Assumptions!$F$115*'Phase I Pro Forma'!S171*'Phase I Pro Forma'!S168</f>
        <v>0</v>
      </c>
      <c r="T181" s="22">
        <f>+Assumptions!$F$115*'Phase I Pro Forma'!T171*'Phase I Pro Forma'!T168</f>
        <v>0</v>
      </c>
      <c r="U181" s="22">
        <f>+Assumptions!$F$115*'Phase I Pro Forma'!U171*'Phase I Pro Forma'!U168</f>
        <v>0</v>
      </c>
      <c r="V181" s="22">
        <f>+Assumptions!$F$115*'Phase I Pro Forma'!V171*'Phase I Pro Forma'!V168</f>
        <v>0</v>
      </c>
      <c r="W181" s="22">
        <f>+Assumptions!$F$115*'Phase I Pro Forma'!W171*'Phase I Pro Forma'!W168</f>
        <v>0</v>
      </c>
      <c r="X181" s="22">
        <f>+Assumptions!$F$115*'Phase I Pro Forma'!X171*'Phase I Pro Forma'!X168</f>
        <v>0</v>
      </c>
      <c r="Y181" s="22">
        <f>+Assumptions!$F$115*'Phase I Pro Forma'!Y171*'Phase I Pro Forma'!Y168</f>
        <v>0</v>
      </c>
      <c r="Z181" s="22">
        <f>+Assumptions!$F$115*'Phase I Pro Forma'!Z171*'Phase I Pro Forma'!Z168</f>
        <v>0</v>
      </c>
    </row>
    <row r="182" spans="2:26" s="82" customFormat="1">
      <c r="B182" s="62" t="s">
        <v>650</v>
      </c>
      <c r="C182" s="62"/>
      <c r="D182" s="62"/>
      <c r="E182" s="62"/>
      <c r="F182" s="58">
        <f>+F179+F181</f>
        <v>0</v>
      </c>
      <c r="G182" s="58">
        <f t="shared" ref="G182:Z182" si="47">+G179+G181</f>
        <v>0</v>
      </c>
      <c r="H182" s="58">
        <f t="shared" si="47"/>
        <v>0</v>
      </c>
      <c r="I182" s="58">
        <f t="shared" si="47"/>
        <v>4700746.972943821</v>
      </c>
      <c r="J182" s="58">
        <f t="shared" si="47"/>
        <v>10366081.386139022</v>
      </c>
      <c r="K182" s="58">
        <f t="shared" si="47"/>
        <v>11001220.809551787</v>
      </c>
      <c r="L182" s="58">
        <f t="shared" si="47"/>
        <v>11221245.225742823</v>
      </c>
      <c r="M182" s="58">
        <f t="shared" si="47"/>
        <v>11445670.130257677</v>
      </c>
      <c r="N182" s="58">
        <f t="shared" si="47"/>
        <v>11674583.532862833</v>
      </c>
      <c r="O182" s="58">
        <f t="shared" si="47"/>
        <v>11908075.203520089</v>
      </c>
      <c r="P182" s="58">
        <f t="shared" si="47"/>
        <v>12146236.707590491</v>
      </c>
      <c r="Q182" s="58">
        <f t="shared" si="47"/>
        <v>12389161.441742303</v>
      </c>
      <c r="R182" s="58">
        <f t="shared" si="47"/>
        <v>12636944.670577148</v>
      </c>
      <c r="S182" s="58">
        <f t="shared" si="47"/>
        <v>12889683.563988689</v>
      </c>
      <c r="T182" s="58">
        <f t="shared" si="47"/>
        <v>13147477.235268466</v>
      </c>
      <c r="U182" s="58">
        <f t="shared" si="47"/>
        <v>13410426.779973835</v>
      </c>
      <c r="V182" s="58">
        <f t="shared" si="47"/>
        <v>13678635.315573312</v>
      </c>
      <c r="W182" s="58">
        <f t="shared" si="47"/>
        <v>13952208.021884777</v>
      </c>
      <c r="X182" s="58">
        <f t="shared" si="47"/>
        <v>14231252.182322476</v>
      </c>
      <c r="Y182" s="58">
        <f t="shared" si="47"/>
        <v>14515877.225968923</v>
      </c>
      <c r="Z182" s="58">
        <f t="shared" si="47"/>
        <v>14806194.770488303</v>
      </c>
    </row>
    <row r="184" spans="2:26">
      <c r="B184" s="80" t="s">
        <v>651</v>
      </c>
    </row>
    <row r="185" spans="2:26">
      <c r="B185" s="38" t="s">
        <v>207</v>
      </c>
      <c r="D185" s="822">
        <f>+Assumptions!M101</f>
        <v>0.25</v>
      </c>
      <c r="E185" s="52"/>
      <c r="F185" s="16">
        <f>F$176*$D185</f>
        <v>0</v>
      </c>
      <c r="G185" s="16">
        <f t="shared" ref="G185:Z185" si="48">G$176*$D185</f>
        <v>0</v>
      </c>
      <c r="H185" s="16">
        <f t="shared" si="48"/>
        <v>0</v>
      </c>
      <c r="I185" s="16">
        <f>I$176*$D185</f>
        <v>954327.68840112339</v>
      </c>
      <c r="J185" s="16">
        <f t="shared" si="48"/>
        <v>2140967.8746716985</v>
      </c>
      <c r="K185" s="16">
        <f t="shared" si="48"/>
        <v>2290741.6810876285</v>
      </c>
      <c r="L185" s="16">
        <f t="shared" si="48"/>
        <v>2336556.5147093809</v>
      </c>
      <c r="M185" s="16">
        <f t="shared" si="48"/>
        <v>2383287.6450035684</v>
      </c>
      <c r="N185" s="16">
        <f t="shared" si="48"/>
        <v>2430953.3979036403</v>
      </c>
      <c r="O185" s="16">
        <f t="shared" si="48"/>
        <v>2479572.465861713</v>
      </c>
      <c r="P185" s="16">
        <f t="shared" si="48"/>
        <v>2529163.9151789472</v>
      </c>
      <c r="Q185" s="16">
        <f t="shared" si="48"/>
        <v>2579747.1934825266</v>
      </c>
      <c r="R185" s="16">
        <f t="shared" si="48"/>
        <v>2631342.1373521769</v>
      </c>
      <c r="S185" s="16">
        <f t="shared" si="48"/>
        <v>2683968.9800992198</v>
      </c>
      <c r="T185" s="16">
        <f t="shared" si="48"/>
        <v>2737648.359701205</v>
      </c>
      <c r="U185" s="16">
        <f t="shared" si="48"/>
        <v>2792401.3268952291</v>
      </c>
      <c r="V185" s="16">
        <f t="shared" si="48"/>
        <v>2848249.3534331336</v>
      </c>
      <c r="W185" s="16">
        <f t="shared" si="48"/>
        <v>2905214.340501796</v>
      </c>
      <c r="X185" s="16">
        <f t="shared" si="48"/>
        <v>2963318.6273118327</v>
      </c>
      <c r="Y185" s="16">
        <f t="shared" si="48"/>
        <v>3022584.9998580688</v>
      </c>
      <c r="Z185" s="16">
        <f t="shared" si="48"/>
        <v>3083036.6998552307</v>
      </c>
    </row>
    <row r="186" spans="2:26">
      <c r="B186" s="38" t="s">
        <v>209</v>
      </c>
      <c r="D186" s="822">
        <f>+Assumptions!M102</f>
        <v>0.7</v>
      </c>
      <c r="E186" s="52"/>
      <c r="F186" s="22">
        <f>F$178*$D186</f>
        <v>0</v>
      </c>
      <c r="G186" s="22">
        <f t="shared" ref="G186:Z186" si="49">G$178*$D186</f>
        <v>0</v>
      </c>
      <c r="H186" s="22">
        <f t="shared" si="49"/>
        <v>0</v>
      </c>
      <c r="I186" s="22">
        <f>I$178*$D186</f>
        <v>618405.35353752912</v>
      </c>
      <c r="J186" s="22">
        <f t="shared" si="49"/>
        <v>1261546.9212165596</v>
      </c>
      <c r="K186" s="22">
        <f t="shared" si="49"/>
        <v>1286777.8596408907</v>
      </c>
      <c r="L186" s="22">
        <f t="shared" si="49"/>
        <v>1312513.4168337085</v>
      </c>
      <c r="M186" s="22">
        <f t="shared" si="49"/>
        <v>1338763.6851703827</v>
      </c>
      <c r="N186" s="22">
        <f t="shared" si="49"/>
        <v>1365538.9588737905</v>
      </c>
      <c r="O186" s="22">
        <f t="shared" si="49"/>
        <v>1392849.7380512662</v>
      </c>
      <c r="P186" s="22">
        <f t="shared" si="49"/>
        <v>1420706.7328122917</v>
      </c>
      <c r="Q186" s="22">
        <f t="shared" si="49"/>
        <v>1449120.8674685375</v>
      </c>
      <c r="R186" s="22">
        <f t="shared" si="49"/>
        <v>1478103.2848179084</v>
      </c>
      <c r="S186" s="22">
        <f t="shared" si="49"/>
        <v>1507665.3505142662</v>
      </c>
      <c r="T186" s="22">
        <f t="shared" si="49"/>
        <v>1537818.6575245517</v>
      </c>
      <c r="U186" s="22">
        <f t="shared" si="49"/>
        <v>1568575.0306750429</v>
      </c>
      <c r="V186" s="22">
        <f t="shared" si="49"/>
        <v>1599946.5312885439</v>
      </c>
      <c r="W186" s="22">
        <f t="shared" si="49"/>
        <v>1631945.4619143149</v>
      </c>
      <c r="X186" s="22">
        <f t="shared" si="49"/>
        <v>1664584.3711526012</v>
      </c>
      <c r="Y186" s="22">
        <f t="shared" si="49"/>
        <v>1697876.058575653</v>
      </c>
      <c r="Z186" s="22">
        <f t="shared" si="49"/>
        <v>1731833.5797471663</v>
      </c>
    </row>
    <row r="187" spans="2:26">
      <c r="B187" s="80" t="s">
        <v>652</v>
      </c>
      <c r="D187" s="15"/>
    </row>
    <row r="188" spans="2:26">
      <c r="B188" s="38" t="s">
        <v>213</v>
      </c>
      <c r="D188" s="822">
        <f>+Assumptions!M104</f>
        <v>0.08</v>
      </c>
      <c r="E188" s="52"/>
      <c r="F188" s="22">
        <f>F$179*$D188</f>
        <v>0</v>
      </c>
      <c r="G188" s="22">
        <f t="shared" ref="G188:V196" si="50">G$179*$D188</f>
        <v>0</v>
      </c>
      <c r="H188" s="22">
        <f t="shared" si="50"/>
        <v>0</v>
      </c>
      <c r="I188" s="22">
        <f t="shared" ref="I188:I194" si="51">I$179*$D188</f>
        <v>376059.7578355057</v>
      </c>
      <c r="J188" s="22">
        <f t="shared" si="50"/>
        <v>829286.51089112181</v>
      </c>
      <c r="K188" s="22">
        <f t="shared" si="50"/>
        <v>880097.66476414294</v>
      </c>
      <c r="L188" s="22">
        <f t="shared" si="50"/>
        <v>897699.61805942585</v>
      </c>
      <c r="M188" s="22">
        <f t="shared" si="50"/>
        <v>915653.61042061425</v>
      </c>
      <c r="N188" s="22">
        <f t="shared" si="50"/>
        <v>933966.68262902659</v>
      </c>
      <c r="O188" s="22">
        <f t="shared" si="50"/>
        <v>952646.01628160721</v>
      </c>
      <c r="P188" s="22">
        <f t="shared" si="50"/>
        <v>971698.9366072393</v>
      </c>
      <c r="Q188" s="22">
        <f t="shared" si="50"/>
        <v>991132.91533938423</v>
      </c>
      <c r="R188" s="22">
        <f t="shared" si="50"/>
        <v>1010955.5736461718</v>
      </c>
      <c r="S188" s="22">
        <f t="shared" si="50"/>
        <v>1031174.6851190951</v>
      </c>
      <c r="T188" s="22">
        <f t="shared" si="50"/>
        <v>1051798.1788214773</v>
      </c>
      <c r="U188" s="22">
        <f t="shared" si="50"/>
        <v>1072834.1423979069</v>
      </c>
      <c r="V188" s="22">
        <f t="shared" si="50"/>
        <v>1094290.8252458649</v>
      </c>
      <c r="W188" s="22">
        <f t="shared" ref="W188:Z196" si="52">W$179*$D188</f>
        <v>1116176.6417507823</v>
      </c>
      <c r="X188" s="22">
        <f t="shared" si="52"/>
        <v>1138500.1745857981</v>
      </c>
      <c r="Y188" s="22">
        <f t="shared" si="52"/>
        <v>1161270.1780775138</v>
      </c>
      <c r="Z188" s="22">
        <f t="shared" si="52"/>
        <v>1184495.5816390642</v>
      </c>
    </row>
    <row r="189" spans="2:26">
      <c r="B189" s="38" t="s">
        <v>215</v>
      </c>
      <c r="D189" s="822">
        <f>+Assumptions!M105</f>
        <v>0.01</v>
      </c>
      <c r="E189" s="52"/>
      <c r="F189" s="22">
        <f t="shared" ref="F189:F196" si="53">F$179*$D189</f>
        <v>0</v>
      </c>
      <c r="G189" s="22">
        <f t="shared" si="50"/>
        <v>0</v>
      </c>
      <c r="H189" s="22">
        <f t="shared" si="50"/>
        <v>0</v>
      </c>
      <c r="I189" s="22">
        <f t="shared" si="51"/>
        <v>47007.469729438213</v>
      </c>
      <c r="J189" s="22">
        <f t="shared" si="50"/>
        <v>103660.81386139023</v>
      </c>
      <c r="K189" s="22">
        <f t="shared" si="50"/>
        <v>110012.20809551787</v>
      </c>
      <c r="L189" s="22">
        <f t="shared" si="50"/>
        <v>112212.45225742823</v>
      </c>
      <c r="M189" s="22">
        <f t="shared" si="50"/>
        <v>114456.70130257678</v>
      </c>
      <c r="N189" s="22">
        <f t="shared" si="50"/>
        <v>116745.83532862832</v>
      </c>
      <c r="O189" s="22">
        <f t="shared" si="50"/>
        <v>119080.7520352009</v>
      </c>
      <c r="P189" s="22">
        <f t="shared" si="50"/>
        <v>121462.36707590491</v>
      </c>
      <c r="Q189" s="22">
        <f t="shared" si="50"/>
        <v>123891.61441742303</v>
      </c>
      <c r="R189" s="22">
        <f t="shared" si="50"/>
        <v>126369.44670577148</v>
      </c>
      <c r="S189" s="22">
        <f t="shared" si="50"/>
        <v>128896.83563988689</v>
      </c>
      <c r="T189" s="22">
        <f t="shared" si="50"/>
        <v>131474.77235268467</v>
      </c>
      <c r="U189" s="22">
        <f t="shared" si="50"/>
        <v>134104.26779973836</v>
      </c>
      <c r="V189" s="22">
        <f t="shared" si="50"/>
        <v>136786.35315573312</v>
      </c>
      <c r="W189" s="22">
        <f t="shared" si="52"/>
        <v>139522.08021884778</v>
      </c>
      <c r="X189" s="22">
        <f t="shared" si="52"/>
        <v>142312.52182322476</v>
      </c>
      <c r="Y189" s="22">
        <f t="shared" si="52"/>
        <v>145158.77225968923</v>
      </c>
      <c r="Z189" s="22">
        <f t="shared" si="52"/>
        <v>148061.94770488303</v>
      </c>
    </row>
    <row r="190" spans="2:26">
      <c r="B190" s="38" t="s">
        <v>216</v>
      </c>
      <c r="D190" s="822">
        <f>+Assumptions!M106</f>
        <v>6.5000000000000002E-2</v>
      </c>
      <c r="E190" s="52"/>
      <c r="F190" s="22">
        <f t="shared" si="53"/>
        <v>0</v>
      </c>
      <c r="G190" s="22">
        <f t="shared" si="50"/>
        <v>0</v>
      </c>
      <c r="H190" s="22">
        <f t="shared" si="50"/>
        <v>0</v>
      </c>
      <c r="I190" s="22">
        <f t="shared" si="51"/>
        <v>305548.55324134836</v>
      </c>
      <c r="J190" s="22">
        <f t="shared" si="50"/>
        <v>673795.29009903641</v>
      </c>
      <c r="K190" s="22">
        <f t="shared" si="50"/>
        <v>715079.35262086615</v>
      </c>
      <c r="L190" s="22">
        <f t="shared" si="50"/>
        <v>729380.93967328349</v>
      </c>
      <c r="M190" s="22">
        <f t="shared" si="50"/>
        <v>743968.55846674903</v>
      </c>
      <c r="N190" s="22">
        <f t="shared" si="50"/>
        <v>758847.92963608413</v>
      </c>
      <c r="O190" s="22">
        <f t="shared" si="50"/>
        <v>774024.88822880585</v>
      </c>
      <c r="P190" s="22">
        <f t="shared" si="50"/>
        <v>789505.38599338196</v>
      </c>
      <c r="Q190" s="22">
        <f t="shared" si="50"/>
        <v>805295.49371324969</v>
      </c>
      <c r="R190" s="22">
        <f t="shared" si="50"/>
        <v>821401.40358751465</v>
      </c>
      <c r="S190" s="22">
        <f t="shared" si="50"/>
        <v>837829.43165926484</v>
      </c>
      <c r="T190" s="22">
        <f t="shared" si="50"/>
        <v>854586.02029245032</v>
      </c>
      <c r="U190" s="22">
        <f t="shared" si="50"/>
        <v>871677.74069829925</v>
      </c>
      <c r="V190" s="22">
        <f t="shared" si="50"/>
        <v>889111.29551226529</v>
      </c>
      <c r="W190" s="22">
        <f t="shared" si="52"/>
        <v>906893.5214225105</v>
      </c>
      <c r="X190" s="22">
        <f t="shared" si="52"/>
        <v>925031.39185096102</v>
      </c>
      <c r="Y190" s="22">
        <f t="shared" si="52"/>
        <v>943532.01968798006</v>
      </c>
      <c r="Z190" s="22">
        <f t="shared" si="52"/>
        <v>962402.66008173977</v>
      </c>
    </row>
    <row r="191" spans="2:26">
      <c r="B191" s="38" t="s">
        <v>217</v>
      </c>
      <c r="D191" s="822">
        <f>+Assumptions!M107</f>
        <v>0.02</v>
      </c>
      <c r="E191" s="52"/>
      <c r="F191" s="22">
        <f t="shared" si="53"/>
        <v>0</v>
      </c>
      <c r="G191" s="22">
        <f t="shared" si="50"/>
        <v>0</v>
      </c>
      <c r="H191" s="22">
        <f t="shared" si="50"/>
        <v>0</v>
      </c>
      <c r="I191" s="22">
        <f t="shared" si="51"/>
        <v>94014.939458876426</v>
      </c>
      <c r="J191" s="22">
        <f t="shared" si="50"/>
        <v>207321.62772278045</v>
      </c>
      <c r="K191" s="22">
        <f t="shared" si="50"/>
        <v>220024.41619103574</v>
      </c>
      <c r="L191" s="22">
        <f t="shared" si="50"/>
        <v>224424.90451485646</v>
      </c>
      <c r="M191" s="22">
        <f t="shared" si="50"/>
        <v>228913.40260515356</v>
      </c>
      <c r="N191" s="22">
        <f t="shared" si="50"/>
        <v>233491.67065725665</v>
      </c>
      <c r="O191" s="22">
        <f t="shared" si="50"/>
        <v>238161.5040704018</v>
      </c>
      <c r="P191" s="22">
        <f t="shared" si="50"/>
        <v>242924.73415180983</v>
      </c>
      <c r="Q191" s="22">
        <f t="shared" si="50"/>
        <v>247783.22883484606</v>
      </c>
      <c r="R191" s="22">
        <f t="shared" si="50"/>
        <v>252738.89341154296</v>
      </c>
      <c r="S191" s="22">
        <f t="shared" si="50"/>
        <v>257793.67127977379</v>
      </c>
      <c r="T191" s="22">
        <f t="shared" si="50"/>
        <v>262949.54470536934</v>
      </c>
      <c r="U191" s="22">
        <f t="shared" si="50"/>
        <v>268208.53559947672</v>
      </c>
      <c r="V191" s="22">
        <f t="shared" si="50"/>
        <v>273572.70631146623</v>
      </c>
      <c r="W191" s="22">
        <f t="shared" si="52"/>
        <v>279044.16043769557</v>
      </c>
      <c r="X191" s="22">
        <f t="shared" si="52"/>
        <v>284625.04364644951</v>
      </c>
      <c r="Y191" s="22">
        <f t="shared" si="52"/>
        <v>290317.54451937845</v>
      </c>
      <c r="Z191" s="22">
        <f t="shared" si="52"/>
        <v>296123.89540976606</v>
      </c>
    </row>
    <row r="192" spans="2:26">
      <c r="B192" s="38" t="s">
        <v>219</v>
      </c>
      <c r="D192" s="822">
        <f>+Assumptions!M108</f>
        <v>0.03</v>
      </c>
      <c r="E192" s="52"/>
      <c r="F192" s="22">
        <f t="shared" si="53"/>
        <v>0</v>
      </c>
      <c r="G192" s="22">
        <f t="shared" si="50"/>
        <v>0</v>
      </c>
      <c r="H192" s="22">
        <f t="shared" si="50"/>
        <v>0</v>
      </c>
      <c r="I192" s="22">
        <f t="shared" si="51"/>
        <v>141022.40918831463</v>
      </c>
      <c r="J192" s="22">
        <f t="shared" si="50"/>
        <v>310982.44158417068</v>
      </c>
      <c r="K192" s="22">
        <f t="shared" si="50"/>
        <v>330036.62428655359</v>
      </c>
      <c r="L192" s="22">
        <f t="shared" si="50"/>
        <v>336637.35677228466</v>
      </c>
      <c r="M192" s="22">
        <f t="shared" si="50"/>
        <v>343370.10390773031</v>
      </c>
      <c r="N192" s="22">
        <f t="shared" si="50"/>
        <v>350237.50598588499</v>
      </c>
      <c r="O192" s="22">
        <f t="shared" si="50"/>
        <v>357242.25610560266</v>
      </c>
      <c r="P192" s="22">
        <f t="shared" si="50"/>
        <v>364387.10122771468</v>
      </c>
      <c r="Q192" s="22">
        <f t="shared" si="50"/>
        <v>371674.84325226909</v>
      </c>
      <c r="R192" s="22">
        <f t="shared" si="50"/>
        <v>379108.34011731442</v>
      </c>
      <c r="S192" s="22">
        <f t="shared" si="50"/>
        <v>386690.50691966066</v>
      </c>
      <c r="T192" s="22">
        <f t="shared" si="50"/>
        <v>394424.31705805397</v>
      </c>
      <c r="U192" s="22">
        <f t="shared" si="50"/>
        <v>402312.80339921504</v>
      </c>
      <c r="V192" s="22">
        <f t="shared" si="50"/>
        <v>410359.05946719937</v>
      </c>
      <c r="W192" s="22">
        <f t="shared" si="52"/>
        <v>418566.24065654329</v>
      </c>
      <c r="X192" s="22">
        <f t="shared" si="52"/>
        <v>426937.56546967424</v>
      </c>
      <c r="Y192" s="22">
        <f t="shared" si="52"/>
        <v>435476.31677906768</v>
      </c>
      <c r="Z192" s="22">
        <f t="shared" si="52"/>
        <v>444185.84311464906</v>
      </c>
    </row>
    <row r="193" spans="2:26">
      <c r="B193" s="38" t="s">
        <v>221</v>
      </c>
      <c r="D193" s="822">
        <f>+Assumptions!M109</f>
        <v>0.04</v>
      </c>
      <c r="E193" s="52"/>
      <c r="F193" s="22">
        <f t="shared" si="53"/>
        <v>0</v>
      </c>
      <c r="G193" s="22">
        <f t="shared" si="50"/>
        <v>0</v>
      </c>
      <c r="H193" s="22">
        <f t="shared" si="50"/>
        <v>0</v>
      </c>
      <c r="I193" s="22">
        <f t="shared" si="51"/>
        <v>188029.87891775285</v>
      </c>
      <c r="J193" s="22">
        <f t="shared" si="50"/>
        <v>414643.25544556091</v>
      </c>
      <c r="K193" s="22">
        <f t="shared" si="50"/>
        <v>440048.83238207147</v>
      </c>
      <c r="L193" s="22">
        <f t="shared" si="50"/>
        <v>448849.80902971292</v>
      </c>
      <c r="M193" s="22">
        <f t="shared" si="50"/>
        <v>457826.80521030712</v>
      </c>
      <c r="N193" s="22">
        <f t="shared" si="50"/>
        <v>466983.34131451329</v>
      </c>
      <c r="O193" s="22">
        <f t="shared" si="50"/>
        <v>476323.00814080361</v>
      </c>
      <c r="P193" s="22">
        <f t="shared" si="50"/>
        <v>485849.46830361965</v>
      </c>
      <c r="Q193" s="22">
        <f t="shared" si="50"/>
        <v>495566.45766969211</v>
      </c>
      <c r="R193" s="22">
        <f t="shared" si="50"/>
        <v>505477.78682308592</v>
      </c>
      <c r="S193" s="22">
        <f t="shared" si="50"/>
        <v>515587.34255954757</v>
      </c>
      <c r="T193" s="22">
        <f t="shared" si="50"/>
        <v>525899.08941073867</v>
      </c>
      <c r="U193" s="22">
        <f t="shared" si="50"/>
        <v>536417.07119895343</v>
      </c>
      <c r="V193" s="22">
        <f t="shared" si="50"/>
        <v>547145.41262293246</v>
      </c>
      <c r="W193" s="22">
        <f t="shared" si="52"/>
        <v>558088.32087539113</v>
      </c>
      <c r="X193" s="22">
        <f t="shared" si="52"/>
        <v>569250.08729289903</v>
      </c>
      <c r="Y193" s="22">
        <f t="shared" si="52"/>
        <v>580635.08903875691</v>
      </c>
      <c r="Z193" s="22">
        <f t="shared" si="52"/>
        <v>592247.79081953212</v>
      </c>
    </row>
    <row r="194" spans="2:26">
      <c r="B194" s="38" t="s">
        <v>223</v>
      </c>
      <c r="D194" s="822">
        <f>+Assumptions!M110</f>
        <v>0.01</v>
      </c>
      <c r="E194" s="52"/>
      <c r="F194" s="22">
        <f t="shared" si="53"/>
        <v>0</v>
      </c>
      <c r="G194" s="22">
        <f t="shared" si="50"/>
        <v>0</v>
      </c>
      <c r="H194" s="22">
        <f t="shared" si="50"/>
        <v>0</v>
      </c>
      <c r="I194" s="22">
        <f t="shared" si="51"/>
        <v>47007.469729438213</v>
      </c>
      <c r="J194" s="22">
        <f t="shared" si="50"/>
        <v>103660.81386139023</v>
      </c>
      <c r="K194" s="22">
        <f t="shared" si="50"/>
        <v>110012.20809551787</v>
      </c>
      <c r="L194" s="22">
        <f t="shared" si="50"/>
        <v>112212.45225742823</v>
      </c>
      <c r="M194" s="22">
        <f t="shared" si="50"/>
        <v>114456.70130257678</v>
      </c>
      <c r="N194" s="22">
        <f t="shared" si="50"/>
        <v>116745.83532862832</v>
      </c>
      <c r="O194" s="22">
        <f t="shared" si="50"/>
        <v>119080.7520352009</v>
      </c>
      <c r="P194" s="22">
        <f t="shared" si="50"/>
        <v>121462.36707590491</v>
      </c>
      <c r="Q194" s="22">
        <f t="shared" si="50"/>
        <v>123891.61441742303</v>
      </c>
      <c r="R194" s="22">
        <f t="shared" si="50"/>
        <v>126369.44670577148</v>
      </c>
      <c r="S194" s="22">
        <f t="shared" si="50"/>
        <v>128896.83563988689</v>
      </c>
      <c r="T194" s="22">
        <f t="shared" si="50"/>
        <v>131474.77235268467</v>
      </c>
      <c r="U194" s="22">
        <f t="shared" si="50"/>
        <v>134104.26779973836</v>
      </c>
      <c r="V194" s="22">
        <f t="shared" si="50"/>
        <v>136786.35315573312</v>
      </c>
      <c r="W194" s="22">
        <f t="shared" si="52"/>
        <v>139522.08021884778</v>
      </c>
      <c r="X194" s="22">
        <f t="shared" si="52"/>
        <v>142312.52182322476</v>
      </c>
      <c r="Y194" s="22">
        <f t="shared" si="52"/>
        <v>145158.77225968923</v>
      </c>
      <c r="Z194" s="22">
        <f t="shared" si="52"/>
        <v>148061.94770488303</v>
      </c>
    </row>
    <row r="195" spans="2:26">
      <c r="B195" s="89" t="s">
        <v>792</v>
      </c>
      <c r="D195" s="822">
        <f ca="1">+SUM(F195:Z195)/SUM(F179:Z179)</f>
        <v>0.1078949389652735</v>
      </c>
      <c r="E195" s="53"/>
      <c r="F195" s="22">
        <f ca="1">+IFERROR(INDEX(#REF!,MATCH('Phase I Pro Forma'!F$7,#REF!,0)),0)*'Loan Sizing'!$I$36*F168</f>
        <v>0</v>
      </c>
      <c r="G195" s="22">
        <f ca="1">+IFERROR(INDEX(#REF!,MATCH('Phase I Pro Forma'!G$7,#REF!,0)),0)*'Loan Sizing'!$I$36*G168</f>
        <v>0</v>
      </c>
      <c r="H195" s="22">
        <f ca="1">+IFERROR(INDEX(#REF!,MATCH('Phase I Pro Forma'!H$7,#REF!,0)),0)*'Loan Sizing'!$I$36*H168</f>
        <v>0</v>
      </c>
      <c r="I195" s="22">
        <f ca="1">+IFERROR(INDEX(#REF!,MATCH('Phase I Pro Forma'!I$7,#REF!,0)),0)*'Loan Sizing'!$I$36*I168</f>
        <v>0</v>
      </c>
      <c r="J195" s="22">
        <f ca="1">+IFERROR(INDEX(#REF!,MATCH('Phase I Pro Forma'!J$7,#REF!,0)),0)*'Loan Sizing'!$I$36*J168</f>
        <v>0</v>
      </c>
      <c r="K195" s="22">
        <f ca="1">+IFERROR(INDEX(#REF!,MATCH('Phase I Pro Forma'!K$7,#REF!,0)),0)*'Loan Sizing'!$I$36*K168</f>
        <v>0</v>
      </c>
      <c r="L195" s="22">
        <f ca="1">+IFERROR(INDEX(#REF!,MATCH('Phase I Pro Forma'!L$7,#REF!,0)),0)*'Loan Sizing'!$I$36*L168</f>
        <v>0</v>
      </c>
      <c r="M195" s="22">
        <f ca="1">+IFERROR(INDEX(#REF!,MATCH('Phase I Pro Forma'!M$7,#REF!,0)),0)*'Loan Sizing'!$I$36*M168</f>
        <v>0</v>
      </c>
      <c r="N195" s="22">
        <f ca="1">+IFERROR(INDEX(#REF!,MATCH('Phase I Pro Forma'!N$7,#REF!,0)),0)*'Loan Sizing'!$I$36*N168</f>
        <v>0</v>
      </c>
      <c r="O195" s="22">
        <f ca="1">+IFERROR(INDEX(#REF!,MATCH('Phase I Pro Forma'!O$7,#REF!,0)),0)*'Loan Sizing'!$I$36*O168</f>
        <v>0</v>
      </c>
      <c r="P195" s="22">
        <f ca="1">+IFERROR(INDEX(#REF!,MATCH('Phase I Pro Forma'!P$7,#REF!,0)),0)*'Loan Sizing'!$I$36*P168</f>
        <v>0</v>
      </c>
      <c r="Q195" s="22">
        <f ca="1">+IFERROR(INDEX(#REF!,MATCH('Phase I Pro Forma'!Q$7,#REF!,0)),0)*'Loan Sizing'!$I$36*Q168</f>
        <v>0</v>
      </c>
      <c r="R195" s="22">
        <f ca="1">+IFERROR(INDEX(#REF!,MATCH('Phase I Pro Forma'!R$7,#REF!,0)),0)*'Loan Sizing'!$I$36*R168</f>
        <v>0</v>
      </c>
      <c r="S195" s="22">
        <f ca="1">+IFERROR(INDEX(#REF!,MATCH('Phase I Pro Forma'!S$7,#REF!,0)),0)*'Loan Sizing'!$I$36*S168</f>
        <v>0</v>
      </c>
      <c r="T195" s="22">
        <f ca="1">+IFERROR(INDEX(#REF!,MATCH('Phase I Pro Forma'!T$7,#REF!,0)),0)*'Loan Sizing'!$I$36*T168</f>
        <v>0</v>
      </c>
      <c r="U195" s="22">
        <f ca="1">+IFERROR(INDEX(#REF!,MATCH('Phase I Pro Forma'!U$7,#REF!,0)),0)*'Loan Sizing'!$I$36*U168</f>
        <v>0</v>
      </c>
      <c r="V195" s="22">
        <f ca="1">+IFERROR(INDEX(#REF!,MATCH('Phase I Pro Forma'!V$7,#REF!,0)),0)*'Loan Sizing'!$I$36*V168</f>
        <v>0</v>
      </c>
      <c r="W195" s="22">
        <f ca="1">+IFERROR(INDEX(#REF!,MATCH('Phase I Pro Forma'!W$7,#REF!,0)),0)*'Loan Sizing'!$I$36*W168</f>
        <v>0</v>
      </c>
      <c r="X195" s="22">
        <f ca="1">+IFERROR(INDEX(#REF!,MATCH('Phase I Pro Forma'!X$7,#REF!,0)),0)*'Loan Sizing'!$I$36*X168</f>
        <v>0</v>
      </c>
      <c r="Y195" s="22">
        <f ca="1">+IFERROR(INDEX(#REF!,MATCH('Phase I Pro Forma'!Y$7,#REF!,0)),0)*'Loan Sizing'!$I$36*Y168</f>
        <v>0</v>
      </c>
      <c r="Z195" s="22">
        <f ca="1">+IFERROR(INDEX(#REF!,MATCH('Phase I Pro Forma'!Z$7,#REF!,0)),0)*'Loan Sizing'!$I$36*Z168</f>
        <v>0</v>
      </c>
    </row>
    <row r="196" spans="2:26">
      <c r="B196" s="38" t="s">
        <v>225</v>
      </c>
      <c r="D196" s="822">
        <f>+Assumptions!M111</f>
        <v>3.5000000000000003E-2</v>
      </c>
      <c r="E196" s="52"/>
      <c r="F196" s="22">
        <f t="shared" si="53"/>
        <v>0</v>
      </c>
      <c r="G196" s="22">
        <f t="shared" si="50"/>
        <v>0</v>
      </c>
      <c r="H196" s="22">
        <f t="shared" si="50"/>
        <v>0</v>
      </c>
      <c r="I196" s="22">
        <f>I$179*$D196</f>
        <v>164526.14405303376</v>
      </c>
      <c r="J196" s="22">
        <f t="shared" si="50"/>
        <v>362812.84851486579</v>
      </c>
      <c r="K196" s="22">
        <f t="shared" si="50"/>
        <v>385042.72833431256</v>
      </c>
      <c r="L196" s="22">
        <f t="shared" si="50"/>
        <v>392743.58290099882</v>
      </c>
      <c r="M196" s="22">
        <f t="shared" si="50"/>
        <v>400598.45455901872</v>
      </c>
      <c r="N196" s="22">
        <f t="shared" si="50"/>
        <v>408610.4236501992</v>
      </c>
      <c r="O196" s="22">
        <f t="shared" si="50"/>
        <v>416782.63212320319</v>
      </c>
      <c r="P196" s="22">
        <f t="shared" si="50"/>
        <v>425118.28476566722</v>
      </c>
      <c r="Q196" s="22">
        <f t="shared" si="50"/>
        <v>433620.65046098066</v>
      </c>
      <c r="R196" s="22">
        <f t="shared" si="50"/>
        <v>442293.06347020023</v>
      </c>
      <c r="S196" s="22">
        <f t="shared" si="50"/>
        <v>451138.92473960418</v>
      </c>
      <c r="T196" s="22">
        <f t="shared" si="50"/>
        <v>460161.70323439635</v>
      </c>
      <c r="U196" s="22">
        <f t="shared" si="50"/>
        <v>469364.93729908427</v>
      </c>
      <c r="V196" s="22">
        <f t="shared" si="50"/>
        <v>478752.23604506598</v>
      </c>
      <c r="W196" s="22">
        <f t="shared" si="52"/>
        <v>488327.28076596721</v>
      </c>
      <c r="X196" s="22">
        <f t="shared" si="52"/>
        <v>498093.82638128672</v>
      </c>
      <c r="Y196" s="22">
        <f t="shared" si="52"/>
        <v>508055.70290891238</v>
      </c>
      <c r="Z196" s="22">
        <f t="shared" si="52"/>
        <v>518216.81696709065</v>
      </c>
    </row>
    <row r="197" spans="2:26">
      <c r="B197" s="81" t="s">
        <v>220</v>
      </c>
      <c r="D197" s="15"/>
    </row>
    <row r="198" spans="2:26">
      <c r="B198" s="38" t="s">
        <v>233</v>
      </c>
      <c r="D198" s="822">
        <f>+Assumptions!M115</f>
        <v>0.4</v>
      </c>
      <c r="E198" s="52"/>
      <c r="F198" s="22">
        <f t="shared" ref="F198:Z198" si="54">F$181*$D198</f>
        <v>0</v>
      </c>
      <c r="G198" s="22">
        <f t="shared" si="54"/>
        <v>0</v>
      </c>
      <c r="H198" s="22">
        <f t="shared" si="54"/>
        <v>0</v>
      </c>
      <c r="I198" s="22">
        <f>I$181*$D198</f>
        <v>0</v>
      </c>
      <c r="J198" s="22">
        <f t="shared" si="54"/>
        <v>0</v>
      </c>
      <c r="K198" s="22">
        <f t="shared" si="54"/>
        <v>0</v>
      </c>
      <c r="L198" s="22">
        <f t="shared" si="54"/>
        <v>0</v>
      </c>
      <c r="M198" s="22">
        <f t="shared" si="54"/>
        <v>0</v>
      </c>
      <c r="N198" s="22">
        <f t="shared" si="54"/>
        <v>0</v>
      </c>
      <c r="O198" s="22">
        <f t="shared" si="54"/>
        <v>0</v>
      </c>
      <c r="P198" s="22">
        <f t="shared" si="54"/>
        <v>0</v>
      </c>
      <c r="Q198" s="22">
        <f t="shared" si="54"/>
        <v>0</v>
      </c>
      <c r="R198" s="22">
        <f t="shared" si="54"/>
        <v>0</v>
      </c>
      <c r="S198" s="22">
        <f t="shared" si="54"/>
        <v>0</v>
      </c>
      <c r="T198" s="22">
        <f t="shared" si="54"/>
        <v>0</v>
      </c>
      <c r="U198" s="22">
        <f t="shared" si="54"/>
        <v>0</v>
      </c>
      <c r="V198" s="22">
        <f t="shared" si="54"/>
        <v>0</v>
      </c>
      <c r="W198" s="22">
        <f t="shared" si="54"/>
        <v>0</v>
      </c>
      <c r="X198" s="22">
        <f t="shared" si="54"/>
        <v>0</v>
      </c>
      <c r="Y198" s="22">
        <f t="shared" si="54"/>
        <v>0</v>
      </c>
      <c r="Z198" s="22">
        <f t="shared" si="54"/>
        <v>0</v>
      </c>
    </row>
    <row r="199" spans="2:26">
      <c r="B199" s="62" t="s">
        <v>653</v>
      </c>
      <c r="C199" s="62"/>
      <c r="D199" s="737"/>
      <c r="E199" s="62"/>
      <c r="F199" s="58">
        <v>0</v>
      </c>
      <c r="G199" s="58">
        <v>0</v>
      </c>
      <c r="H199" s="58">
        <v>0</v>
      </c>
      <c r="I199" s="58">
        <f t="shared" ref="I199:Z199" ca="1" si="55">+SUM(I185:I198)</f>
        <v>2935949.664092361</v>
      </c>
      <c r="J199" s="58">
        <f t="shared" ca="1" si="55"/>
        <v>6408678.3978685755</v>
      </c>
      <c r="K199" s="58">
        <f t="shared" ca="1" si="55"/>
        <v>6767873.5754985381</v>
      </c>
      <c r="L199" s="58">
        <f t="shared" ca="1" si="55"/>
        <v>6903231.0470085088</v>
      </c>
      <c r="M199" s="58">
        <f t="shared" ca="1" si="55"/>
        <v>7041295.6679486781</v>
      </c>
      <c r="N199" s="58">
        <f t="shared" ca="1" si="55"/>
        <v>7182121.5813076524</v>
      </c>
      <c r="O199" s="58">
        <f t="shared" ca="1" si="55"/>
        <v>7325764.0129338047</v>
      </c>
      <c r="P199" s="58">
        <f t="shared" ca="1" si="55"/>
        <v>7472279.2931924816</v>
      </c>
      <c r="Q199" s="58">
        <f t="shared" ca="1" si="55"/>
        <v>7621724.8790563326</v>
      </c>
      <c r="R199" s="58">
        <f t="shared" ca="1" si="55"/>
        <v>7774159.3766374588</v>
      </c>
      <c r="S199" s="58">
        <f t="shared" ca="1" si="55"/>
        <v>7929642.5641702041</v>
      </c>
      <c r="T199" s="58">
        <f t="shared" ca="1" si="55"/>
        <v>8088235.4154536119</v>
      </c>
      <c r="U199" s="58">
        <f t="shared" ca="1" si="55"/>
        <v>8250000.1237626849</v>
      </c>
      <c r="V199" s="58">
        <f t="shared" ca="1" si="55"/>
        <v>8415000.1262379382</v>
      </c>
      <c r="W199" s="58">
        <f t="shared" ca="1" si="55"/>
        <v>8583300.1287626978</v>
      </c>
      <c r="X199" s="58">
        <f t="shared" ca="1" si="55"/>
        <v>8754966.1313379519</v>
      </c>
      <c r="Y199" s="58">
        <f t="shared" ca="1" si="55"/>
        <v>8930065.4539647102</v>
      </c>
      <c r="Z199" s="58">
        <f t="shared" ca="1" si="55"/>
        <v>9108666.7630440053</v>
      </c>
    </row>
    <row r="200" spans="2:26">
      <c r="D200" s="15"/>
    </row>
    <row r="201" spans="2:26">
      <c r="B201" s="62" t="s">
        <v>654</v>
      </c>
      <c r="C201" s="62"/>
      <c r="D201" s="737"/>
      <c r="E201" s="62"/>
      <c r="F201" s="58">
        <v>0</v>
      </c>
      <c r="G201" s="58">
        <v>0</v>
      </c>
      <c r="H201" s="58">
        <v>0</v>
      </c>
      <c r="I201" s="58">
        <f t="shared" ref="I201:Z201" ca="1" si="56">+I182-I199</f>
        <v>1764797.30885146</v>
      </c>
      <c r="J201" s="58">
        <f t="shared" ca="1" si="56"/>
        <v>3957402.9882704467</v>
      </c>
      <c r="K201" s="58">
        <f t="shared" ca="1" si="56"/>
        <v>4233347.2340532485</v>
      </c>
      <c r="L201" s="58">
        <f t="shared" ca="1" si="56"/>
        <v>2322063.3457589857</v>
      </c>
      <c r="M201" s="58">
        <f t="shared" ca="1" si="56"/>
        <v>2368504.6126741655</v>
      </c>
      <c r="N201" s="58">
        <f t="shared" ca="1" si="56"/>
        <v>2456592.1019203458</v>
      </c>
      <c r="O201" s="58">
        <f t="shared" ca="1" si="56"/>
        <v>4582311.1905862847</v>
      </c>
      <c r="P201" s="58">
        <f t="shared" ca="1" si="56"/>
        <v>4673957.414398009</v>
      </c>
      <c r="Q201" s="58">
        <f t="shared" ca="1" si="56"/>
        <v>2690849.3160584401</v>
      </c>
      <c r="R201" s="58">
        <f t="shared" ca="1" si="56"/>
        <v>2786198.0473121591</v>
      </c>
      <c r="S201" s="58">
        <f t="shared" ca="1" si="56"/>
        <v>2841922.0082584023</v>
      </c>
      <c r="T201" s="58">
        <f t="shared" ca="1" si="56"/>
        <v>2941122.8282547705</v>
      </c>
      <c r="U201" s="58">
        <f t="shared" ca="1" si="56"/>
        <v>5160426.6562111499</v>
      </c>
      <c r="V201" s="58">
        <f t="shared" ca="1" si="56"/>
        <v>3103153.8179440908</v>
      </c>
      <c r="W201" s="58">
        <f t="shared" ca="1" si="56"/>
        <v>5368907.8931220789</v>
      </c>
      <c r="X201" s="58">
        <f t="shared" ca="1" si="56"/>
        <v>3315804.6795932408</v>
      </c>
      <c r="Y201" s="58">
        <f t="shared" ca="1" si="56"/>
        <v>5585811.7720042132</v>
      </c>
      <c r="Z201" s="58">
        <f t="shared" ca="1" si="56"/>
        <v>3493837.0086251888</v>
      </c>
    </row>
    <row r="202" spans="2:26">
      <c r="D202" s="15"/>
    </row>
    <row r="203" spans="2:26">
      <c r="B203" s="81" t="s">
        <v>350</v>
      </c>
      <c r="D203" s="15"/>
    </row>
    <row r="204" spans="2:26">
      <c r="B204" s="38" t="s">
        <v>229</v>
      </c>
      <c r="D204" s="822">
        <f>+Assumptions!M113</f>
        <v>0.03</v>
      </c>
      <c r="E204" s="52"/>
      <c r="F204" s="22">
        <f t="shared" ref="F204:Z204" si="57">F$179*$D204</f>
        <v>0</v>
      </c>
      <c r="G204" s="22">
        <f t="shared" si="57"/>
        <v>0</v>
      </c>
      <c r="H204" s="22">
        <f t="shared" si="57"/>
        <v>0</v>
      </c>
      <c r="I204" s="22">
        <f>I$179*$D204</f>
        <v>141022.40918831463</v>
      </c>
      <c r="J204" s="22">
        <f t="shared" si="57"/>
        <v>310982.44158417068</v>
      </c>
      <c r="K204" s="22">
        <f t="shared" si="57"/>
        <v>330036.62428655359</v>
      </c>
      <c r="L204" s="22">
        <f t="shared" si="57"/>
        <v>336637.35677228466</v>
      </c>
      <c r="M204" s="22">
        <f t="shared" si="57"/>
        <v>343370.10390773031</v>
      </c>
      <c r="N204" s="22">
        <f t="shared" si="57"/>
        <v>350237.50598588499</v>
      </c>
      <c r="O204" s="22">
        <f t="shared" si="57"/>
        <v>357242.25610560266</v>
      </c>
      <c r="P204" s="22">
        <f t="shared" si="57"/>
        <v>364387.10122771468</v>
      </c>
      <c r="Q204" s="22">
        <f t="shared" si="57"/>
        <v>371674.84325226909</v>
      </c>
      <c r="R204" s="22">
        <f t="shared" si="57"/>
        <v>379108.34011731442</v>
      </c>
      <c r="S204" s="22">
        <f t="shared" si="57"/>
        <v>386690.50691966066</v>
      </c>
      <c r="T204" s="22">
        <f t="shared" si="57"/>
        <v>394424.31705805397</v>
      </c>
      <c r="U204" s="22">
        <f t="shared" si="57"/>
        <v>402312.80339921504</v>
      </c>
      <c r="V204" s="22">
        <f t="shared" si="57"/>
        <v>410359.05946719937</v>
      </c>
      <c r="W204" s="22">
        <f t="shared" si="57"/>
        <v>418566.24065654329</v>
      </c>
      <c r="X204" s="22">
        <f t="shared" si="57"/>
        <v>426937.56546967424</v>
      </c>
      <c r="Y204" s="22">
        <f t="shared" si="57"/>
        <v>435476.31677906768</v>
      </c>
      <c r="Z204" s="22">
        <f t="shared" si="57"/>
        <v>444185.84311464906</v>
      </c>
    </row>
    <row r="205" spans="2:26" ht="15.75">
      <c r="B205" s="687" t="s">
        <v>588</v>
      </c>
      <c r="C205" s="687"/>
      <c r="D205" s="687"/>
      <c r="E205" s="687"/>
      <c r="F205" s="550">
        <f>+F201-F204</f>
        <v>0</v>
      </c>
      <c r="G205" s="550">
        <f t="shared" ref="G205:H205" si="58">+G201-G204</f>
        <v>0</v>
      </c>
      <c r="H205" s="550">
        <f t="shared" si="58"/>
        <v>0</v>
      </c>
      <c r="I205" s="550">
        <f t="shared" ref="I205:Z205" ca="1" si="59">+I201-I204</f>
        <v>1623774.8996631454</v>
      </c>
      <c r="J205" s="550">
        <f t="shared" ca="1" si="59"/>
        <v>1650469.7137109479</v>
      </c>
      <c r="K205" s="550">
        <f t="shared" ca="1" si="59"/>
        <v>1907359.776791367</v>
      </c>
      <c r="L205" s="550">
        <f t="shared" ca="1" si="59"/>
        <v>1985425.988986701</v>
      </c>
      <c r="M205" s="550">
        <f t="shared" ca="1" si="59"/>
        <v>2025134.5087664351</v>
      </c>
      <c r="N205" s="550">
        <f t="shared" ca="1" si="59"/>
        <v>2106354.5959344609</v>
      </c>
      <c r="O205" s="550">
        <f t="shared" ca="1" si="59"/>
        <v>4225068.934480682</v>
      </c>
      <c r="P205" s="550">
        <f t="shared" ca="1" si="59"/>
        <v>2232983.0665427642</v>
      </c>
      <c r="Q205" s="550">
        <f t="shared" ca="1" si="59"/>
        <v>2319174.472806171</v>
      </c>
      <c r="R205" s="550">
        <f t="shared" ca="1" si="59"/>
        <v>2407089.7071948447</v>
      </c>
      <c r="S205" s="550">
        <f t="shared" ca="1" si="59"/>
        <v>2455231.5013387417</v>
      </c>
      <c r="T205" s="550">
        <f t="shared" ca="1" si="59"/>
        <v>2546698.5111967167</v>
      </c>
      <c r="U205" s="550">
        <f t="shared" ca="1" si="59"/>
        <v>2639994.8612518529</v>
      </c>
      <c r="V205" s="550">
        <f t="shared" ca="1" si="59"/>
        <v>2692794.7584768916</v>
      </c>
      <c r="W205" s="550">
        <f t="shared" ca="1" si="59"/>
        <v>2789860.281074252</v>
      </c>
      <c r="X205" s="550">
        <f t="shared" ca="1" si="59"/>
        <v>2888867.1141235665</v>
      </c>
      <c r="Y205" s="550">
        <f t="shared" ca="1" si="59"/>
        <v>2946644.4564060364</v>
      </c>
      <c r="Z205" s="550">
        <f t="shared" ca="1" si="59"/>
        <v>3049651.1655105399</v>
      </c>
    </row>
    <row r="206" spans="2:26" ht="15.75">
      <c r="B206" s="688" t="s">
        <v>619</v>
      </c>
      <c r="C206" s="689"/>
      <c r="D206" s="689"/>
      <c r="E206" s="689"/>
      <c r="F206" s="690" t="str">
        <f t="shared" ref="F206:H206" si="60">+IFERROR(F205/F182,"")</f>
        <v/>
      </c>
      <c r="G206" s="690" t="str">
        <f t="shared" si="60"/>
        <v/>
      </c>
      <c r="H206" s="690" t="str">
        <f t="shared" si="60"/>
        <v/>
      </c>
      <c r="I206" s="690">
        <f t="shared" ref="I206:Z206" ca="1" si="61">+IFERROR(I205/I182,"")</f>
        <v>0.13729044177688424</v>
      </c>
      <c r="J206" s="690">
        <f t="shared" ca="1" si="61"/>
        <v>0.1592182862771914</v>
      </c>
      <c r="K206" s="690">
        <f t="shared" ca="1" si="61"/>
        <v>0.17337710148816446</v>
      </c>
      <c r="L206" s="690">
        <f t="shared" ca="1" si="61"/>
        <v>0.17693455129488717</v>
      </c>
      <c r="M206" s="690">
        <f t="shared" ca="1" si="61"/>
        <v>0.17693455129488719</v>
      </c>
      <c r="N206" s="690">
        <f t="shared" ca="1" si="61"/>
        <v>0.18042224718383099</v>
      </c>
      <c r="O206" s="690">
        <f t="shared" ca="1" si="61"/>
        <v>0.18384155687887399</v>
      </c>
      <c r="P206" s="690">
        <f t="shared" ca="1" si="61"/>
        <v>0.18384155687887399</v>
      </c>
      <c r="Q206" s="690">
        <f t="shared" ca="1" si="61"/>
        <v>0.18719382128577886</v>
      </c>
      <c r="R206" s="690">
        <f t="shared" ca="1" si="61"/>
        <v>0.19048035501803851</v>
      </c>
      <c r="S206" s="690">
        <f t="shared" ca="1" si="61"/>
        <v>0.19048035501803853</v>
      </c>
      <c r="T206" s="690">
        <f t="shared" ca="1" si="61"/>
        <v>0.19370244691241059</v>
      </c>
      <c r="U206" s="690">
        <f t="shared" ca="1" si="61"/>
        <v>0.19686136053434414</v>
      </c>
      <c r="V206" s="690">
        <f t="shared" ca="1" si="61"/>
        <v>0.19686136053434425</v>
      </c>
      <c r="W206" s="690">
        <f t="shared" ca="1" si="61"/>
        <v>0.19995833467349458</v>
      </c>
      <c r="X206" s="690">
        <f t="shared" ca="1" si="61"/>
        <v>0.20299458382952473</v>
      </c>
      <c r="Y206" s="690">
        <f t="shared" ca="1" si="61"/>
        <v>0.20299458382952465</v>
      </c>
      <c r="Z206" s="690">
        <f t="shared" ca="1" si="61"/>
        <v>0.20597129868837755</v>
      </c>
    </row>
    <row r="207" spans="2:26" ht="15.75">
      <c r="B207" s="688" t="s">
        <v>568</v>
      </c>
      <c r="C207" s="689"/>
      <c r="D207" s="689"/>
      <c r="E207" s="689"/>
      <c r="F207" s="692">
        <f>+F201/Assumptions!$N$131</f>
        <v>0</v>
      </c>
      <c r="G207" s="692">
        <f>+G201/Assumptions!$N$131</f>
        <v>0</v>
      </c>
      <c r="H207" s="692">
        <f>+H201/Assumptions!$N$131</f>
        <v>0</v>
      </c>
      <c r="I207" s="692">
        <f ca="1">I205/Assumptions!$N$131</f>
        <v>9928732.7476432081</v>
      </c>
      <c r="J207" s="692">
        <f ca="1">J205/Assumptions!$N$131</f>
        <v>25391841.749399196</v>
      </c>
      <c r="K207" s="692">
        <f ca="1">+K201/Assumptions!$N$131</f>
        <v>34421483.09350647</v>
      </c>
      <c r="L207" s="692">
        <f ca="1">+L201/Assumptions!$N$131</f>
        <v>35724051.473215163</v>
      </c>
      <c r="M207" s="692">
        <f ca="1">+M201/Assumptions!$N$131</f>
        <v>36438532.502679467</v>
      </c>
      <c r="N207" s="692">
        <f ca="1">+N201/Assumptions!$N$131</f>
        <v>37793724.644928396</v>
      </c>
      <c r="O207" s="692">
        <f ca="1">+O201/Assumptions!$N$131</f>
        <v>39176020.63002231</v>
      </c>
      <c r="P207" s="692">
        <f ca="1">+P201/Assumptions!$N$131</f>
        <v>71907037.144584745</v>
      </c>
      <c r="Q207" s="692">
        <f ca="1">+Q201/Assumptions!$N$131</f>
        <v>41397681.785514459</v>
      </c>
      <c r="R207" s="692">
        <f ca="1">+R201/Assumptions!$N$131</f>
        <v>42864585.343263984</v>
      </c>
      <c r="S207" s="692">
        <f ca="1">+S201/Assumptions!$N$131</f>
        <v>43721877.050129265</v>
      </c>
      <c r="T207" s="692">
        <f ca="1">+T201/Assumptions!$N$131</f>
        <v>45248043.511611849</v>
      </c>
      <c r="U207" s="692">
        <f ca="1">+U201/Assumptions!$N$131</f>
        <v>46804733.302324124</v>
      </c>
      <c r="V207" s="692">
        <f ca="1">+V201/Assumptions!$N$131</f>
        <v>47740827.968370624</v>
      </c>
      <c r="W207" s="692">
        <f ca="1">+W201/Assumptions!$N$131</f>
        <v>49360408.026627623</v>
      </c>
      <c r="X207" s="692">
        <f ca="1">+X201/Assumptions!$N$131</f>
        <v>51012379.686049856</v>
      </c>
      <c r="Y207" s="692">
        <f ca="1">+Y201/Assumptions!$N$131</f>
        <v>52032627.279770829</v>
      </c>
      <c r="Z207" s="692">
        <f ca="1">+Z201/Assumptions!$N$131</f>
        <v>53751338.594233669</v>
      </c>
    </row>
    <row r="209" spans="2:26" ht="15.75">
      <c r="B209" s="735" t="s">
        <v>625</v>
      </c>
      <c r="F209" s="75">
        <f>+Assumptions!$F$22</f>
        <v>44561</v>
      </c>
      <c r="G209" s="75">
        <f>+EOMONTH(F209,12)</f>
        <v>44926</v>
      </c>
      <c r="H209" s="75">
        <f t="shared" ref="H209:Z209" si="62">+EOMONTH(G209,12)</f>
        <v>45291</v>
      </c>
      <c r="I209" s="75">
        <f>+EOMONTH(H209,12)</f>
        <v>45657</v>
      </c>
      <c r="J209" s="75">
        <f>+EOMONTH(I209,12)</f>
        <v>46022</v>
      </c>
      <c r="K209" s="75">
        <f t="shared" si="62"/>
        <v>46387</v>
      </c>
      <c r="L209" s="75">
        <f t="shared" si="62"/>
        <v>46752</v>
      </c>
      <c r="M209" s="75">
        <f t="shared" si="62"/>
        <v>47118</v>
      </c>
      <c r="N209" s="75">
        <f t="shared" si="62"/>
        <v>47483</v>
      </c>
      <c r="O209" s="75">
        <f t="shared" si="62"/>
        <v>47848</v>
      </c>
      <c r="P209" s="75">
        <f t="shared" si="62"/>
        <v>48213</v>
      </c>
      <c r="Q209" s="75">
        <f t="shared" si="62"/>
        <v>48579</v>
      </c>
      <c r="R209" s="75">
        <f t="shared" si="62"/>
        <v>48944</v>
      </c>
      <c r="S209" s="75">
        <f t="shared" si="62"/>
        <v>49309</v>
      </c>
      <c r="T209" s="75">
        <f t="shared" si="62"/>
        <v>49674</v>
      </c>
      <c r="U209" s="75">
        <f t="shared" si="62"/>
        <v>50040</v>
      </c>
      <c r="V209" s="75">
        <f t="shared" si="62"/>
        <v>50405</v>
      </c>
      <c r="W209" s="75">
        <f t="shared" si="62"/>
        <v>50770</v>
      </c>
      <c r="X209" s="75">
        <f t="shared" si="62"/>
        <v>51135</v>
      </c>
      <c r="Y209" s="75">
        <f t="shared" si="62"/>
        <v>51501</v>
      </c>
      <c r="Z209" s="75">
        <f t="shared" si="62"/>
        <v>51866</v>
      </c>
    </row>
    <row r="210" spans="2:26">
      <c r="B210" s="15" t="s">
        <v>626</v>
      </c>
      <c r="F210" s="16">
        <v>0</v>
      </c>
      <c r="G210" s="16">
        <f t="shared" ref="G210:N210" si="63">+F213</f>
        <v>0</v>
      </c>
      <c r="H210" s="16">
        <f t="shared" si="63"/>
        <v>0</v>
      </c>
      <c r="I210" s="16">
        <f>+H213</f>
        <v>0</v>
      </c>
      <c r="J210" s="16">
        <f>+I213</f>
        <v>3600000</v>
      </c>
      <c r="K210" s="16">
        <f t="shared" si="63"/>
        <v>3600000</v>
      </c>
      <c r="L210" s="16">
        <f t="shared" si="63"/>
        <v>3600000</v>
      </c>
      <c r="M210" s="16">
        <f t="shared" si="63"/>
        <v>3600000</v>
      </c>
      <c r="N210" s="16">
        <f t="shared" si="63"/>
        <v>3600000</v>
      </c>
      <c r="O210" s="16">
        <f t="shared" ref="O210:Z210" si="64">+N213</f>
        <v>3600000</v>
      </c>
      <c r="P210" s="16">
        <f t="shared" si="64"/>
        <v>3600000</v>
      </c>
      <c r="Q210" s="16">
        <f t="shared" si="64"/>
        <v>3600000</v>
      </c>
      <c r="R210" s="16">
        <f t="shared" si="64"/>
        <v>3600000</v>
      </c>
      <c r="S210" s="16">
        <f t="shared" si="64"/>
        <v>3600000</v>
      </c>
      <c r="T210" s="16">
        <f t="shared" si="64"/>
        <v>3600000</v>
      </c>
      <c r="U210" s="16">
        <f t="shared" si="64"/>
        <v>3600000</v>
      </c>
      <c r="V210" s="16">
        <f t="shared" si="64"/>
        <v>3600000</v>
      </c>
      <c r="W210" s="16">
        <f t="shared" si="64"/>
        <v>3600000</v>
      </c>
      <c r="X210" s="16">
        <f t="shared" si="64"/>
        <v>3600000</v>
      </c>
      <c r="Y210" s="16">
        <f t="shared" si="64"/>
        <v>3600000</v>
      </c>
      <c r="Z210" s="16">
        <f t="shared" si="64"/>
        <v>3600000</v>
      </c>
    </row>
    <row r="211" spans="2:26">
      <c r="B211" s="15" t="s">
        <v>627</v>
      </c>
      <c r="F211" s="76">
        <f>+IF(YEAR(F$139)=YEAR(Assumptions!$F$26),'S&amp;U'!$R$18,0)</f>
        <v>0</v>
      </c>
      <c r="G211" s="76">
        <f>+IF(YEAR(G$139)=YEAR(Assumptions!$F$26),'S&amp;U'!$R$18,0)</f>
        <v>0</v>
      </c>
      <c r="H211" s="76">
        <f>+IF(YEAR(H$139)=YEAR(Assumptions!$F$26),'S&amp;U'!$R$18,0)</f>
        <v>0</v>
      </c>
      <c r="I211" s="76">
        <f>+IF(YEAR(I$139)=YEAR(Assumptions!$F$26),'S&amp;U'!$R$18,0)</f>
        <v>3600000</v>
      </c>
      <c r="J211" s="76">
        <f>+IF(YEAR(J$139)=YEAR(Assumptions!$F$26),'S&amp;U'!$R$18,0)</f>
        <v>0</v>
      </c>
      <c r="K211" s="76">
        <f>+IF(YEAR(K$139)=YEAR(Assumptions!$F$26),'S&amp;U'!$R$18,0)</f>
        <v>0</v>
      </c>
      <c r="L211" s="76">
        <f>+IF(YEAR(L$139)=YEAR(Assumptions!$F$26),'S&amp;U'!$R$18,0)</f>
        <v>0</v>
      </c>
      <c r="M211" s="76">
        <f>+IF(YEAR(M$139)=YEAR(Assumptions!$F$26),'S&amp;U'!$R$18,0)</f>
        <v>0</v>
      </c>
      <c r="N211" s="76">
        <f>+IF(YEAR(N$139)=YEAR(Assumptions!$F$26),'S&amp;U'!$R$18,0)</f>
        <v>0</v>
      </c>
      <c r="O211" s="76">
        <f>+IF(YEAR(O$139)=YEAR(Assumptions!$F$26),'S&amp;U'!$R$18,0)</f>
        <v>0</v>
      </c>
      <c r="P211" s="76">
        <f>+IF(YEAR(P$139)=YEAR(Assumptions!$F$26),'S&amp;U'!$R$18,0)</f>
        <v>0</v>
      </c>
      <c r="Q211" s="76">
        <f>+IF(YEAR(Q$139)=YEAR(Assumptions!$F$26),'S&amp;U'!$R$18,0)</f>
        <v>0</v>
      </c>
      <c r="R211" s="76">
        <f>+IF(YEAR(R$139)=YEAR(Assumptions!$F$26),'S&amp;U'!$R$18,0)</f>
        <v>0</v>
      </c>
      <c r="S211" s="76">
        <f>+IF(YEAR(S$139)=YEAR(Assumptions!$F$26),'S&amp;U'!$R$18,0)</f>
        <v>0</v>
      </c>
      <c r="T211" s="76">
        <f>+IF(YEAR(T$139)=YEAR(Assumptions!$F$26),'S&amp;U'!$R$18,0)</f>
        <v>0</v>
      </c>
      <c r="U211" s="76">
        <f>+IF(YEAR(U$139)=YEAR(Assumptions!$F$26),'S&amp;U'!$R$18,0)</f>
        <v>0</v>
      </c>
      <c r="V211" s="76">
        <f>+IF(YEAR(V$139)=YEAR(Assumptions!$F$26),'S&amp;U'!$R$18,0)</f>
        <v>0</v>
      </c>
      <c r="W211" s="76">
        <f>+IF(YEAR(W$139)=YEAR(Assumptions!$F$26),'S&amp;U'!$R$18,0)</f>
        <v>0</v>
      </c>
      <c r="X211" s="76">
        <f>+IF(YEAR(X$139)=YEAR(Assumptions!$F$26),'S&amp;U'!$R$18,0)</f>
        <v>0</v>
      </c>
      <c r="Y211" s="76">
        <f>+IF(YEAR(Y$139)=YEAR(Assumptions!$F$26),'S&amp;U'!$R$18,0)</f>
        <v>0</v>
      </c>
      <c r="Z211" s="76">
        <f>+IF(YEAR(Z$139)=YEAR(Assumptions!$F$26),'S&amp;U'!$R$18,0)</f>
        <v>0</v>
      </c>
    </row>
    <row r="212" spans="2:26">
      <c r="B212" s="15" t="s">
        <v>261</v>
      </c>
      <c r="F212" s="76">
        <v>0</v>
      </c>
      <c r="G212" s="76">
        <v>0</v>
      </c>
      <c r="H212" s="76">
        <v>0</v>
      </c>
      <c r="I212" s="76">
        <v>0</v>
      </c>
      <c r="J212" s="76">
        <v>0</v>
      </c>
      <c r="K212" s="76">
        <v>0</v>
      </c>
      <c r="L212" s="76">
        <v>0</v>
      </c>
      <c r="M212" s="76">
        <v>0</v>
      </c>
      <c r="N212" s="76">
        <v>0</v>
      </c>
      <c r="O212" s="76">
        <v>0</v>
      </c>
      <c r="P212" s="76">
        <v>0</v>
      </c>
      <c r="Q212" s="76">
        <v>0</v>
      </c>
      <c r="R212" s="76">
        <v>0</v>
      </c>
      <c r="S212" s="76">
        <v>0</v>
      </c>
      <c r="T212" s="76">
        <v>0</v>
      </c>
      <c r="U212" s="76">
        <v>0</v>
      </c>
      <c r="V212" s="76">
        <v>0</v>
      </c>
      <c r="W212" s="76">
        <v>0</v>
      </c>
      <c r="X212" s="76">
        <v>0</v>
      </c>
      <c r="Y212" s="76">
        <v>0</v>
      </c>
      <c r="Z212" s="76">
        <v>0</v>
      </c>
    </row>
    <row r="213" spans="2:26">
      <c r="B213" s="15" t="s">
        <v>628</v>
      </c>
      <c r="F213" s="76">
        <f t="shared" ref="F213:N213" si="65">+SUM(F210:F212)</f>
        <v>0</v>
      </c>
      <c r="G213" s="76">
        <f t="shared" si="65"/>
        <v>0</v>
      </c>
      <c r="H213" s="76">
        <f t="shared" si="65"/>
        <v>0</v>
      </c>
      <c r="I213" s="76">
        <f t="shared" si="65"/>
        <v>3600000</v>
      </c>
      <c r="J213" s="76">
        <f t="shared" si="65"/>
        <v>3600000</v>
      </c>
      <c r="K213" s="76">
        <f t="shared" si="65"/>
        <v>3600000</v>
      </c>
      <c r="L213" s="76">
        <f t="shared" si="65"/>
        <v>3600000</v>
      </c>
      <c r="M213" s="76">
        <f t="shared" si="65"/>
        <v>3600000</v>
      </c>
      <c r="N213" s="76">
        <f t="shared" si="65"/>
        <v>3600000</v>
      </c>
      <c r="O213" s="76">
        <f t="shared" ref="O213" si="66">+SUM(O210:O212)</f>
        <v>3600000</v>
      </c>
      <c r="P213" s="76">
        <f t="shared" ref="P213" si="67">+SUM(P210:P212)</f>
        <v>3600000</v>
      </c>
      <c r="Q213" s="76">
        <f t="shared" ref="Q213" si="68">+SUM(Q210:Q212)</f>
        <v>3600000</v>
      </c>
      <c r="R213" s="76">
        <f t="shared" ref="R213" si="69">+SUM(R210:R212)</f>
        <v>3600000</v>
      </c>
      <c r="S213" s="76">
        <f t="shared" ref="S213" si="70">+SUM(S210:S212)</f>
        <v>3600000</v>
      </c>
      <c r="T213" s="76">
        <f t="shared" ref="T213" si="71">+SUM(T210:T212)</f>
        <v>3600000</v>
      </c>
      <c r="U213" s="76">
        <f t="shared" ref="U213" si="72">+SUM(U210:U212)</f>
        <v>3600000</v>
      </c>
      <c r="V213" s="76">
        <f t="shared" ref="V213" si="73">+SUM(V210:V212)</f>
        <v>3600000</v>
      </c>
      <c r="W213" s="76">
        <f t="shared" ref="W213" si="74">+SUM(W210:W212)</f>
        <v>3600000</v>
      </c>
      <c r="X213" s="76">
        <f t="shared" ref="X213" si="75">+SUM(X210:X212)</f>
        <v>3600000</v>
      </c>
      <c r="Y213" s="76">
        <f t="shared" ref="Y213" si="76">+SUM(Y210:Y212)</f>
        <v>3600000</v>
      </c>
      <c r="Z213" s="76">
        <f t="shared" ref="Z213" si="77">+SUM(Z210:Z212)</f>
        <v>3600000</v>
      </c>
    </row>
    <row r="215" spans="2:26">
      <c r="B215" s="21" t="s">
        <v>629</v>
      </c>
      <c r="F215" s="16">
        <f>+F213*Assumptions!$N$157</f>
        <v>0</v>
      </c>
      <c r="G215" s="16">
        <f>+G213*Assumptions!$N$157</f>
        <v>0</v>
      </c>
      <c r="H215" s="16">
        <f>+H213*Assumptions!$N$157</f>
        <v>0</v>
      </c>
      <c r="I215" s="16">
        <f>+I213*Assumptions!$N$157</f>
        <v>216000</v>
      </c>
      <c r="J215" s="16">
        <f>+J213*Assumptions!$N$157</f>
        <v>216000</v>
      </c>
      <c r="K215" s="16">
        <f>+K213*Assumptions!$N$157</f>
        <v>216000</v>
      </c>
      <c r="L215" s="16">
        <f>+L213*Assumptions!$N$157</f>
        <v>216000</v>
      </c>
      <c r="M215" s="16">
        <f>+M213*Assumptions!$N$157</f>
        <v>216000</v>
      </c>
      <c r="N215" s="16">
        <f>+N213*Assumptions!$N$157</f>
        <v>216000</v>
      </c>
      <c r="O215" s="16">
        <f>+O213*Assumptions!$N$157</f>
        <v>216000</v>
      </c>
      <c r="P215" s="16">
        <f>+P213*Assumptions!$N$157</f>
        <v>216000</v>
      </c>
      <c r="Q215" s="16">
        <f>+Q213*Assumptions!$N$157</f>
        <v>216000</v>
      </c>
      <c r="R215" s="16">
        <f>+R213*Assumptions!$N$157</f>
        <v>216000</v>
      </c>
      <c r="S215" s="16">
        <f>+S213*Assumptions!$N$157</f>
        <v>216000</v>
      </c>
      <c r="T215" s="16">
        <f>+T213*Assumptions!$N$157</f>
        <v>216000</v>
      </c>
      <c r="U215" s="16">
        <f>+U213*Assumptions!$N$157</f>
        <v>216000</v>
      </c>
      <c r="V215" s="16">
        <f>+V213*Assumptions!$N$157</f>
        <v>216000</v>
      </c>
      <c r="W215" s="16">
        <f>+W213*Assumptions!$N$157</f>
        <v>216000</v>
      </c>
      <c r="X215" s="16">
        <f>+X213*Assumptions!$N$157</f>
        <v>216000</v>
      </c>
      <c r="Y215" s="16">
        <f>+Y213*Assumptions!$N$157</f>
        <v>216000</v>
      </c>
      <c r="Z215" s="16">
        <f>+Z213*Assumptions!$N$157</f>
        <v>216000</v>
      </c>
    </row>
    <row r="216" spans="2:26">
      <c r="B216" s="62" t="s">
        <v>630</v>
      </c>
      <c r="C216" s="62"/>
      <c r="D216" s="62"/>
      <c r="E216" s="62"/>
      <c r="F216" s="58">
        <f t="shared" ref="F216" si="78">+F215-F212</f>
        <v>0</v>
      </c>
      <c r="G216" s="58">
        <f t="shared" ref="G216" si="79">+G215-G212</f>
        <v>0</v>
      </c>
      <c r="H216" s="58">
        <f t="shared" ref="H216" si="80">+H215-H212</f>
        <v>0</v>
      </c>
      <c r="I216" s="58">
        <f t="shared" ref="I216" si="81">+I215-I212</f>
        <v>216000</v>
      </c>
      <c r="J216" s="58">
        <f t="shared" ref="J216" si="82">+J215-J212</f>
        <v>216000</v>
      </c>
      <c r="K216" s="58">
        <f t="shared" ref="K216" si="83">+K215-K212</f>
        <v>216000</v>
      </c>
      <c r="L216" s="58">
        <f>+L215-L212</f>
        <v>216000</v>
      </c>
      <c r="M216" s="58">
        <f t="shared" ref="M216" si="84">+M215-M212</f>
        <v>216000</v>
      </c>
      <c r="N216" s="58">
        <f t="shared" ref="N216" si="85">+N215-N212</f>
        <v>216000</v>
      </c>
      <c r="O216" s="58">
        <f t="shared" ref="O216" si="86">+O215-O212</f>
        <v>216000</v>
      </c>
      <c r="P216" s="58">
        <f t="shared" ref="P216" si="87">+P215-P212</f>
        <v>216000</v>
      </c>
      <c r="Q216" s="58">
        <f t="shared" ref="Q216" si="88">+Q215-Q212</f>
        <v>216000</v>
      </c>
      <c r="R216" s="58">
        <f t="shared" ref="R216" si="89">+R215-R212</f>
        <v>216000</v>
      </c>
      <c r="S216" s="58">
        <f t="shared" ref="S216" si="90">+S215-S212</f>
        <v>216000</v>
      </c>
      <c r="T216" s="58">
        <f t="shared" ref="T216" si="91">+T215-T212</f>
        <v>216000</v>
      </c>
      <c r="U216" s="58">
        <f t="shared" ref="U216" si="92">+U215-U212</f>
        <v>216000</v>
      </c>
      <c r="V216" s="58">
        <f t="shared" ref="V216" si="93">+V215-V212</f>
        <v>216000</v>
      </c>
      <c r="W216" s="58">
        <f t="shared" ref="W216" si="94">+W215-W212</f>
        <v>216000</v>
      </c>
      <c r="X216" s="58">
        <f t="shared" ref="X216" si="95">+X215-X212</f>
        <v>216000</v>
      </c>
      <c r="Y216" s="58">
        <f t="shared" ref="Y216" si="96">+Y215-Y212</f>
        <v>216000</v>
      </c>
      <c r="Z216" s="58">
        <f t="shared" ref="Z216" si="97">+Z215-Z212</f>
        <v>216000</v>
      </c>
    </row>
    <row r="217" spans="2:26">
      <c r="B217" s="71" t="s">
        <v>259</v>
      </c>
      <c r="F217" s="90" t="str">
        <f t="shared" ref="F217:J217" si="98">+IFERROR(F205/F216,"")</f>
        <v/>
      </c>
      <c r="G217" s="90" t="str">
        <f t="shared" si="98"/>
        <v/>
      </c>
      <c r="H217" s="90" t="str">
        <f t="shared" si="98"/>
        <v/>
      </c>
      <c r="I217" s="90">
        <f t="shared" ca="1" si="98"/>
        <v>2.987813095355595</v>
      </c>
      <c r="J217" s="90">
        <f t="shared" ca="1" si="98"/>
        <v>7.6410634894025362</v>
      </c>
      <c r="K217" s="90">
        <f ca="1">+IFERROR(K205/K216,"")</f>
        <v>8.8303693369970695</v>
      </c>
      <c r="L217" s="90">
        <f t="shared" ref="L217:Z217" ca="1" si="99">+IFERROR(L205/L216,"")</f>
        <v>9.1917869860495411</v>
      </c>
      <c r="M217" s="90">
        <f t="shared" ca="1" si="99"/>
        <v>9.3756227257705333</v>
      </c>
      <c r="N217" s="90">
        <f t="shared" ca="1" si="99"/>
        <v>9.7516416478447265</v>
      </c>
      <c r="O217" s="90">
        <f t="shared" ca="1" si="99"/>
        <v>10.135180948360405</v>
      </c>
      <c r="P217" s="90">
        <f t="shared" ca="1" si="99"/>
        <v>10.337884567327611</v>
      </c>
      <c r="Q217" s="90">
        <f t="shared" ca="1" si="99"/>
        <v>10.736918855584126</v>
      </c>
      <c r="R217" s="90">
        <f t="shared" ca="1" si="99"/>
        <v>11.143933829605762</v>
      </c>
      <c r="S217" s="90">
        <f t="shared" ca="1" si="99"/>
        <v>11.366812506197878</v>
      </c>
      <c r="T217" s="90">
        <f t="shared" ca="1" si="99"/>
        <v>11.790270885169985</v>
      </c>
      <c r="U217" s="90">
        <f t="shared" ca="1" si="99"/>
        <v>12.222198431721541</v>
      </c>
      <c r="V217" s="90">
        <f t="shared" ca="1" si="99"/>
        <v>12.46664240035598</v>
      </c>
      <c r="W217" s="90">
        <f t="shared" ca="1" si="99"/>
        <v>12.916019819788204</v>
      </c>
      <c r="X217" s="90">
        <f t="shared" ca="1" si="99"/>
        <v>13.374384787609104</v>
      </c>
      <c r="Y217" s="90">
        <f t="shared" ca="1" si="99"/>
        <v>13.641872483361279</v>
      </c>
      <c r="Z217" s="90">
        <f t="shared" ca="1" si="99"/>
        <v>14.118755395882129</v>
      </c>
    </row>
    <row r="219" spans="2:26">
      <c r="B219" s="21" t="s">
        <v>255</v>
      </c>
      <c r="F219" s="16">
        <f>+F211*Assumptions!$N$158</f>
        <v>0</v>
      </c>
      <c r="G219" s="16">
        <f>+G211*Assumptions!$N$158</f>
        <v>0</v>
      </c>
      <c r="H219" s="16">
        <f>+H211*Assumptions!$N$158</f>
        <v>0</v>
      </c>
      <c r="I219" s="16">
        <f>+I211*Assumptions!$N$158</f>
        <v>36000</v>
      </c>
      <c r="J219" s="16">
        <f>+J211*Assumptions!$N$158</f>
        <v>0</v>
      </c>
      <c r="K219" s="16">
        <f>+K211*Assumptions!$N$158</f>
        <v>0</v>
      </c>
      <c r="L219" s="16">
        <f>+L211*Assumptions!$N$158</f>
        <v>0</v>
      </c>
      <c r="M219" s="16">
        <f>+M211*Assumptions!$N$158</f>
        <v>0</v>
      </c>
      <c r="N219" s="16">
        <f>+N211*Assumptions!$N$158</f>
        <v>0</v>
      </c>
      <c r="O219" s="16">
        <f>+O211*Assumptions!$N$158</f>
        <v>0</v>
      </c>
      <c r="P219" s="16">
        <f>+P211*Assumptions!$N$158</f>
        <v>0</v>
      </c>
      <c r="Q219" s="16">
        <f>+Q211*Assumptions!$N$158</f>
        <v>0</v>
      </c>
      <c r="R219" s="16">
        <f>+R211*Assumptions!$N$158</f>
        <v>0</v>
      </c>
      <c r="S219" s="16">
        <f>+S211*Assumptions!$N$158</f>
        <v>0</v>
      </c>
      <c r="T219" s="16">
        <f>+T211*Assumptions!$N$158</f>
        <v>0</v>
      </c>
      <c r="U219" s="16">
        <f>+U211*Assumptions!$N$158</f>
        <v>0</v>
      </c>
      <c r="V219" s="16">
        <f>+V211*Assumptions!$N$158</f>
        <v>0</v>
      </c>
      <c r="W219" s="16">
        <f>+W211*Assumptions!$N$158</f>
        <v>0</v>
      </c>
      <c r="X219" s="16">
        <f>+X211*Assumptions!$N$158</f>
        <v>0</v>
      </c>
      <c r="Y219" s="16">
        <f>+Y211*Assumptions!$N$158</f>
        <v>0</v>
      </c>
      <c r="Z219" s="16">
        <f>+Z211*Assumptions!$N$158</f>
        <v>0</v>
      </c>
    </row>
    <row r="221" spans="2:26">
      <c r="B221" s="62" t="s">
        <v>631</v>
      </c>
      <c r="C221" s="62"/>
      <c r="D221" s="62"/>
      <c r="E221" s="62"/>
      <c r="F221" s="58">
        <f>+F205-F216-F219</f>
        <v>0</v>
      </c>
      <c r="G221" s="58">
        <f t="shared" ref="G221:H221" si="100">+G205-G216-G219</f>
        <v>0</v>
      </c>
      <c r="H221" s="58">
        <f t="shared" si="100"/>
        <v>0</v>
      </c>
      <c r="I221" s="58">
        <f t="shared" ref="I221:Z221" ca="1" si="101">+I205-I216-I219</f>
        <v>1371774.8996631454</v>
      </c>
      <c r="J221" s="58">
        <f t="shared" ca="1" si="101"/>
        <v>1434469.7137109479</v>
      </c>
      <c r="K221" s="58">
        <f t="shared" ca="1" si="101"/>
        <v>1691359.776791367</v>
      </c>
      <c r="L221" s="58">
        <f t="shared" ca="1" si="101"/>
        <v>1769425.988986701</v>
      </c>
      <c r="M221" s="58">
        <f t="shared" ca="1" si="101"/>
        <v>1809134.5087664351</v>
      </c>
      <c r="N221" s="58">
        <f t="shared" ca="1" si="101"/>
        <v>1890354.5959344609</v>
      </c>
      <c r="O221" s="58">
        <f t="shared" ca="1" si="101"/>
        <v>4009068.934480682</v>
      </c>
      <c r="P221" s="58">
        <f t="shared" ca="1" si="101"/>
        <v>2016983.0665427642</v>
      </c>
      <c r="Q221" s="58">
        <f t="shared" ca="1" si="101"/>
        <v>2103174.472806171</v>
      </c>
      <c r="R221" s="58">
        <f t="shared" ca="1" si="101"/>
        <v>2191089.7071948447</v>
      </c>
      <c r="S221" s="58">
        <f t="shared" ca="1" si="101"/>
        <v>2239231.5013387417</v>
      </c>
      <c r="T221" s="58">
        <f t="shared" ca="1" si="101"/>
        <v>2330698.5111967167</v>
      </c>
      <c r="U221" s="58">
        <f t="shared" ca="1" si="101"/>
        <v>2423994.8612518529</v>
      </c>
      <c r="V221" s="58">
        <f t="shared" ca="1" si="101"/>
        <v>2476794.7584768916</v>
      </c>
      <c r="W221" s="705">
        <f t="shared" ca="1" si="101"/>
        <v>2573860.281074252</v>
      </c>
      <c r="X221" s="58">
        <f t="shared" ca="1" si="101"/>
        <v>2672867.1141235665</v>
      </c>
      <c r="Y221" s="58">
        <f t="shared" ca="1" si="101"/>
        <v>2730644.4564060364</v>
      </c>
      <c r="Z221" s="58">
        <f t="shared" ca="1" si="101"/>
        <v>2833651.1655105399</v>
      </c>
    </row>
    <row r="223" spans="2:26" ht="15.75">
      <c r="B223" s="73" t="s">
        <v>632</v>
      </c>
    </row>
    <row r="224" spans="2:26">
      <c r="B224" s="15" t="s">
        <v>24</v>
      </c>
      <c r="F224" s="16">
        <f>+IF(YEAR(F$139)=YEAR(Assumptions!$F$30),F207,0)</f>
        <v>0</v>
      </c>
      <c r="G224" s="16">
        <f>+IF(YEAR(G$139)=YEAR(Assumptions!$F$30),G207,0)</f>
        <v>0</v>
      </c>
      <c r="H224" s="16">
        <f>+IF(YEAR(H$139)=YEAR(Assumptions!$F$30),H207,0)</f>
        <v>0</v>
      </c>
      <c r="I224" s="16">
        <f>+IF(YEAR(I$139)=YEAR(Assumptions!$F$30),I207,0)</f>
        <v>0</v>
      </c>
      <c r="J224" s="16">
        <f>+IF(YEAR(J$139)=YEAR(Assumptions!$F$30),J207,0)</f>
        <v>0</v>
      </c>
      <c r="K224" s="16">
        <f>+IF(YEAR(K$139)=YEAR(Assumptions!$F$30),K207,0)</f>
        <v>0</v>
      </c>
      <c r="L224" s="16">
        <f>+IF(YEAR(L$139)=YEAR(Assumptions!$F$30),L207,0)</f>
        <v>0</v>
      </c>
      <c r="M224" s="16">
        <f>+IF(YEAR(M$139)=YEAR(Assumptions!$F$30),M207,0)</f>
        <v>0</v>
      </c>
      <c r="N224" s="16">
        <f>+IF(YEAR(N$139)=YEAR(Assumptions!$F$30),N207,0)</f>
        <v>0</v>
      </c>
      <c r="O224" s="16">
        <f>+IF(YEAR(O$139)=YEAR(Assumptions!$F$30),O207,0)</f>
        <v>0</v>
      </c>
      <c r="P224" s="16">
        <f ca="1">+IF(YEAR(P$139)=YEAR(Assumptions!$F$30),P207,0)</f>
        <v>71907037.144584745</v>
      </c>
      <c r="Q224" s="16">
        <f>+IF(YEAR(Q$139)=YEAR(Assumptions!$F$30),Q207,0)</f>
        <v>0</v>
      </c>
      <c r="R224" s="16">
        <f>+IF(YEAR(R$139)=YEAR(Assumptions!$F$30),R207,0)</f>
        <v>0</v>
      </c>
      <c r="S224" s="16">
        <f>+IF(YEAR(S$139)=YEAR(Assumptions!$F$30),S207,0)</f>
        <v>0</v>
      </c>
      <c r="T224" s="16">
        <f>+IF(YEAR(T$139)=YEAR(Assumptions!$F$30),T207,0)</f>
        <v>0</v>
      </c>
      <c r="U224" s="16">
        <f>+IF(YEAR(U$139)=YEAR(Assumptions!$F$30),U207,0)</f>
        <v>0</v>
      </c>
      <c r="V224" s="16">
        <f>+IF(YEAR(V$139)=YEAR(Assumptions!$F$30),V207,0)</f>
        <v>0</v>
      </c>
      <c r="W224" s="16">
        <f>+IF(YEAR(W$139)=YEAR(Assumptions!$F$30),W207,0)</f>
        <v>0</v>
      </c>
      <c r="X224" s="16">
        <f>+IF(YEAR(X$139)=YEAR(Assumptions!$F$30),X207,0)</f>
        <v>0</v>
      </c>
      <c r="Y224" s="16">
        <f>+IF(YEAR(Y$139)=YEAR(Assumptions!$F$30),Y207,0)</f>
        <v>0</v>
      </c>
      <c r="Z224" s="16">
        <f>+IF(YEAR(Z$139)=YEAR(Assumptions!$F$30),Z207,0)</f>
        <v>0</v>
      </c>
    </row>
    <row r="225" spans="2:26">
      <c r="B225" s="15" t="s">
        <v>634</v>
      </c>
      <c r="F225" s="76">
        <f>-F224*Assumptions!$N$136</f>
        <v>0</v>
      </c>
      <c r="G225" s="76">
        <f>-G224*Assumptions!$N$136</f>
        <v>0</v>
      </c>
      <c r="H225" s="76">
        <f>-H224*Assumptions!$N$136</f>
        <v>0</v>
      </c>
      <c r="I225" s="76">
        <f>-I224*Assumptions!$N$136</f>
        <v>0</v>
      </c>
      <c r="J225" s="76">
        <f>-J224*Assumptions!$N$136</f>
        <v>0</v>
      </c>
      <c r="K225" s="76">
        <f>-K224*Assumptions!$N$136</f>
        <v>0</v>
      </c>
      <c r="L225" s="76">
        <f>-L224*Assumptions!$N$136</f>
        <v>0</v>
      </c>
      <c r="M225" s="76">
        <f>-M224*Assumptions!$N$136</f>
        <v>0</v>
      </c>
      <c r="N225" s="76">
        <f>-N224*Assumptions!$N$136</f>
        <v>0</v>
      </c>
      <c r="O225" s="76">
        <f>-O224*Assumptions!$N$136</f>
        <v>0</v>
      </c>
      <c r="P225" s="76">
        <f ca="1">-P224*Assumptions!$N$136</f>
        <v>-1438140.7428916949</v>
      </c>
      <c r="Q225" s="76">
        <f>-Q224*Assumptions!$N$136</f>
        <v>0</v>
      </c>
      <c r="R225" s="76">
        <f>-R224*Assumptions!$N$136</f>
        <v>0</v>
      </c>
      <c r="S225" s="76">
        <f>-S224*Assumptions!$N$136</f>
        <v>0</v>
      </c>
      <c r="T225" s="76">
        <f>-T224*Assumptions!$N$136</f>
        <v>0</v>
      </c>
      <c r="U225" s="76">
        <f>-U224*Assumptions!$N$136</f>
        <v>0</v>
      </c>
      <c r="V225" s="76">
        <f>-V224*Assumptions!$N$136</f>
        <v>0</v>
      </c>
      <c r="W225" s="76">
        <f>-W224*Assumptions!$N$136</f>
        <v>0</v>
      </c>
      <c r="X225" s="76">
        <f>-X224*Assumptions!$N$136</f>
        <v>0</v>
      </c>
      <c r="Y225" s="76">
        <f>-Y224*Assumptions!$N$136</f>
        <v>0</v>
      </c>
      <c r="Z225" s="76">
        <f>-Z224*Assumptions!$N$136</f>
        <v>0</v>
      </c>
    </row>
    <row r="226" spans="2:26">
      <c r="B226" s="15" t="s">
        <v>635</v>
      </c>
      <c r="F226" s="76">
        <f>+IF(YEAR(F$139)=YEAR(Assumptions!$F$30),-F213,0)</f>
        <v>0</v>
      </c>
      <c r="G226" s="76">
        <f>+IF(YEAR(G$139)=YEAR(Assumptions!$F$30),-G213,0)</f>
        <v>0</v>
      </c>
      <c r="H226" s="76">
        <f>+IF(YEAR(H$139)=YEAR(Assumptions!$F$30),-H213,0)</f>
        <v>0</v>
      </c>
      <c r="I226" s="76">
        <f>+IF(YEAR(I$139)=YEAR(Assumptions!$F$30),-I213,0)</f>
        <v>0</v>
      </c>
      <c r="J226" s="76">
        <f>+IF(YEAR(J$139)=YEAR(Assumptions!$F$30),-J213,0)</f>
        <v>0</v>
      </c>
      <c r="K226" s="76">
        <f>+IF(YEAR(K$139)=YEAR(Assumptions!$F$30),-K213,0)</f>
        <v>0</v>
      </c>
      <c r="L226" s="76">
        <f>+IF(YEAR(L$139)=YEAR(Assumptions!$F$30),-L213,0)</f>
        <v>0</v>
      </c>
      <c r="M226" s="76">
        <f>+IF(YEAR(M$139)=YEAR(Assumptions!$F$30),-M213,0)</f>
        <v>0</v>
      </c>
      <c r="N226" s="76">
        <f>+IF(YEAR(N$139)=YEAR(Assumptions!$F$30),-N213,0)</f>
        <v>0</v>
      </c>
      <c r="O226" s="76">
        <f>+IF(YEAR(O$139)=YEAR(Assumptions!$F$30),-O213,0)</f>
        <v>0</v>
      </c>
      <c r="P226" s="76">
        <f>+IF(YEAR(P$139)=YEAR(Assumptions!$F$30),-P213,0)</f>
        <v>-3600000</v>
      </c>
      <c r="Q226" s="76">
        <f>+IF(YEAR(Q$139)=YEAR(Assumptions!$F$30),-Q213,0)</f>
        <v>0</v>
      </c>
      <c r="R226" s="76">
        <f>+IF(YEAR(R$139)=YEAR(Assumptions!$F$30),-R213,0)</f>
        <v>0</v>
      </c>
      <c r="S226" s="76">
        <f>+IF(YEAR(S$139)=YEAR(Assumptions!$F$30),-S213,0)</f>
        <v>0</v>
      </c>
      <c r="T226" s="76">
        <f>+IF(YEAR(T$139)=YEAR(Assumptions!$F$30),-T213,0)</f>
        <v>0</v>
      </c>
      <c r="U226" s="76">
        <f>+IF(YEAR(U$139)=YEAR(Assumptions!$F$30),-U213,0)</f>
        <v>0</v>
      </c>
      <c r="V226" s="76">
        <f>+IF(YEAR(V$139)=YEAR(Assumptions!$F$30),-V213,0)</f>
        <v>0</v>
      </c>
      <c r="W226" s="76">
        <f>+IF(YEAR(W$139)=YEAR(Assumptions!$F$30),-W213,0)</f>
        <v>0</v>
      </c>
      <c r="X226" s="76">
        <f>+IF(YEAR(X$139)=YEAR(Assumptions!$F$30),-X213,0)</f>
        <v>0</v>
      </c>
      <c r="Y226" s="76">
        <f>+IF(YEAR(Y$139)=YEAR(Assumptions!$F$30),-Y213,0)</f>
        <v>0</v>
      </c>
      <c r="Z226" s="76">
        <f>+IF(YEAR(Z$139)=YEAR(Assumptions!$F$30),-Z213,0)</f>
        <v>0</v>
      </c>
    </row>
    <row r="227" spans="2:26">
      <c r="B227" s="62" t="s">
        <v>636</v>
      </c>
      <c r="C227" s="62"/>
      <c r="D227" s="62"/>
      <c r="E227" s="62"/>
      <c r="F227" s="58">
        <f t="shared" ref="F227:Z227" si="102">+SUM(F224:F226)</f>
        <v>0</v>
      </c>
      <c r="G227" s="58">
        <f t="shared" si="102"/>
        <v>0</v>
      </c>
      <c r="H227" s="58">
        <f t="shared" si="102"/>
        <v>0</v>
      </c>
      <c r="I227" s="58">
        <f t="shared" si="102"/>
        <v>0</v>
      </c>
      <c r="J227" s="58">
        <f t="shared" si="102"/>
        <v>0</v>
      </c>
      <c r="K227" s="58">
        <f t="shared" si="102"/>
        <v>0</v>
      </c>
      <c r="L227" s="58">
        <f t="shared" si="102"/>
        <v>0</v>
      </c>
      <c r="M227" s="58">
        <f t="shared" si="102"/>
        <v>0</v>
      </c>
      <c r="N227" s="58">
        <f t="shared" si="102"/>
        <v>0</v>
      </c>
      <c r="O227" s="58">
        <f t="shared" si="102"/>
        <v>0</v>
      </c>
      <c r="P227" s="58">
        <f ca="1">+SUM(P224:P226)</f>
        <v>35560350.221770294</v>
      </c>
      <c r="Q227" s="58">
        <f t="shared" si="102"/>
        <v>0</v>
      </c>
      <c r="R227" s="58">
        <f t="shared" si="102"/>
        <v>0</v>
      </c>
      <c r="S227" s="58">
        <f t="shared" si="102"/>
        <v>0</v>
      </c>
      <c r="T227" s="58">
        <f t="shared" si="102"/>
        <v>0</v>
      </c>
      <c r="U227" s="58">
        <f t="shared" si="102"/>
        <v>0</v>
      </c>
      <c r="V227" s="58">
        <f t="shared" si="102"/>
        <v>0</v>
      </c>
      <c r="W227" s="58">
        <f t="shared" si="102"/>
        <v>0</v>
      </c>
      <c r="X227" s="58">
        <f t="shared" si="102"/>
        <v>0</v>
      </c>
      <c r="Y227" s="58">
        <f t="shared" si="102"/>
        <v>0</v>
      </c>
      <c r="Z227" s="58">
        <f t="shared" si="102"/>
        <v>0</v>
      </c>
    </row>
    <row r="229" spans="2:26" ht="15.75">
      <c r="B229" s="687" t="s">
        <v>638</v>
      </c>
      <c r="C229" s="687"/>
      <c r="D229" s="687"/>
      <c r="E229" s="687"/>
      <c r="F229" s="550">
        <f>+IF(YEAR(F$139)&lt;=YEAR(Assumptions!$F$30),'Phase I Pro Forma'!F227+'Phase I Pro Forma'!F221,0)</f>
        <v>0</v>
      </c>
      <c r="G229" s="550">
        <f>+IF(YEAR(G$139)&lt;=YEAR(Assumptions!$F$30),'Phase I Pro Forma'!G227+'Phase I Pro Forma'!G221,0)</f>
        <v>0</v>
      </c>
      <c r="H229" s="550">
        <f>+IF(YEAR(H$139)&lt;=YEAR(Assumptions!$F$30),'Phase I Pro Forma'!H227+'Phase I Pro Forma'!H221,0)</f>
        <v>0</v>
      </c>
      <c r="I229" s="550">
        <f ca="1">+IF(YEAR(I$139)&lt;=YEAR(Assumptions!$F$30),'Phase I Pro Forma'!I227+'Phase I Pro Forma'!I221,0)</f>
        <v>1371774.8996631454</v>
      </c>
      <c r="J229" s="550">
        <f ca="1">+IF(YEAR(J$139)&lt;=YEAR(Assumptions!$F$30),'Phase I Pro Forma'!J227+'Phase I Pro Forma'!J221,0)</f>
        <v>1434469.7137109479</v>
      </c>
      <c r="K229" s="550">
        <f ca="1">+IF(YEAR(K$139)&lt;=YEAR(Assumptions!$F$30),'Phase I Pro Forma'!K227+'Phase I Pro Forma'!K221,0)</f>
        <v>1691359.776791367</v>
      </c>
      <c r="L229" s="550">
        <f ca="1">+IF(YEAR(L$139)&lt;=YEAR(Assumptions!$F$30),'Phase I Pro Forma'!L227+'Phase I Pro Forma'!L221,0)</f>
        <v>1769425.988986701</v>
      </c>
      <c r="M229" s="550">
        <f ca="1">+IF(YEAR(M$139)&lt;=YEAR(Assumptions!$F$30),'Phase I Pro Forma'!M227+'Phase I Pro Forma'!M221,0)</f>
        <v>1809134.5087664351</v>
      </c>
      <c r="N229" s="550">
        <f ca="1">+IF(YEAR(N$139)&lt;=YEAR(Assumptions!$F$30),'Phase I Pro Forma'!N227+'Phase I Pro Forma'!N221,0)</f>
        <v>1890354.5959344609</v>
      </c>
      <c r="O229" s="550">
        <f ca="1">+IF(YEAR(O$139)&lt;=YEAR(Assumptions!$F$30),'Phase I Pro Forma'!O227+'Phase I Pro Forma'!O221,0)</f>
        <v>4009068.934480682</v>
      </c>
      <c r="P229" s="550">
        <f ca="1">+IF(YEAR(P$139)&lt;=YEAR(Assumptions!$F$30),'Phase I Pro Forma'!P227+'Phase I Pro Forma'!P221,0)</f>
        <v>37577333.288313061</v>
      </c>
      <c r="Q229" s="550">
        <f>+IF(YEAR(Q$139)&lt;=YEAR(Assumptions!$F$30),'Phase I Pro Forma'!Q227+'Phase I Pro Forma'!Q221,0)</f>
        <v>0</v>
      </c>
      <c r="R229" s="550">
        <f>+IF(YEAR(R$139)&lt;=YEAR(Assumptions!$F$30),'Phase I Pro Forma'!R227+'Phase I Pro Forma'!R221,0)</f>
        <v>0</v>
      </c>
      <c r="S229" s="550">
        <f>+IF(YEAR(S$139)&lt;=YEAR(Assumptions!$F$30),'Phase I Pro Forma'!S227+'Phase I Pro Forma'!S221,0)</f>
        <v>0</v>
      </c>
      <c r="T229" s="550">
        <f>+IF(YEAR(T$139)&lt;=YEAR(Assumptions!$F$30),'Phase I Pro Forma'!T227+'Phase I Pro Forma'!T221,0)</f>
        <v>0</v>
      </c>
      <c r="U229" s="550">
        <f>+IF(YEAR(U$139)&lt;=YEAR(Assumptions!$F$30),'Phase I Pro Forma'!U227+'Phase I Pro Forma'!U221,0)</f>
        <v>0</v>
      </c>
      <c r="V229" s="550">
        <f>+IF(YEAR(V$139)&lt;=YEAR(Assumptions!$F$30),'Phase I Pro Forma'!V227+'Phase I Pro Forma'!V221,0)</f>
        <v>0</v>
      </c>
      <c r="W229" s="550">
        <f>+IF(YEAR(W$139)&lt;=YEAR(Assumptions!$F$30),'Phase I Pro Forma'!W227+'Phase I Pro Forma'!W221,0)</f>
        <v>0</v>
      </c>
      <c r="X229" s="550">
        <f>+IF(YEAR(X$139)&lt;=YEAR(Assumptions!$F$30),'Phase I Pro Forma'!X227+'Phase I Pro Forma'!X221,0)</f>
        <v>0</v>
      </c>
      <c r="Y229" s="550">
        <f>+IF(YEAR(Y$139)&lt;=YEAR(Assumptions!$F$30),'Phase I Pro Forma'!Y227+'Phase I Pro Forma'!Y221,0)</f>
        <v>0</v>
      </c>
      <c r="Z229" s="550">
        <f>+IF(YEAR(Z$139)&lt;=YEAR(Assumptions!$F$30),'Phase I Pro Forma'!Z227+'Phase I Pro Forma'!Z221,0)</f>
        <v>0</v>
      </c>
    </row>
    <row r="231" spans="2:26" ht="15.75">
      <c r="B231" s="444" t="s">
        <v>790</v>
      </c>
      <c r="C231" s="445"/>
      <c r="D231" s="445"/>
      <c r="E231" s="445"/>
      <c r="F231" s="640"/>
      <c r="G231" s="640"/>
      <c r="H231" s="640"/>
      <c r="I231" s="640"/>
      <c r="J231" s="640"/>
      <c r="K231" s="640"/>
      <c r="L231" s="640"/>
      <c r="M231" s="640"/>
      <c r="N231" s="640"/>
      <c r="O231" s="640"/>
      <c r="P231" s="640"/>
      <c r="Q231" s="640"/>
      <c r="R231" s="640"/>
      <c r="S231" s="640"/>
      <c r="T231" s="640"/>
      <c r="U231" s="640"/>
      <c r="V231" s="640"/>
      <c r="W231" s="640"/>
      <c r="X231" s="640"/>
      <c r="Y231" s="640"/>
      <c r="Z231" s="640"/>
    </row>
    <row r="233" spans="2:26" ht="15.75">
      <c r="B233" s="73" t="s">
        <v>18</v>
      </c>
      <c r="C233" s="74"/>
      <c r="D233" s="74"/>
      <c r="E233" s="74"/>
      <c r="F233" s="75">
        <f>+Assumptions!$F$22</f>
        <v>44561</v>
      </c>
      <c r="G233" s="75">
        <f>+EOMONTH(F233,12)</f>
        <v>44926</v>
      </c>
      <c r="H233" s="75">
        <f t="shared" ref="H233:Z233" si="103">+EOMONTH(G233,12)</f>
        <v>45291</v>
      </c>
      <c r="I233" s="75">
        <f>+EOMONTH(H233,12)</f>
        <v>45657</v>
      </c>
      <c r="J233" s="75">
        <f>+EOMONTH(I233,12)</f>
        <v>46022</v>
      </c>
      <c r="K233" s="75">
        <f t="shared" si="103"/>
        <v>46387</v>
      </c>
      <c r="L233" s="75">
        <f t="shared" si="103"/>
        <v>46752</v>
      </c>
      <c r="M233" s="75">
        <f t="shared" si="103"/>
        <v>47118</v>
      </c>
      <c r="N233" s="75">
        <f t="shared" si="103"/>
        <v>47483</v>
      </c>
      <c r="O233" s="75">
        <f t="shared" si="103"/>
        <v>47848</v>
      </c>
      <c r="P233" s="75">
        <f t="shared" si="103"/>
        <v>48213</v>
      </c>
      <c r="Q233" s="75">
        <f t="shared" si="103"/>
        <v>48579</v>
      </c>
      <c r="R233" s="75">
        <f t="shared" si="103"/>
        <v>48944</v>
      </c>
      <c r="S233" s="75">
        <f t="shared" si="103"/>
        <v>49309</v>
      </c>
      <c r="T233" s="75">
        <f t="shared" si="103"/>
        <v>49674</v>
      </c>
      <c r="U233" s="75">
        <f t="shared" si="103"/>
        <v>50040</v>
      </c>
      <c r="V233" s="75">
        <f t="shared" si="103"/>
        <v>50405</v>
      </c>
      <c r="W233" s="75">
        <f t="shared" si="103"/>
        <v>50770</v>
      </c>
      <c r="X233" s="75">
        <f t="shared" si="103"/>
        <v>51135</v>
      </c>
      <c r="Y233" s="75">
        <f t="shared" si="103"/>
        <v>51501</v>
      </c>
      <c r="Z233" s="75">
        <f t="shared" si="103"/>
        <v>51866</v>
      </c>
    </row>
    <row r="234" spans="2:26">
      <c r="B234" s="15" t="s">
        <v>605</v>
      </c>
      <c r="C234" s="15"/>
      <c r="D234" s="20"/>
      <c r="E234" s="20"/>
      <c r="F234" s="22">
        <f>+IF(AND(F233&gt;=Assumptions!$F$26,F233&lt;Assumptions!$F$28),Assumptions!$F$218/ROUNDUP((Assumptions!$F$27/12),0),0)</f>
        <v>0</v>
      </c>
      <c r="G234" s="22">
        <f>+IF(AND(G233&gt;=Assumptions!$F$26,G233&lt;Assumptions!$F$28),Assumptions!$F$218/ROUNDUP((Assumptions!$F$27/12),0),0)</f>
        <v>0</v>
      </c>
      <c r="H234" s="22">
        <f>+IF(AND(H233&gt;=Assumptions!$F$26,H233&lt;Assumptions!$F$28),Assumptions!$F$218/ROUNDUP((Assumptions!$F$27/12),0),0)</f>
        <v>0</v>
      </c>
      <c r="I234" s="22">
        <f>+IF(AND(I233&gt;=Assumptions!$F$26,I233&lt;Assumptions!$F$28),Assumptions!$F$218/ROUNDUP((Assumptions!$F$27/12),0),0)</f>
        <v>18937</v>
      </c>
      <c r="J234" s="22">
        <f>+IF(AND(J233&gt;=Assumptions!$F$26,J233&lt;Assumptions!$F$28),Assumptions!$F$218/ROUNDUP((Assumptions!$F$27/12),0),0)</f>
        <v>18937</v>
      </c>
      <c r="K234" s="22">
        <f>+IF(AND(K233&gt;=Assumptions!$F$26,K233&lt;Assumptions!$F$28),Assumptions!$F$218/ROUNDUP((Assumptions!$F$27/12),0),0)</f>
        <v>0</v>
      </c>
      <c r="L234" s="22">
        <f>+IF(AND(L233&gt;=Assumptions!$F$26,L233&lt;Assumptions!$F$28),Assumptions!$F$218/ROUNDUP((Assumptions!$F$27/12),0),0)</f>
        <v>0</v>
      </c>
      <c r="M234" s="22">
        <f>+IF(AND(M233&gt;=Assumptions!$F$26,M233&lt;Assumptions!$F$28),Assumptions!$F$218/ROUNDUP((Assumptions!$F$27/12),0),0)</f>
        <v>0</v>
      </c>
      <c r="N234" s="22">
        <f>+IF(AND(N233&gt;=Assumptions!$F$26,N233&lt;Assumptions!$F$28),Assumptions!$F$218/ROUNDUP((Assumptions!$F$27/12),0),0)</f>
        <v>0</v>
      </c>
      <c r="O234" s="22">
        <f>+IF(AND(O233&gt;=Assumptions!$F$26,O233&lt;Assumptions!$F$28),Assumptions!$F$218/ROUNDUP((Assumptions!$F$27/12),0),0)</f>
        <v>0</v>
      </c>
      <c r="P234" s="22">
        <f>+IF(AND(P233&gt;=Assumptions!$F$26,P233&lt;Assumptions!$F$28),Assumptions!$F$218/ROUNDUP((Assumptions!$F$27/12),0),0)</f>
        <v>0</v>
      </c>
      <c r="Q234" s="22">
        <f>+IF(AND(Q233&gt;=Assumptions!$F$26,Q233&lt;Assumptions!$F$28),Assumptions!$F$218/ROUNDUP((Assumptions!$F$27/12),0),0)</f>
        <v>0</v>
      </c>
      <c r="R234" s="22">
        <f>+IF(AND(R233&gt;=Assumptions!$F$26,R233&lt;Assumptions!$F$28),Assumptions!$F$218/ROUNDUP((Assumptions!$F$27/12),0),0)</f>
        <v>0</v>
      </c>
      <c r="S234" s="22">
        <f>+IF(AND(S233&gt;=Assumptions!$F$26,S233&lt;Assumptions!$F$28),Assumptions!$F$218/ROUNDUP((Assumptions!$F$27/12),0),0)</f>
        <v>0</v>
      </c>
      <c r="T234" s="22">
        <f>+IF(AND(T233&gt;=Assumptions!$F$26,T233&lt;Assumptions!$F$28),Assumptions!$F$218/ROUNDUP((Assumptions!$F$27/12),0),0)</f>
        <v>0</v>
      </c>
      <c r="U234" s="22">
        <f>+IF(AND(U233&gt;=Assumptions!$F$26,U233&lt;Assumptions!$F$28),Assumptions!$F$218/ROUNDUP((Assumptions!$F$27/12),0),0)</f>
        <v>0</v>
      </c>
      <c r="V234" s="22">
        <f>+IF(AND(V233&gt;=Assumptions!$F$26,V233&lt;Assumptions!$F$28),Assumptions!$F$218/ROUNDUP((Assumptions!$F$27/12),0),0)</f>
        <v>0</v>
      </c>
      <c r="W234" s="22">
        <f>+IF(AND(W233&gt;=Assumptions!$F$26,W233&lt;Assumptions!$F$28),Assumptions!$F$218/ROUNDUP((Assumptions!$F$27/12),0),0)</f>
        <v>0</v>
      </c>
      <c r="X234" s="22">
        <f>+IF(AND(X233&gt;=Assumptions!$F$26,X233&lt;Assumptions!$F$28),Assumptions!$F$218/ROUNDUP((Assumptions!$F$27/12),0),0)</f>
        <v>0</v>
      </c>
      <c r="Y234" s="22">
        <f>+IF(AND(Y233&gt;=Assumptions!$F$26,Y233&lt;Assumptions!$F$28),Assumptions!$F$218/ROUNDUP((Assumptions!$F$27/12),0),0)</f>
        <v>0</v>
      </c>
      <c r="Z234" s="22">
        <f>+IF(AND(Z233&gt;=Assumptions!$F$26,Z233&lt;Assumptions!$F$28),Assumptions!$F$218/ROUNDUP((Assumptions!$F$27/12),0),0)</f>
        <v>0</v>
      </c>
    </row>
    <row r="235" spans="2:26">
      <c r="B235" s="15" t="s">
        <v>606</v>
      </c>
      <c r="C235" s="15"/>
      <c r="D235" s="22">
        <v>0</v>
      </c>
      <c r="E235" s="22"/>
      <c r="F235" s="22">
        <f>+D235+F234</f>
        <v>0</v>
      </c>
      <c r="G235" s="22">
        <f t="shared" ref="G235" si="104">+F235+G234</f>
        <v>0</v>
      </c>
      <c r="H235" s="22">
        <f t="shared" ref="H235" si="105">+G235+H234</f>
        <v>0</v>
      </c>
      <c r="I235" s="22">
        <f>+H235+I234</f>
        <v>18937</v>
      </c>
      <c r="J235" s="22">
        <f>+I235+J234</f>
        <v>37874</v>
      </c>
      <c r="K235" s="22">
        <f t="shared" ref="K235" si="106">+J235+K234</f>
        <v>37874</v>
      </c>
      <c r="L235" s="22">
        <f t="shared" ref="L235" si="107">+K235+L234</f>
        <v>37874</v>
      </c>
      <c r="M235" s="22">
        <f t="shared" ref="M235" si="108">+L235+M234</f>
        <v>37874</v>
      </c>
      <c r="N235" s="22">
        <f t="shared" ref="N235" si="109">+M235+N234</f>
        <v>37874</v>
      </c>
      <c r="O235" s="22">
        <f t="shared" ref="O235" si="110">+N235+O234</f>
        <v>37874</v>
      </c>
      <c r="P235" s="22">
        <f t="shared" ref="P235" si="111">+O235+P234</f>
        <v>37874</v>
      </c>
      <c r="Q235" s="22">
        <f t="shared" ref="Q235" si="112">+P235+Q234</f>
        <v>37874</v>
      </c>
      <c r="R235" s="22">
        <f t="shared" ref="R235" si="113">+Q235+R234</f>
        <v>37874</v>
      </c>
      <c r="S235" s="22">
        <f t="shared" ref="S235" si="114">+R235+S234</f>
        <v>37874</v>
      </c>
      <c r="T235" s="22">
        <f t="shared" ref="T235" si="115">+S235+T234</f>
        <v>37874</v>
      </c>
      <c r="U235" s="22">
        <f t="shared" ref="U235" si="116">+T235+U234</f>
        <v>37874</v>
      </c>
      <c r="V235" s="22">
        <f t="shared" ref="V235" si="117">+U235+V234</f>
        <v>37874</v>
      </c>
      <c r="W235" s="22">
        <f t="shared" ref="W235" si="118">+V235+W234</f>
        <v>37874</v>
      </c>
      <c r="X235" s="22">
        <f t="shared" ref="X235" si="119">+W235+X234</f>
        <v>37874</v>
      </c>
      <c r="Y235" s="22">
        <f t="shared" ref="Y235" si="120">+X235+Y234</f>
        <v>37874</v>
      </c>
      <c r="Z235" s="22">
        <f t="shared" ref="Z235" si="121">+Y235+Z234</f>
        <v>37874</v>
      </c>
    </row>
    <row r="236" spans="2:26">
      <c r="B236" s="15" t="s">
        <v>609</v>
      </c>
      <c r="C236" s="15"/>
      <c r="D236" s="22"/>
      <c r="E236" s="22"/>
      <c r="F236" s="49">
        <f t="shared" ref="F236:Z236" si="122">+F235/SUM($F234:$Z234)</f>
        <v>0</v>
      </c>
      <c r="G236" s="49">
        <f t="shared" si="122"/>
        <v>0</v>
      </c>
      <c r="H236" s="49">
        <f t="shared" si="122"/>
        <v>0</v>
      </c>
      <c r="I236" s="49">
        <f>+I235/SUM($F234:$Z234)</f>
        <v>0.5</v>
      </c>
      <c r="J236" s="49">
        <f t="shared" si="122"/>
        <v>1</v>
      </c>
      <c r="K236" s="49">
        <f t="shared" si="122"/>
        <v>1</v>
      </c>
      <c r="L236" s="49">
        <f t="shared" si="122"/>
        <v>1</v>
      </c>
      <c r="M236" s="49">
        <f t="shared" si="122"/>
        <v>1</v>
      </c>
      <c r="N236" s="49">
        <f t="shared" si="122"/>
        <v>1</v>
      </c>
      <c r="O236" s="49">
        <f t="shared" si="122"/>
        <v>1</v>
      </c>
      <c r="P236" s="49">
        <f t="shared" si="122"/>
        <v>1</v>
      </c>
      <c r="Q236" s="49">
        <f t="shared" si="122"/>
        <v>1</v>
      </c>
      <c r="R236" s="49">
        <f t="shared" si="122"/>
        <v>1</v>
      </c>
      <c r="S236" s="49">
        <f t="shared" si="122"/>
        <v>1</v>
      </c>
      <c r="T236" s="49">
        <f t="shared" si="122"/>
        <v>1</v>
      </c>
      <c r="U236" s="49">
        <f t="shared" si="122"/>
        <v>1</v>
      </c>
      <c r="V236" s="49">
        <f t="shared" si="122"/>
        <v>1</v>
      </c>
      <c r="W236" s="49">
        <f t="shared" si="122"/>
        <v>1</v>
      </c>
      <c r="X236" s="49">
        <f t="shared" si="122"/>
        <v>1</v>
      </c>
      <c r="Y236" s="49">
        <f t="shared" si="122"/>
        <v>1</v>
      </c>
      <c r="Z236" s="49">
        <f t="shared" si="122"/>
        <v>1</v>
      </c>
    </row>
    <row r="237" spans="2:26">
      <c r="B237" s="15"/>
      <c r="C237" s="15"/>
      <c r="D237" s="20"/>
      <c r="E237" s="20"/>
      <c r="F237" s="16"/>
      <c r="G237" s="16"/>
      <c r="H237" s="16"/>
      <c r="I237" s="16"/>
      <c r="J237" s="16"/>
      <c r="K237" s="16"/>
      <c r="L237" s="16"/>
      <c r="M237" s="16"/>
      <c r="N237" s="16"/>
      <c r="O237" s="16"/>
      <c r="P237" s="16"/>
      <c r="Q237" s="16"/>
      <c r="R237" s="16"/>
      <c r="S237" s="16"/>
      <c r="T237" s="16"/>
      <c r="U237" s="16"/>
      <c r="V237" s="16"/>
      <c r="W237" s="16"/>
      <c r="X237" s="16"/>
      <c r="Y237" s="16"/>
      <c r="Z237" s="16"/>
    </row>
    <row r="238" spans="2:26">
      <c r="B238" s="15" t="s">
        <v>610</v>
      </c>
      <c r="C238" s="15"/>
      <c r="D238" s="22"/>
      <c r="E238" s="22"/>
      <c r="F238" s="49">
        <v>1</v>
      </c>
      <c r="G238" s="49">
        <f>+IF(MOD(G$2,Assumptions!$N$73)=(Assumptions!$N$73-1),F238*(1+Assumptions!$N$72),'Phase I Pro Forma'!F238)</f>
        <v>1</v>
      </c>
      <c r="H238" s="49">
        <f>+IF(MOD(H$2,Assumptions!$N$73)=(Assumptions!$N$73-1),G238*(1+Assumptions!$N$72),'Phase I Pro Forma'!G238)</f>
        <v>1</v>
      </c>
      <c r="I238" s="49">
        <f>+IF(MOD(I$2,Assumptions!$N$73)=(Assumptions!$N$73-1),H238*(1+Assumptions!$N$72),'Phase I Pro Forma'!H238)</f>
        <v>1</v>
      </c>
      <c r="J238" s="49">
        <f>+IF(MOD(J$2,Assumptions!$N$73)=(Assumptions!$N$73-1),I238*(1+Assumptions!$N$72),'Phase I Pro Forma'!I238)</f>
        <v>1</v>
      </c>
      <c r="K238" s="49">
        <f>+IF(MOD(K$2,Assumptions!$N$73)=(Assumptions!$N$73-1),J238*(1+Assumptions!$N$72),'Phase I Pro Forma'!J238)</f>
        <v>1</v>
      </c>
      <c r="L238" s="49">
        <f>+IF(MOD(L$2,Assumptions!$N$73)=(Assumptions!$N$73-1),K238*(1+Assumptions!$N$72),'Phase I Pro Forma'!K238)</f>
        <v>1.1000000000000001</v>
      </c>
      <c r="M238" s="49">
        <f>+IF(MOD(M$2,Assumptions!$N$73)=(Assumptions!$N$73-1),L238*(1+Assumptions!$N$72),'Phase I Pro Forma'!L238)</f>
        <v>1.1000000000000001</v>
      </c>
      <c r="N238" s="49">
        <f>+IF(MOD(N$2,Assumptions!$N$73)=(Assumptions!$N$73-1),M238*(1+Assumptions!$N$72),'Phase I Pro Forma'!M238)</f>
        <v>1.1000000000000001</v>
      </c>
      <c r="O238" s="49">
        <f>+IF(MOD(O$2,Assumptions!$N$73)=(Assumptions!$N$73-1),N238*(1+Assumptions!$N$72),'Phase I Pro Forma'!N238)</f>
        <v>1.1000000000000001</v>
      </c>
      <c r="P238" s="49">
        <f>+IF(MOD(P$2,Assumptions!$N$73)=(Assumptions!$N$73-1),O238*(1+Assumptions!$N$72),'Phase I Pro Forma'!O238)</f>
        <v>1.1000000000000001</v>
      </c>
      <c r="Q238" s="49">
        <f>+IF(MOD(Q$2,Assumptions!$N$73)=(Assumptions!$N$73-1),P238*(1+Assumptions!$N$72),'Phase I Pro Forma'!P238)</f>
        <v>1.2100000000000002</v>
      </c>
      <c r="R238" s="49">
        <f>+IF(MOD(R$2,Assumptions!$N$73)=(Assumptions!$N$73-1),Q238*(1+Assumptions!$N$72),'Phase I Pro Forma'!Q238)</f>
        <v>1.2100000000000002</v>
      </c>
      <c r="S238" s="49">
        <f>+IF(MOD(S$2,Assumptions!$N$73)=(Assumptions!$N$73-1),R238*(1+Assumptions!$N$72),'Phase I Pro Forma'!R238)</f>
        <v>1.2100000000000002</v>
      </c>
      <c r="T238" s="49">
        <f>+IF(MOD(T$2,Assumptions!$N$73)=(Assumptions!$N$73-1),S238*(1+Assumptions!$N$72),'Phase I Pro Forma'!S238)</f>
        <v>1.2100000000000002</v>
      </c>
      <c r="U238" s="49">
        <f>+IF(MOD(U$2,Assumptions!$N$73)=(Assumptions!$N$73-1),T238*(1+Assumptions!$N$72),'Phase I Pro Forma'!T238)</f>
        <v>1.2100000000000002</v>
      </c>
      <c r="V238" s="49">
        <f>+IF(MOD(V$2,Assumptions!$N$73)=(Assumptions!$N$73-1),U238*(1+Assumptions!$N$72),'Phase I Pro Forma'!U238)</f>
        <v>1.3310000000000004</v>
      </c>
      <c r="W238" s="49">
        <f>+IF(MOD(W$2,Assumptions!$N$73)=(Assumptions!$N$73-1),V238*(1+Assumptions!$N$72),'Phase I Pro Forma'!V238)</f>
        <v>1.3310000000000004</v>
      </c>
      <c r="X238" s="49">
        <f>+IF(MOD(X$2,Assumptions!$N$73)=(Assumptions!$N$73-1),W238*(1+Assumptions!$N$72),'Phase I Pro Forma'!W238)</f>
        <v>1.3310000000000004</v>
      </c>
      <c r="Y238" s="49">
        <f>+IF(MOD(Y$2,Assumptions!$N$73)=(Assumptions!$N$73-1),X238*(1+Assumptions!$N$72),'Phase I Pro Forma'!X238)</f>
        <v>1.3310000000000004</v>
      </c>
      <c r="Z238" s="49">
        <f>+IF(MOD(Z$2,Assumptions!$N$73)=(Assumptions!$N$73-1),Y238*(1+Assumptions!$N$72),'Phase I Pro Forma'!Y238)</f>
        <v>1.3310000000000004</v>
      </c>
    </row>
    <row r="239" spans="2:26" s="15" customFormat="1">
      <c r="B239" s="15" t="s">
        <v>611</v>
      </c>
      <c r="D239" s="715"/>
      <c r="E239" s="715"/>
      <c r="F239" s="729">
        <v>1</v>
      </c>
      <c r="G239" s="729">
        <f>+F239*(1+Assumptions!$N$81)</f>
        <v>1.02</v>
      </c>
      <c r="H239" s="729">
        <f>+G239*(1+Assumptions!$N$81)</f>
        <v>1.0404</v>
      </c>
      <c r="I239" s="729">
        <f>+H239*(1+Assumptions!$N$81)</f>
        <v>1.0612079999999999</v>
      </c>
      <c r="J239" s="729">
        <f>+I239*(1+Assumptions!$N$81)</f>
        <v>1.08243216</v>
      </c>
      <c r="K239" s="729">
        <f>+J239*(1+Assumptions!$N$81)</f>
        <v>1.1040808032</v>
      </c>
      <c r="L239" s="729">
        <f>+K239*(1+Assumptions!$N$81)</f>
        <v>1.1261624192640001</v>
      </c>
      <c r="M239" s="729">
        <f>+L239*(1+Assumptions!$N$81)</f>
        <v>1.14868566764928</v>
      </c>
      <c r="N239" s="729">
        <f>+M239*(1+Assumptions!$N$81)</f>
        <v>1.1716593810022657</v>
      </c>
      <c r="O239" s="729">
        <f>+N239*(1+Assumptions!$N$81)</f>
        <v>1.1950925686223111</v>
      </c>
      <c r="P239" s="729">
        <f>+O239*(1+Assumptions!$N$81)</f>
        <v>1.2189944199947573</v>
      </c>
      <c r="Q239" s="729">
        <f>+P239*(1+Assumptions!$N$81)</f>
        <v>1.2433743083946525</v>
      </c>
      <c r="R239" s="729">
        <f>+Q239*(1+Assumptions!$N$81)</f>
        <v>1.2682417945625455</v>
      </c>
      <c r="S239" s="729">
        <f>+R239*(1+Assumptions!$N$81)</f>
        <v>1.2936066304537963</v>
      </c>
      <c r="T239" s="729">
        <f>+S239*(1+Assumptions!$N$81)</f>
        <v>1.3194787630628724</v>
      </c>
      <c r="U239" s="729">
        <f>+T239*(1+Assumptions!$N$81)</f>
        <v>1.3458683383241299</v>
      </c>
      <c r="V239" s="729">
        <f>+U239*(1+Assumptions!$N$81)</f>
        <v>1.3727857050906125</v>
      </c>
      <c r="W239" s="729">
        <f>+V239*(1+Assumptions!$N$81)</f>
        <v>1.4002414191924248</v>
      </c>
      <c r="X239" s="729">
        <f>+W239*(1+Assumptions!$N$81)</f>
        <v>1.4282462475762734</v>
      </c>
      <c r="Y239" s="729">
        <f>+X239*(1+Assumptions!$N$81)</f>
        <v>1.4568111725277988</v>
      </c>
      <c r="Z239" s="729">
        <f>+Y239*(1+Assumptions!$N$81)</f>
        <v>1.4859473959783549</v>
      </c>
    </row>
    <row r="240" spans="2:26" s="15" customFormat="1"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</row>
    <row r="241" spans="2:26" s="15" customFormat="1">
      <c r="B241" s="15" t="s">
        <v>612</v>
      </c>
      <c r="D241" s="7"/>
      <c r="E241" s="7"/>
      <c r="F241" s="7">
        <f>+F236*Assumptions!$F$217*F238</f>
        <v>0</v>
      </c>
      <c r="G241" s="7">
        <f>+G236*Assumptions!$F$217*G238</f>
        <v>0</v>
      </c>
      <c r="H241" s="7">
        <f>+H236*Assumptions!$F$217*H238</f>
        <v>0</v>
      </c>
      <c r="I241" s="7">
        <f>I236*Assumptions!$F$217*'Phase I Pro Forma'!I238</f>
        <v>151496</v>
      </c>
      <c r="J241" s="7">
        <f>J236*Assumptions!$F$217*'Phase I Pro Forma'!J238</f>
        <v>302992</v>
      </c>
      <c r="K241" s="7">
        <f>K236*Assumptions!$F$217*'Phase I Pro Forma'!K238</f>
        <v>302992</v>
      </c>
      <c r="L241" s="7">
        <f>L236*Assumptions!$F$217*'Phase I Pro Forma'!L238</f>
        <v>333291.2</v>
      </c>
      <c r="M241" s="7">
        <f>M236*Assumptions!$F$217*'Phase I Pro Forma'!M238</f>
        <v>333291.2</v>
      </c>
      <c r="N241" s="7">
        <f>N236*Assumptions!$F$217*'Phase I Pro Forma'!N238</f>
        <v>333291.2</v>
      </c>
      <c r="O241" s="7">
        <f>O236*Assumptions!$F$217*'Phase I Pro Forma'!O238</f>
        <v>333291.2</v>
      </c>
      <c r="P241" s="7">
        <f>P236*Assumptions!$F$217*'Phase I Pro Forma'!P238</f>
        <v>333291.2</v>
      </c>
      <c r="Q241" s="7">
        <f>Q236*Assumptions!$F$217*'Phase I Pro Forma'!Q238</f>
        <v>366620.32000000007</v>
      </c>
      <c r="R241" s="7">
        <f>R236*Assumptions!$F$217*'Phase I Pro Forma'!R238</f>
        <v>366620.32000000007</v>
      </c>
      <c r="S241" s="7">
        <f>S236*Assumptions!$F$217*'Phase I Pro Forma'!S238</f>
        <v>366620.32000000007</v>
      </c>
      <c r="T241" s="7">
        <f>T236*Assumptions!$F$217*'Phase I Pro Forma'!T238</f>
        <v>366620.32000000007</v>
      </c>
      <c r="U241" s="7">
        <f>U236*Assumptions!$F$217*'Phase I Pro Forma'!U238</f>
        <v>366620.32000000007</v>
      </c>
      <c r="V241" s="7">
        <f>V236*Assumptions!$F$217*'Phase I Pro Forma'!V238</f>
        <v>403282.35200000013</v>
      </c>
      <c r="W241" s="7">
        <f>W236*Assumptions!$F$217*'Phase I Pro Forma'!W238</f>
        <v>403282.35200000013</v>
      </c>
      <c r="X241" s="7">
        <f>X236*Assumptions!$F$217*'Phase I Pro Forma'!X238</f>
        <v>403282.35200000013</v>
      </c>
      <c r="Y241" s="7">
        <f>Y236*Assumptions!$F$217*'Phase I Pro Forma'!Y238</f>
        <v>403282.35200000013</v>
      </c>
      <c r="Z241" s="7">
        <f>Z236*Assumptions!$F$217*'Phase I Pro Forma'!Z238</f>
        <v>403282.35200000013</v>
      </c>
    </row>
    <row r="242" spans="2:26" s="15" customFormat="1">
      <c r="B242" s="15" t="s">
        <v>613</v>
      </c>
      <c r="D242" s="7"/>
      <c r="E242" s="7"/>
      <c r="F242" s="715">
        <f>-F241*Assumptions!$N$59</f>
        <v>0</v>
      </c>
      <c r="G242" s="715">
        <f>-G241*Assumptions!$N$59</f>
        <v>0</v>
      </c>
      <c r="H242" s="715">
        <f>-H241*Assumptions!$N$59</f>
        <v>0</v>
      </c>
      <c r="I242" s="715">
        <f>-I241*Assumptions!$N$59</f>
        <v>-7574.8</v>
      </c>
      <c r="J242" s="715">
        <f>-J241*Assumptions!$N$59</f>
        <v>-15149.6</v>
      </c>
      <c r="K242" s="715">
        <f>-K241*Assumptions!$N$59</f>
        <v>-15149.6</v>
      </c>
      <c r="L242" s="715">
        <f>-L241*Assumptions!$N$59</f>
        <v>-16664.560000000001</v>
      </c>
      <c r="M242" s="715">
        <f>-M241*Assumptions!$N$59</f>
        <v>-16664.560000000001</v>
      </c>
      <c r="N242" s="715">
        <f>-N241*Assumptions!$N$59</f>
        <v>-16664.560000000001</v>
      </c>
      <c r="O242" s="715">
        <f>-O241*Assumptions!$N$59</f>
        <v>-16664.560000000001</v>
      </c>
      <c r="P242" s="715">
        <f>-P241*Assumptions!$N$59</f>
        <v>-16664.560000000001</v>
      </c>
      <c r="Q242" s="715">
        <f>-Q241*Assumptions!$N$59</f>
        <v>-18331.016000000003</v>
      </c>
      <c r="R242" s="715">
        <f>-R241*Assumptions!$N$59</f>
        <v>-18331.016000000003</v>
      </c>
      <c r="S242" s="715">
        <f>-S241*Assumptions!$N$59</f>
        <v>-18331.016000000003</v>
      </c>
      <c r="T242" s="715">
        <f>-T241*Assumptions!$N$59</f>
        <v>-18331.016000000003</v>
      </c>
      <c r="U242" s="715">
        <f>-U241*Assumptions!$N$59</f>
        <v>-18331.016000000003</v>
      </c>
      <c r="V242" s="715">
        <f>-V241*Assumptions!$N$59</f>
        <v>-20164.117600000009</v>
      </c>
      <c r="W242" s="715">
        <f>-W241*Assumptions!$N$59</f>
        <v>-20164.117600000009</v>
      </c>
      <c r="X242" s="715">
        <f>-X241*Assumptions!$N$59</f>
        <v>-20164.117600000009</v>
      </c>
      <c r="Y242" s="715">
        <f>-Y241*Assumptions!$N$59</f>
        <v>-20164.117600000009</v>
      </c>
      <c r="Z242" s="715">
        <f>-Z241*Assumptions!$N$59</f>
        <v>-20164.117600000009</v>
      </c>
    </row>
    <row r="243" spans="2:26" s="15" customFormat="1">
      <c r="B243" s="15" t="s">
        <v>622</v>
      </c>
      <c r="D243" s="7"/>
      <c r="E243" s="7"/>
      <c r="F243" s="736">
        <f>+F248*Assumptions!$N$92</f>
        <v>0</v>
      </c>
      <c r="G243" s="736">
        <f>+G248*Assumptions!$N$92</f>
        <v>0</v>
      </c>
      <c r="H243" s="736">
        <f>+H248*Assumptions!$N$92</f>
        <v>0</v>
      </c>
      <c r="I243" s="736">
        <f>I235*Assumptions!$N$92*'Phase I Pro Forma'!I239</f>
        <v>20096.095895999999</v>
      </c>
      <c r="J243" s="736">
        <f>J235*Assumptions!$N$92*'Phase I Pro Forma'!J239</f>
        <v>40996.03562784</v>
      </c>
      <c r="K243" s="736">
        <f>K235*Assumptions!$N$92*'Phase I Pro Forma'!K239</f>
        <v>41815.956340396799</v>
      </c>
      <c r="L243" s="736">
        <f>L235*Assumptions!$N$92*'Phase I Pro Forma'!L239</f>
        <v>42652.275467204738</v>
      </c>
      <c r="M243" s="736">
        <f>M235*Assumptions!$N$92*'Phase I Pro Forma'!M239</f>
        <v>43505.320976548835</v>
      </c>
      <c r="N243" s="736">
        <f>N235*Assumptions!$N$92*'Phase I Pro Forma'!N239</f>
        <v>44375.427396079809</v>
      </c>
      <c r="O243" s="736">
        <f>O235*Assumptions!$N$92*'Phase I Pro Forma'!O239</f>
        <v>45262.935944001409</v>
      </c>
      <c r="P243" s="736">
        <f>P235*Assumptions!$N$92*'Phase I Pro Forma'!P239</f>
        <v>46168.19466288144</v>
      </c>
      <c r="Q243" s="736">
        <f>Q235*Assumptions!$N$92*'Phase I Pro Forma'!Q239</f>
        <v>47091.558556139069</v>
      </c>
      <c r="R243" s="736">
        <f>R235*Assumptions!$N$92*'Phase I Pro Forma'!R239</f>
        <v>48033.389727261849</v>
      </c>
      <c r="S243" s="736">
        <f>S235*Assumptions!$N$92*'Phase I Pro Forma'!S239</f>
        <v>48994.057521807081</v>
      </c>
      <c r="T243" s="736">
        <f>T235*Assumptions!$N$92*'Phase I Pro Forma'!T239</f>
        <v>49973.938672243232</v>
      </c>
      <c r="U243" s="736">
        <f>U235*Assumptions!$N$92*'Phase I Pro Forma'!U239</f>
        <v>50973.417445688094</v>
      </c>
      <c r="V243" s="736">
        <f>V235*Assumptions!$N$92*'Phase I Pro Forma'!V239</f>
        <v>51992.885794601854</v>
      </c>
      <c r="W243" s="736">
        <f>W235*Assumptions!$N$92*'Phase I Pro Forma'!W239</f>
        <v>53032.7435104939</v>
      </c>
      <c r="X243" s="736">
        <f>X235*Assumptions!$N$92*'Phase I Pro Forma'!X239</f>
        <v>54093.39838070378</v>
      </c>
      <c r="Y243" s="736">
        <f>Y235*Assumptions!$N$92*'Phase I Pro Forma'!Y239</f>
        <v>55175.266348317855</v>
      </c>
      <c r="Z243" s="736">
        <f>Z235*Assumptions!$N$92*'Phase I Pro Forma'!Z239</f>
        <v>56278.771675284217</v>
      </c>
    </row>
    <row r="244" spans="2:26" s="15" customFormat="1">
      <c r="B244" s="737" t="s">
        <v>614</v>
      </c>
      <c r="C244" s="737"/>
      <c r="D244" s="737"/>
      <c r="E244" s="737"/>
      <c r="F244" s="738">
        <f t="shared" ref="F244:H244" si="123">+SUM(F241:F243)</f>
        <v>0</v>
      </c>
      <c r="G244" s="738">
        <f t="shared" si="123"/>
        <v>0</v>
      </c>
      <c r="H244" s="738">
        <f t="shared" si="123"/>
        <v>0</v>
      </c>
      <c r="I244" s="738">
        <f t="shared" ref="I244:Z244" si="124">SUM(I241:I243)</f>
        <v>164017.295896</v>
      </c>
      <c r="J244" s="738">
        <f t="shared" si="124"/>
        <v>328838.43562783999</v>
      </c>
      <c r="K244" s="738">
        <f t="shared" si="124"/>
        <v>329658.3563403968</v>
      </c>
      <c r="L244" s="738">
        <f t="shared" si="124"/>
        <v>359278.91546720476</v>
      </c>
      <c r="M244" s="738">
        <f t="shared" si="124"/>
        <v>360131.96097654884</v>
      </c>
      <c r="N244" s="738">
        <f t="shared" si="124"/>
        <v>361002.06739607983</v>
      </c>
      <c r="O244" s="738">
        <f t="shared" si="124"/>
        <v>361889.57594400144</v>
      </c>
      <c r="P244" s="738">
        <f t="shared" si="124"/>
        <v>362794.83466288145</v>
      </c>
      <c r="Q244" s="738">
        <f t="shared" si="124"/>
        <v>395380.86255613912</v>
      </c>
      <c r="R244" s="738">
        <f t="shared" si="124"/>
        <v>396322.69372726191</v>
      </c>
      <c r="S244" s="738">
        <f t="shared" si="124"/>
        <v>397283.36152180715</v>
      </c>
      <c r="T244" s="738">
        <f t="shared" si="124"/>
        <v>398263.24267224327</v>
      </c>
      <c r="U244" s="738">
        <f t="shared" si="124"/>
        <v>399262.72144568816</v>
      </c>
      <c r="V244" s="738">
        <f t="shared" si="124"/>
        <v>435111.120194602</v>
      </c>
      <c r="W244" s="738">
        <f t="shared" si="124"/>
        <v>436150.97791049402</v>
      </c>
      <c r="X244" s="738">
        <f t="shared" si="124"/>
        <v>437211.63278070389</v>
      </c>
      <c r="Y244" s="738">
        <f t="shared" si="124"/>
        <v>438293.50074831798</v>
      </c>
      <c r="Z244" s="738">
        <f t="shared" si="124"/>
        <v>439397.00607528433</v>
      </c>
    </row>
    <row r="246" spans="2:26">
      <c r="B246" s="15" t="s">
        <v>615</v>
      </c>
      <c r="F246" s="16">
        <f>+F235*Assumptions!$N$124*'Phase I Pro Forma'!F239</f>
        <v>0</v>
      </c>
      <c r="G246" s="16">
        <f>+G235*Assumptions!$N$124*'Phase I Pro Forma'!G239</f>
        <v>0</v>
      </c>
      <c r="H246" s="16">
        <f>+H235*Assumptions!$N$124*'Phase I Pro Forma'!H239</f>
        <v>0</v>
      </c>
      <c r="I246" s="16">
        <f>+I235*Assumptions!$N$124*'Phase I Pro Forma'!I239</f>
        <v>40192.191791999998</v>
      </c>
      <c r="J246" s="16">
        <f>+J235*Assumptions!$N$124*'Phase I Pro Forma'!J239</f>
        <v>81992.071255679999</v>
      </c>
      <c r="K246" s="16">
        <f>+K235*Assumptions!$N$124*'Phase I Pro Forma'!K239</f>
        <v>83631.912680793597</v>
      </c>
      <c r="L246" s="16">
        <f>+L235*Assumptions!$N$124*'Phase I Pro Forma'!L239</f>
        <v>85304.550934409475</v>
      </c>
      <c r="M246" s="16">
        <f>+M235*Assumptions!$N$124*'Phase I Pro Forma'!M239</f>
        <v>87010.641953097671</v>
      </c>
      <c r="N246" s="16">
        <f>+N235*Assumptions!$N$124*'Phase I Pro Forma'!N239</f>
        <v>88750.854792159618</v>
      </c>
      <c r="O246" s="16">
        <f>+O235*Assumptions!$N$124*'Phase I Pro Forma'!O239</f>
        <v>90525.871888002817</v>
      </c>
      <c r="P246" s="16">
        <f>+P235*Assumptions!$N$124*'Phase I Pro Forma'!P239</f>
        <v>92336.389325762881</v>
      </c>
      <c r="Q246" s="16">
        <f>+Q235*Assumptions!$N$124*'Phase I Pro Forma'!Q239</f>
        <v>94183.117112278138</v>
      </c>
      <c r="R246" s="16">
        <f>+R235*Assumptions!$N$124*'Phase I Pro Forma'!R239</f>
        <v>96066.779454523697</v>
      </c>
      <c r="S246" s="16">
        <f>+S235*Assumptions!$N$124*'Phase I Pro Forma'!S239</f>
        <v>97988.115043614162</v>
      </c>
      <c r="T246" s="16">
        <f>+T235*Assumptions!$N$124*'Phase I Pro Forma'!T239</f>
        <v>99947.877344486464</v>
      </c>
      <c r="U246" s="16">
        <f>+U235*Assumptions!$N$124*'Phase I Pro Forma'!U239</f>
        <v>101946.83489137619</v>
      </c>
      <c r="V246" s="16">
        <f>+V235*Assumptions!$N$124*'Phase I Pro Forma'!V239</f>
        <v>103985.77158920371</v>
      </c>
      <c r="W246" s="16">
        <f>+W235*Assumptions!$N$124*'Phase I Pro Forma'!W239</f>
        <v>106065.4870209878</v>
      </c>
      <c r="X246" s="16">
        <f>+X235*Assumptions!$N$124*'Phase I Pro Forma'!X239</f>
        <v>108186.79676140756</v>
      </c>
      <c r="Y246" s="16">
        <f>+Y235*Assumptions!$N$124*'Phase I Pro Forma'!Y239</f>
        <v>110350.53269663571</v>
      </c>
      <c r="Z246" s="16">
        <f>+Z235*Assumptions!$N$124*'Phase I Pro Forma'!Z239</f>
        <v>112557.54335056843</v>
      </c>
    </row>
    <row r="247" spans="2:26">
      <c r="B247" s="15" t="s">
        <v>792</v>
      </c>
      <c r="C247" s="15"/>
      <c r="D247" s="15"/>
      <c r="E247" s="15"/>
      <c r="F247" s="717">
        <v>0</v>
      </c>
      <c r="G247" s="717">
        <v>0</v>
      </c>
      <c r="H247" s="717">
        <v>0</v>
      </c>
      <c r="I247" s="717">
        <f>(('Parcel x Block Info'!$P$15*0.03)*I236)*0.03</f>
        <v>1823.7555665099997</v>
      </c>
      <c r="J247" s="717">
        <f>(('Parcel x Block Info'!$P$15*0.05)*J236)*0.3</f>
        <v>60791.852216999992</v>
      </c>
      <c r="K247" s="717">
        <f t="shared" ref="K247:Z247" si="125">J247*1.02</f>
        <v>62007.68926133999</v>
      </c>
      <c r="L247" s="717">
        <f t="shared" si="125"/>
        <v>63247.843046566792</v>
      </c>
      <c r="M247" s="717">
        <f t="shared" si="125"/>
        <v>64512.799907498127</v>
      </c>
      <c r="N247" s="717">
        <f t="shared" si="125"/>
        <v>65803.055905648085</v>
      </c>
      <c r="O247" s="717">
        <f t="shared" si="125"/>
        <v>67119.117023761049</v>
      </c>
      <c r="P247" s="717">
        <f t="shared" si="125"/>
        <v>68461.499364236268</v>
      </c>
      <c r="Q247" s="717">
        <f t="shared" si="125"/>
        <v>69830.729351520989</v>
      </c>
      <c r="R247" s="717">
        <f t="shared" si="125"/>
        <v>71227.343938551407</v>
      </c>
      <c r="S247" s="717">
        <f t="shared" si="125"/>
        <v>72651.890817322434</v>
      </c>
      <c r="T247" s="717">
        <f t="shared" si="125"/>
        <v>74104.928633668882</v>
      </c>
      <c r="U247" s="717">
        <f t="shared" si="125"/>
        <v>75587.02720634226</v>
      </c>
      <c r="V247" s="717">
        <f t="shared" si="125"/>
        <v>77098.767750469109</v>
      </c>
      <c r="W247" s="717">
        <f t="shared" si="125"/>
        <v>78640.743105478497</v>
      </c>
      <c r="X247" s="717">
        <f t="shared" si="125"/>
        <v>80213.557967588073</v>
      </c>
      <c r="Y247" s="717">
        <f t="shared" si="125"/>
        <v>81817.829126939832</v>
      </c>
      <c r="Z247" s="717">
        <f t="shared" si="125"/>
        <v>83454.185709478625</v>
      </c>
    </row>
    <row r="248" spans="2:26" s="15" customFormat="1">
      <c r="B248" s="737" t="s">
        <v>617</v>
      </c>
      <c r="C248" s="737"/>
      <c r="D248" s="737"/>
      <c r="E248" s="737"/>
      <c r="F248" s="738">
        <f>+SUM(F246:F247)</f>
        <v>0</v>
      </c>
      <c r="G248" s="738">
        <f t="shared" ref="G248" si="126">+SUM(G246:G247)</f>
        <v>0</v>
      </c>
      <c r="H248" s="738">
        <f t="shared" ref="H248" si="127">+SUM(H246:H247)</f>
        <v>0</v>
      </c>
      <c r="I248" s="738">
        <f t="shared" ref="I248:Z248" si="128">SUM(I246:I247)</f>
        <v>42015.947358509999</v>
      </c>
      <c r="J248" s="738">
        <f t="shared" si="128"/>
        <v>142783.92347267998</v>
      </c>
      <c r="K248" s="738">
        <f t="shared" si="128"/>
        <v>145639.6019421336</v>
      </c>
      <c r="L248" s="738">
        <f t="shared" si="128"/>
        <v>148552.39398097625</v>
      </c>
      <c r="M248" s="738">
        <f t="shared" si="128"/>
        <v>151523.44186059581</v>
      </c>
      <c r="N248" s="738">
        <f t="shared" si="128"/>
        <v>154553.9106978077</v>
      </c>
      <c r="O248" s="738">
        <f t="shared" si="128"/>
        <v>157644.98891176388</v>
      </c>
      <c r="P248" s="738">
        <f t="shared" si="128"/>
        <v>160797.88868999915</v>
      </c>
      <c r="Q248" s="738">
        <f t="shared" si="128"/>
        <v>164013.84646379913</v>
      </c>
      <c r="R248" s="738">
        <f t="shared" si="128"/>
        <v>167294.1233930751</v>
      </c>
      <c r="S248" s="738">
        <f t="shared" si="128"/>
        <v>170640.0058609366</v>
      </c>
      <c r="T248" s="738">
        <f t="shared" si="128"/>
        <v>174052.80597815535</v>
      </c>
      <c r="U248" s="738">
        <f t="shared" si="128"/>
        <v>177533.86209771846</v>
      </c>
      <c r="V248" s="738">
        <f t="shared" si="128"/>
        <v>181084.53933967283</v>
      </c>
      <c r="W248" s="738">
        <f t="shared" si="128"/>
        <v>184706.23012646631</v>
      </c>
      <c r="X248" s="738">
        <f t="shared" si="128"/>
        <v>188400.35472899565</v>
      </c>
      <c r="Y248" s="738">
        <f t="shared" si="128"/>
        <v>192168.36182357554</v>
      </c>
      <c r="Z248" s="738">
        <f t="shared" si="128"/>
        <v>196011.72906004707</v>
      </c>
    </row>
    <row r="249" spans="2:26">
      <c r="B249" s="15"/>
    </row>
    <row r="250" spans="2:26" ht="15.75">
      <c r="B250" s="687" t="s">
        <v>618</v>
      </c>
      <c r="C250" s="687"/>
      <c r="D250" s="687"/>
      <c r="E250" s="687"/>
      <c r="F250" s="550">
        <f>+F244-F248</f>
        <v>0</v>
      </c>
      <c r="G250" s="550">
        <f t="shared" ref="G250:H250" si="129">+G244-G248</f>
        <v>0</v>
      </c>
      <c r="H250" s="550">
        <f t="shared" si="129"/>
        <v>0</v>
      </c>
      <c r="I250" s="550">
        <f t="shared" ref="I250:Z250" si="130">I244-I248</f>
        <v>122001.34853749</v>
      </c>
      <c r="J250" s="550">
        <f t="shared" si="130"/>
        <v>186054.51215516002</v>
      </c>
      <c r="K250" s="550">
        <f t="shared" si="130"/>
        <v>184018.75439826321</v>
      </c>
      <c r="L250" s="550">
        <f t="shared" si="130"/>
        <v>210726.52148622851</v>
      </c>
      <c r="M250" s="550">
        <f t="shared" si="130"/>
        <v>208608.51911595304</v>
      </c>
      <c r="N250" s="550">
        <f t="shared" si="130"/>
        <v>206448.15669827213</v>
      </c>
      <c r="O250" s="550">
        <f t="shared" si="130"/>
        <v>204244.58703223756</v>
      </c>
      <c r="P250" s="550">
        <f t="shared" si="130"/>
        <v>201996.9459728823</v>
      </c>
      <c r="Q250" s="550">
        <f t="shared" si="130"/>
        <v>231367.01609234</v>
      </c>
      <c r="R250" s="550">
        <f t="shared" si="130"/>
        <v>229028.57033418681</v>
      </c>
      <c r="S250" s="550">
        <f t="shared" si="130"/>
        <v>226643.35566087055</v>
      </c>
      <c r="T250" s="550">
        <f t="shared" si="130"/>
        <v>224210.43669408793</v>
      </c>
      <c r="U250" s="550">
        <f t="shared" si="130"/>
        <v>221728.8593479697</v>
      </c>
      <c r="V250" s="550">
        <f t="shared" si="130"/>
        <v>254026.58085492917</v>
      </c>
      <c r="W250" s="550">
        <f t="shared" si="130"/>
        <v>251444.74778402771</v>
      </c>
      <c r="X250" s="550">
        <f t="shared" si="130"/>
        <v>248811.27805170824</v>
      </c>
      <c r="Y250" s="550">
        <f t="shared" si="130"/>
        <v>246125.13892474244</v>
      </c>
      <c r="Z250" s="550">
        <f t="shared" si="130"/>
        <v>243385.27701523725</v>
      </c>
    </row>
    <row r="251" spans="2:26" ht="15.75">
      <c r="B251" s="688" t="s">
        <v>619</v>
      </c>
      <c r="C251" s="689"/>
      <c r="D251" s="689"/>
      <c r="E251" s="689"/>
      <c r="F251" s="690" t="str">
        <f>+IFERROR(F250/F244,"")</f>
        <v/>
      </c>
      <c r="G251" s="690" t="str">
        <f t="shared" ref="G251" si="131">+IFERROR(G250/G244,"")</f>
        <v/>
      </c>
      <c r="H251" s="690" t="str">
        <f t="shared" ref="H251" si="132">+IFERROR(H250/H244,"")</f>
        <v/>
      </c>
      <c r="I251" s="691">
        <f t="shared" ref="I251:Z251" si="133">+IFERROR(I250/I244,"")</f>
        <v>0.74383221520033205</v>
      </c>
      <c r="J251" s="691">
        <f t="shared" si="133"/>
        <v>0.56579308255110905</v>
      </c>
      <c r="K251" s="691">
        <f t="shared" si="133"/>
        <v>0.55821049537797895</v>
      </c>
      <c r="L251" s="691">
        <f t="shared" si="133"/>
        <v>0.58652626807281649</v>
      </c>
      <c r="M251" s="691">
        <f t="shared" si="133"/>
        <v>0.579255777660726</v>
      </c>
      <c r="N251" s="691">
        <f t="shared" si="133"/>
        <v>0.57187527536168892</v>
      </c>
      <c r="O251" s="691">
        <f t="shared" si="133"/>
        <v>0.56438372533792525</v>
      </c>
      <c r="P251" s="691">
        <f t="shared" si="133"/>
        <v>0.55678010454747295</v>
      </c>
      <c r="Q251" s="691">
        <f t="shared" si="133"/>
        <v>0.58517505019476956</v>
      </c>
      <c r="R251" s="691">
        <f t="shared" si="133"/>
        <v>0.57788406760223976</v>
      </c>
      <c r="S251" s="691">
        <f t="shared" si="133"/>
        <v>0.57048287849938051</v>
      </c>
      <c r="T251" s="691">
        <f t="shared" si="133"/>
        <v>0.56297044936834728</v>
      </c>
      <c r="U251" s="691">
        <f t="shared" si="133"/>
        <v>0.5553457596670005</v>
      </c>
      <c r="V251" s="691">
        <f t="shared" si="133"/>
        <v>0.58382001531313799</v>
      </c>
      <c r="W251" s="691">
        <f t="shared" si="133"/>
        <v>0.57650850397870401</v>
      </c>
      <c r="X251" s="691">
        <f t="shared" si="133"/>
        <v>0.56908659193088473</v>
      </c>
      <c r="Y251" s="691">
        <f t="shared" si="133"/>
        <v>0.56155324800509709</v>
      </c>
      <c r="Z251" s="691">
        <f t="shared" si="133"/>
        <v>0.5539074541931146</v>
      </c>
    </row>
    <row r="252" spans="2:26" ht="15.75">
      <c r="B252" s="688" t="s">
        <v>568</v>
      </c>
      <c r="C252" s="689"/>
      <c r="D252" s="689"/>
      <c r="E252" s="689"/>
      <c r="F252" s="692">
        <f>+F250/Assumptions!$N$134</f>
        <v>0</v>
      </c>
      <c r="G252" s="692">
        <f>+G250/Assumptions!$N$134</f>
        <v>0</v>
      </c>
      <c r="H252" s="692">
        <f>+H250/Assumptions!$N$134</f>
        <v>0</v>
      </c>
      <c r="I252" s="692">
        <f>I250/Assumptions!$N$134</f>
        <v>2218206.3370452728</v>
      </c>
      <c r="J252" s="692">
        <f>J250/Assumptions!$N$134</f>
        <v>3382809.3119120002</v>
      </c>
      <c r="K252" s="692">
        <f>K250/Assumptions!$N$134</f>
        <v>3345795.5345138763</v>
      </c>
      <c r="L252" s="692">
        <f>L250/Assumptions!$N$134</f>
        <v>3831391.2997496091</v>
      </c>
      <c r="M252" s="740">
        <f>M250/Assumptions!$N$134</f>
        <v>3792882.1657446008</v>
      </c>
      <c r="N252" s="692">
        <f>N250/Assumptions!$N$134</f>
        <v>3753602.8490594933</v>
      </c>
      <c r="O252" s="692">
        <f>O250/Assumptions!$N$134</f>
        <v>3713537.946040683</v>
      </c>
      <c r="P252" s="692">
        <f>P250/Assumptions!$N$134</f>
        <v>3672671.7449614964</v>
      </c>
      <c r="Q252" s="692">
        <f>Q250/Assumptions!$N$134</f>
        <v>4206673.0198607268</v>
      </c>
      <c r="R252" s="692">
        <f>R250/Assumptions!$N$134</f>
        <v>4164155.8242579419</v>
      </c>
      <c r="S252" s="692">
        <f>S250/Assumptions!$N$134</f>
        <v>4120788.2847431009</v>
      </c>
      <c r="T252" s="692">
        <f>T250/Assumptions!$N$134</f>
        <v>4076553.3944379622</v>
      </c>
      <c r="U252" s="692">
        <f>U250/Assumptions!$N$134</f>
        <v>4031433.8063267218</v>
      </c>
      <c r="V252" s="692">
        <f>V250/Assumptions!$N$134</f>
        <v>4618665.1064532576</v>
      </c>
      <c r="W252" s="692">
        <f>W250/Assumptions!$N$134</f>
        <v>4571722.6869823225</v>
      </c>
      <c r="X252" s="692">
        <f>X250/Assumptions!$N$134</f>
        <v>4523841.4191219676</v>
      </c>
      <c r="Y252" s="692">
        <f>Y250/Assumptions!$N$134</f>
        <v>4475002.5259044077</v>
      </c>
      <c r="Z252" s="692">
        <f>Z250/Assumptions!$N$134</f>
        <v>4425186.854822496</v>
      </c>
    </row>
    <row r="254" spans="2:26" ht="15.75">
      <c r="B254" s="73" t="s">
        <v>625</v>
      </c>
      <c r="F254" s="75">
        <f>+Assumptions!$F$22</f>
        <v>44561</v>
      </c>
      <c r="G254" s="75">
        <f>+EOMONTH(F254,12)</f>
        <v>44926</v>
      </c>
      <c r="H254" s="75">
        <f t="shared" ref="H254:Z254" si="134">+EOMONTH(G254,12)</f>
        <v>45291</v>
      </c>
      <c r="I254" s="75">
        <f>+EOMONTH(H254,12)</f>
        <v>45657</v>
      </c>
      <c r="J254" s="75">
        <f>+EOMONTH(I254,12)</f>
        <v>46022</v>
      </c>
      <c r="K254" s="75">
        <f t="shared" si="134"/>
        <v>46387</v>
      </c>
      <c r="L254" s="75">
        <f t="shared" si="134"/>
        <v>46752</v>
      </c>
      <c r="M254" s="75">
        <f t="shared" si="134"/>
        <v>47118</v>
      </c>
      <c r="N254" s="75">
        <f t="shared" si="134"/>
        <v>47483</v>
      </c>
      <c r="O254" s="75">
        <f t="shared" si="134"/>
        <v>47848</v>
      </c>
      <c r="P254" s="75">
        <f t="shared" si="134"/>
        <v>48213</v>
      </c>
      <c r="Q254" s="75">
        <f t="shared" si="134"/>
        <v>48579</v>
      </c>
      <c r="R254" s="75">
        <f t="shared" si="134"/>
        <v>48944</v>
      </c>
      <c r="S254" s="75">
        <f t="shared" si="134"/>
        <v>49309</v>
      </c>
      <c r="T254" s="75">
        <f t="shared" si="134"/>
        <v>49674</v>
      </c>
      <c r="U254" s="75">
        <f t="shared" si="134"/>
        <v>50040</v>
      </c>
      <c r="V254" s="75">
        <f t="shared" si="134"/>
        <v>50405</v>
      </c>
      <c r="W254" s="75">
        <f t="shared" si="134"/>
        <v>50770</v>
      </c>
      <c r="X254" s="75">
        <f t="shared" si="134"/>
        <v>51135</v>
      </c>
      <c r="Y254" s="75">
        <f t="shared" si="134"/>
        <v>51501</v>
      </c>
      <c r="Z254" s="75">
        <f t="shared" si="134"/>
        <v>51866</v>
      </c>
    </row>
    <row r="255" spans="2:26">
      <c r="B255" s="15" t="s">
        <v>626</v>
      </c>
      <c r="F255" s="16">
        <v>0</v>
      </c>
      <c r="G255" s="16">
        <f t="shared" ref="G255:N255" si="135">+F258</f>
        <v>0</v>
      </c>
      <c r="H255" s="16">
        <f t="shared" si="135"/>
        <v>0</v>
      </c>
      <c r="I255" s="16">
        <f>+H258</f>
        <v>0</v>
      </c>
      <c r="J255" s="16">
        <f>+I258</f>
        <v>2509346.6508854073</v>
      </c>
      <c r="K255" s="16">
        <f t="shared" si="135"/>
        <v>2509346.6508854073</v>
      </c>
      <c r="L255" s="16">
        <f t="shared" si="135"/>
        <v>2509346.6508854073</v>
      </c>
      <c r="M255" s="16">
        <f t="shared" si="135"/>
        <v>2509346.6508854073</v>
      </c>
      <c r="N255" s="16">
        <f t="shared" si="135"/>
        <v>2509346.6508854073</v>
      </c>
      <c r="O255" s="16">
        <f t="shared" ref="O255:Z255" si="136">+N258</f>
        <v>2509346.6508854073</v>
      </c>
      <c r="P255" s="16">
        <f t="shared" si="136"/>
        <v>2509346.6508854073</v>
      </c>
      <c r="Q255" s="16">
        <f t="shared" si="136"/>
        <v>2509346.6508854073</v>
      </c>
      <c r="R255" s="16">
        <f t="shared" si="136"/>
        <v>2509346.6508854073</v>
      </c>
      <c r="S255" s="16">
        <f t="shared" si="136"/>
        <v>2509346.6508854073</v>
      </c>
      <c r="T255" s="16">
        <f t="shared" si="136"/>
        <v>2509346.6508854073</v>
      </c>
      <c r="U255" s="16">
        <f t="shared" si="136"/>
        <v>2509346.6508854073</v>
      </c>
      <c r="V255" s="16">
        <f t="shared" si="136"/>
        <v>2509346.6508854073</v>
      </c>
      <c r="W255" s="16">
        <f t="shared" si="136"/>
        <v>2509346.6508854073</v>
      </c>
      <c r="X255" s="16">
        <f t="shared" si="136"/>
        <v>2509346.6508854073</v>
      </c>
      <c r="Y255" s="16">
        <f t="shared" si="136"/>
        <v>2509346.6508854073</v>
      </c>
      <c r="Z255" s="16">
        <f t="shared" si="136"/>
        <v>2509346.6508854073</v>
      </c>
    </row>
    <row r="256" spans="2:26">
      <c r="B256" s="15" t="s">
        <v>627</v>
      </c>
      <c r="F256" s="76">
        <f>+IF(YEAR(F$139)=YEAR(Assumptions!$F$26),'S&amp;U'!$R$19,0)</f>
        <v>0</v>
      </c>
      <c r="G256" s="76">
        <f>+IF(YEAR(G$139)=YEAR(Assumptions!$F$26),'S&amp;U'!$R$19,0)</f>
        <v>0</v>
      </c>
      <c r="H256" s="76">
        <f>+IF(YEAR(H$139)=YEAR(Assumptions!$F$26),'S&amp;U'!$R$19,0)</f>
        <v>0</v>
      </c>
      <c r="I256" s="76">
        <f>+IF(YEAR(I$139)=YEAR(Assumptions!$F$26),'S&amp;U'!$R$19,0)</f>
        <v>2509346.6508854073</v>
      </c>
      <c r="J256" s="76">
        <f>+IF(YEAR(J$139)=YEAR(Assumptions!$F$26),'S&amp;U'!$R$19,0)</f>
        <v>0</v>
      </c>
      <c r="K256" s="76">
        <f>+IF(YEAR(K$139)=YEAR(Assumptions!$F$26),'S&amp;U'!$R$19,0)</f>
        <v>0</v>
      </c>
      <c r="L256" s="76">
        <f>+IF(YEAR(L$139)=YEAR(Assumptions!$F$26),'S&amp;U'!$R$19,0)</f>
        <v>0</v>
      </c>
      <c r="M256" s="76">
        <f>+IF(YEAR(M$139)=YEAR(Assumptions!$F$26),'S&amp;U'!$R$19,0)</f>
        <v>0</v>
      </c>
      <c r="N256" s="76">
        <f>+IF(YEAR(N$139)=YEAR(Assumptions!$F$26),'S&amp;U'!$R$19,0)</f>
        <v>0</v>
      </c>
      <c r="O256" s="76">
        <f>+IF(YEAR(O$139)=YEAR(Assumptions!$F$26),'S&amp;U'!$R$19,0)</f>
        <v>0</v>
      </c>
      <c r="P256" s="76">
        <f>+IF(YEAR(P$139)=YEAR(Assumptions!$F$26),'S&amp;U'!$R$19,0)</f>
        <v>0</v>
      </c>
      <c r="Q256" s="76">
        <f>+IF(YEAR(Q$139)=YEAR(Assumptions!$F$26),'S&amp;U'!$R$19,0)</f>
        <v>0</v>
      </c>
      <c r="R256" s="76">
        <f>+IF(YEAR(R$139)=YEAR(Assumptions!$F$26),'S&amp;U'!$R$19,0)</f>
        <v>0</v>
      </c>
      <c r="S256" s="76">
        <f>+IF(YEAR(S$139)=YEAR(Assumptions!$F$26),'S&amp;U'!$R$19,0)</f>
        <v>0</v>
      </c>
      <c r="T256" s="76">
        <f>+IF(YEAR(T$139)=YEAR(Assumptions!$F$26),'S&amp;U'!$R$19,0)</f>
        <v>0</v>
      </c>
      <c r="U256" s="76">
        <f>+IF(YEAR(U$139)=YEAR(Assumptions!$F$26),'S&amp;U'!$R$19,0)</f>
        <v>0</v>
      </c>
      <c r="V256" s="76">
        <f>+IF(YEAR(V$139)=YEAR(Assumptions!$F$26),'S&amp;U'!$R$19,0)</f>
        <v>0</v>
      </c>
      <c r="W256" s="76">
        <f>+IF(YEAR(W$139)=YEAR(Assumptions!$F$26),'S&amp;U'!$R$19,0)</f>
        <v>0</v>
      </c>
      <c r="X256" s="76">
        <f>+IF(YEAR(X$139)=YEAR(Assumptions!$F$26),'S&amp;U'!$R$19,0)</f>
        <v>0</v>
      </c>
      <c r="Y256" s="76">
        <f>+IF(YEAR(Y$139)=YEAR(Assumptions!$F$26),'S&amp;U'!$R$19,0)</f>
        <v>0</v>
      </c>
      <c r="Z256" s="76">
        <f>+IF(YEAR(Z$139)=YEAR(Assumptions!$F$26),'S&amp;U'!$R$19,0)</f>
        <v>0</v>
      </c>
    </row>
    <row r="257" spans="2:26">
      <c r="B257" s="15" t="s">
        <v>261</v>
      </c>
      <c r="F257" s="76">
        <v>0</v>
      </c>
      <c r="G257" s="76">
        <v>0</v>
      </c>
      <c r="H257" s="76">
        <v>0</v>
      </c>
      <c r="I257" s="76">
        <v>0</v>
      </c>
      <c r="J257" s="76">
        <v>0</v>
      </c>
      <c r="K257" s="76">
        <v>0</v>
      </c>
      <c r="L257" s="76">
        <v>0</v>
      </c>
      <c r="M257" s="76">
        <v>0</v>
      </c>
      <c r="N257" s="76">
        <v>0</v>
      </c>
      <c r="O257" s="76">
        <v>0</v>
      </c>
      <c r="P257" s="76">
        <v>0</v>
      </c>
      <c r="Q257" s="76">
        <v>0</v>
      </c>
      <c r="R257" s="76">
        <v>0</v>
      </c>
      <c r="S257" s="76">
        <v>0</v>
      </c>
      <c r="T257" s="76">
        <v>0</v>
      </c>
      <c r="U257" s="76">
        <v>0</v>
      </c>
      <c r="V257" s="76">
        <v>0</v>
      </c>
      <c r="W257" s="76">
        <v>0</v>
      </c>
      <c r="X257" s="76">
        <v>0</v>
      </c>
      <c r="Y257" s="76">
        <v>0</v>
      </c>
      <c r="Z257" s="76">
        <v>0</v>
      </c>
    </row>
    <row r="258" spans="2:26">
      <c r="B258" s="15" t="s">
        <v>628</v>
      </c>
      <c r="F258" s="76">
        <f t="shared" ref="F258:N258" si="137">+SUM(F255:F257)</f>
        <v>0</v>
      </c>
      <c r="G258" s="76">
        <f t="shared" si="137"/>
        <v>0</v>
      </c>
      <c r="H258" s="76">
        <f t="shared" si="137"/>
        <v>0</v>
      </c>
      <c r="I258" s="76">
        <f t="shared" si="137"/>
        <v>2509346.6508854073</v>
      </c>
      <c r="J258" s="76">
        <f t="shared" si="137"/>
        <v>2509346.6508854073</v>
      </c>
      <c r="K258" s="76">
        <f t="shared" si="137"/>
        <v>2509346.6508854073</v>
      </c>
      <c r="L258" s="76">
        <f t="shared" si="137"/>
        <v>2509346.6508854073</v>
      </c>
      <c r="M258" s="76">
        <f t="shared" si="137"/>
        <v>2509346.6508854073</v>
      </c>
      <c r="N258" s="76">
        <f t="shared" si="137"/>
        <v>2509346.6508854073</v>
      </c>
      <c r="O258" s="76">
        <f t="shared" ref="O258" si="138">+SUM(O255:O257)</f>
        <v>2509346.6508854073</v>
      </c>
      <c r="P258" s="76">
        <f t="shared" ref="P258" si="139">+SUM(P255:P257)</f>
        <v>2509346.6508854073</v>
      </c>
      <c r="Q258" s="76">
        <f t="shared" ref="Q258" si="140">+SUM(Q255:Q257)</f>
        <v>2509346.6508854073</v>
      </c>
      <c r="R258" s="76">
        <f t="shared" ref="R258" si="141">+SUM(R255:R257)</f>
        <v>2509346.6508854073</v>
      </c>
      <c r="S258" s="76">
        <f t="shared" ref="S258" si="142">+SUM(S255:S257)</f>
        <v>2509346.6508854073</v>
      </c>
      <c r="T258" s="76">
        <f t="shared" ref="T258" si="143">+SUM(T255:T257)</f>
        <v>2509346.6508854073</v>
      </c>
      <c r="U258" s="76">
        <f t="shared" ref="U258" si="144">+SUM(U255:U257)</f>
        <v>2509346.6508854073</v>
      </c>
      <c r="V258" s="76">
        <f t="shared" ref="V258" si="145">+SUM(V255:V257)</f>
        <v>2509346.6508854073</v>
      </c>
      <c r="W258" s="76">
        <f t="shared" ref="W258" si="146">+SUM(W255:W257)</f>
        <v>2509346.6508854073</v>
      </c>
      <c r="X258" s="76">
        <f t="shared" ref="X258" si="147">+SUM(X255:X257)</f>
        <v>2509346.6508854073</v>
      </c>
      <c r="Y258" s="76">
        <f t="shared" ref="Y258" si="148">+SUM(Y255:Y257)</f>
        <v>2509346.6508854073</v>
      </c>
      <c r="Z258" s="76">
        <f t="shared" ref="Z258" si="149">+SUM(Z255:Z257)</f>
        <v>2509346.6508854073</v>
      </c>
    </row>
    <row r="260" spans="2:26">
      <c r="B260" s="21" t="s">
        <v>629</v>
      </c>
      <c r="F260" s="16">
        <f>+F258*Assumptions!$N$163</f>
        <v>0</v>
      </c>
      <c r="G260" s="16">
        <f>+G258*Assumptions!$N$163</f>
        <v>0</v>
      </c>
      <c r="H260" s="16">
        <f>+H258*Assumptions!$N$163</f>
        <v>0</v>
      </c>
      <c r="I260" s="16">
        <f>+I258*Assumptions!$N$163</f>
        <v>138014.06579869741</v>
      </c>
      <c r="J260" s="16">
        <f>+J258*Assumptions!$N$163</f>
        <v>138014.06579869741</v>
      </c>
      <c r="K260" s="16">
        <f>+K258*Assumptions!$N$163</f>
        <v>138014.06579869741</v>
      </c>
      <c r="L260" s="16">
        <f>+L258*Assumptions!$N$163</f>
        <v>138014.06579869741</v>
      </c>
      <c r="M260" s="16">
        <f>+M258*Assumptions!$N$163</f>
        <v>138014.06579869741</v>
      </c>
      <c r="N260" s="16">
        <f>+N258*Assumptions!$N$163</f>
        <v>138014.06579869741</v>
      </c>
      <c r="O260" s="16">
        <f>+O258*Assumptions!$N$163</f>
        <v>138014.06579869741</v>
      </c>
      <c r="P260" s="16">
        <f>+P258*Assumptions!$N$163</f>
        <v>138014.06579869741</v>
      </c>
      <c r="Q260" s="16">
        <f>+Q258*Assumptions!$N$163</f>
        <v>138014.06579869741</v>
      </c>
      <c r="R260" s="16">
        <f>+R258*Assumptions!$N$163</f>
        <v>138014.06579869741</v>
      </c>
      <c r="S260" s="16">
        <f>+S258*Assumptions!$N$163</f>
        <v>138014.06579869741</v>
      </c>
      <c r="T260" s="16">
        <f>+T258*Assumptions!$N$163</f>
        <v>138014.06579869741</v>
      </c>
      <c r="U260" s="16">
        <f>+U258*Assumptions!$N$163</f>
        <v>138014.06579869741</v>
      </c>
      <c r="V260" s="16">
        <f>+V258*Assumptions!$N$163</f>
        <v>138014.06579869741</v>
      </c>
      <c r="W260" s="16">
        <f>+W258*Assumptions!$N$163</f>
        <v>138014.06579869741</v>
      </c>
      <c r="X260" s="16">
        <f>+X258*Assumptions!$N$163</f>
        <v>138014.06579869741</v>
      </c>
      <c r="Y260" s="16">
        <f>+Y258*Assumptions!$N$163</f>
        <v>138014.06579869741</v>
      </c>
      <c r="Z260" s="16">
        <f>+Z258*Assumptions!$N$163</f>
        <v>138014.06579869741</v>
      </c>
    </row>
    <row r="261" spans="2:26">
      <c r="B261" s="62" t="s">
        <v>630</v>
      </c>
      <c r="C261" s="62"/>
      <c r="D261" s="62"/>
      <c r="E261" s="62"/>
      <c r="F261" s="58">
        <f t="shared" ref="F261" si="150">+F260-F257</f>
        <v>0</v>
      </c>
      <c r="G261" s="58">
        <f t="shared" ref="G261" si="151">+G260-G257</f>
        <v>0</v>
      </c>
      <c r="H261" s="58">
        <f t="shared" ref="H261" si="152">+H260-H257</f>
        <v>0</v>
      </c>
      <c r="I261" s="58">
        <f t="shared" ref="I261" si="153">+I260-I257</f>
        <v>138014.06579869741</v>
      </c>
      <c r="J261" s="58">
        <f t="shared" ref="J261" si="154">+J260-J257</f>
        <v>138014.06579869741</v>
      </c>
      <c r="K261" s="58">
        <f t="shared" ref="K261" si="155">+K260-K257</f>
        <v>138014.06579869741</v>
      </c>
      <c r="L261" s="58">
        <f>+L260-L257</f>
        <v>138014.06579869741</v>
      </c>
      <c r="M261" s="58">
        <f t="shared" ref="M261" si="156">+M260-M257</f>
        <v>138014.06579869741</v>
      </c>
      <c r="N261" s="58">
        <f t="shared" ref="N261" si="157">+N260-N257</f>
        <v>138014.06579869741</v>
      </c>
      <c r="O261" s="58">
        <f t="shared" ref="O261" si="158">+O260-O257</f>
        <v>138014.06579869741</v>
      </c>
      <c r="P261" s="58">
        <f t="shared" ref="P261" si="159">+P260-P257</f>
        <v>138014.06579869741</v>
      </c>
      <c r="Q261" s="58">
        <f t="shared" ref="Q261" si="160">+Q260-Q257</f>
        <v>138014.06579869741</v>
      </c>
      <c r="R261" s="58">
        <f t="shared" ref="R261" si="161">+R260-R257</f>
        <v>138014.06579869741</v>
      </c>
      <c r="S261" s="58">
        <f t="shared" ref="S261" si="162">+S260-S257</f>
        <v>138014.06579869741</v>
      </c>
      <c r="T261" s="58">
        <f t="shared" ref="T261" si="163">+T260-T257</f>
        <v>138014.06579869741</v>
      </c>
      <c r="U261" s="58">
        <f t="shared" ref="U261" si="164">+U260-U257</f>
        <v>138014.06579869741</v>
      </c>
      <c r="V261" s="58">
        <f t="shared" ref="V261" si="165">+V260-V257</f>
        <v>138014.06579869741</v>
      </c>
      <c r="W261" s="58">
        <f t="shared" ref="W261" si="166">+W260-W257</f>
        <v>138014.06579869741</v>
      </c>
      <c r="X261" s="58">
        <f t="shared" ref="X261" si="167">+X260-X257</f>
        <v>138014.06579869741</v>
      </c>
      <c r="Y261" s="58">
        <f t="shared" ref="Y261" si="168">+Y260-Y257</f>
        <v>138014.06579869741</v>
      </c>
      <c r="Z261" s="58">
        <f t="shared" ref="Z261" si="169">+Z260-Z257</f>
        <v>138014.06579869741</v>
      </c>
    </row>
    <row r="262" spans="2:26">
      <c r="B262" s="71" t="s">
        <v>259</v>
      </c>
      <c r="F262" s="90" t="str">
        <f t="shared" ref="F262" si="170">+IFERROR(F250/F261,"")</f>
        <v/>
      </c>
      <c r="G262" s="90" t="str">
        <f t="shared" ref="G262" si="171">+IFERROR(G250/G261,"")</f>
        <v/>
      </c>
      <c r="H262" s="90" t="str">
        <f t="shared" ref="H262" si="172">+IFERROR(H250/H261,"")</f>
        <v/>
      </c>
      <c r="I262" s="90">
        <f t="shared" ref="I262" si="173">+IFERROR(I250/I261,"")</f>
        <v>0.88397764265156131</v>
      </c>
      <c r="J262" s="90">
        <f t="shared" ref="J262" si="174">+IFERROR(J250/J261,"")</f>
        <v>1.3480836976901525</v>
      </c>
      <c r="K262" s="90">
        <f>+IFERROR(K250/K261,"")</f>
        <v>1.3333333333333333</v>
      </c>
      <c r="L262" s="90">
        <f t="shared" ref="L262" si="175">+IFERROR(L250/L261,"")</f>
        <v>1.5268481532424889</v>
      </c>
      <c r="M262" s="90">
        <f t="shared" ref="M262" si="176">+IFERROR(M250/M261,"")</f>
        <v>1.5115018741656541</v>
      </c>
      <c r="N262" s="90">
        <f t="shared" ref="N262" si="177">+IFERROR(N250/N261,"")</f>
        <v>1.495848669507283</v>
      </c>
      <c r="O262" s="90">
        <f t="shared" ref="O262" si="178">+IFERROR(O250/O261,"")</f>
        <v>1.4798824007557441</v>
      </c>
      <c r="P262" s="90">
        <f t="shared" ref="P262" si="179">+IFERROR(P250/P261,"")</f>
        <v>1.4635968066291745</v>
      </c>
      <c r="Q262" s="90">
        <f t="shared" ref="Q262" si="180">+IFERROR(Q250/Q261,"")</f>
        <v>1.6764017113284961</v>
      </c>
      <c r="R262" s="90">
        <f t="shared" ref="R262" si="181">+IFERROR(R250/R261,"")</f>
        <v>1.6594581791992131</v>
      </c>
      <c r="S262" s="90">
        <f t="shared" ref="S262" si="182">+IFERROR(S250/S261,"")</f>
        <v>1.6421757764273446</v>
      </c>
      <c r="T262" s="90">
        <f t="shared" ref="T262" si="183">+IFERROR(T250/T261,"")</f>
        <v>1.6245477256000385</v>
      </c>
      <c r="U262" s="90">
        <f t="shared" ref="U262" si="184">+IFERROR(U250/U261,"")</f>
        <v>1.6065671137561863</v>
      </c>
      <c r="V262" s="90">
        <f t="shared" ref="V262" si="185">+IFERROR(V250/V261,"")</f>
        <v>1.8405847214547222</v>
      </c>
      <c r="W262" s="90">
        <f t="shared" ref="W262" si="186">+IFERROR(W250/W261,"")</f>
        <v>1.8218776928923781</v>
      </c>
      <c r="X262" s="90">
        <f t="shared" ref="X262" si="187">+IFERROR(X250/X261,"")</f>
        <v>1.8027965237587873</v>
      </c>
      <c r="Y262" s="90">
        <f t="shared" ref="Y262" si="188">+IFERROR(Y250/Y261,"")</f>
        <v>1.7833337312425253</v>
      </c>
      <c r="Z262" s="90">
        <f t="shared" ref="Z262" si="189">+IFERROR(Z250/Z261,"")</f>
        <v>1.7634816828759372</v>
      </c>
    </row>
    <row r="264" spans="2:26">
      <c r="B264" s="21" t="s">
        <v>255</v>
      </c>
      <c r="F264" s="16">
        <f>+F256*Assumptions!$N$164</f>
        <v>0</v>
      </c>
      <c r="G264" s="16">
        <f>+G256*Assumptions!$N$164</f>
        <v>0</v>
      </c>
      <c r="H264" s="16">
        <f>+H256*Assumptions!$N$164</f>
        <v>0</v>
      </c>
      <c r="I264" s="16">
        <f>+I256*Assumptions!$N$164</f>
        <v>18820.099881640555</v>
      </c>
      <c r="J264" s="16">
        <f>+J256*Assumptions!$N$164</f>
        <v>0</v>
      </c>
      <c r="K264" s="16">
        <f>+K256*Assumptions!$N$164</f>
        <v>0</v>
      </c>
      <c r="L264" s="16">
        <f>+L256*Assumptions!$N$164</f>
        <v>0</v>
      </c>
      <c r="M264" s="16">
        <f>+M256*Assumptions!$N$164</f>
        <v>0</v>
      </c>
      <c r="N264" s="16">
        <f>+N256*Assumptions!$N$164</f>
        <v>0</v>
      </c>
      <c r="O264" s="16">
        <f>+O256*Assumptions!$N$164</f>
        <v>0</v>
      </c>
      <c r="P264" s="16">
        <f>+P256*Assumptions!$N$164</f>
        <v>0</v>
      </c>
      <c r="Q264" s="16">
        <f>+Q256*Assumptions!$N$164</f>
        <v>0</v>
      </c>
      <c r="R264" s="16">
        <f>+R256*Assumptions!$N$164</f>
        <v>0</v>
      </c>
      <c r="S264" s="16">
        <f>+S256*Assumptions!$N$164</f>
        <v>0</v>
      </c>
      <c r="T264" s="16">
        <f>+T256*Assumptions!$N$164</f>
        <v>0</v>
      </c>
      <c r="U264" s="16">
        <f>+U256*Assumptions!$N$164</f>
        <v>0</v>
      </c>
      <c r="V264" s="16">
        <f>+V256*Assumptions!$N$164</f>
        <v>0</v>
      </c>
      <c r="W264" s="16">
        <f>+W256*Assumptions!$N$164</f>
        <v>0</v>
      </c>
      <c r="X264" s="16">
        <f>+X256*Assumptions!$N$164</f>
        <v>0</v>
      </c>
      <c r="Y264" s="16">
        <f>+Y256*Assumptions!$N$164</f>
        <v>0</v>
      </c>
      <c r="Z264" s="16">
        <f>+Z256*Assumptions!$N$164</f>
        <v>0</v>
      </c>
    </row>
    <row r="266" spans="2:26">
      <c r="B266" s="62" t="s">
        <v>631</v>
      </c>
      <c r="C266" s="62"/>
      <c r="D266" s="62"/>
      <c r="E266" s="62"/>
      <c r="F266" s="58">
        <f>+F250-F261-F264</f>
        <v>0</v>
      </c>
      <c r="G266" s="58">
        <f t="shared" ref="G266:Z266" si="190">+G250-G261-G264</f>
        <v>0</v>
      </c>
      <c r="H266" s="58">
        <f t="shared" si="190"/>
        <v>0</v>
      </c>
      <c r="I266" s="58">
        <f t="shared" si="190"/>
        <v>-34832.817142847962</v>
      </c>
      <c r="J266" s="58">
        <f t="shared" si="190"/>
        <v>48040.446356462606</v>
      </c>
      <c r="K266" s="58">
        <f t="shared" si="190"/>
        <v>46004.688599565794</v>
      </c>
      <c r="L266" s="58">
        <f t="shared" si="190"/>
        <v>72712.455687531095</v>
      </c>
      <c r="M266" s="58">
        <f t="shared" si="190"/>
        <v>70594.453317255626</v>
      </c>
      <c r="N266" s="58">
        <f t="shared" si="190"/>
        <v>68434.090899574716</v>
      </c>
      <c r="O266" s="58">
        <f t="shared" si="190"/>
        <v>66230.521233540145</v>
      </c>
      <c r="P266" s="58">
        <f t="shared" si="190"/>
        <v>63982.880174184887</v>
      </c>
      <c r="Q266" s="58">
        <f t="shared" si="190"/>
        <v>93352.950293642585</v>
      </c>
      <c r="R266" s="58">
        <f t="shared" si="190"/>
        <v>91014.504535489395</v>
      </c>
      <c r="S266" s="58">
        <f t="shared" si="190"/>
        <v>88629.289862173144</v>
      </c>
      <c r="T266" s="58">
        <f t="shared" si="190"/>
        <v>86196.370895390515</v>
      </c>
      <c r="U266" s="58">
        <f t="shared" si="190"/>
        <v>83714.79354927229</v>
      </c>
      <c r="V266" s="58">
        <f t="shared" si="190"/>
        <v>116012.51505623176</v>
      </c>
      <c r="W266" s="58">
        <f t="shared" si="190"/>
        <v>113430.6819853303</v>
      </c>
      <c r="X266" s="58">
        <f t="shared" si="190"/>
        <v>110797.21225301083</v>
      </c>
      <c r="Y266" s="58">
        <f t="shared" si="190"/>
        <v>108111.07312604503</v>
      </c>
      <c r="Z266" s="58">
        <f t="shared" si="190"/>
        <v>105371.21121653984</v>
      </c>
    </row>
    <row r="268" spans="2:26" ht="15.75">
      <c r="B268" s="73" t="s">
        <v>656</v>
      </c>
    </row>
    <row r="269" spans="2:26">
      <c r="B269" s="15" t="s">
        <v>24</v>
      </c>
      <c r="F269" s="16">
        <f>+IF(YEAR(F$139)=YEAR(Assumptions!$F$30),F252,0)</f>
        <v>0</v>
      </c>
      <c r="G269" s="16">
        <f>+IF(YEAR(G$139)=YEAR(Assumptions!$F$30),G252,0)</f>
        <v>0</v>
      </c>
      <c r="H269" s="16">
        <f>+IF(YEAR(H$139)=YEAR(Assumptions!$F$30),H252,0)</f>
        <v>0</v>
      </c>
      <c r="I269" s="16">
        <f>+IF(YEAR(I$139)=YEAR(Assumptions!$F$30),I252,0)</f>
        <v>0</v>
      </c>
      <c r="J269" s="16">
        <f>+IF(YEAR(J$139)=YEAR(Assumptions!$F$30),J252,0)</f>
        <v>0</v>
      </c>
      <c r="K269" s="16">
        <f>+IF(YEAR(K$139)=YEAR(Assumptions!$F$30),K252,0)</f>
        <v>0</v>
      </c>
      <c r="L269" s="16">
        <f>+IF(YEAR(L$139)=YEAR(Assumptions!$F$30),L252,0)</f>
        <v>0</v>
      </c>
      <c r="M269" s="16">
        <f>+IF(YEAR(M$139)=YEAR(Assumptions!$F$30),M252,0)</f>
        <v>0</v>
      </c>
      <c r="N269" s="16">
        <f>+IF(YEAR(N$139)=YEAR(Assumptions!$F$30),N252,0)</f>
        <v>0</v>
      </c>
      <c r="O269" s="16">
        <f>+IF(YEAR(O$139)=YEAR(Assumptions!$F$30),O252,0)</f>
        <v>0</v>
      </c>
      <c r="P269" s="16">
        <f>+IF(YEAR(P$139)=YEAR(Assumptions!$F$30),P252,0)</f>
        <v>3672671.7449614964</v>
      </c>
      <c r="Q269" s="16">
        <f>+IF(YEAR(Q$139)=YEAR(Assumptions!$F$30),Q252,0)</f>
        <v>0</v>
      </c>
      <c r="R269" s="16">
        <f>+IF(YEAR(R$139)=YEAR(Assumptions!$F$30),R252,0)</f>
        <v>0</v>
      </c>
      <c r="S269" s="16">
        <f>+IF(YEAR(S$139)=YEAR(Assumptions!$F$30),S252,0)</f>
        <v>0</v>
      </c>
      <c r="T269" s="16">
        <f>+IF(YEAR(T$139)=YEAR(Assumptions!$F$30),T252,0)</f>
        <v>0</v>
      </c>
      <c r="U269" s="16">
        <f>+IF(YEAR(U$139)=YEAR(Assumptions!$F$30),U252,0)</f>
        <v>0</v>
      </c>
      <c r="V269" s="16">
        <f>+IF(YEAR(V$139)=YEAR(Assumptions!$F$30),V252,0)</f>
        <v>0</v>
      </c>
      <c r="W269" s="16">
        <f>+IF(YEAR(W$139)=YEAR(Assumptions!$F$30),W252,0)</f>
        <v>0</v>
      </c>
      <c r="X269" s="16">
        <f>+IF(YEAR(X$139)=YEAR(Assumptions!$F$30),X252,0)</f>
        <v>0</v>
      </c>
      <c r="Y269" s="16">
        <f>+IF(YEAR(Y$139)=YEAR(Assumptions!$F$30),Y252,0)</f>
        <v>0</v>
      </c>
      <c r="Z269" s="16">
        <f>+IF(YEAR(Z$139)=YEAR(Assumptions!$F$30),Z252,0)</f>
        <v>0</v>
      </c>
    </row>
    <row r="270" spans="2:26">
      <c r="B270" s="15" t="s">
        <v>634</v>
      </c>
      <c r="F270" s="76">
        <f>-F269*Assumptions!$N$136</f>
        <v>0</v>
      </c>
      <c r="G270" s="76">
        <f>-G269*Assumptions!$N$136</f>
        <v>0</v>
      </c>
      <c r="H270" s="76">
        <f>-H269*Assumptions!$N$136</f>
        <v>0</v>
      </c>
      <c r="I270" s="76">
        <f>-I269*Assumptions!$N$136</f>
        <v>0</v>
      </c>
      <c r="J270" s="76">
        <f>-J269*Assumptions!$N$136</f>
        <v>0</v>
      </c>
      <c r="K270" s="76">
        <f>-K269*Assumptions!$N$136</f>
        <v>0</v>
      </c>
      <c r="L270" s="76">
        <f>-L269*Assumptions!$N$136</f>
        <v>0</v>
      </c>
      <c r="M270" s="76">
        <f>-M269*Assumptions!$N$136</f>
        <v>0</v>
      </c>
      <c r="N270" s="76">
        <f>-N269*Assumptions!$N$136</f>
        <v>0</v>
      </c>
      <c r="O270" s="76">
        <f>-O269*Assumptions!$N$136</f>
        <v>0</v>
      </c>
      <c r="P270" s="76">
        <f>-P269*Assumptions!$N$136</f>
        <v>-73453.434899229935</v>
      </c>
      <c r="Q270" s="76">
        <f>-Q269*Assumptions!$N$136</f>
        <v>0</v>
      </c>
      <c r="R270" s="76">
        <f>-R269*Assumptions!$N$136</f>
        <v>0</v>
      </c>
      <c r="S270" s="76">
        <f>-S269*Assumptions!$N$136</f>
        <v>0</v>
      </c>
      <c r="T270" s="76">
        <f>-T269*Assumptions!$N$136</f>
        <v>0</v>
      </c>
      <c r="U270" s="76">
        <f>-U269*Assumptions!$N$136</f>
        <v>0</v>
      </c>
      <c r="V270" s="76">
        <f>-V269*Assumptions!$N$136</f>
        <v>0</v>
      </c>
      <c r="W270" s="76">
        <f>-W269*Assumptions!$N$136</f>
        <v>0</v>
      </c>
      <c r="X270" s="76">
        <f>-X269*Assumptions!$N$136</f>
        <v>0</v>
      </c>
      <c r="Y270" s="76">
        <f>-Y269*Assumptions!$N$136</f>
        <v>0</v>
      </c>
      <c r="Z270" s="76">
        <f>-Z269*Assumptions!$N$136</f>
        <v>0</v>
      </c>
    </row>
    <row r="271" spans="2:26">
      <c r="B271" s="15" t="s">
        <v>635</v>
      </c>
      <c r="F271" s="76">
        <f>+IF(YEAR(F$139)=YEAR(Assumptions!$F$30),-F258,0)</f>
        <v>0</v>
      </c>
      <c r="G271" s="76">
        <f>+IF(YEAR(G$139)=YEAR(Assumptions!$F$30),-G258,0)</f>
        <v>0</v>
      </c>
      <c r="H271" s="76">
        <f>+IF(YEAR(H$139)=YEAR(Assumptions!$F$30),-H258,0)</f>
        <v>0</v>
      </c>
      <c r="I271" s="76">
        <f>+IF(YEAR(I$139)=YEAR(Assumptions!$F$30),-I258,0)</f>
        <v>0</v>
      </c>
      <c r="J271" s="76">
        <f>+IF(YEAR(J$139)=YEAR(Assumptions!$F$30),-J258,0)</f>
        <v>0</v>
      </c>
      <c r="K271" s="76">
        <f>+IF(YEAR(K$139)=YEAR(Assumptions!$F$30),-K258,0)</f>
        <v>0</v>
      </c>
      <c r="L271" s="76">
        <f>+IF(YEAR(L$139)=YEAR(Assumptions!$F$30),-L258,0)</f>
        <v>0</v>
      </c>
      <c r="M271" s="76">
        <f>+IF(YEAR(M$139)=YEAR(Assumptions!$F$30),-M258,0)</f>
        <v>0</v>
      </c>
      <c r="N271" s="76">
        <f>+IF(YEAR(N$139)=YEAR(Assumptions!$F$30),-N258,0)</f>
        <v>0</v>
      </c>
      <c r="O271" s="76">
        <f>+IF(YEAR(O$139)=YEAR(Assumptions!$F$30),-O258,0)</f>
        <v>0</v>
      </c>
      <c r="P271" s="76">
        <f>+IF(YEAR(P$139)=YEAR(Assumptions!$F$30),-P258,0)</f>
        <v>-2509346.6508854073</v>
      </c>
      <c r="Q271" s="76">
        <f>+IF(YEAR(Q$139)=YEAR(Assumptions!$F$30),-Q258,0)</f>
        <v>0</v>
      </c>
      <c r="R271" s="76">
        <f>+IF(YEAR(R$139)=YEAR(Assumptions!$F$30),-R258,0)</f>
        <v>0</v>
      </c>
      <c r="S271" s="76">
        <f>+IF(YEAR(S$139)=YEAR(Assumptions!$F$30),-S258,0)</f>
        <v>0</v>
      </c>
      <c r="T271" s="76">
        <f>+IF(YEAR(T$139)=YEAR(Assumptions!$F$30),-T258,0)</f>
        <v>0</v>
      </c>
      <c r="U271" s="76">
        <f>+IF(YEAR(U$139)=YEAR(Assumptions!$F$30),-U258,0)</f>
        <v>0</v>
      </c>
      <c r="V271" s="76">
        <f>+IF(YEAR(V$139)=YEAR(Assumptions!$F$30),-V258,0)</f>
        <v>0</v>
      </c>
      <c r="W271" s="76">
        <f>+IF(YEAR(W$139)=YEAR(Assumptions!$F$30),-W258,0)</f>
        <v>0</v>
      </c>
      <c r="X271" s="76">
        <f>+IF(YEAR(X$139)=YEAR(Assumptions!$F$30),-X258,0)</f>
        <v>0</v>
      </c>
      <c r="Y271" s="76">
        <f>+IF(YEAR(Y$139)=YEAR(Assumptions!$F$30),-Y258,0)</f>
        <v>0</v>
      </c>
      <c r="Z271" s="76">
        <f>+IF(YEAR(Z$139)=YEAR(Assumptions!$F$30),-Z258,0)</f>
        <v>0</v>
      </c>
    </row>
    <row r="272" spans="2:26">
      <c r="B272" s="62" t="s">
        <v>636</v>
      </c>
      <c r="C272" s="62"/>
      <c r="D272" s="62"/>
      <c r="E272" s="62"/>
      <c r="F272" s="58">
        <f t="shared" ref="F272:Z272" si="191">+SUM(F269:F271)</f>
        <v>0</v>
      </c>
      <c r="G272" s="58">
        <f t="shared" si="191"/>
        <v>0</v>
      </c>
      <c r="H272" s="58">
        <f t="shared" si="191"/>
        <v>0</v>
      </c>
      <c r="I272" s="58">
        <f t="shared" si="191"/>
        <v>0</v>
      </c>
      <c r="J272" s="58">
        <f t="shared" si="191"/>
        <v>0</v>
      </c>
      <c r="K272" s="58">
        <f t="shared" si="191"/>
        <v>0</v>
      </c>
      <c r="L272" s="58">
        <f t="shared" si="191"/>
        <v>0</v>
      </c>
      <c r="M272" s="58">
        <f t="shared" si="191"/>
        <v>0</v>
      </c>
      <c r="N272" s="58">
        <f t="shared" si="191"/>
        <v>0</v>
      </c>
      <c r="O272" s="58">
        <f t="shared" si="191"/>
        <v>0</v>
      </c>
      <c r="P272" s="58">
        <f t="shared" si="191"/>
        <v>1089871.6591768591</v>
      </c>
      <c r="Q272" s="58">
        <f t="shared" si="191"/>
        <v>0</v>
      </c>
      <c r="R272" s="58">
        <f t="shared" si="191"/>
        <v>0</v>
      </c>
      <c r="S272" s="58">
        <f t="shared" si="191"/>
        <v>0</v>
      </c>
      <c r="T272" s="58">
        <f t="shared" si="191"/>
        <v>0</v>
      </c>
      <c r="U272" s="58">
        <f t="shared" si="191"/>
        <v>0</v>
      </c>
      <c r="V272" s="58">
        <f t="shared" si="191"/>
        <v>0</v>
      </c>
      <c r="W272" s="58">
        <f t="shared" si="191"/>
        <v>0</v>
      </c>
      <c r="X272" s="58">
        <f t="shared" si="191"/>
        <v>0</v>
      </c>
      <c r="Y272" s="58">
        <f t="shared" si="191"/>
        <v>0</v>
      </c>
      <c r="Z272" s="58">
        <f t="shared" si="191"/>
        <v>0</v>
      </c>
    </row>
    <row r="274" spans="2:26" ht="15.75">
      <c r="B274" s="687" t="s">
        <v>638</v>
      </c>
      <c r="C274" s="687"/>
      <c r="D274" s="687"/>
      <c r="E274" s="687"/>
      <c r="F274" s="550">
        <f>+IF(YEAR(F$139)&lt;=YEAR(Assumptions!$F$30),'Phase I Pro Forma'!F272+'Phase I Pro Forma'!F266,0)</f>
        <v>0</v>
      </c>
      <c r="G274" s="550">
        <f>+IF(YEAR(G$139)&lt;=YEAR(Assumptions!$F$30),'Phase I Pro Forma'!G272+'Phase I Pro Forma'!G266,0)</f>
        <v>0</v>
      </c>
      <c r="H274" s="550">
        <f>+IF(YEAR(H$139)&lt;=YEAR(Assumptions!$F$30),'Phase I Pro Forma'!H272+'Phase I Pro Forma'!H266,0)</f>
        <v>0</v>
      </c>
      <c r="I274" s="550">
        <f>+IF(YEAR(I$139)&lt;=YEAR(Assumptions!$F$30),'Phase I Pro Forma'!I272+'Phase I Pro Forma'!I266,0)</f>
        <v>-34832.817142847962</v>
      </c>
      <c r="J274" s="550">
        <f>+IF(YEAR(J$139)&lt;=YEAR(Assumptions!$F$30),'Phase I Pro Forma'!J272+'Phase I Pro Forma'!J266,0)</f>
        <v>48040.446356462606</v>
      </c>
      <c r="K274" s="550">
        <f>+IF(YEAR(K$139)&lt;=YEAR(Assumptions!$F$30),'Phase I Pro Forma'!K272+'Phase I Pro Forma'!K266,0)</f>
        <v>46004.688599565794</v>
      </c>
      <c r="L274" s="550">
        <f>+IF(YEAR(L$139)&lt;=YEAR(Assumptions!$F$30),'Phase I Pro Forma'!L272+'Phase I Pro Forma'!L266,0)</f>
        <v>72712.455687531095</v>
      </c>
      <c r="M274" s="550">
        <f>+IF(YEAR(M$139)&lt;=YEAR(Assumptions!$F$30),'Phase I Pro Forma'!M272+'Phase I Pro Forma'!M266,0)</f>
        <v>70594.453317255626</v>
      </c>
      <c r="N274" s="550">
        <f>+IF(YEAR(N$139)&lt;=YEAR(Assumptions!$F$30),'Phase I Pro Forma'!N272+'Phase I Pro Forma'!N266,0)</f>
        <v>68434.090899574716</v>
      </c>
      <c r="O274" s="550">
        <f>+IF(YEAR(O$139)&lt;=YEAR(Assumptions!$F$30),'Phase I Pro Forma'!O272+'Phase I Pro Forma'!O266,0)</f>
        <v>66230.521233540145</v>
      </c>
      <c r="P274" s="550">
        <f>+IF(YEAR(P$139)&lt;=YEAR(Assumptions!$F$30),'Phase I Pro Forma'!P272+'Phase I Pro Forma'!P266,0)</f>
        <v>1153854.539351044</v>
      </c>
      <c r="Q274" s="550">
        <f>+IF(YEAR(Q$139)&lt;=YEAR(Assumptions!$F$30),'Phase I Pro Forma'!Q272+'Phase I Pro Forma'!Q266,0)</f>
        <v>0</v>
      </c>
      <c r="R274" s="550">
        <f>+IF(YEAR(R$139)&lt;=YEAR(Assumptions!$F$30),'Phase I Pro Forma'!R272+'Phase I Pro Forma'!R266,0)</f>
        <v>0</v>
      </c>
      <c r="S274" s="550">
        <f>+IF(YEAR(S$139)&lt;=YEAR(Assumptions!$F$30),'Phase I Pro Forma'!S272+'Phase I Pro Forma'!S266,0)</f>
        <v>0</v>
      </c>
      <c r="T274" s="550">
        <f>+IF(YEAR(T$139)&lt;=YEAR(Assumptions!$F$30),'Phase I Pro Forma'!T272+'Phase I Pro Forma'!T266,0)</f>
        <v>0</v>
      </c>
      <c r="U274" s="550">
        <f>+IF(YEAR(U$139)&lt;=YEAR(Assumptions!$F$30),'Phase I Pro Forma'!U272+'Phase I Pro Forma'!U266,0)</f>
        <v>0</v>
      </c>
      <c r="V274" s="550">
        <f>+IF(YEAR(V$139)&lt;=YEAR(Assumptions!$F$30),'Phase I Pro Forma'!V272+'Phase I Pro Forma'!V266,0)</f>
        <v>0</v>
      </c>
      <c r="W274" s="550">
        <f>+IF(YEAR(W$139)&lt;=YEAR(Assumptions!$F$30),'Phase I Pro Forma'!W272+'Phase I Pro Forma'!W266,0)</f>
        <v>0</v>
      </c>
      <c r="X274" s="550">
        <f>+IF(YEAR(X$139)&lt;=YEAR(Assumptions!$F$30),'Phase I Pro Forma'!X272+'Phase I Pro Forma'!X266,0)</f>
        <v>0</v>
      </c>
      <c r="Y274" s="550">
        <f>+IF(YEAR(Y$139)&lt;=YEAR(Assumptions!$F$30),'Phase I Pro Forma'!Y272+'Phase I Pro Forma'!Y266,0)</f>
        <v>0</v>
      </c>
      <c r="Z274" s="550">
        <f>+IF(YEAR(Z$139)&lt;=YEAR(Assumptions!$F$30),'Phase I Pro Forma'!Z272+'Phase I Pro Forma'!Z266,0)</f>
        <v>0</v>
      </c>
    </row>
    <row r="276" spans="2:26" ht="15.75">
      <c r="B276" s="687" t="s">
        <v>657</v>
      </c>
      <c r="C276" s="687"/>
      <c r="D276" s="687"/>
      <c r="E276" s="687"/>
      <c r="F276" s="550">
        <f t="shared" ref="F276:Z276" si="192">+F274+F229+F161</f>
        <v>0</v>
      </c>
      <c r="G276" s="550">
        <f t="shared" si="192"/>
        <v>0</v>
      </c>
      <c r="H276" s="550">
        <f t="shared" si="192"/>
        <v>0</v>
      </c>
      <c r="I276" s="550">
        <f t="shared" ca="1" si="192"/>
        <v>24997086.071295984</v>
      </c>
      <c r="J276" s="550">
        <f t="shared" ca="1" si="192"/>
        <v>1482510.1600674104</v>
      </c>
      <c r="K276" s="550">
        <f t="shared" ca="1" si="192"/>
        <v>1737364.4653909327</v>
      </c>
      <c r="L276" s="550">
        <f t="shared" ca="1" si="192"/>
        <v>8089716.1966364617</v>
      </c>
      <c r="M276" s="550">
        <f t="shared" ca="1" si="192"/>
        <v>8404916.6869085431</v>
      </c>
      <c r="N276" s="550">
        <f t="shared" ca="1" si="192"/>
        <v>8687347.1924955491</v>
      </c>
      <c r="O276" s="550">
        <f t="shared" ca="1" si="192"/>
        <v>10975494.559295524</v>
      </c>
      <c r="P276" s="550">
        <f t="shared" ca="1" si="192"/>
        <v>262491507.16244817</v>
      </c>
      <c r="Q276" s="550">
        <f t="shared" si="192"/>
        <v>0</v>
      </c>
      <c r="R276" s="550">
        <f t="shared" si="192"/>
        <v>0</v>
      </c>
      <c r="S276" s="550">
        <f t="shared" si="192"/>
        <v>0</v>
      </c>
      <c r="T276" s="550">
        <f t="shared" si="192"/>
        <v>0</v>
      </c>
      <c r="U276" s="550">
        <f t="shared" si="192"/>
        <v>0</v>
      </c>
      <c r="V276" s="550">
        <f t="shared" si="192"/>
        <v>0</v>
      </c>
      <c r="W276" s="550">
        <f t="shared" si="192"/>
        <v>0</v>
      </c>
      <c r="X276" s="550">
        <f t="shared" si="192"/>
        <v>0</v>
      </c>
      <c r="Y276" s="550">
        <f t="shared" si="192"/>
        <v>0</v>
      </c>
      <c r="Z276" s="550">
        <f t="shared" si="192"/>
        <v>0</v>
      </c>
    </row>
    <row r="278" spans="2:26">
      <c r="B278" s="21" t="s">
        <v>658</v>
      </c>
      <c r="F278" s="16">
        <f ca="1">+F155+F299</f>
        <v>0</v>
      </c>
      <c r="G278" s="16">
        <f ca="1">+G155+G299</f>
        <v>134452109.57398552</v>
      </c>
      <c r="H278" s="16">
        <f ca="1">+H155+H299</f>
        <v>98544179.957813263</v>
      </c>
      <c r="I278" s="16">
        <f ca="1">+I155+I299</f>
        <v>57159011.937496722</v>
      </c>
      <c r="J278" s="16">
        <f t="shared" ref="J278:Z278" ca="1" si="193">+J155+J299</f>
        <v>2590232.4229229391</v>
      </c>
      <c r="K278" s="16">
        <f t="shared" ca="1" si="193"/>
        <v>0</v>
      </c>
      <c r="L278" s="16">
        <f t="shared" ca="1" si="193"/>
        <v>0</v>
      </c>
      <c r="M278" s="16">
        <f t="shared" ca="1" si="193"/>
        <v>0</v>
      </c>
      <c r="N278" s="16">
        <f t="shared" ca="1" si="193"/>
        <v>0</v>
      </c>
      <c r="O278" s="16">
        <f t="shared" ca="1" si="193"/>
        <v>0</v>
      </c>
      <c r="P278" s="16">
        <f t="shared" ca="1" si="193"/>
        <v>-4200293.3003774881</v>
      </c>
      <c r="Q278" s="16">
        <f t="shared" ca="1" si="193"/>
        <v>0</v>
      </c>
      <c r="R278" s="16">
        <f t="shared" ca="1" si="193"/>
        <v>0</v>
      </c>
      <c r="S278" s="16">
        <f t="shared" ca="1" si="193"/>
        <v>0</v>
      </c>
      <c r="T278" s="16">
        <f t="shared" ca="1" si="193"/>
        <v>0</v>
      </c>
      <c r="U278" s="16">
        <f t="shared" ca="1" si="193"/>
        <v>0</v>
      </c>
      <c r="V278" s="16">
        <f t="shared" ca="1" si="193"/>
        <v>0</v>
      </c>
      <c r="W278" s="16">
        <f t="shared" ca="1" si="193"/>
        <v>0</v>
      </c>
      <c r="X278" s="16">
        <f t="shared" ca="1" si="193"/>
        <v>0</v>
      </c>
      <c r="Y278" s="16">
        <f t="shared" ca="1" si="193"/>
        <v>0</v>
      </c>
      <c r="Z278" s="16">
        <f t="shared" ca="1" si="193"/>
        <v>0</v>
      </c>
    </row>
    <row r="279" spans="2:26">
      <c r="B279" s="21" t="s">
        <v>659</v>
      </c>
      <c r="F279" s="16">
        <f>-F271+F261-F226+F216-F157+F146+F219+F149+F264</f>
        <v>0</v>
      </c>
      <c r="G279" s="16">
        <f t="shared" ref="G279:Z279" si="194">-G271+G261-G226+G216-G157+G146+G219+G149+G264</f>
        <v>0</v>
      </c>
      <c r="H279" s="16">
        <f t="shared" si="194"/>
        <v>0</v>
      </c>
      <c r="I279" s="366">
        <v>0</v>
      </c>
      <c r="J279" s="16">
        <f t="shared" si="194"/>
        <v>21498085.837996561</v>
      </c>
      <c r="K279" s="16">
        <f t="shared" si="194"/>
        <v>21498085.837996561</v>
      </c>
      <c r="L279" s="16">
        <f t="shared" si="194"/>
        <v>21498085.837996561</v>
      </c>
      <c r="M279" s="16">
        <f t="shared" si="194"/>
        <v>21498085.837996557</v>
      </c>
      <c r="N279" s="16">
        <f t="shared" si="194"/>
        <v>21498085.837996561</v>
      </c>
      <c r="O279" s="16">
        <f t="shared" si="194"/>
        <v>21498085.837996565</v>
      </c>
      <c r="P279" s="16">
        <f t="shared" si="194"/>
        <v>271508436.49629629</v>
      </c>
      <c r="Q279" s="16">
        <f t="shared" si="194"/>
        <v>21498085.837996561</v>
      </c>
      <c r="R279" s="16">
        <f t="shared" si="194"/>
        <v>21498085.837996561</v>
      </c>
      <c r="S279" s="16">
        <f t="shared" si="194"/>
        <v>21498085.837996565</v>
      </c>
      <c r="T279" s="16">
        <f t="shared" si="194"/>
        <v>21498085.837996561</v>
      </c>
      <c r="U279" s="16">
        <f t="shared" si="194"/>
        <v>21498085.837996561</v>
      </c>
      <c r="V279" s="16">
        <f t="shared" si="194"/>
        <v>21498085.837996561</v>
      </c>
      <c r="W279" s="16">
        <f t="shared" si="194"/>
        <v>21498085.837996561</v>
      </c>
      <c r="X279" s="16">
        <f t="shared" si="194"/>
        <v>21498085.837996561</v>
      </c>
      <c r="Y279" s="16">
        <f t="shared" si="194"/>
        <v>21498085.837996561</v>
      </c>
      <c r="Z279" s="16">
        <f t="shared" si="194"/>
        <v>21498085.837996561</v>
      </c>
    </row>
    <row r="281" spans="2:26" ht="15.75">
      <c r="B281" s="444" t="s">
        <v>660</v>
      </c>
      <c r="C281" s="445"/>
      <c r="D281" s="445"/>
      <c r="E281" s="445"/>
      <c r="F281" s="640"/>
      <c r="G281" s="640"/>
      <c r="H281" s="640"/>
      <c r="I281" s="640"/>
      <c r="J281" s="640"/>
      <c r="K281" s="640"/>
      <c r="L281" s="640"/>
      <c r="M281" s="640"/>
      <c r="N281" s="640"/>
      <c r="O281" s="640"/>
      <c r="P281" s="640"/>
      <c r="Q281" s="640"/>
      <c r="R281" s="640"/>
      <c r="S281" s="640"/>
      <c r="T281" s="640"/>
      <c r="U281" s="640"/>
      <c r="V281" s="640"/>
      <c r="W281" s="640"/>
      <c r="X281" s="640"/>
      <c r="Y281" s="640"/>
      <c r="Z281" s="640"/>
    </row>
    <row r="283" spans="2:26" ht="15.75">
      <c r="B283" s="73" t="s">
        <v>661</v>
      </c>
      <c r="F283" s="75">
        <f>+Assumptions!$F$22</f>
        <v>44561</v>
      </c>
      <c r="G283" s="75">
        <f>+EOMONTH(F283,12)</f>
        <v>44926</v>
      </c>
      <c r="H283" s="75">
        <f t="shared" ref="H283" si="195">+EOMONTH(G283,12)</f>
        <v>45291</v>
      </c>
      <c r="I283" s="75">
        <f>+EOMONTH(H283,12)</f>
        <v>45657</v>
      </c>
      <c r="J283" s="75">
        <f>+EOMONTH(I283,12)</f>
        <v>46022</v>
      </c>
      <c r="K283" s="75">
        <f t="shared" ref="K283" si="196">+EOMONTH(J283,12)</f>
        <v>46387</v>
      </c>
      <c r="L283" s="75">
        <f t="shared" ref="L283" si="197">+EOMONTH(K283,12)</f>
        <v>46752</v>
      </c>
      <c r="M283" s="75">
        <f t="shared" ref="M283" si="198">+EOMONTH(L283,12)</f>
        <v>47118</v>
      </c>
      <c r="N283" s="75">
        <f t="shared" ref="N283" si="199">+EOMONTH(M283,12)</f>
        <v>47483</v>
      </c>
      <c r="O283" s="75">
        <f t="shared" ref="O283" si="200">+EOMONTH(N283,12)</f>
        <v>47848</v>
      </c>
      <c r="P283" s="75">
        <f t="shared" ref="P283" si="201">+EOMONTH(O283,12)</f>
        <v>48213</v>
      </c>
      <c r="Q283" s="75">
        <f t="shared" ref="Q283" si="202">+EOMONTH(P283,12)</f>
        <v>48579</v>
      </c>
      <c r="R283" s="75">
        <f t="shared" ref="R283" si="203">+EOMONTH(Q283,12)</f>
        <v>48944</v>
      </c>
      <c r="S283" s="75">
        <f t="shared" ref="S283" si="204">+EOMONTH(R283,12)</f>
        <v>49309</v>
      </c>
      <c r="T283" s="75">
        <f t="shared" ref="T283" si="205">+EOMONTH(S283,12)</f>
        <v>49674</v>
      </c>
      <c r="U283" s="75">
        <f t="shared" ref="U283" si="206">+EOMONTH(T283,12)</f>
        <v>50040</v>
      </c>
      <c r="V283" s="75">
        <f t="shared" ref="V283" si="207">+EOMONTH(U283,12)</f>
        <v>50405</v>
      </c>
      <c r="W283" s="75">
        <f t="shared" ref="W283" si="208">+EOMONTH(V283,12)</f>
        <v>50770</v>
      </c>
      <c r="X283" s="75">
        <f t="shared" ref="X283" si="209">+EOMONTH(W283,12)</f>
        <v>51135</v>
      </c>
      <c r="Y283" s="75">
        <f t="shared" ref="Y283" si="210">+EOMONTH(X283,12)</f>
        <v>51501</v>
      </c>
      <c r="Z283" s="75">
        <f t="shared" ref="Z283" si="211">+EOMONTH(Y283,12)</f>
        <v>51866</v>
      </c>
    </row>
    <row r="284" spans="2:26" ht="15.75">
      <c r="B284" s="15" t="s">
        <v>342</v>
      </c>
      <c r="D284" s="26">
        <f>+SUM(F284:Z284)</f>
        <v>69576802</v>
      </c>
      <c r="E284" s="26"/>
      <c r="F284" s="16">
        <f>+IF(AND(F$283&gt;=Assumptions!$F$22,F$283&lt;Assumptions!$F$24),'S&amp;U'!$H7/ROUNDUP(Assumptions!$F$23/12,0),IF(AND(F$283&gt;=Assumptions!$F$24,F$283&lt;Assumptions!$F$26),'S&amp;U'!$H39/ROUNDUP(Assumptions!$F$25/12,0),0))</f>
        <v>69576802</v>
      </c>
      <c r="G284" s="16">
        <f>+IF(AND(G$283&gt;=Assumptions!$F$22,G$283&lt;Assumptions!$F$24),'S&amp;U'!$H7/ROUNDUP(Assumptions!$F$23/12,0),IF(AND(G$283&gt;=Assumptions!$F$24,G$283&lt;Assumptions!$F$26),'S&amp;U'!$H39/ROUNDUP(Assumptions!$F$25/12,0),0))</f>
        <v>0</v>
      </c>
      <c r="H284" s="16">
        <f>+IF(AND(H$283&gt;=Assumptions!$F$22,H$283&lt;Assumptions!$F$24),'S&amp;U'!$H7/ROUNDUP(Assumptions!$F$23/12,0),IF(AND(H$283&gt;=Assumptions!$F$24,H$283&lt;Assumptions!$F$26),'S&amp;U'!$H39/ROUNDUP(Assumptions!$F$25/12,0),0))</f>
        <v>0</v>
      </c>
      <c r="I284" s="16">
        <f>+IF(AND(I$283&gt;=Assumptions!$F$22,I$283&lt;Assumptions!$F$24),'S&amp;U'!$H7/ROUNDUP(Assumptions!$F$23/12,0),IF(AND(I$283&gt;=Assumptions!$F$24,I$283&lt;Assumptions!$F$26),'S&amp;U'!$H39/ROUNDUP(Assumptions!$F$25/12,0),0))</f>
        <v>0</v>
      </c>
      <c r="J284" s="16">
        <f>+IF(AND(J$283&gt;=Assumptions!$F$22,J$283&lt;Assumptions!$F$24),'S&amp;U'!$H7/ROUNDUP(Assumptions!$F$23/12,0),IF(AND(J$283&gt;=Assumptions!$F$24,J$283&lt;Assumptions!$F$26),'S&amp;U'!$H39/ROUNDUP(Assumptions!$F$25/12,0),0))</f>
        <v>0</v>
      </c>
      <c r="K284" s="16">
        <f>+IF(AND(K$283&gt;=Assumptions!$F$22,K$283&lt;Assumptions!$F$24),'S&amp;U'!$H7/ROUNDUP(Assumptions!$F$23/12,0),IF(AND(K$283&gt;=Assumptions!$F$24,K$283&lt;Assumptions!$F$26),'S&amp;U'!$H39/ROUNDUP(Assumptions!$F$25/12,0),0))</f>
        <v>0</v>
      </c>
      <c r="L284" s="16">
        <f>+IF(AND(L$283&gt;=Assumptions!$F$22,L$283&lt;Assumptions!$F$24),'S&amp;U'!$H7/ROUNDUP(Assumptions!$F$23/12,0),IF(AND(L$283&gt;=Assumptions!$F$24,L$283&lt;Assumptions!$F$26),'S&amp;U'!$H39/ROUNDUP(Assumptions!$F$25/12,0),0))</f>
        <v>0</v>
      </c>
      <c r="M284" s="16">
        <f>+IF(AND(M$283&gt;=Assumptions!$F$22,M$283&lt;Assumptions!$F$24),'S&amp;U'!$H7/ROUNDUP(Assumptions!$F$23/12,0),IF(AND(M$283&gt;=Assumptions!$F$24,M$283&lt;Assumptions!$F$26),'S&amp;U'!$H39/ROUNDUP(Assumptions!$F$25/12,0),0))</f>
        <v>0</v>
      </c>
      <c r="N284" s="16">
        <f>+IF(AND(N$283&gt;=Assumptions!$F$22,N$283&lt;Assumptions!$F$24),'S&amp;U'!$H7/ROUNDUP(Assumptions!$F$23/12,0),IF(AND(N$283&gt;=Assumptions!$F$24,N$283&lt;Assumptions!$F$26),'S&amp;U'!$H39/ROUNDUP(Assumptions!$F$25/12,0),0))</f>
        <v>0</v>
      </c>
      <c r="O284" s="16">
        <f>+IF(AND(O$283&gt;=Assumptions!$F$22,O$283&lt;Assumptions!$F$24),'S&amp;U'!$H7/ROUNDUP(Assumptions!$F$23/12,0),IF(AND(O$283&gt;=Assumptions!$F$24,O$283&lt;Assumptions!$F$26),'S&amp;U'!$H39/ROUNDUP(Assumptions!$F$25/12,0),0))</f>
        <v>0</v>
      </c>
      <c r="P284" s="16">
        <f>+IF(AND(P$283&gt;=Assumptions!$F$22,P$283&lt;Assumptions!$F$24),'S&amp;U'!$H7/ROUNDUP(Assumptions!$F$23/12,0),IF(AND(P$283&gt;=Assumptions!$F$24,P$283&lt;Assumptions!$F$26),'S&amp;U'!$H39/ROUNDUP(Assumptions!$F$25/12,0),0))</f>
        <v>0</v>
      </c>
      <c r="Q284" s="16">
        <f>+IF(AND(Q$283&gt;=Assumptions!$F$22,Q$283&lt;Assumptions!$F$24),'S&amp;U'!$H7/ROUNDUP(Assumptions!$F$23/12,0),IF(AND(Q$283&gt;=Assumptions!$F$24,Q$283&lt;Assumptions!$F$26),'S&amp;U'!$H39/ROUNDUP(Assumptions!$F$25/12,0),0))</f>
        <v>0</v>
      </c>
      <c r="R284" s="16">
        <f>+IF(AND(R$283&gt;=Assumptions!$F$22,R$283&lt;Assumptions!$F$24),'S&amp;U'!$H7/ROUNDUP(Assumptions!$F$23/12,0),IF(AND(R$283&gt;=Assumptions!$F$24,R$283&lt;Assumptions!$F$26),'S&amp;U'!$H39/ROUNDUP(Assumptions!$F$25/12,0),0))</f>
        <v>0</v>
      </c>
      <c r="S284" s="16">
        <f>+IF(AND(S$283&gt;=Assumptions!$F$22,S$283&lt;Assumptions!$F$24),'S&amp;U'!$H7/ROUNDUP(Assumptions!$F$23/12,0),IF(AND(S$283&gt;=Assumptions!$F$24,S$283&lt;Assumptions!$F$26),'S&amp;U'!$H39/ROUNDUP(Assumptions!$F$25/12,0),0))</f>
        <v>0</v>
      </c>
      <c r="T284" s="16">
        <f>+IF(AND(T$283&gt;=Assumptions!$F$22,T$283&lt;Assumptions!$F$24),'S&amp;U'!$H7/ROUNDUP(Assumptions!$F$23/12,0),IF(AND(T$283&gt;=Assumptions!$F$24,T$283&lt;Assumptions!$F$26),'S&amp;U'!$H39/ROUNDUP(Assumptions!$F$25/12,0),0))</f>
        <v>0</v>
      </c>
      <c r="U284" s="16">
        <f>+IF(AND(U$283&gt;=Assumptions!$F$22,U$283&lt;Assumptions!$F$24),'S&amp;U'!$H7/ROUNDUP(Assumptions!$F$23/12,0),IF(AND(U$283&gt;=Assumptions!$F$24,U$283&lt;Assumptions!$F$26),'S&amp;U'!$H39/ROUNDUP(Assumptions!$F$25/12,0),0))</f>
        <v>0</v>
      </c>
      <c r="V284" s="16">
        <f>+IF(AND(V$283&gt;=Assumptions!$F$22,V$283&lt;Assumptions!$F$24),'S&amp;U'!$H7/ROUNDUP(Assumptions!$F$23/12,0),IF(AND(V$283&gt;=Assumptions!$F$24,V$283&lt;Assumptions!$F$26),'S&amp;U'!$H39/ROUNDUP(Assumptions!$F$25/12,0),0))</f>
        <v>0</v>
      </c>
      <c r="W284" s="16">
        <f>+IF(AND(W$283&gt;=Assumptions!$F$22,W$283&lt;Assumptions!$F$24),'S&amp;U'!$H7/ROUNDUP(Assumptions!$F$23/12,0),IF(AND(W$283&gt;=Assumptions!$F$24,W$283&lt;Assumptions!$F$26),'S&amp;U'!$H39/ROUNDUP(Assumptions!$F$25/12,0),0))</f>
        <v>0</v>
      </c>
      <c r="X284" s="16">
        <f>+IF(AND(X$283&gt;=Assumptions!$F$22,X$283&lt;Assumptions!$F$24),'S&amp;U'!$H7/ROUNDUP(Assumptions!$F$23/12,0),IF(AND(X$283&gt;=Assumptions!$F$24,X$283&lt;Assumptions!$F$26),'S&amp;U'!$H39/ROUNDUP(Assumptions!$F$25/12,0),0))</f>
        <v>0</v>
      </c>
      <c r="Y284" s="16">
        <f>+IF(AND(Y$283&gt;=Assumptions!$F$22,Y$283&lt;Assumptions!$F$24),'S&amp;U'!$H7/ROUNDUP(Assumptions!$F$23/12,0),IF(AND(Y$283&gt;=Assumptions!$F$24,Y$283&lt;Assumptions!$F$26),'S&amp;U'!$H39/ROUNDUP(Assumptions!$F$25/12,0),0))</f>
        <v>0</v>
      </c>
      <c r="Z284" s="16">
        <f>+IF(AND(Z$283&gt;=Assumptions!$F$22,Z$283&lt;Assumptions!$F$24),'S&amp;U'!$H7/ROUNDUP(Assumptions!$F$23/12,0),IF(AND(Z$283&gt;=Assumptions!$F$24,Z$283&lt;Assumptions!$F$26),'S&amp;U'!$H39/ROUNDUP(Assumptions!$F$25/12,0),0))</f>
        <v>0</v>
      </c>
    </row>
    <row r="285" spans="2:26" ht="15.75">
      <c r="B285" s="15" t="s">
        <v>90</v>
      </c>
      <c r="D285" s="26">
        <f t="shared" ref="D285:D290" si="212">+SUM(F285:Z285)</f>
        <v>4779023.2142857146</v>
      </c>
      <c r="E285" s="26"/>
      <c r="F285" s="76">
        <f>+IF(AND(F$283&gt;=Assumptions!$F$22,F$283&lt;Assumptions!$F$24),'S&amp;U'!$H8/ROUNDUP(Assumptions!$F$23/12,0),IF(AND(F$283&gt;=Assumptions!$F$24,F$283&lt;Assumptions!$F$26),'S&amp;U'!$H40/ROUNDUP(Assumptions!$F$25/12,0),0))</f>
        <v>4779023.2142857146</v>
      </c>
      <c r="G285" s="76">
        <f>+IF(AND(G$283&gt;=Assumptions!$F$22,G$283&lt;Assumptions!$F$24),'S&amp;U'!$H8/ROUNDUP(Assumptions!$F$23/12,0),IF(AND(G$283&gt;=Assumptions!$F$24,G$283&lt;Assumptions!$F$26),'S&amp;U'!$H40/ROUNDUP(Assumptions!$F$25/12,0),0))</f>
        <v>0</v>
      </c>
      <c r="H285" s="76">
        <f>+IF(AND(H$283&gt;=Assumptions!$F$22,H$283&lt;Assumptions!$F$24),'S&amp;U'!$H8/ROUNDUP(Assumptions!$F$23/12,0),IF(AND(H$283&gt;=Assumptions!$F$24,H$283&lt;Assumptions!$F$26),'S&amp;U'!$H40/ROUNDUP(Assumptions!$F$25/12,0),0))</f>
        <v>0</v>
      </c>
      <c r="I285" s="76">
        <f>+IF(AND(I$283&gt;=Assumptions!$F$22,I$283&lt;Assumptions!$F$24),'S&amp;U'!$H8/ROUNDUP(Assumptions!$F$23/12,0),IF(AND(I$283&gt;=Assumptions!$F$24,I$283&lt;Assumptions!$F$26),'S&amp;U'!$H40/ROUNDUP(Assumptions!$F$25/12,0),0))</f>
        <v>0</v>
      </c>
      <c r="J285" s="76">
        <f>+IF(AND(J$283&gt;=Assumptions!$F$22,J$283&lt;Assumptions!$F$24),'S&amp;U'!$H8/ROUNDUP(Assumptions!$F$23/12,0),IF(AND(J$283&gt;=Assumptions!$F$24,J$283&lt;Assumptions!$F$26),'S&amp;U'!$H40/ROUNDUP(Assumptions!$F$25/12,0),0))</f>
        <v>0</v>
      </c>
      <c r="K285" s="76">
        <f>+IF(AND(K$283&gt;=Assumptions!$F$22,K$283&lt;Assumptions!$F$24),'S&amp;U'!$H8/ROUNDUP(Assumptions!$F$23/12,0),IF(AND(K$283&gt;=Assumptions!$F$24,K$283&lt;Assumptions!$F$26),'S&amp;U'!$H40/ROUNDUP(Assumptions!$F$25/12,0),0))</f>
        <v>0</v>
      </c>
      <c r="L285" s="76">
        <f>+IF(AND(L$283&gt;=Assumptions!$F$22,L$283&lt;Assumptions!$F$24),'S&amp;U'!$H8/ROUNDUP(Assumptions!$F$23/12,0),IF(AND(L$283&gt;=Assumptions!$F$24,L$283&lt;Assumptions!$F$26),'S&amp;U'!$H40/ROUNDUP(Assumptions!$F$25/12,0),0))</f>
        <v>0</v>
      </c>
      <c r="M285" s="76">
        <f>+IF(AND(M$283&gt;=Assumptions!$F$22,M$283&lt;Assumptions!$F$24),'S&amp;U'!$H8/ROUNDUP(Assumptions!$F$23/12,0),IF(AND(M$283&gt;=Assumptions!$F$24,M$283&lt;Assumptions!$F$26),'S&amp;U'!$H40/ROUNDUP(Assumptions!$F$25/12,0),0))</f>
        <v>0</v>
      </c>
      <c r="N285" s="76">
        <f>+IF(AND(N$283&gt;=Assumptions!$F$22,N$283&lt;Assumptions!$F$24),'S&amp;U'!$H8/ROUNDUP(Assumptions!$F$23/12,0),IF(AND(N$283&gt;=Assumptions!$F$24,N$283&lt;Assumptions!$F$26),'S&amp;U'!$H40/ROUNDUP(Assumptions!$F$25/12,0),0))</f>
        <v>0</v>
      </c>
      <c r="O285" s="76">
        <f>+IF(AND(O$283&gt;=Assumptions!$F$22,O$283&lt;Assumptions!$F$24),'S&amp;U'!$H8/ROUNDUP(Assumptions!$F$23/12,0),IF(AND(O$283&gt;=Assumptions!$F$24,O$283&lt;Assumptions!$F$26),'S&amp;U'!$H40/ROUNDUP(Assumptions!$F$25/12,0),0))</f>
        <v>0</v>
      </c>
      <c r="P285" s="76">
        <f>+IF(AND(P$283&gt;=Assumptions!$F$22,P$283&lt;Assumptions!$F$24),'S&amp;U'!$H8/ROUNDUP(Assumptions!$F$23/12,0),IF(AND(P$283&gt;=Assumptions!$F$24,P$283&lt;Assumptions!$F$26),'S&amp;U'!$H40/ROUNDUP(Assumptions!$F$25/12,0),0))</f>
        <v>0</v>
      </c>
      <c r="Q285" s="76">
        <f>+IF(AND(Q$283&gt;=Assumptions!$F$22,Q$283&lt;Assumptions!$F$24),'S&amp;U'!$H8/ROUNDUP(Assumptions!$F$23/12,0),IF(AND(Q$283&gt;=Assumptions!$F$24,Q$283&lt;Assumptions!$F$26),'S&amp;U'!$H40/ROUNDUP(Assumptions!$F$25/12,0),0))</f>
        <v>0</v>
      </c>
      <c r="R285" s="76">
        <f>+IF(AND(R$283&gt;=Assumptions!$F$22,R$283&lt;Assumptions!$F$24),'S&amp;U'!$H8/ROUNDUP(Assumptions!$F$23/12,0),IF(AND(R$283&gt;=Assumptions!$F$24,R$283&lt;Assumptions!$F$26),'S&amp;U'!$H40/ROUNDUP(Assumptions!$F$25/12,0),0))</f>
        <v>0</v>
      </c>
      <c r="S285" s="76">
        <f>+IF(AND(S$283&gt;=Assumptions!$F$22,S$283&lt;Assumptions!$F$24),'S&amp;U'!$H8/ROUNDUP(Assumptions!$F$23/12,0),IF(AND(S$283&gt;=Assumptions!$F$24,S$283&lt;Assumptions!$F$26),'S&amp;U'!$H40/ROUNDUP(Assumptions!$F$25/12,0),0))</f>
        <v>0</v>
      </c>
      <c r="T285" s="76">
        <f>+IF(AND(T$283&gt;=Assumptions!$F$22,T$283&lt;Assumptions!$F$24),'S&amp;U'!$H8/ROUNDUP(Assumptions!$F$23/12,0),IF(AND(T$283&gt;=Assumptions!$F$24,T$283&lt;Assumptions!$F$26),'S&amp;U'!$H40/ROUNDUP(Assumptions!$F$25/12,0),0))</f>
        <v>0</v>
      </c>
      <c r="U285" s="76">
        <f>+IF(AND(U$283&gt;=Assumptions!$F$22,U$283&lt;Assumptions!$F$24),'S&amp;U'!$H8/ROUNDUP(Assumptions!$F$23/12,0),IF(AND(U$283&gt;=Assumptions!$F$24,U$283&lt;Assumptions!$F$26),'S&amp;U'!$H40/ROUNDUP(Assumptions!$F$25/12,0),0))</f>
        <v>0</v>
      </c>
      <c r="V285" s="76">
        <f>+IF(AND(V$283&gt;=Assumptions!$F$22,V$283&lt;Assumptions!$F$24),'S&amp;U'!$H8/ROUNDUP(Assumptions!$F$23/12,0),IF(AND(V$283&gt;=Assumptions!$F$24,V$283&lt;Assumptions!$F$26),'S&amp;U'!$H40/ROUNDUP(Assumptions!$F$25/12,0),0))</f>
        <v>0</v>
      </c>
      <c r="W285" s="76">
        <f>+IF(AND(W$283&gt;=Assumptions!$F$22,W$283&lt;Assumptions!$F$24),'S&amp;U'!$H8/ROUNDUP(Assumptions!$F$23/12,0),IF(AND(W$283&gt;=Assumptions!$F$24,W$283&lt;Assumptions!$F$26),'S&amp;U'!$H40/ROUNDUP(Assumptions!$F$25/12,0),0))</f>
        <v>0</v>
      </c>
      <c r="X285" s="76">
        <f>+IF(AND(X$283&gt;=Assumptions!$F$22,X$283&lt;Assumptions!$F$24),'S&amp;U'!$H8/ROUNDUP(Assumptions!$F$23/12,0),IF(AND(X$283&gt;=Assumptions!$F$24,X$283&lt;Assumptions!$F$26),'S&amp;U'!$H40/ROUNDUP(Assumptions!$F$25/12,0),0))</f>
        <v>0</v>
      </c>
      <c r="Y285" s="76">
        <f>+IF(AND(Y$283&gt;=Assumptions!$F$22,Y$283&lt;Assumptions!$F$24),'S&amp;U'!$H8/ROUNDUP(Assumptions!$F$23/12,0),IF(AND(Y$283&gt;=Assumptions!$F$24,Y$283&lt;Assumptions!$F$26),'S&amp;U'!$H40/ROUNDUP(Assumptions!$F$25/12,0),0))</f>
        <v>0</v>
      </c>
      <c r="Z285" s="76">
        <f>+IF(AND(Z$283&gt;=Assumptions!$F$22,Z$283&lt;Assumptions!$F$24),'S&amp;U'!$H8/ROUNDUP(Assumptions!$F$23/12,0),IF(AND(Z$283&gt;=Assumptions!$F$24,Z$283&lt;Assumptions!$F$26),'S&amp;U'!$H40/ROUNDUP(Assumptions!$F$25/12,0),0))</f>
        <v>0</v>
      </c>
    </row>
    <row r="286" spans="2:26" ht="15.75">
      <c r="B286" s="15" t="s">
        <v>28</v>
      </c>
      <c r="D286" s="26">
        <f t="shared" ca="1" si="212"/>
        <v>317555647.40850002</v>
      </c>
      <c r="E286" s="26"/>
      <c r="F286" s="76">
        <f>+IF(AND(F$283&gt;=Assumptions!$F$22,F$283&lt;Assumptions!$F$24),'S&amp;U'!$H9/ROUNDUP(Assumptions!$F$23/12,0),IF(AND(F$283&gt;=Assumptions!$F$24,F$283&lt;Assumptions!$F$26),'S&amp;U'!$H41/ROUNDUP(Assumptions!$F$25/12,0),0))</f>
        <v>2687323.32</v>
      </c>
      <c r="G286" s="76">
        <f ca="1">+IF(AND(G$283&gt;=Assumptions!$F$22,G$283&lt;Assumptions!$F$24),'S&amp;U'!$H9/ROUNDUP(Assumptions!$F$23/12,0),IF(AND(G$283&gt;=Assumptions!$F$24,G$283&lt;Assumptions!$F$26),'S&amp;U'!$H41/ROUNDUP(Assumptions!$F$25/12,0),0))</f>
        <v>157434162.04425001</v>
      </c>
      <c r="H286" s="76">
        <f ca="1">+IF(AND(H$283&gt;=Assumptions!$F$22,H$283&lt;Assumptions!$F$24),'S&amp;U'!$H9/ROUNDUP(Assumptions!$F$23/12,0),IF(AND(H$283&gt;=Assumptions!$F$24,H$283&lt;Assumptions!$F$26),'S&amp;U'!$H41/ROUNDUP(Assumptions!$F$25/12,0),0))</f>
        <v>157434162.04425001</v>
      </c>
      <c r="I286" s="76">
        <f>+IF(AND(I$283&gt;=Assumptions!$F$22,I$283&lt;Assumptions!$F$24),'S&amp;U'!$H9/ROUNDUP(Assumptions!$F$23/12,0),IF(AND(I$283&gt;=Assumptions!$F$24,I$283&lt;Assumptions!$F$26),'S&amp;U'!$H41/ROUNDUP(Assumptions!$F$25/12,0),0))</f>
        <v>0</v>
      </c>
      <c r="J286" s="76">
        <f>+IF(AND(J$283&gt;=Assumptions!$F$22,J$283&lt;Assumptions!$F$24),'S&amp;U'!$H9/ROUNDUP(Assumptions!$F$23/12,0),IF(AND(J$283&gt;=Assumptions!$F$24,J$283&lt;Assumptions!$F$26),'S&amp;U'!$H41/ROUNDUP(Assumptions!$F$25/12,0),0))</f>
        <v>0</v>
      </c>
      <c r="K286" s="76">
        <f>+IF(AND(K$283&gt;=Assumptions!$F$22,K$283&lt;Assumptions!$F$24),'S&amp;U'!$H9/ROUNDUP(Assumptions!$F$23/12,0),IF(AND(K$283&gt;=Assumptions!$F$24,K$283&lt;Assumptions!$F$26),'S&amp;U'!$H41/ROUNDUP(Assumptions!$F$25/12,0),0))</f>
        <v>0</v>
      </c>
      <c r="L286" s="76">
        <f>+IF(AND(L$283&gt;=Assumptions!$F$22,L$283&lt;Assumptions!$F$24),'S&amp;U'!$H9/ROUNDUP(Assumptions!$F$23/12,0),IF(AND(L$283&gt;=Assumptions!$F$24,L$283&lt;Assumptions!$F$26),'S&amp;U'!$H41/ROUNDUP(Assumptions!$F$25/12,0),0))</f>
        <v>0</v>
      </c>
      <c r="M286" s="76">
        <f>+IF(AND(M$283&gt;=Assumptions!$F$22,M$283&lt;Assumptions!$F$24),'S&amp;U'!$H9/ROUNDUP(Assumptions!$F$23/12,0),IF(AND(M$283&gt;=Assumptions!$F$24,M$283&lt;Assumptions!$F$26),'S&amp;U'!$H41/ROUNDUP(Assumptions!$F$25/12,0),0))</f>
        <v>0</v>
      </c>
      <c r="N286" s="76">
        <f>+IF(AND(N$283&gt;=Assumptions!$F$22,N$283&lt;Assumptions!$F$24),'S&amp;U'!$H9/ROUNDUP(Assumptions!$F$23/12,0),IF(AND(N$283&gt;=Assumptions!$F$24,N$283&lt;Assumptions!$F$26),'S&amp;U'!$H41/ROUNDUP(Assumptions!$F$25/12,0),0))</f>
        <v>0</v>
      </c>
      <c r="O286" s="76">
        <f>+IF(AND(O$283&gt;=Assumptions!$F$22,O$283&lt;Assumptions!$F$24),'S&amp;U'!$H9/ROUNDUP(Assumptions!$F$23/12,0),IF(AND(O$283&gt;=Assumptions!$F$24,O$283&lt;Assumptions!$F$26),'S&amp;U'!$H41/ROUNDUP(Assumptions!$F$25/12,0),0))</f>
        <v>0</v>
      </c>
      <c r="P286" s="76">
        <f>+IF(AND(P$283&gt;=Assumptions!$F$22,P$283&lt;Assumptions!$F$24),'S&amp;U'!$H9/ROUNDUP(Assumptions!$F$23/12,0),IF(AND(P$283&gt;=Assumptions!$F$24,P$283&lt;Assumptions!$F$26),'S&amp;U'!$H41/ROUNDUP(Assumptions!$F$25/12,0),0))</f>
        <v>0</v>
      </c>
      <c r="Q286" s="76">
        <f>+IF(AND(Q$283&gt;=Assumptions!$F$22,Q$283&lt;Assumptions!$F$24),'S&amp;U'!$H9/ROUNDUP(Assumptions!$F$23/12,0),IF(AND(Q$283&gt;=Assumptions!$F$24,Q$283&lt;Assumptions!$F$26),'S&amp;U'!$H41/ROUNDUP(Assumptions!$F$25/12,0),0))</f>
        <v>0</v>
      </c>
      <c r="R286" s="76">
        <f>+IF(AND(R$283&gt;=Assumptions!$F$22,R$283&lt;Assumptions!$F$24),'S&amp;U'!$H9/ROUNDUP(Assumptions!$F$23/12,0),IF(AND(R$283&gt;=Assumptions!$F$24,R$283&lt;Assumptions!$F$26),'S&amp;U'!$H41/ROUNDUP(Assumptions!$F$25/12,0),0))</f>
        <v>0</v>
      </c>
      <c r="S286" s="76">
        <f>+IF(AND(S$283&gt;=Assumptions!$F$22,S$283&lt;Assumptions!$F$24),'S&amp;U'!$H9/ROUNDUP(Assumptions!$F$23/12,0),IF(AND(S$283&gt;=Assumptions!$F$24,S$283&lt;Assumptions!$F$26),'S&amp;U'!$H41/ROUNDUP(Assumptions!$F$25/12,0),0))</f>
        <v>0</v>
      </c>
      <c r="T286" s="76">
        <f>+IF(AND(T$283&gt;=Assumptions!$F$22,T$283&lt;Assumptions!$F$24),'S&amp;U'!$H9/ROUNDUP(Assumptions!$F$23/12,0),IF(AND(T$283&gt;=Assumptions!$F$24,T$283&lt;Assumptions!$F$26),'S&amp;U'!$H41/ROUNDUP(Assumptions!$F$25/12,0),0))</f>
        <v>0</v>
      </c>
      <c r="U286" s="76">
        <f>+IF(AND(U$283&gt;=Assumptions!$F$22,U$283&lt;Assumptions!$F$24),'S&amp;U'!$H9/ROUNDUP(Assumptions!$F$23/12,0),IF(AND(U$283&gt;=Assumptions!$F$24,U$283&lt;Assumptions!$F$26),'S&amp;U'!$H41/ROUNDUP(Assumptions!$F$25/12,0),0))</f>
        <v>0</v>
      </c>
      <c r="V286" s="76">
        <f>+IF(AND(V$283&gt;=Assumptions!$F$22,V$283&lt;Assumptions!$F$24),'S&amp;U'!$H9/ROUNDUP(Assumptions!$F$23/12,0),IF(AND(V$283&gt;=Assumptions!$F$24,V$283&lt;Assumptions!$F$26),'S&amp;U'!$H41/ROUNDUP(Assumptions!$F$25/12,0),0))</f>
        <v>0</v>
      </c>
      <c r="W286" s="76">
        <f>+IF(AND(W$283&gt;=Assumptions!$F$22,W$283&lt;Assumptions!$F$24),'S&amp;U'!$H9/ROUNDUP(Assumptions!$F$23/12,0),IF(AND(W$283&gt;=Assumptions!$F$24,W$283&lt;Assumptions!$F$26),'S&amp;U'!$H41/ROUNDUP(Assumptions!$F$25/12,0),0))</f>
        <v>0</v>
      </c>
      <c r="X286" s="76">
        <f>+IF(AND(X$283&gt;=Assumptions!$F$22,X$283&lt;Assumptions!$F$24),'S&amp;U'!$H9/ROUNDUP(Assumptions!$F$23/12,0),IF(AND(X$283&gt;=Assumptions!$F$24,X$283&lt;Assumptions!$F$26),'S&amp;U'!$H41/ROUNDUP(Assumptions!$F$25/12,0),0))</f>
        <v>0</v>
      </c>
      <c r="Y286" s="76">
        <f>+IF(AND(Y$283&gt;=Assumptions!$F$22,Y$283&lt;Assumptions!$F$24),'S&amp;U'!$H9/ROUNDUP(Assumptions!$F$23/12,0),IF(AND(Y$283&gt;=Assumptions!$F$24,Y$283&lt;Assumptions!$F$26),'S&amp;U'!$H41/ROUNDUP(Assumptions!$F$25/12,0),0))</f>
        <v>0</v>
      </c>
      <c r="Z286" s="76">
        <f>+IF(AND(Z$283&gt;=Assumptions!$F$22,Z$283&lt;Assumptions!$F$24),'S&amp;U'!$H9/ROUNDUP(Assumptions!$F$23/12,0),IF(AND(Z$283&gt;=Assumptions!$F$24,Z$283&lt;Assumptions!$F$26),'S&amp;U'!$H41/ROUNDUP(Assumptions!$F$25/12,0),0))</f>
        <v>0</v>
      </c>
    </row>
    <row r="287" spans="2:26" ht="15.75">
      <c r="B287" s="15" t="s">
        <v>349</v>
      </c>
      <c r="D287" s="26">
        <f ca="1">0.05*D286</f>
        <v>15877782.370425001</v>
      </c>
      <c r="E287" s="26"/>
      <c r="F287" s="76">
        <f ca="1">D287*0.6</f>
        <v>9526669.4222550001</v>
      </c>
      <c r="G287" s="76">
        <f ca="1">D287*0.2</f>
        <v>3175556.4740850003</v>
      </c>
      <c r="H287" s="76">
        <f ca="1">D287*0.2</f>
        <v>3175556.4740850003</v>
      </c>
      <c r="I287" s="76">
        <f>+IF(AND(I$283&gt;=Assumptions!$F$22,I$283&lt;Assumptions!$F$24),'S&amp;U'!$H10/ROUNDUP(Assumptions!$F$23/12,0),IF(AND(I$283&gt;=Assumptions!$F$24,I$283&lt;Assumptions!$F$26),'S&amp;U'!$H42/ROUNDUP(Assumptions!$F$25/12,0),0))</f>
        <v>0</v>
      </c>
      <c r="J287" s="76">
        <f>+IF(AND(J$283&gt;=Assumptions!$F$22,J$283&lt;Assumptions!$F$24),'S&amp;U'!$H10/ROUNDUP(Assumptions!$F$23/12,0),IF(AND(J$283&gt;=Assumptions!$F$24,J$283&lt;Assumptions!$F$26),'S&amp;U'!$H42/ROUNDUP(Assumptions!$F$25/12,0),0))</f>
        <v>0</v>
      </c>
      <c r="K287" s="76">
        <f>+IF(AND(K$283&gt;=Assumptions!$F$22,K$283&lt;Assumptions!$F$24),'S&amp;U'!$H10/ROUNDUP(Assumptions!$F$23/12,0),IF(AND(K$283&gt;=Assumptions!$F$24,K$283&lt;Assumptions!$F$26),'S&amp;U'!$H42/ROUNDUP(Assumptions!$F$25/12,0),0))</f>
        <v>0</v>
      </c>
      <c r="L287" s="76">
        <f>+IF(AND(L$283&gt;=Assumptions!$F$22,L$283&lt;Assumptions!$F$24),'S&amp;U'!$H10/ROUNDUP(Assumptions!$F$23/12,0),IF(AND(L$283&gt;=Assumptions!$F$24,L$283&lt;Assumptions!$F$26),'S&amp;U'!$H42/ROUNDUP(Assumptions!$F$25/12,0),0))</f>
        <v>0</v>
      </c>
      <c r="M287" s="76">
        <f>+IF(AND(M$283&gt;=Assumptions!$F$22,M$283&lt;Assumptions!$F$24),'S&amp;U'!$H10/ROUNDUP(Assumptions!$F$23/12,0),IF(AND(M$283&gt;=Assumptions!$F$24,M$283&lt;Assumptions!$F$26),'S&amp;U'!$H42/ROUNDUP(Assumptions!$F$25/12,0),0))</f>
        <v>0</v>
      </c>
      <c r="N287" s="76">
        <f>+IF(AND(N$283&gt;=Assumptions!$F$22,N$283&lt;Assumptions!$F$24),'S&amp;U'!$H10/ROUNDUP(Assumptions!$F$23/12,0),IF(AND(N$283&gt;=Assumptions!$F$24,N$283&lt;Assumptions!$F$26),'S&amp;U'!$H42/ROUNDUP(Assumptions!$F$25/12,0),0))</f>
        <v>0</v>
      </c>
      <c r="O287" s="76">
        <f>+IF(AND(O$283&gt;=Assumptions!$F$22,O$283&lt;Assumptions!$F$24),'S&amp;U'!$H10/ROUNDUP(Assumptions!$F$23/12,0),IF(AND(O$283&gt;=Assumptions!$F$24,O$283&lt;Assumptions!$F$26),'S&amp;U'!$H42/ROUNDUP(Assumptions!$F$25/12,0),0))</f>
        <v>0</v>
      </c>
      <c r="P287" s="76">
        <f>+IF(AND(P$283&gt;=Assumptions!$F$22,P$283&lt;Assumptions!$F$24),'S&amp;U'!$H10/ROUNDUP(Assumptions!$F$23/12,0),IF(AND(P$283&gt;=Assumptions!$F$24,P$283&lt;Assumptions!$F$26),'S&amp;U'!$H42/ROUNDUP(Assumptions!$F$25/12,0),0))</f>
        <v>0</v>
      </c>
      <c r="Q287" s="76">
        <f>+IF(AND(Q$283&gt;=Assumptions!$F$22,Q$283&lt;Assumptions!$F$24),'S&amp;U'!$H10/ROUNDUP(Assumptions!$F$23/12,0),IF(AND(Q$283&gt;=Assumptions!$F$24,Q$283&lt;Assumptions!$F$26),'S&amp;U'!$H42/ROUNDUP(Assumptions!$F$25/12,0),0))</f>
        <v>0</v>
      </c>
      <c r="R287" s="76">
        <f>+IF(AND(R$283&gt;=Assumptions!$F$22,R$283&lt;Assumptions!$F$24),'S&amp;U'!$H10/ROUNDUP(Assumptions!$F$23/12,0),IF(AND(R$283&gt;=Assumptions!$F$24,R$283&lt;Assumptions!$F$26),'S&amp;U'!$H42/ROUNDUP(Assumptions!$F$25/12,0),0))</f>
        <v>0</v>
      </c>
      <c r="S287" s="76">
        <f>+IF(AND(S$283&gt;=Assumptions!$F$22,S$283&lt;Assumptions!$F$24),'S&amp;U'!$H10/ROUNDUP(Assumptions!$F$23/12,0),IF(AND(S$283&gt;=Assumptions!$F$24,S$283&lt;Assumptions!$F$26),'S&amp;U'!$H42/ROUNDUP(Assumptions!$F$25/12,0),0))</f>
        <v>0</v>
      </c>
      <c r="T287" s="76">
        <f>+IF(AND(T$283&gt;=Assumptions!$F$22,T$283&lt;Assumptions!$F$24),'S&amp;U'!$H10/ROUNDUP(Assumptions!$F$23/12,0),IF(AND(T$283&gt;=Assumptions!$F$24,T$283&lt;Assumptions!$F$26),'S&amp;U'!$H42/ROUNDUP(Assumptions!$F$25/12,0),0))</f>
        <v>0</v>
      </c>
      <c r="U287" s="76">
        <f>+IF(AND(U$283&gt;=Assumptions!$F$22,U$283&lt;Assumptions!$F$24),'S&amp;U'!$H10/ROUNDUP(Assumptions!$F$23/12,0),IF(AND(U$283&gt;=Assumptions!$F$24,U$283&lt;Assumptions!$F$26),'S&amp;U'!$H42/ROUNDUP(Assumptions!$F$25/12,0),0))</f>
        <v>0</v>
      </c>
      <c r="V287" s="76">
        <f>+IF(AND(V$283&gt;=Assumptions!$F$22,V$283&lt;Assumptions!$F$24),'S&amp;U'!$H10/ROUNDUP(Assumptions!$F$23/12,0),IF(AND(V$283&gt;=Assumptions!$F$24,V$283&lt;Assumptions!$F$26),'S&amp;U'!$H42/ROUNDUP(Assumptions!$F$25/12,0),0))</f>
        <v>0</v>
      </c>
      <c r="W287" s="76">
        <f>+IF(AND(W$283&gt;=Assumptions!$F$22,W$283&lt;Assumptions!$F$24),'S&amp;U'!$H10/ROUNDUP(Assumptions!$F$23/12,0),IF(AND(W$283&gt;=Assumptions!$F$24,W$283&lt;Assumptions!$F$26),'S&amp;U'!$H42/ROUNDUP(Assumptions!$F$25/12,0),0))</f>
        <v>0</v>
      </c>
      <c r="X287" s="76">
        <f>+IF(AND(X$283&gt;=Assumptions!$F$22,X$283&lt;Assumptions!$F$24),'S&amp;U'!$H10/ROUNDUP(Assumptions!$F$23/12,0),IF(AND(X$283&gt;=Assumptions!$F$24,X$283&lt;Assumptions!$F$26),'S&amp;U'!$H42/ROUNDUP(Assumptions!$F$25/12,0),0))</f>
        <v>0</v>
      </c>
      <c r="Y287" s="76">
        <f>+IF(AND(Y$283&gt;=Assumptions!$F$22,Y$283&lt;Assumptions!$F$24),'S&amp;U'!$H10/ROUNDUP(Assumptions!$F$23/12,0),IF(AND(Y$283&gt;=Assumptions!$F$24,Y$283&lt;Assumptions!$F$26),'S&amp;U'!$H42/ROUNDUP(Assumptions!$F$25/12,0),0))</f>
        <v>0</v>
      </c>
      <c r="Z287" s="76">
        <f>+IF(AND(Z$283&gt;=Assumptions!$F$22,Z$283&lt;Assumptions!$F$24),'S&amp;U'!$H10/ROUNDUP(Assumptions!$F$23/12,0),IF(AND(Z$283&gt;=Assumptions!$F$24,Z$283&lt;Assumptions!$F$26),'S&amp;U'!$H42/ROUNDUP(Assumptions!$F$25/12,0),0))</f>
        <v>0</v>
      </c>
    </row>
    <row r="288" spans="2:26" ht="15.75">
      <c r="B288" s="15" t="s">
        <v>37</v>
      </c>
      <c r="D288" s="26">
        <f t="shared" ca="1" si="212"/>
        <v>28164860.643364143</v>
      </c>
      <c r="E288" s="26"/>
      <c r="F288" s="76">
        <f>+IF(AND(F$283&gt;=Assumptions!$F$22,F$283&lt;Assumptions!$F$24),'S&amp;U'!$H11/ROUNDUP(Assumptions!$F$23/12,0),IF(AND(F$283&gt;=Assumptions!$F$24,F$283&lt;Assumptions!$F$26),'S&amp;U'!$H43/ROUNDUP(Assumptions!$F$25/12,0),0))</f>
        <v>0</v>
      </c>
      <c r="G288" s="76">
        <f ca="1">+IF(AND(G$283&gt;=Assumptions!$F$22,G$283&lt;Assumptions!$F$24),'S&amp;U'!$H11/ROUNDUP(Assumptions!$F$23/12,0),IF(AND(G$283&gt;=Assumptions!$F$24,G$283&lt;Assumptions!$F$26),'S&amp;U'!$H43/ROUNDUP(Assumptions!$F$25/12,0),0))</f>
        <v>14082430.321682071</v>
      </c>
      <c r="H288" s="76">
        <f ca="1">+IF(AND(H$283&gt;=Assumptions!$F$22,H$283&lt;Assumptions!$F$24),'S&amp;U'!$H11/ROUNDUP(Assumptions!$F$23/12,0),IF(AND(H$283&gt;=Assumptions!$F$24,H$283&lt;Assumptions!$F$26),'S&amp;U'!$H43/ROUNDUP(Assumptions!$F$25/12,0),0))</f>
        <v>14082430.321682071</v>
      </c>
      <c r="I288" s="76">
        <f>+IF(AND(I$283&gt;=Assumptions!$F$22,I$283&lt;Assumptions!$F$24),'S&amp;U'!$H11/ROUNDUP(Assumptions!$F$23/12,0),IF(AND(I$283&gt;=Assumptions!$F$24,I$283&lt;Assumptions!$F$26),'S&amp;U'!$H43/ROUNDUP(Assumptions!$F$25/12,0),0))</f>
        <v>0</v>
      </c>
      <c r="J288" s="76">
        <f>+IF(AND(J$283&gt;=Assumptions!$F$22,J$283&lt;Assumptions!$F$24),'S&amp;U'!$H11/ROUNDUP(Assumptions!$F$23/12,0),IF(AND(J$283&gt;=Assumptions!$F$24,J$283&lt;Assumptions!$F$26),'S&amp;U'!$H43/ROUNDUP(Assumptions!$F$25/12,0),0))</f>
        <v>0</v>
      </c>
      <c r="K288" s="76">
        <f>+IF(AND(K$283&gt;=Assumptions!$F$22,K$283&lt;Assumptions!$F$24),'S&amp;U'!$H11/ROUNDUP(Assumptions!$F$23/12,0),IF(AND(K$283&gt;=Assumptions!$F$24,K$283&lt;Assumptions!$F$26),'S&amp;U'!$H43/ROUNDUP(Assumptions!$F$25/12,0),0))</f>
        <v>0</v>
      </c>
      <c r="L288" s="76">
        <f>+IF(AND(L$283&gt;=Assumptions!$F$22,L$283&lt;Assumptions!$F$24),'S&amp;U'!$H11/ROUNDUP(Assumptions!$F$23/12,0),IF(AND(L$283&gt;=Assumptions!$F$24,L$283&lt;Assumptions!$F$26),'S&amp;U'!$H43/ROUNDUP(Assumptions!$F$25/12,0),0))</f>
        <v>0</v>
      </c>
      <c r="M288" s="76">
        <f>+IF(AND(M$283&gt;=Assumptions!$F$22,M$283&lt;Assumptions!$F$24),'S&amp;U'!$H11/ROUNDUP(Assumptions!$F$23/12,0),IF(AND(M$283&gt;=Assumptions!$F$24,M$283&lt;Assumptions!$F$26),'S&amp;U'!$H43/ROUNDUP(Assumptions!$F$25/12,0),0))</f>
        <v>0</v>
      </c>
      <c r="N288" s="76">
        <f>+IF(AND(N$283&gt;=Assumptions!$F$22,N$283&lt;Assumptions!$F$24),'S&amp;U'!$H11/ROUNDUP(Assumptions!$F$23/12,0),IF(AND(N$283&gt;=Assumptions!$F$24,N$283&lt;Assumptions!$F$26),'S&amp;U'!$H43/ROUNDUP(Assumptions!$F$25/12,0),0))</f>
        <v>0</v>
      </c>
      <c r="O288" s="76">
        <f>+IF(AND(O$283&gt;=Assumptions!$F$22,O$283&lt;Assumptions!$F$24),'S&amp;U'!$H11/ROUNDUP(Assumptions!$F$23/12,0),IF(AND(O$283&gt;=Assumptions!$F$24,O$283&lt;Assumptions!$F$26),'S&amp;U'!$H43/ROUNDUP(Assumptions!$F$25/12,0),0))</f>
        <v>0</v>
      </c>
      <c r="P288" s="76">
        <f>+IF(AND(P$283&gt;=Assumptions!$F$22,P$283&lt;Assumptions!$F$24),'S&amp;U'!$H11/ROUNDUP(Assumptions!$F$23/12,0),IF(AND(P$283&gt;=Assumptions!$F$24,P$283&lt;Assumptions!$F$26),'S&amp;U'!$H43/ROUNDUP(Assumptions!$F$25/12,0),0))</f>
        <v>0</v>
      </c>
      <c r="Q288" s="76">
        <f>+IF(AND(Q$283&gt;=Assumptions!$F$22,Q$283&lt;Assumptions!$F$24),'S&amp;U'!$H11/ROUNDUP(Assumptions!$F$23/12,0),IF(AND(Q$283&gt;=Assumptions!$F$24,Q$283&lt;Assumptions!$F$26),'S&amp;U'!$H43/ROUNDUP(Assumptions!$F$25/12,0),0))</f>
        <v>0</v>
      </c>
      <c r="R288" s="76">
        <f>+IF(AND(R$283&gt;=Assumptions!$F$22,R$283&lt;Assumptions!$F$24),'S&amp;U'!$H11/ROUNDUP(Assumptions!$F$23/12,0),IF(AND(R$283&gt;=Assumptions!$F$24,R$283&lt;Assumptions!$F$26),'S&amp;U'!$H43/ROUNDUP(Assumptions!$F$25/12,0),0))</f>
        <v>0</v>
      </c>
      <c r="S288" s="76">
        <f>+IF(AND(S$283&gt;=Assumptions!$F$22,S$283&lt;Assumptions!$F$24),'S&amp;U'!$H11/ROUNDUP(Assumptions!$F$23/12,0),IF(AND(S$283&gt;=Assumptions!$F$24,S$283&lt;Assumptions!$F$26),'S&amp;U'!$H43/ROUNDUP(Assumptions!$F$25/12,0),0))</f>
        <v>0</v>
      </c>
      <c r="T288" s="76">
        <f>+IF(AND(T$283&gt;=Assumptions!$F$22,T$283&lt;Assumptions!$F$24),'S&amp;U'!$H11/ROUNDUP(Assumptions!$F$23/12,0),IF(AND(T$283&gt;=Assumptions!$F$24,T$283&lt;Assumptions!$F$26),'S&amp;U'!$H43/ROUNDUP(Assumptions!$F$25/12,0),0))</f>
        <v>0</v>
      </c>
      <c r="U288" s="76">
        <f>+IF(AND(U$283&gt;=Assumptions!$F$22,U$283&lt;Assumptions!$F$24),'S&amp;U'!$H11/ROUNDUP(Assumptions!$F$23/12,0),IF(AND(U$283&gt;=Assumptions!$F$24,U$283&lt;Assumptions!$F$26),'S&amp;U'!$H43/ROUNDUP(Assumptions!$F$25/12,0),0))</f>
        <v>0</v>
      </c>
      <c r="V288" s="76">
        <f>+IF(AND(V$283&gt;=Assumptions!$F$22,V$283&lt;Assumptions!$F$24),'S&amp;U'!$H11/ROUNDUP(Assumptions!$F$23/12,0),IF(AND(V$283&gt;=Assumptions!$F$24,V$283&lt;Assumptions!$F$26),'S&amp;U'!$H43/ROUNDUP(Assumptions!$F$25/12,0),0))</f>
        <v>0</v>
      </c>
      <c r="W288" s="76">
        <f>+IF(AND(W$283&gt;=Assumptions!$F$22,W$283&lt;Assumptions!$F$24),'S&amp;U'!$H11/ROUNDUP(Assumptions!$F$23/12,0),IF(AND(W$283&gt;=Assumptions!$F$24,W$283&lt;Assumptions!$F$26),'S&amp;U'!$H43/ROUNDUP(Assumptions!$F$25/12,0),0))</f>
        <v>0</v>
      </c>
      <c r="X288" s="76">
        <f>+IF(AND(X$283&gt;=Assumptions!$F$22,X$283&lt;Assumptions!$F$24),'S&amp;U'!$H11/ROUNDUP(Assumptions!$F$23/12,0),IF(AND(X$283&gt;=Assumptions!$F$24,X$283&lt;Assumptions!$F$26),'S&amp;U'!$H43/ROUNDUP(Assumptions!$F$25/12,0),0))</f>
        <v>0</v>
      </c>
      <c r="Y288" s="76">
        <f>+IF(AND(Y$283&gt;=Assumptions!$F$22,Y$283&lt;Assumptions!$F$24),'S&amp;U'!$H11/ROUNDUP(Assumptions!$F$23/12,0),IF(AND(Y$283&gt;=Assumptions!$F$24,Y$283&lt;Assumptions!$F$26),'S&amp;U'!$H43/ROUNDUP(Assumptions!$F$25/12,0),0))</f>
        <v>0</v>
      </c>
      <c r="Z288" s="76">
        <f>+IF(AND(Z$283&gt;=Assumptions!$F$22,Z$283&lt;Assumptions!$F$24),'S&amp;U'!$H11/ROUNDUP(Assumptions!$F$23/12,0),IF(AND(Z$283&gt;=Assumptions!$F$24,Z$283&lt;Assumptions!$F$26),'S&amp;U'!$H43/ROUNDUP(Assumptions!$F$25/12,0),0))</f>
        <v>0</v>
      </c>
    </row>
    <row r="289" spans="1:26" ht="15.75">
      <c r="B289" s="15" t="s">
        <v>350</v>
      </c>
      <c r="D289" s="26">
        <f t="shared" ca="1" si="212"/>
        <v>874250.81025261071</v>
      </c>
      <c r="E289" s="26"/>
      <c r="F289" s="76">
        <f>+IF(AND(F$283&gt;=Assumptions!$F$22,F$283&lt;Assumptions!$F$24),'S&amp;U'!$H12/ROUNDUP(Assumptions!$F$23/12,0),IF(AND(F$283&gt;=Assumptions!$F$24,F$283&lt;Assumptions!$F$26),'S&amp;U'!$H44/ROUNDUP(Assumptions!$F$25/12,0),0))</f>
        <v>0</v>
      </c>
      <c r="G289" s="76">
        <f ca="1">+IF(AND(G$283&gt;=Assumptions!$F$22,G$283&lt;Assumptions!$F$24),'S&amp;U'!$H12/ROUNDUP(Assumptions!$F$23/12,0),IF(AND(G$283&gt;=Assumptions!$F$24,G$283&lt;Assumptions!$F$26),'S&amp;U'!$H44/ROUNDUP(Assumptions!$F$25/12,0),0))</f>
        <v>437125.40512630536</v>
      </c>
      <c r="H289" s="76">
        <f ca="1">+IF(AND(H$283&gt;=Assumptions!$F$22,H$283&lt;Assumptions!$F$24),'S&amp;U'!$H12/ROUNDUP(Assumptions!$F$23/12,0),IF(AND(H$283&gt;=Assumptions!$F$24,H$283&lt;Assumptions!$F$26),'S&amp;U'!$H44/ROUNDUP(Assumptions!$F$25/12,0),0))</f>
        <v>437125.40512630536</v>
      </c>
      <c r="I289" s="76">
        <f>+IF(AND(I$283&gt;=Assumptions!$F$22,I$283&lt;Assumptions!$F$24),'S&amp;U'!$H12/ROUNDUP(Assumptions!$F$23/12,0),IF(AND(I$283&gt;=Assumptions!$F$24,I$283&lt;Assumptions!$F$26),'S&amp;U'!$H44/ROUNDUP(Assumptions!$F$25/12,0),0))</f>
        <v>0</v>
      </c>
      <c r="J289" s="76">
        <f>+IF(AND(J$283&gt;=Assumptions!$F$22,J$283&lt;Assumptions!$F$24),'S&amp;U'!$H12/ROUNDUP(Assumptions!$F$23/12,0),IF(AND(J$283&gt;=Assumptions!$F$24,J$283&lt;Assumptions!$F$26),'S&amp;U'!$H44/ROUNDUP(Assumptions!$F$25/12,0),0))</f>
        <v>0</v>
      </c>
      <c r="K289" s="76">
        <f>+IF(AND(K$283&gt;=Assumptions!$F$22,K$283&lt;Assumptions!$F$24),'S&amp;U'!$H12/ROUNDUP(Assumptions!$F$23/12,0),IF(AND(K$283&gt;=Assumptions!$F$24,K$283&lt;Assumptions!$F$26),'S&amp;U'!$H44/ROUNDUP(Assumptions!$F$25/12,0),0))</f>
        <v>0</v>
      </c>
      <c r="L289" s="76">
        <f>+IF(AND(L$283&gt;=Assumptions!$F$22,L$283&lt;Assumptions!$F$24),'S&amp;U'!$H12/ROUNDUP(Assumptions!$F$23/12,0),IF(AND(L$283&gt;=Assumptions!$F$24,L$283&lt;Assumptions!$F$26),'S&amp;U'!$H44/ROUNDUP(Assumptions!$F$25/12,0),0))</f>
        <v>0</v>
      </c>
      <c r="M289" s="76">
        <f>+IF(AND(M$283&gt;=Assumptions!$F$22,M$283&lt;Assumptions!$F$24),'S&amp;U'!$H12/ROUNDUP(Assumptions!$F$23/12,0),IF(AND(M$283&gt;=Assumptions!$F$24,M$283&lt;Assumptions!$F$26),'S&amp;U'!$H44/ROUNDUP(Assumptions!$F$25/12,0),0))</f>
        <v>0</v>
      </c>
      <c r="N289" s="76">
        <f>+IF(AND(N$283&gt;=Assumptions!$F$22,N$283&lt;Assumptions!$F$24),'S&amp;U'!$H12/ROUNDUP(Assumptions!$F$23/12,0),IF(AND(N$283&gt;=Assumptions!$F$24,N$283&lt;Assumptions!$F$26),'S&amp;U'!$H44/ROUNDUP(Assumptions!$F$25/12,0),0))</f>
        <v>0</v>
      </c>
      <c r="O289" s="76">
        <f>+IF(AND(O$283&gt;=Assumptions!$F$22,O$283&lt;Assumptions!$F$24),'S&amp;U'!$H12/ROUNDUP(Assumptions!$F$23/12,0),IF(AND(O$283&gt;=Assumptions!$F$24,O$283&lt;Assumptions!$F$26),'S&amp;U'!$H44/ROUNDUP(Assumptions!$F$25/12,0),0))</f>
        <v>0</v>
      </c>
      <c r="P289" s="76">
        <f>+IF(AND(P$283&gt;=Assumptions!$F$22,P$283&lt;Assumptions!$F$24),'S&amp;U'!$H12/ROUNDUP(Assumptions!$F$23/12,0),IF(AND(P$283&gt;=Assumptions!$F$24,P$283&lt;Assumptions!$F$26),'S&amp;U'!$H44/ROUNDUP(Assumptions!$F$25/12,0),0))</f>
        <v>0</v>
      </c>
      <c r="Q289" s="76">
        <f>+IF(AND(Q$283&gt;=Assumptions!$F$22,Q$283&lt;Assumptions!$F$24),'S&amp;U'!$H12/ROUNDUP(Assumptions!$F$23/12,0),IF(AND(Q$283&gt;=Assumptions!$F$24,Q$283&lt;Assumptions!$F$26),'S&amp;U'!$H44/ROUNDUP(Assumptions!$F$25/12,0),0))</f>
        <v>0</v>
      </c>
      <c r="R289" s="76">
        <f>+IF(AND(R$283&gt;=Assumptions!$F$22,R$283&lt;Assumptions!$F$24),'S&amp;U'!$H12/ROUNDUP(Assumptions!$F$23/12,0),IF(AND(R$283&gt;=Assumptions!$F$24,R$283&lt;Assumptions!$F$26),'S&amp;U'!$H44/ROUNDUP(Assumptions!$F$25/12,0),0))</f>
        <v>0</v>
      </c>
      <c r="S289" s="76">
        <f>+IF(AND(S$283&gt;=Assumptions!$F$22,S$283&lt;Assumptions!$F$24),'S&amp;U'!$H12/ROUNDUP(Assumptions!$F$23/12,0),IF(AND(S$283&gt;=Assumptions!$F$24,S$283&lt;Assumptions!$F$26),'S&amp;U'!$H44/ROUNDUP(Assumptions!$F$25/12,0),0))</f>
        <v>0</v>
      </c>
      <c r="T289" s="76">
        <f>+IF(AND(T$283&gt;=Assumptions!$F$22,T$283&lt;Assumptions!$F$24),'S&amp;U'!$H12/ROUNDUP(Assumptions!$F$23/12,0),IF(AND(T$283&gt;=Assumptions!$F$24,T$283&lt;Assumptions!$F$26),'S&amp;U'!$H44/ROUNDUP(Assumptions!$F$25/12,0),0))</f>
        <v>0</v>
      </c>
      <c r="U289" s="76">
        <f>+IF(AND(U$283&gt;=Assumptions!$F$22,U$283&lt;Assumptions!$F$24),'S&amp;U'!$H12/ROUNDUP(Assumptions!$F$23/12,0),IF(AND(U$283&gt;=Assumptions!$F$24,U$283&lt;Assumptions!$F$26),'S&amp;U'!$H44/ROUNDUP(Assumptions!$F$25/12,0),0))</f>
        <v>0</v>
      </c>
      <c r="V289" s="76">
        <f>+IF(AND(V$283&gt;=Assumptions!$F$22,V$283&lt;Assumptions!$F$24),'S&amp;U'!$H12/ROUNDUP(Assumptions!$F$23/12,0),IF(AND(V$283&gt;=Assumptions!$F$24,V$283&lt;Assumptions!$F$26),'S&amp;U'!$H44/ROUNDUP(Assumptions!$F$25/12,0),0))</f>
        <v>0</v>
      </c>
      <c r="W289" s="76">
        <f>+IF(AND(W$283&gt;=Assumptions!$F$22,W$283&lt;Assumptions!$F$24),'S&amp;U'!$H12/ROUNDUP(Assumptions!$F$23/12,0),IF(AND(W$283&gt;=Assumptions!$F$24,W$283&lt;Assumptions!$F$26),'S&amp;U'!$H44/ROUNDUP(Assumptions!$F$25/12,0),0))</f>
        <v>0</v>
      </c>
      <c r="X289" s="76">
        <f>+IF(AND(X$283&gt;=Assumptions!$F$22,X$283&lt;Assumptions!$F$24),'S&amp;U'!$H12/ROUNDUP(Assumptions!$F$23/12,0),IF(AND(X$283&gt;=Assumptions!$F$24,X$283&lt;Assumptions!$F$26),'S&amp;U'!$H44/ROUNDUP(Assumptions!$F$25/12,0),0))</f>
        <v>0</v>
      </c>
      <c r="Y289" s="76">
        <f>+IF(AND(Y$283&gt;=Assumptions!$F$22,Y$283&lt;Assumptions!$F$24),'S&amp;U'!$H12/ROUNDUP(Assumptions!$F$23/12,0),IF(AND(Y$283&gt;=Assumptions!$F$24,Y$283&lt;Assumptions!$F$26),'S&amp;U'!$H44/ROUNDUP(Assumptions!$F$25/12,0),0))</f>
        <v>0</v>
      </c>
      <c r="Z289" s="76">
        <f>+IF(AND(Z$283&gt;=Assumptions!$F$22,Z$283&lt;Assumptions!$F$24),'S&amp;U'!$H12/ROUNDUP(Assumptions!$F$23/12,0),IF(AND(Z$283&gt;=Assumptions!$F$24,Z$283&lt;Assumptions!$F$26),'S&amp;U'!$H44/ROUNDUP(Assumptions!$F$25/12,0),0))</f>
        <v>0</v>
      </c>
    </row>
    <row r="290" spans="1:26" ht="15.75">
      <c r="B290" s="15" t="s">
        <v>351</v>
      </c>
      <c r="D290" s="26">
        <f t="shared" ca="1" si="212"/>
        <v>11439161.391024234</v>
      </c>
      <c r="E290" s="26"/>
      <c r="F290" s="76">
        <f ca="1">+IF(AND(F$283&gt;=Assumptions!$F$22,F$283&lt;Assumptions!$F$24),'S&amp;U'!$H13/ROUNDUP(Assumptions!$F$23/12,0),IF(AND(F$283&gt;=Assumptions!$F$24,F$283&lt;Assumptions!$F$28),'S&amp;U'!$H45/ROUNDUP((Assumptions!$F$25+Assumptions!$F$27)/12,0),0))</f>
        <v>0</v>
      </c>
      <c r="G290" s="76">
        <f ca="1">+IF(AND(G$283&gt;=Assumptions!$F$22,G$283&lt;Assumptions!$F$24),'S&amp;U'!$H13/ROUNDUP(Assumptions!$F$23/12,0),IF(AND(G$283&gt;=Assumptions!$F$24,G$283&lt;Assumptions!$F$28),'S&amp;U'!$H45/ROUNDUP((Assumptions!$F$25+Assumptions!$F$27)/12,0),0))</f>
        <v>2859790.3477560584</v>
      </c>
      <c r="H290" s="76">
        <f ca="1">+IF(AND(H$283&gt;=Assumptions!$F$22,H$283&lt;Assumptions!$F$24),'S&amp;U'!$H13/ROUNDUP(Assumptions!$F$23/12,0),IF(AND(H$283&gt;=Assumptions!$F$24,H$283&lt;Assumptions!$F$28),'S&amp;U'!$H45/ROUNDUP((Assumptions!$F$25+Assumptions!$F$27)/12,0),0))</f>
        <v>2859790.3477560584</v>
      </c>
      <c r="I290" s="76">
        <f ca="1">+IF(AND(I$283&gt;=Assumptions!$F$22,I$283&lt;Assumptions!$F$24),'S&amp;U'!$H13/ROUNDUP(Assumptions!$F$23/12,0),IF(AND(I$283&gt;=Assumptions!$F$24,I$283&lt;Assumptions!$F$28),'S&amp;U'!$H45/ROUNDUP((Assumptions!$F$25+Assumptions!$F$27)/12,0),0))</f>
        <v>2859790.3477560584</v>
      </c>
      <c r="J290" s="76">
        <f ca="1">+IF(AND(J$283&gt;=Assumptions!$F$22,J$283&lt;Assumptions!$F$24),'S&amp;U'!$H13/ROUNDUP(Assumptions!$F$23/12,0),IF(AND(J$283&gt;=Assumptions!$F$24,J$283&lt;Assumptions!$F$28),'S&amp;U'!$H45/ROUNDUP((Assumptions!$F$25+Assumptions!$F$27)/12,0),0))</f>
        <v>2859790.3477560584</v>
      </c>
      <c r="K290" s="76">
        <f>+IF(AND(K$283&gt;=Assumptions!$F$22,K$283&lt;Assumptions!$F$24),'S&amp;U'!$H13/ROUNDUP(Assumptions!$F$23/12,0),IF(AND(K$283&gt;=Assumptions!$F$24,K$283&lt;Assumptions!$F$28),'S&amp;U'!$H45/ROUNDUP((Assumptions!$F$25+Assumptions!$F$27)/12,0),0))</f>
        <v>0</v>
      </c>
      <c r="L290" s="76">
        <f>+IF(AND(L$283&gt;=Assumptions!$F$22,L$283&lt;Assumptions!$F$24),'S&amp;U'!$H13/ROUNDUP(Assumptions!$F$23/12,0),IF(AND(L$283&gt;=Assumptions!$F$24,L$283&lt;Assumptions!$F$28),'S&amp;U'!$H45/ROUNDUP((Assumptions!$F$25+Assumptions!$F$27)/12,0),0))</f>
        <v>0</v>
      </c>
      <c r="M290" s="76">
        <f>+IF(AND(M$283&gt;=Assumptions!$F$22,M$283&lt;Assumptions!$F$24),'S&amp;U'!$H13/ROUNDUP(Assumptions!$F$23/12,0),IF(AND(M$283&gt;=Assumptions!$F$24,M$283&lt;Assumptions!$F$28),'S&amp;U'!$H45/ROUNDUP((Assumptions!$F$25+Assumptions!$F$27)/12,0),0))</f>
        <v>0</v>
      </c>
      <c r="N290" s="76">
        <f>+IF(AND(N$283&gt;=Assumptions!$F$22,N$283&lt;Assumptions!$F$24),'S&amp;U'!$H13/ROUNDUP(Assumptions!$F$23/12,0),IF(AND(N$283&gt;=Assumptions!$F$24,N$283&lt;Assumptions!$F$28),'S&amp;U'!$H45/ROUNDUP((Assumptions!$F$25+Assumptions!$F$27)/12,0),0))</f>
        <v>0</v>
      </c>
      <c r="O290" s="76">
        <f>+IF(AND(O$283&gt;=Assumptions!$F$22,O$283&lt;Assumptions!$F$24),'S&amp;U'!$H13/ROUNDUP(Assumptions!$F$23/12,0),IF(AND(O$283&gt;=Assumptions!$F$24,O$283&lt;Assumptions!$F$28),'S&amp;U'!$H45/ROUNDUP((Assumptions!$F$25+Assumptions!$F$27)/12,0),0))</f>
        <v>0</v>
      </c>
      <c r="P290" s="76">
        <f>+IF(AND(P$283&gt;=Assumptions!$F$22,P$283&lt;Assumptions!$F$24),'S&amp;U'!$H13/ROUNDUP(Assumptions!$F$23/12,0),IF(AND(P$283&gt;=Assumptions!$F$24,P$283&lt;Assumptions!$F$28),'S&amp;U'!$H45/ROUNDUP((Assumptions!$F$25+Assumptions!$F$27)/12,0),0))</f>
        <v>0</v>
      </c>
      <c r="Q290" s="76">
        <f>+IF(AND(Q$283&gt;=Assumptions!$F$22,Q$283&lt;Assumptions!$F$24),'S&amp;U'!$H13/ROUNDUP(Assumptions!$F$23/12,0),IF(AND(Q$283&gt;=Assumptions!$F$24,Q$283&lt;Assumptions!$F$28),'S&amp;U'!$H45/ROUNDUP((Assumptions!$F$25+Assumptions!$F$27)/12,0),0))</f>
        <v>0</v>
      </c>
      <c r="R290" s="76">
        <f>+IF(AND(R$283&gt;=Assumptions!$F$22,R$283&lt;Assumptions!$F$24),'S&amp;U'!$H13/ROUNDUP(Assumptions!$F$23/12,0),IF(AND(R$283&gt;=Assumptions!$F$24,R$283&lt;Assumptions!$F$28),'S&amp;U'!$H45/ROUNDUP((Assumptions!$F$25+Assumptions!$F$27)/12,0),0))</f>
        <v>0</v>
      </c>
      <c r="S290" s="76">
        <f>+IF(AND(S$283&gt;=Assumptions!$F$22,S$283&lt;Assumptions!$F$24),'S&amp;U'!$H13/ROUNDUP(Assumptions!$F$23/12,0),IF(AND(S$283&gt;=Assumptions!$F$24,S$283&lt;Assumptions!$F$28),'S&amp;U'!$H45/ROUNDUP((Assumptions!$F$25+Assumptions!$F$27)/12,0),0))</f>
        <v>0</v>
      </c>
      <c r="T290" s="76">
        <f>+IF(AND(T$283&gt;=Assumptions!$F$22,T$283&lt;Assumptions!$F$24),'S&amp;U'!$H13/ROUNDUP(Assumptions!$F$23/12,0),IF(AND(T$283&gt;=Assumptions!$F$24,T$283&lt;Assumptions!$F$28),'S&amp;U'!$H45/ROUNDUP((Assumptions!$F$25+Assumptions!$F$27)/12,0),0))</f>
        <v>0</v>
      </c>
      <c r="U290" s="76">
        <f>+IF(AND(U$283&gt;=Assumptions!$F$22,U$283&lt;Assumptions!$F$24),'S&amp;U'!$H13/ROUNDUP(Assumptions!$F$23/12,0),IF(AND(U$283&gt;=Assumptions!$F$24,U$283&lt;Assumptions!$F$28),'S&amp;U'!$H45/ROUNDUP((Assumptions!$F$25+Assumptions!$F$27)/12,0),0))</f>
        <v>0</v>
      </c>
      <c r="V290" s="76">
        <f>+IF(AND(V$283&gt;=Assumptions!$F$22,V$283&lt;Assumptions!$F$24),'S&amp;U'!$H13/ROUNDUP(Assumptions!$F$23/12,0),IF(AND(V$283&gt;=Assumptions!$F$24,V$283&lt;Assumptions!$F$28),'S&amp;U'!$H45/ROUNDUP((Assumptions!$F$25+Assumptions!$F$27)/12,0),0))</f>
        <v>0</v>
      </c>
      <c r="W290" s="76">
        <f>+IF(AND(W$283&gt;=Assumptions!$F$22,W$283&lt;Assumptions!$F$24),'S&amp;U'!$H13/ROUNDUP(Assumptions!$F$23/12,0),IF(AND(W$283&gt;=Assumptions!$F$24,W$283&lt;Assumptions!$F$28),'S&amp;U'!$H45/ROUNDUP((Assumptions!$F$25+Assumptions!$F$27)/12,0),0))</f>
        <v>0</v>
      </c>
      <c r="X290" s="76">
        <f>+IF(AND(X$283&gt;=Assumptions!$F$22,X$283&lt;Assumptions!$F$24),'S&amp;U'!$H13/ROUNDUP(Assumptions!$F$23/12,0),IF(AND(X$283&gt;=Assumptions!$F$24,X$283&lt;Assumptions!$F$28),'S&amp;U'!$H45/ROUNDUP((Assumptions!$F$25+Assumptions!$F$27)/12,0),0))</f>
        <v>0</v>
      </c>
      <c r="Y290" s="76">
        <f>+IF(AND(Y$283&gt;=Assumptions!$F$22,Y$283&lt;Assumptions!$F$24),'S&amp;U'!$H13/ROUNDUP(Assumptions!$F$23/12,0),IF(AND(Y$283&gt;=Assumptions!$F$24,Y$283&lt;Assumptions!$F$28),'S&amp;U'!$H45/ROUNDUP((Assumptions!$F$25+Assumptions!$F$27)/12,0),0))</f>
        <v>0</v>
      </c>
      <c r="Z290" s="76">
        <f>+IF(AND(Z$283&gt;=Assumptions!$F$22,Z$283&lt;Assumptions!$F$24),'S&amp;U'!$H13/ROUNDUP(Assumptions!$F$23/12,0),IF(AND(Z$283&gt;=Assumptions!$F$24,Z$283&lt;Assumptions!$F$28),'S&amp;U'!$H45/ROUNDUP((Assumptions!$F$25+Assumptions!$F$27)/12,0),0))</f>
        <v>0</v>
      </c>
    </row>
    <row r="291" spans="1:26" ht="15.75">
      <c r="B291" s="687" t="s">
        <v>662</v>
      </c>
      <c r="C291" s="687"/>
      <c r="D291" s="550">
        <f ca="1">+SUM(F291:Z291)</f>
        <v>448267527.83785176</v>
      </c>
      <c r="E291" s="550"/>
      <c r="F291" s="550">
        <f ca="1">+SUM(F284:F290)</f>
        <v>86569817.956540704</v>
      </c>
      <c r="G291" s="550">
        <f ca="1">+SUM(G284:G290)</f>
        <v>177989064.59289944</v>
      </c>
      <c r="H291" s="550">
        <f ca="1">+SUM(H284:H290)</f>
        <v>177989064.59289944</v>
      </c>
      <c r="I291" s="550">
        <f t="shared" ref="I291:Z291" ca="1" si="213">+SUM(I284:I290)</f>
        <v>2859790.3477560584</v>
      </c>
      <c r="J291" s="550">
        <f t="shared" ca="1" si="213"/>
        <v>2859790.3477560584</v>
      </c>
      <c r="K291" s="550">
        <f t="shared" si="213"/>
        <v>0</v>
      </c>
      <c r="L291" s="550">
        <f t="shared" si="213"/>
        <v>0</v>
      </c>
      <c r="M291" s="550">
        <f t="shared" si="213"/>
        <v>0</v>
      </c>
      <c r="N291" s="550">
        <f t="shared" si="213"/>
        <v>0</v>
      </c>
      <c r="O291" s="550">
        <f t="shared" si="213"/>
        <v>0</v>
      </c>
      <c r="P291" s="550">
        <f t="shared" si="213"/>
        <v>0</v>
      </c>
      <c r="Q291" s="550">
        <f t="shared" si="213"/>
        <v>0</v>
      </c>
      <c r="R291" s="550">
        <f t="shared" si="213"/>
        <v>0</v>
      </c>
      <c r="S291" s="550">
        <f t="shared" si="213"/>
        <v>0</v>
      </c>
      <c r="T291" s="550">
        <f t="shared" si="213"/>
        <v>0</v>
      </c>
      <c r="U291" s="550">
        <f t="shared" si="213"/>
        <v>0</v>
      </c>
      <c r="V291" s="550">
        <f t="shared" si="213"/>
        <v>0</v>
      </c>
      <c r="W291" s="550">
        <f t="shared" si="213"/>
        <v>0</v>
      </c>
      <c r="X291" s="550">
        <f t="shared" si="213"/>
        <v>0</v>
      </c>
      <c r="Y291" s="550">
        <f t="shared" si="213"/>
        <v>0</v>
      </c>
      <c r="Z291" s="550">
        <f t="shared" si="213"/>
        <v>0</v>
      </c>
    </row>
    <row r="293" spans="1:26" ht="15.75">
      <c r="B293" s="73" t="s">
        <v>663</v>
      </c>
      <c r="F293" s="75">
        <f>+Assumptions!$F$22</f>
        <v>44561</v>
      </c>
      <c r="G293" s="75">
        <f>+EOMONTH(F293,12)</f>
        <v>44926</v>
      </c>
      <c r="H293" s="75">
        <f t="shared" ref="H293" si="214">+EOMONTH(G293,12)</f>
        <v>45291</v>
      </c>
      <c r="I293" s="75">
        <f>+EOMONTH(H293,12)</f>
        <v>45657</v>
      </c>
      <c r="J293" s="75">
        <f>+EOMONTH(I293,12)</f>
        <v>46022</v>
      </c>
      <c r="K293" s="75">
        <f t="shared" ref="K293" si="215">+EOMONTH(J293,12)</f>
        <v>46387</v>
      </c>
      <c r="L293" s="75">
        <f t="shared" ref="L293" si="216">+EOMONTH(K293,12)</f>
        <v>46752</v>
      </c>
      <c r="M293" s="75">
        <f t="shared" ref="M293" si="217">+EOMONTH(L293,12)</f>
        <v>47118</v>
      </c>
      <c r="N293" s="75">
        <f t="shared" ref="N293" si="218">+EOMONTH(M293,12)</f>
        <v>47483</v>
      </c>
      <c r="O293" s="75">
        <f t="shared" ref="O293" si="219">+EOMONTH(N293,12)</f>
        <v>47848</v>
      </c>
      <c r="P293" s="75">
        <f t="shared" ref="P293" si="220">+EOMONTH(O293,12)</f>
        <v>48213</v>
      </c>
      <c r="Q293" s="75">
        <f t="shared" ref="Q293" si="221">+EOMONTH(P293,12)</f>
        <v>48579</v>
      </c>
      <c r="R293" s="75">
        <f t="shared" ref="R293" si="222">+EOMONTH(Q293,12)</f>
        <v>48944</v>
      </c>
      <c r="S293" s="75">
        <f t="shared" ref="S293" si="223">+EOMONTH(R293,12)</f>
        <v>49309</v>
      </c>
      <c r="T293" s="75">
        <f t="shared" ref="T293" si="224">+EOMONTH(S293,12)</f>
        <v>49674</v>
      </c>
      <c r="U293" s="75">
        <f t="shared" ref="U293" si="225">+EOMONTH(T293,12)</f>
        <v>50040</v>
      </c>
      <c r="V293" s="75">
        <f t="shared" ref="V293" si="226">+EOMONTH(U293,12)</f>
        <v>50405</v>
      </c>
      <c r="W293" s="75">
        <f t="shared" ref="W293" si="227">+EOMONTH(V293,12)</f>
        <v>50770</v>
      </c>
      <c r="X293" s="75">
        <f t="shared" ref="X293" si="228">+EOMONTH(W293,12)</f>
        <v>51135</v>
      </c>
      <c r="Y293" s="75">
        <f t="shared" ref="Y293" si="229">+EOMONTH(X293,12)</f>
        <v>51501</v>
      </c>
      <c r="Z293" s="75">
        <f t="shared" ref="Z293" si="230">+EOMONTH(Y293,12)</f>
        <v>51866</v>
      </c>
    </row>
    <row r="294" spans="1:26" ht="15.75">
      <c r="A294" s="49"/>
      <c r="B294" s="15" t="s">
        <v>664</v>
      </c>
      <c r="D294" s="26">
        <f t="shared" ref="D294:D300" ca="1" si="231">+SUM(F294:Z294)</f>
        <v>64159011.937496722</v>
      </c>
      <c r="E294" s="26"/>
      <c r="F294" s="16">
        <f ca="1">+MIN('S&amp;U'!$H23-SUM('Phase I Pro Forma'!$E294:E294),'Phase I Pro Forma'!F$291)</f>
        <v>86569817.956540704</v>
      </c>
      <c r="G294" s="16">
        <f ca="1">+MIN('S&amp;U'!$H23-SUM('Phase I Pro Forma'!$E294:F294),'Phase I Pro Forma'!G$291)</f>
        <v>12663221.150123715</v>
      </c>
      <c r="H294" s="16">
        <f ca="1">+MIN('S&amp;U'!$H23-SUM('Phase I Pro Forma'!$E294:G294),'Phase I Pro Forma'!H$291)</f>
        <v>0</v>
      </c>
      <c r="I294" s="16">
        <f ca="1">+MIN('S&amp;U'!$H23-SUM('Phase I Pro Forma'!$E294:H294),'Phase I Pro Forma'!I$291)</f>
        <v>0</v>
      </c>
      <c r="J294" s="16">
        <f ca="1">+MIN('S&amp;U'!$H23-SUM('Phase I Pro Forma'!$E294:I294),'Phase I Pro Forma'!J$291)</f>
        <v>0</v>
      </c>
      <c r="K294" s="16">
        <f ca="1">+MIN('S&amp;U'!$H23-SUM('Phase I Pro Forma'!$E294:J294),'Phase I Pro Forma'!K$291)</f>
        <v>0</v>
      </c>
      <c r="L294" s="16">
        <f ca="1">+MIN('S&amp;U'!$H23-SUM('Phase I Pro Forma'!$E294:K294),'Phase I Pro Forma'!L$291)</f>
        <v>0</v>
      </c>
      <c r="M294" s="16">
        <f ca="1">+MIN('S&amp;U'!$H23-SUM('Phase I Pro Forma'!$E294:L294),'Phase I Pro Forma'!M$291)</f>
        <v>0</v>
      </c>
      <c r="N294" s="16">
        <f ca="1">+MIN('S&amp;U'!$H23-SUM('Phase I Pro Forma'!$E294:M294),'Phase I Pro Forma'!N$291)</f>
        <v>0</v>
      </c>
      <c r="O294" s="16">
        <f ca="1">+MIN('S&amp;U'!$H23-SUM('Phase I Pro Forma'!$E294:N294),'Phase I Pro Forma'!O$291)</f>
        <v>0</v>
      </c>
      <c r="P294" s="16">
        <f ca="1">+MIN('S&amp;U'!$H23-SUM('Phase I Pro Forma'!$E294:O294),'Phase I Pro Forma'!P$291)</f>
        <v>0</v>
      </c>
      <c r="Q294" s="16">
        <f ca="1">+MIN('S&amp;U'!$H23-SUM('Phase I Pro Forma'!$E294:P294),'Phase I Pro Forma'!Q$291)</f>
        <v>0</v>
      </c>
      <c r="R294" s="16">
        <f ca="1">+MIN('S&amp;U'!$H23-SUM('Phase I Pro Forma'!$E294:Q294),'Phase I Pro Forma'!R$291)</f>
        <v>0</v>
      </c>
      <c r="S294" s="16">
        <f ca="1">+MIN('S&amp;U'!$H23-SUM('Phase I Pro Forma'!$E294:R294),'Phase I Pro Forma'!S$291)</f>
        <v>0</v>
      </c>
      <c r="T294" s="16">
        <f ca="1">+MIN('S&amp;U'!$H23-SUM('Phase I Pro Forma'!$E294:S294),'Phase I Pro Forma'!T$291)</f>
        <v>0</v>
      </c>
      <c r="U294" s="16">
        <f ca="1">+MIN('S&amp;U'!$H23-SUM('Phase I Pro Forma'!$E294:T294),'Phase I Pro Forma'!U$291)</f>
        <v>0</v>
      </c>
      <c r="V294" s="16">
        <f ca="1">+MIN('S&amp;U'!$H23-SUM('Phase I Pro Forma'!$E294:U294),'Phase I Pro Forma'!V$291)</f>
        <v>0</v>
      </c>
      <c r="W294" s="16">
        <f ca="1">+MIN('S&amp;U'!$H23-SUM('Phase I Pro Forma'!$E294:V294),'Phase I Pro Forma'!W$291)</f>
        <v>0</v>
      </c>
      <c r="X294" s="16">
        <f ca="1">+MIN('S&amp;U'!$H23-SUM('Phase I Pro Forma'!$E294:W294),'Phase I Pro Forma'!X$291)</f>
        <v>0</v>
      </c>
      <c r="Y294" s="16">
        <f ca="1">+MIN('S&amp;U'!$H23-SUM('Phase I Pro Forma'!$E294:X294),'Phase I Pro Forma'!Y$291)</f>
        <v>0</v>
      </c>
      <c r="Z294" s="16">
        <f ca="1">+MIN('S&amp;U'!$H23-SUM('Phase I Pro Forma'!$E294:Y294),'Phase I Pro Forma'!Z$291)</f>
        <v>0</v>
      </c>
    </row>
    <row r="295" spans="1:26" ht="15.75">
      <c r="B295" s="15" t="s">
        <v>97</v>
      </c>
      <c r="D295" s="26">
        <v>20000000</v>
      </c>
      <c r="E295" s="26"/>
      <c r="F295" s="76">
        <f ca="1">+MIN('S&amp;U'!$H19-SUM('Phase I Pro Forma'!$E295:E295),'Phase I Pro Forma'!F$291-SUM(F$294:F294))</f>
        <v>20000000</v>
      </c>
      <c r="G295" s="76">
        <f ca="1">+MIN('S&amp;U'!$H19-SUM('Phase I Pro Forma'!$E295:F295),'Phase I Pro Forma'!G$291-SUM(G$294:G294))</f>
        <v>20000000</v>
      </c>
      <c r="H295" s="76">
        <f ca="1">+MIN('S&amp;U'!$H19-SUM('Phase I Pro Forma'!$E295:G295),'Phase I Pro Forma'!H$291-SUM(H$294:H294))</f>
        <v>20000000</v>
      </c>
      <c r="I295" s="76">
        <f ca="1">+MIN('S&amp;U'!$H19-SUM('Phase I Pro Forma'!$E295:H295),'Phase I Pro Forma'!I$291-SUM(I$294:I294))</f>
        <v>2859790.3477560584</v>
      </c>
      <c r="J295" s="76">
        <f ca="1">+MIN('S&amp;U'!$H19-SUM('Phase I Pro Forma'!$E295:I295),'Phase I Pro Forma'!J$291-SUM(J$294:J294))</f>
        <v>-2859790.347756058</v>
      </c>
      <c r="K295" s="76">
        <f ca="1">+MIN('S&amp;U'!$H19-SUM('Phase I Pro Forma'!$E295:J295),'Phase I Pro Forma'!K$291-SUM(K$294:K294))</f>
        <v>-20000000</v>
      </c>
      <c r="L295" s="76">
        <f ca="1">+MIN('S&amp;U'!$H19-SUM('Phase I Pro Forma'!$E295:K295),'Phase I Pro Forma'!L$291-SUM(L$294:L294))</f>
        <v>0</v>
      </c>
      <c r="M295" s="76">
        <f ca="1">+MIN('S&amp;U'!$H19-SUM('Phase I Pro Forma'!$E295:L295),'Phase I Pro Forma'!M$291-SUM(M$294:M294))</f>
        <v>-2859790.347756058</v>
      </c>
      <c r="N295" s="76">
        <f ca="1">+MIN('S&amp;U'!$H19-SUM('Phase I Pro Forma'!$E295:M295),'Phase I Pro Forma'!N$291-SUM(N$294:N294))</f>
        <v>-2859790.347756058</v>
      </c>
      <c r="O295" s="76">
        <f ca="1">+MIN('S&amp;U'!$H19-SUM('Phase I Pro Forma'!$E295:N295),'Phase I Pro Forma'!O$291-SUM(O$294:O294))</f>
        <v>0</v>
      </c>
      <c r="P295" s="76">
        <f ca="1">+MIN('S&amp;U'!$H19-SUM('Phase I Pro Forma'!$E295:O295),'Phase I Pro Forma'!P$291-SUM(P$294:P294))</f>
        <v>-2859790.347756058</v>
      </c>
      <c r="Q295" s="76">
        <f ca="1">+MIN('S&amp;U'!$H19-SUM('Phase I Pro Forma'!$E295:P295),'Phase I Pro Forma'!Q$291-SUM(Q$294:Q294))</f>
        <v>0</v>
      </c>
      <c r="R295" s="76">
        <f ca="1">+MIN('S&amp;U'!$H19-SUM('Phase I Pro Forma'!$E295:Q295),'Phase I Pro Forma'!R$291-SUM(R$294:R294))</f>
        <v>0</v>
      </c>
      <c r="S295" s="76">
        <f ca="1">+MIN('S&amp;U'!$H19-SUM('Phase I Pro Forma'!$E295:R295),'Phase I Pro Forma'!S$291-SUM(S$294:S294))</f>
        <v>0</v>
      </c>
      <c r="T295" s="76">
        <f ca="1">+MIN('S&amp;U'!$H19-SUM('Phase I Pro Forma'!$E295:S295),'Phase I Pro Forma'!T$291-SUM(T$294:T294))</f>
        <v>0</v>
      </c>
      <c r="U295" s="76">
        <f ca="1">+MIN('S&amp;U'!$H19-SUM('Phase I Pro Forma'!$E295:T295),'Phase I Pro Forma'!U$291-SUM(U$294:U294))</f>
        <v>0</v>
      </c>
      <c r="V295" s="76">
        <f ca="1">+MIN('S&amp;U'!$H19-SUM('Phase I Pro Forma'!$E295:U295),'Phase I Pro Forma'!V$291-SUM(V$294:V294))</f>
        <v>-11420628.956731826</v>
      </c>
      <c r="W295" s="76">
        <f ca="1">+MIN('S&amp;U'!$H19-SUM('Phase I Pro Forma'!$E295:V295),'Phase I Pro Forma'!W$291-SUM(W$294:W294))</f>
        <v>0</v>
      </c>
      <c r="X295" s="76">
        <f ca="1">+MIN('S&amp;U'!$H19-SUM('Phase I Pro Forma'!$E295:W295),'Phase I Pro Forma'!X$291-SUM(X$294:X294))</f>
        <v>0</v>
      </c>
      <c r="Y295" s="76">
        <f ca="1">+MIN('S&amp;U'!$H19-SUM('Phase I Pro Forma'!$E295:X295),'Phase I Pro Forma'!Y$291-SUM(Y$294:Y294))</f>
        <v>0</v>
      </c>
      <c r="Z295" s="76">
        <f ca="1">+MIN('S&amp;U'!$H19-SUM('Phase I Pro Forma'!$E295:Y295),'Phase I Pro Forma'!Z$291-SUM(Z$294:Z294))</f>
        <v>0</v>
      </c>
    </row>
    <row r="296" spans="1:26" ht="15.75">
      <c r="B296" s="15" t="s">
        <v>392</v>
      </c>
      <c r="D296" s="26">
        <f t="shared" ca="1" si="231"/>
        <v>12714766.389964083</v>
      </c>
      <c r="E296" s="26"/>
      <c r="F296" s="76">
        <f ca="1">+MIN('S&amp;U'!$H20-SUM('Phase I Pro Forma'!$E296:E296),'Phase I Pro Forma'!F$291-SUM(F$294:F295))</f>
        <v>5335733.8687902158</v>
      </c>
      <c r="G296" s="76">
        <f ca="1">+MIN('S&amp;U'!$H20-SUM('Phase I Pro Forma'!$E296:F296),'Phase I Pro Forma'!G$291-SUM(G$294:G295))</f>
        <v>5335733.8687902158</v>
      </c>
      <c r="H296" s="76">
        <f ca="1">+MIN('S&amp;U'!$H20-SUM('Phase I Pro Forma'!$E296:G296),'Phase I Pro Forma'!H$291-SUM(H$294:H295))</f>
        <v>-7379032.5211738674</v>
      </c>
      <c r="I296" s="76">
        <f ca="1">+MIN('S&amp;U'!$H20-SUM('Phase I Pro Forma'!$E296:H296),'Phase I Pro Forma'!I$291-SUM(I$294:I295))</f>
        <v>0</v>
      </c>
      <c r="J296" s="76">
        <f ca="1">+MIN('S&amp;U'!$H20-SUM('Phase I Pro Forma'!$E296:I296),'Phase I Pro Forma'!J$291-SUM(J$294:J295))</f>
        <v>0</v>
      </c>
      <c r="K296" s="76">
        <f ca="1">+MIN('S&amp;U'!$H20-SUM('Phase I Pro Forma'!$E296:J296),'Phase I Pro Forma'!K$291-SUM(K$294:K295))</f>
        <v>0</v>
      </c>
      <c r="L296" s="76">
        <f ca="1">+MIN('S&amp;U'!$H20-SUM('Phase I Pro Forma'!$E296:K296),'Phase I Pro Forma'!L$291-SUM(L$294:L295))</f>
        <v>0</v>
      </c>
      <c r="M296" s="76">
        <f ca="1">+MIN('S&amp;U'!$H20-SUM('Phase I Pro Forma'!$E296:L296),'Phase I Pro Forma'!M$291-SUM(M$294:M295))</f>
        <v>0</v>
      </c>
      <c r="N296" s="76">
        <f ca="1">+MIN('S&amp;U'!$H20-SUM('Phase I Pro Forma'!$E296:M296),'Phase I Pro Forma'!N$291-SUM(N$294:N295))</f>
        <v>0</v>
      </c>
      <c r="O296" s="76">
        <f ca="1">+MIN('S&amp;U'!$H20-SUM('Phase I Pro Forma'!$E296:N296),'Phase I Pro Forma'!O$291-SUM(O$294:O295))</f>
        <v>0</v>
      </c>
      <c r="P296" s="76">
        <f ca="1">+MIN('S&amp;U'!$H20-SUM('Phase I Pro Forma'!$E296:O296),'Phase I Pro Forma'!P$291-SUM(P$294:P295))</f>
        <v>0</v>
      </c>
      <c r="Q296" s="76">
        <f ca="1">+MIN('S&amp;U'!$H20-SUM('Phase I Pro Forma'!$E296:P296),'Phase I Pro Forma'!Q$291-SUM(Q$294:Q295))</f>
        <v>0</v>
      </c>
      <c r="R296" s="76">
        <f ca="1">+MIN('S&amp;U'!$H20-SUM('Phase I Pro Forma'!$E296:Q296),'Phase I Pro Forma'!R$291-SUM(R$294:R295))</f>
        <v>0</v>
      </c>
      <c r="S296" s="76">
        <f ca="1">+MIN('S&amp;U'!$H20-SUM('Phase I Pro Forma'!$E296:R296),'Phase I Pro Forma'!S$291-SUM(S$294:S295))</f>
        <v>0</v>
      </c>
      <c r="T296" s="76">
        <f ca="1">+MIN('S&amp;U'!$H20-SUM('Phase I Pro Forma'!$E296:S296),'Phase I Pro Forma'!T$291-SUM(T$294:T295))</f>
        <v>0</v>
      </c>
      <c r="U296" s="76">
        <f ca="1">+MIN('S&amp;U'!$H20-SUM('Phase I Pro Forma'!$E296:T296),'Phase I Pro Forma'!U$291-SUM(U$294:U295))</f>
        <v>0</v>
      </c>
      <c r="V296" s="76">
        <f ca="1">+MIN('S&amp;U'!$H20-SUM('Phase I Pro Forma'!$E296:U296),'Phase I Pro Forma'!V$291-SUM(V$294:V295))</f>
        <v>0</v>
      </c>
      <c r="W296" s="76">
        <f ca="1">+MIN('S&amp;U'!$H20-SUM('Phase I Pro Forma'!$E296:V296),'Phase I Pro Forma'!W$291-SUM(W$294:W295))</f>
        <v>0</v>
      </c>
      <c r="X296" s="76">
        <f ca="1">+MIN('S&amp;U'!$H20-SUM('Phase I Pro Forma'!$E296:W296),'Phase I Pro Forma'!X$291-SUM(X$294:X295))</f>
        <v>0</v>
      </c>
      <c r="Y296" s="76">
        <f ca="1">+MIN('S&amp;U'!$H20-SUM('Phase I Pro Forma'!$E296:X296),'Phase I Pro Forma'!Y$291-SUM(Y$294:Y295))</f>
        <v>0</v>
      </c>
      <c r="Z296" s="76">
        <f ca="1">+MIN('S&amp;U'!$H20-SUM('Phase I Pro Forma'!$E296:Y296),'Phase I Pro Forma'!Z$291-SUM(Z$294:Z295))</f>
        <v>0</v>
      </c>
    </row>
    <row r="297" spans="1:26" ht="15.75">
      <c r="B297" s="15" t="s">
        <v>393</v>
      </c>
      <c r="D297" s="26">
        <f t="shared" ca="1" si="231"/>
        <v>5538000</v>
      </c>
      <c r="E297" s="26"/>
      <c r="F297" s="76">
        <f ca="1">+MIN('S&amp;U'!$H21-SUM('Phase I Pro Forma'!$E297:E297),'Phase I Pro Forma'!F$291-SUM(F$294:F296))</f>
        <v>5538000</v>
      </c>
      <c r="G297" s="76">
        <f ca="1">+MIN('S&amp;U'!$H21-SUM('Phase I Pro Forma'!$E297:F297),'Phase I Pro Forma'!G$291-SUM(G$294:G296))</f>
        <v>5538000</v>
      </c>
      <c r="H297" s="76">
        <f ca="1">+MIN('S&amp;U'!$H21-SUM('Phase I Pro Forma'!$E297:G297),'Phase I Pro Forma'!H$291-SUM(H$294:H296))</f>
        <v>0</v>
      </c>
      <c r="I297" s="76">
        <f ca="1">+MIN('S&amp;U'!$H21-SUM('Phase I Pro Forma'!$E297:H297),'Phase I Pro Forma'!I$291-SUM(I$294:I296))</f>
        <v>0</v>
      </c>
      <c r="J297" s="76">
        <f ca="1">+MIN('S&amp;U'!$H21-SUM('Phase I Pro Forma'!$E297:I297),'Phase I Pro Forma'!J$291-SUM(J$294:J296))</f>
        <v>0</v>
      </c>
      <c r="K297" s="76">
        <f ca="1">+MIN('S&amp;U'!$H21-SUM('Phase I Pro Forma'!$E297:J297),'Phase I Pro Forma'!K$291-SUM(K$294:K296))</f>
        <v>0</v>
      </c>
      <c r="L297" s="76">
        <f ca="1">+MIN('S&amp;U'!$H21-SUM('Phase I Pro Forma'!$E297:K297),'Phase I Pro Forma'!L$291-SUM(L$294:L296))</f>
        <v>0</v>
      </c>
      <c r="M297" s="76">
        <f ca="1">+MIN('S&amp;U'!$H21-SUM('Phase I Pro Forma'!$E297:L297),'Phase I Pro Forma'!M$291-SUM(M$294:M296))</f>
        <v>0</v>
      </c>
      <c r="N297" s="76">
        <f ca="1">+MIN('S&amp;U'!$H21-SUM('Phase I Pro Forma'!$E297:M297),'Phase I Pro Forma'!N$291-SUM(N$294:N296))</f>
        <v>0</v>
      </c>
      <c r="O297" s="76">
        <f ca="1">+MIN('S&amp;U'!$H21-SUM('Phase I Pro Forma'!$E297:N297),'Phase I Pro Forma'!O$291-SUM(O$294:O296))</f>
        <v>0</v>
      </c>
      <c r="P297" s="76">
        <f ca="1">+MIN('S&amp;U'!$H21-SUM('Phase I Pro Forma'!$E297:O297),'Phase I Pro Forma'!P$291-SUM(P$294:P296))</f>
        <v>0</v>
      </c>
      <c r="Q297" s="76">
        <f ca="1">+MIN('S&amp;U'!$H21-SUM('Phase I Pro Forma'!$E297:P297),'Phase I Pro Forma'!Q$291-SUM(Q$294:Q296))</f>
        <v>0</v>
      </c>
      <c r="R297" s="76">
        <f ca="1">+MIN('S&amp;U'!$H21-SUM('Phase I Pro Forma'!$E297:Q297),'Phase I Pro Forma'!R$291-SUM(R$294:R296))</f>
        <v>0</v>
      </c>
      <c r="S297" s="76">
        <f ca="1">+MIN('S&amp;U'!$H21-SUM('Phase I Pro Forma'!$E297:R297),'Phase I Pro Forma'!S$291-SUM(S$294:S296))</f>
        <v>0</v>
      </c>
      <c r="T297" s="76">
        <f ca="1">+MIN('S&amp;U'!$H21-SUM('Phase I Pro Forma'!$E297:S297),'Phase I Pro Forma'!T$291-SUM(T$294:T296))</f>
        <v>0</v>
      </c>
      <c r="U297" s="76">
        <f ca="1">+MIN('S&amp;U'!$H21-SUM('Phase I Pro Forma'!$E297:T297),'Phase I Pro Forma'!U$291-SUM(U$294:U296))</f>
        <v>0</v>
      </c>
      <c r="V297" s="76">
        <f ca="1">+MIN('S&amp;U'!$H21-SUM('Phase I Pro Forma'!$E297:U297),'Phase I Pro Forma'!V$291-SUM(V$294:V296))</f>
        <v>0</v>
      </c>
      <c r="W297" s="76">
        <f ca="1">+MIN('S&amp;U'!$H21-SUM('Phase I Pro Forma'!$E297:V297),'Phase I Pro Forma'!W$291-SUM(W$294:W296))</f>
        <v>0</v>
      </c>
      <c r="X297" s="76">
        <f ca="1">+MIN('S&amp;U'!$H21-SUM('Phase I Pro Forma'!$E297:W297),'Phase I Pro Forma'!X$291-SUM(X$294:X296))</f>
        <v>0</v>
      </c>
      <c r="Y297" s="76">
        <f ca="1">+MIN('S&amp;U'!$H21-SUM('Phase I Pro Forma'!$E297:X297),'Phase I Pro Forma'!Y$291-SUM(Y$294:Y296))</f>
        <v>0</v>
      </c>
      <c r="Z297" s="76">
        <f ca="1">+MIN('S&amp;U'!$H21-SUM('Phase I Pro Forma'!$E297:Y297),'Phase I Pro Forma'!Z$291-SUM(Z$294:Z296))</f>
        <v>0</v>
      </c>
    </row>
    <row r="298" spans="1:26" ht="15.75">
      <c r="B298" s="15" t="s">
        <v>394</v>
      </c>
      <c r="D298" s="26">
        <f t="shared" ca="1" si="231"/>
        <v>3256330.7674772362</v>
      </c>
      <c r="E298" s="26"/>
      <c r="F298" s="76">
        <f ca="1">+MIN('S&amp;U'!$H22-SUM('Phase I Pro Forma'!$E298:E298),'Phase I Pro Forma'!F$291-SUM(F$294:F297))</f>
        <v>20000000</v>
      </c>
      <c r="G298" s="76">
        <f ca="1">+MIN('S&amp;U'!$H22-SUM('Phase I Pro Forma'!$E298:F298),'Phase I Pro Forma'!G$291-SUM(G$294:G297))</f>
        <v>20000000</v>
      </c>
      <c r="H298" s="76">
        <f ca="1">+MIN('S&amp;U'!$H22-SUM('Phase I Pro Forma'!$E298:G298),'Phase I Pro Forma'!H$291-SUM(H$294:H297))</f>
        <v>16743669.232522763</v>
      </c>
      <c r="I298" s="76">
        <f ca="1">+MIN('S&amp;U'!$H22-SUM('Phase I Pro Forma'!$E298:H298),'Phase I Pro Forma'!I$291-SUM(I$294:I297))</f>
        <v>-16743669.232522763</v>
      </c>
      <c r="J298" s="76">
        <f ca="1">+MIN('S&amp;U'!$H22-SUM('Phase I Pro Forma'!$E298:I298),'Phase I Pro Forma'!J$291-SUM(J$294:J297))</f>
        <v>0</v>
      </c>
      <c r="K298" s="76">
        <f ca="1">+MIN('S&amp;U'!$H22-SUM('Phase I Pro Forma'!$E298:J298),'Phase I Pro Forma'!K$291-SUM(K$294:K297))</f>
        <v>0</v>
      </c>
      <c r="L298" s="76">
        <f ca="1">+MIN('S&amp;U'!$H22-SUM('Phase I Pro Forma'!$E298:K298),'Phase I Pro Forma'!L$291-SUM(L$294:L297))</f>
        <v>0</v>
      </c>
      <c r="M298" s="76">
        <f ca="1">+MIN('S&amp;U'!$H22-SUM('Phase I Pro Forma'!$E298:L298),'Phase I Pro Forma'!M$291-SUM(M$294:M297))</f>
        <v>0</v>
      </c>
      <c r="N298" s="76">
        <f ca="1">+MIN('S&amp;U'!$H22-SUM('Phase I Pro Forma'!$E298:M298),'Phase I Pro Forma'!N$291-SUM(N$294:N297))</f>
        <v>0</v>
      </c>
      <c r="O298" s="76">
        <f ca="1">+MIN('S&amp;U'!$H22-SUM('Phase I Pro Forma'!$E298:N298),'Phase I Pro Forma'!O$291-SUM(O$294:O297))</f>
        <v>0</v>
      </c>
      <c r="P298" s="76">
        <f ca="1">+MIN('S&amp;U'!$H22-SUM('Phase I Pro Forma'!$E298:O298),'Phase I Pro Forma'!P$291-SUM(P$294:P297))</f>
        <v>-16743669.232522763</v>
      </c>
      <c r="Q298" s="76">
        <f ca="1">+MIN('S&amp;U'!$H22-SUM('Phase I Pro Forma'!$E298:P298),'Phase I Pro Forma'!Q$291-SUM(Q$294:Q297))</f>
        <v>0</v>
      </c>
      <c r="R298" s="76">
        <f ca="1">+MIN('S&amp;U'!$H22-SUM('Phase I Pro Forma'!$E298:Q298),'Phase I Pro Forma'!R$291-SUM(R$294:R297))</f>
        <v>0</v>
      </c>
      <c r="S298" s="76">
        <f ca="1">+MIN('S&amp;U'!$H22-SUM('Phase I Pro Forma'!$E298:R298),'Phase I Pro Forma'!S$291-SUM(S$294:S297))</f>
        <v>0</v>
      </c>
      <c r="T298" s="76">
        <f ca="1">+MIN('S&amp;U'!$H22-SUM('Phase I Pro Forma'!$E298:S298),'Phase I Pro Forma'!T$291-SUM(T$294:T297))</f>
        <v>0</v>
      </c>
      <c r="U298" s="76">
        <f ca="1">+MIN('S&amp;U'!$H22-SUM('Phase I Pro Forma'!$E298:T298),'Phase I Pro Forma'!U$291-SUM(U$294:U297))</f>
        <v>0</v>
      </c>
      <c r="V298" s="76">
        <f ca="1">+MIN('S&amp;U'!$H22-SUM('Phase I Pro Forma'!$E298:U298),'Phase I Pro Forma'!V$291-SUM(V$294:V297))</f>
        <v>0</v>
      </c>
      <c r="W298" s="76">
        <f ca="1">+MIN('S&amp;U'!$H22-SUM('Phase I Pro Forma'!$E298:V298),'Phase I Pro Forma'!W$291-SUM(W$294:W297))</f>
        <v>0</v>
      </c>
      <c r="X298" s="76">
        <f ca="1">+MIN('S&amp;U'!$H22-SUM('Phase I Pro Forma'!$E298:W298),'Phase I Pro Forma'!X$291-SUM(X$294:X297))</f>
        <v>0</v>
      </c>
      <c r="Y298" s="76">
        <f ca="1">+MIN('S&amp;U'!$H22-SUM('Phase I Pro Forma'!$E298:X298),'Phase I Pro Forma'!Y$291-SUM(Y$294:Y297))</f>
        <v>0</v>
      </c>
      <c r="Z298" s="76">
        <f ca="1">+MIN('S&amp;U'!$H22-SUM('Phase I Pro Forma'!$E298:Y298),'Phase I Pro Forma'!Z$291-SUM(Z$294:Z297))</f>
        <v>0</v>
      </c>
    </row>
    <row r="299" spans="1:26" ht="15.75">
      <c r="A299" s="49"/>
      <c r="B299" s="15" t="s">
        <v>356</v>
      </c>
      <c r="D299" s="26">
        <f t="shared" ca="1" si="231"/>
        <v>243987108.5554767</v>
      </c>
      <c r="E299" s="26"/>
      <c r="F299" s="76">
        <f ca="1">+MIN('S&amp;U'!$H17-SUM('Phase I Pro Forma'!$E299:E299),'Phase I Pro Forma'!F$291-SUM(F$294:F298))</f>
        <v>4200293.3003774881</v>
      </c>
      <c r="G299" s="76">
        <f ca="1">+MIN('S&amp;U'!$H17-SUM('Phase I Pro Forma'!$E299:F299),'Phase I Pro Forma'!G$291-SUM(G$294:G298))</f>
        <v>134452109.57398552</v>
      </c>
      <c r="H299" s="76">
        <f ca="1">+MIN('S&amp;U'!$H17-SUM('Phase I Pro Forma'!$E299:G299),'Phase I Pro Forma'!H$291-SUM(H$294:H298))</f>
        <v>98544179.957813263</v>
      </c>
      <c r="I299" s="76">
        <f ca="1">+MIN('S&amp;U'!$H17-SUM('Phase I Pro Forma'!$E299:H299),'Phase I Pro Forma'!I$291-SUM(I$294:I298))</f>
        <v>0</v>
      </c>
      <c r="J299" s="76">
        <f ca="1">+MIN('S&amp;U'!$H17-SUM('Phase I Pro Forma'!$E299:I299),'Phase I Pro Forma'!J$291-SUM(J$294:J298))</f>
        <v>2590232.4229229391</v>
      </c>
      <c r="K299" s="76">
        <f ca="1">+MIN('S&amp;U'!$H17-SUM('Phase I Pro Forma'!$E299:J299),'Phase I Pro Forma'!K$291-SUM(K$294:K298))</f>
        <v>0</v>
      </c>
      <c r="L299" s="76">
        <f ca="1">+MIN('S&amp;U'!$H17-SUM('Phase I Pro Forma'!$E299:K299),'Phase I Pro Forma'!L$291-SUM(L$294:L298))</f>
        <v>0</v>
      </c>
      <c r="M299" s="76">
        <f ca="1">+MIN('S&amp;U'!$H17-SUM('Phase I Pro Forma'!$E299:L299),'Phase I Pro Forma'!M$291-SUM(M$294:M298))</f>
        <v>0</v>
      </c>
      <c r="N299" s="76">
        <f ca="1">+MIN('S&amp;U'!$H17-SUM('Phase I Pro Forma'!$E299:M299),'Phase I Pro Forma'!N$291-SUM(N$294:N298))</f>
        <v>0</v>
      </c>
      <c r="O299" s="76">
        <f ca="1">+MIN('S&amp;U'!$H17-SUM('Phase I Pro Forma'!$E299:N299),'Phase I Pro Forma'!O$291-SUM(O$294:O298))</f>
        <v>0</v>
      </c>
      <c r="P299" s="76">
        <f ca="1">+MIN('S&amp;U'!$H17-SUM('Phase I Pro Forma'!$E299:O299),'Phase I Pro Forma'!P$291-SUM(P$294:P298))</f>
        <v>-4200293.3003774881</v>
      </c>
      <c r="Q299" s="76">
        <f ca="1">+MIN('S&amp;U'!$H17-SUM('Phase I Pro Forma'!$E299:P299),'Phase I Pro Forma'!Q$291-SUM(Q$294:Q298))</f>
        <v>0</v>
      </c>
      <c r="R299" s="76">
        <f ca="1">+MIN('S&amp;U'!$H17-SUM('Phase I Pro Forma'!$E299:Q299),'Phase I Pro Forma'!R$291-SUM(R$294:R298))</f>
        <v>0</v>
      </c>
      <c r="S299" s="76">
        <f ca="1">+MIN('S&amp;U'!$H17-SUM('Phase I Pro Forma'!$E299:R299),'Phase I Pro Forma'!S$291-SUM(S$294:S298))</f>
        <v>0</v>
      </c>
      <c r="T299" s="76">
        <f ca="1">+MIN('S&amp;U'!$H17-SUM('Phase I Pro Forma'!$E299:S299),'Phase I Pro Forma'!T$291-SUM(T$294:T298))</f>
        <v>0</v>
      </c>
      <c r="U299" s="76">
        <f ca="1">+MIN('S&amp;U'!$H17-SUM('Phase I Pro Forma'!$E299:T299),'Phase I Pro Forma'!U$291-SUM(U$294:U298))</f>
        <v>0</v>
      </c>
      <c r="V299" s="76">
        <f ca="1">+MIN('S&amp;U'!$H17-SUM('Phase I Pro Forma'!$E299:U299),'Phase I Pro Forma'!V$291-SUM(V$294:V298))</f>
        <v>0</v>
      </c>
      <c r="W299" s="76">
        <f ca="1">+MIN('S&amp;U'!$H17-SUM('Phase I Pro Forma'!$E299:V299),'Phase I Pro Forma'!W$291-SUM(W$294:W298))</f>
        <v>0</v>
      </c>
      <c r="X299" s="76">
        <f ca="1">+MIN('S&amp;U'!$H17-SUM('Phase I Pro Forma'!$E299:W299),'Phase I Pro Forma'!X$291-SUM(X$294:X298))</f>
        <v>0</v>
      </c>
      <c r="Y299" s="76">
        <f ca="1">+MIN('S&amp;U'!$H17-SUM('Phase I Pro Forma'!$E299:X299),'Phase I Pro Forma'!Y$291-SUM(Y$294:Y298))</f>
        <v>0</v>
      </c>
      <c r="Z299" s="76">
        <f ca="1">+MIN('S&amp;U'!$H17-SUM('Phase I Pro Forma'!$E299:Y299),'Phase I Pro Forma'!Z$291-SUM(Z$294:Z298))</f>
        <v>0</v>
      </c>
    </row>
    <row r="300" spans="1:26" ht="15.75">
      <c r="A300" s="49"/>
      <c r="B300" s="15" t="s">
        <v>791</v>
      </c>
      <c r="D300" s="26">
        <f t="shared" ca="1" si="231"/>
        <v>-2219580.6955120862</v>
      </c>
      <c r="E300" s="26"/>
      <c r="F300" s="76">
        <f ca="1">+MIN('S&amp;U'!$H18-SUM('Phase I Pro Forma'!$E300:E300),'Phase I Pro Forma'!F$291-SUM(F$294:F299))</f>
        <v>3500000</v>
      </c>
      <c r="G300" s="76">
        <f ca="1">+MIN('S&amp;U'!$H18-SUM('Phase I Pro Forma'!$E300:F300),'Phase I Pro Forma'!G$291-SUM(G$294:G299))</f>
        <v>-2590232.4229229391</v>
      </c>
      <c r="H300" s="76">
        <f ca="1">+MIN('S&amp;U'!$H18-SUM('Phase I Pro Forma'!$E300:G300),'Phase I Pro Forma'!H$291-SUM(H$294:H299))</f>
        <v>3500000</v>
      </c>
      <c r="I300" s="76">
        <f ca="1">+MIN('S&amp;U'!$H18-SUM('Phase I Pro Forma'!$E300:H300),'Phase I Pro Forma'!I$291-SUM(I$294:I299))</f>
        <v>2590232.4229229391</v>
      </c>
      <c r="J300" s="76">
        <f ca="1">+MIN('S&amp;U'!$H18-SUM('Phase I Pro Forma'!$E300:I300),'Phase I Pro Forma'!J$291-SUM(J$294:J299))</f>
        <v>-2859790.347756058</v>
      </c>
      <c r="K300" s="76">
        <f ca="1">+MIN('S&amp;U'!$H18-SUM('Phase I Pro Forma'!$E300:J300),'Phase I Pro Forma'!K$291-SUM(K$294:K299))</f>
        <v>-640209.65224394202</v>
      </c>
      <c r="L300" s="76">
        <f ca="1">+MIN('S&amp;U'!$H18-SUM('Phase I Pro Forma'!$E300:K300),'Phase I Pro Forma'!L$291-SUM(L$294:L299))</f>
        <v>0</v>
      </c>
      <c r="M300" s="76">
        <f ca="1">+MIN('S&amp;U'!$H18-SUM('Phase I Pro Forma'!$E300:L300),'Phase I Pro Forma'!M$291-SUM(M$294:M299))</f>
        <v>0</v>
      </c>
      <c r="N300" s="76">
        <f ca="1">+MIN('S&amp;U'!$H18-SUM('Phase I Pro Forma'!$E300:M300),'Phase I Pro Forma'!N$291-SUM(N$294:N299))</f>
        <v>0</v>
      </c>
      <c r="O300" s="76">
        <f ca="1">+MIN('S&amp;U'!$H18-SUM('Phase I Pro Forma'!$E300:N300),'Phase I Pro Forma'!O$291-SUM(O$294:O299))</f>
        <v>0</v>
      </c>
      <c r="P300" s="76">
        <f ca="1">+MIN('S&amp;U'!$H18-SUM('Phase I Pro Forma'!$E300:O300),'Phase I Pro Forma'!P$291-SUM(P$294:P299))</f>
        <v>-5719580.6955120862</v>
      </c>
      <c r="Q300" s="76">
        <f ca="1">+MIN('S&amp;U'!$H18-SUM('Phase I Pro Forma'!$E300:P300),'Phase I Pro Forma'!Q$291-SUM(Q$294:Q299))</f>
        <v>0</v>
      </c>
      <c r="R300" s="76">
        <f ca="1">+MIN('S&amp;U'!$H18-SUM('Phase I Pro Forma'!$E300:Q300),'Phase I Pro Forma'!R$291-SUM(R$294:R299))</f>
        <v>0</v>
      </c>
      <c r="S300" s="76">
        <f ca="1">+MIN('S&amp;U'!$H18-SUM('Phase I Pro Forma'!$E300:R300),'Phase I Pro Forma'!S$291-SUM(S$294:S299))</f>
        <v>0</v>
      </c>
      <c r="T300" s="76">
        <f ca="1">+MIN('S&amp;U'!$H18-SUM('Phase I Pro Forma'!$E300:S300),'Phase I Pro Forma'!T$291-SUM(T$294:T299))</f>
        <v>0</v>
      </c>
      <c r="U300" s="76">
        <f ca="1">+MIN('S&amp;U'!$H18-SUM('Phase I Pro Forma'!$E300:T300),'Phase I Pro Forma'!U$291-SUM(U$294:U299))</f>
        <v>0</v>
      </c>
      <c r="V300" s="76">
        <f ca="1">+MIN('S&amp;U'!$H18-SUM('Phase I Pro Forma'!$E300:U300),'Phase I Pro Forma'!V$291-SUM(V$294:V299))</f>
        <v>0</v>
      </c>
      <c r="W300" s="76">
        <f ca="1">+MIN('S&amp;U'!$H18-SUM('Phase I Pro Forma'!$E300:V300),'Phase I Pro Forma'!W$291-SUM(W$294:W299))</f>
        <v>0</v>
      </c>
      <c r="X300" s="76">
        <f ca="1">+MIN('S&amp;U'!$H18-SUM('Phase I Pro Forma'!$E300:W300),'Phase I Pro Forma'!X$291-SUM(X$294:X299))</f>
        <v>0</v>
      </c>
      <c r="Y300" s="76">
        <f ca="1">+MIN('S&amp;U'!$H18-SUM('Phase I Pro Forma'!$E300:X300),'Phase I Pro Forma'!Y$291-SUM(Y$294:Y299))</f>
        <v>0</v>
      </c>
      <c r="Z300" s="76">
        <f ca="1">+MIN('S&amp;U'!$H18-SUM('Phase I Pro Forma'!$E300:Y300),'Phase I Pro Forma'!Z$291-SUM(Z$294:Z299))</f>
        <v>0</v>
      </c>
    </row>
    <row r="301" spans="1:26" ht="15.75">
      <c r="B301" s="687" t="s">
        <v>665</v>
      </c>
      <c r="C301" s="687"/>
      <c r="D301" s="550">
        <f ca="1">+SUM(F301:Z301)</f>
        <v>335420277.10542315</v>
      </c>
      <c r="E301" s="550"/>
      <c r="F301" s="550">
        <f t="shared" ref="F301:Z301" ca="1" si="232">+SUM(F294:F300)</f>
        <v>85869524.656163216</v>
      </c>
      <c r="G301" s="550">
        <f t="shared" ca="1" si="232"/>
        <v>175398832.1699765</v>
      </c>
      <c r="H301" s="550">
        <f t="shared" ca="1" si="232"/>
        <v>111408816.66916215</v>
      </c>
      <c r="I301" s="550">
        <f t="shared" ca="1" si="232"/>
        <v>-11293646.461843766</v>
      </c>
      <c r="J301" s="550">
        <f t="shared" ca="1" si="232"/>
        <v>-2859790.347756058</v>
      </c>
      <c r="K301" s="550">
        <f t="shared" ca="1" si="232"/>
        <v>-640209.65224394202</v>
      </c>
      <c r="L301" s="550">
        <f t="shared" ca="1" si="232"/>
        <v>0</v>
      </c>
      <c r="M301" s="550">
        <f t="shared" ca="1" si="232"/>
        <v>0</v>
      </c>
      <c r="N301" s="550">
        <f t="shared" ca="1" si="232"/>
        <v>0</v>
      </c>
      <c r="O301" s="550">
        <f t="shared" ca="1" si="232"/>
        <v>0</v>
      </c>
      <c r="P301" s="550">
        <f t="shared" ca="1" si="232"/>
        <v>-22463249.928034849</v>
      </c>
      <c r="Q301" s="550">
        <f t="shared" ca="1" si="232"/>
        <v>0</v>
      </c>
      <c r="R301" s="550">
        <f t="shared" ca="1" si="232"/>
        <v>0</v>
      </c>
      <c r="S301" s="550">
        <f t="shared" ca="1" si="232"/>
        <v>0</v>
      </c>
      <c r="T301" s="550">
        <f t="shared" ca="1" si="232"/>
        <v>0</v>
      </c>
      <c r="U301" s="550">
        <f t="shared" ca="1" si="232"/>
        <v>0</v>
      </c>
      <c r="V301" s="550">
        <f t="shared" ca="1" si="232"/>
        <v>0</v>
      </c>
      <c r="W301" s="550">
        <f t="shared" ca="1" si="232"/>
        <v>0</v>
      </c>
      <c r="X301" s="550">
        <f t="shared" ca="1" si="232"/>
        <v>0</v>
      </c>
      <c r="Y301" s="550">
        <f t="shared" ca="1" si="232"/>
        <v>0</v>
      </c>
      <c r="Z301" s="550">
        <f t="shared" ca="1" si="232"/>
        <v>0</v>
      </c>
    </row>
    <row r="303" spans="1:26" ht="15.75">
      <c r="B303" s="15" t="s">
        <v>666</v>
      </c>
      <c r="D303" s="26">
        <f ca="1">+SUM(F303:Z303)</f>
        <v>35405185.288371705</v>
      </c>
      <c r="F303" s="22">
        <f ca="1">+SUM(F295:F298,F300)</f>
        <v>34373733.868790217</v>
      </c>
      <c r="G303" s="22">
        <f t="shared" ref="G303:Z303" ca="1" si="233">+SUM(G295:G298,G300)</f>
        <v>48283501.445867278</v>
      </c>
      <c r="H303" s="22">
        <f t="shared" ca="1" si="233"/>
        <v>32864636.711348895</v>
      </c>
      <c r="I303" s="22">
        <f t="shared" ca="1" si="233"/>
        <v>-11293646.461843766</v>
      </c>
      <c r="J303" s="22">
        <f t="shared" ca="1" si="233"/>
        <v>-5719580.695512116</v>
      </c>
      <c r="K303" s="22">
        <f t="shared" ca="1" si="233"/>
        <v>-20640209.652243942</v>
      </c>
      <c r="L303" s="22">
        <f t="shared" ca="1" si="233"/>
        <v>0</v>
      </c>
      <c r="M303" s="22">
        <f t="shared" ca="1" si="233"/>
        <v>-2859790.347756058</v>
      </c>
      <c r="N303" s="22">
        <f t="shared" ca="1" si="233"/>
        <v>-2859790.347756058</v>
      </c>
      <c r="O303" s="22">
        <f t="shared" ca="1" si="233"/>
        <v>0</v>
      </c>
      <c r="P303" s="22">
        <f t="shared" ca="1" si="233"/>
        <v>-25323040.275790907</v>
      </c>
      <c r="Q303" s="22">
        <f t="shared" ca="1" si="233"/>
        <v>0</v>
      </c>
      <c r="R303" s="22">
        <f t="shared" ca="1" si="233"/>
        <v>0</v>
      </c>
      <c r="S303" s="22">
        <f t="shared" ca="1" si="233"/>
        <v>0</v>
      </c>
      <c r="T303" s="22">
        <f t="shared" ca="1" si="233"/>
        <v>0</v>
      </c>
      <c r="U303" s="22">
        <f t="shared" ca="1" si="233"/>
        <v>0</v>
      </c>
      <c r="V303" s="22">
        <f t="shared" ca="1" si="233"/>
        <v>-11420628.956731826</v>
      </c>
      <c r="W303" s="22">
        <f t="shared" ca="1" si="233"/>
        <v>0</v>
      </c>
      <c r="X303" s="22">
        <f t="shared" ca="1" si="233"/>
        <v>0</v>
      </c>
      <c r="Y303" s="22">
        <f t="shared" ca="1" si="233"/>
        <v>0</v>
      </c>
      <c r="Z303" s="22">
        <f t="shared" ca="1" si="233"/>
        <v>0</v>
      </c>
    </row>
    <row r="305" spans="2:26" ht="15.75">
      <c r="B305" s="73" t="s">
        <v>667</v>
      </c>
    </row>
    <row r="306" spans="2:26" ht="15.75">
      <c r="B306" s="15" t="s">
        <v>668</v>
      </c>
      <c r="D306" s="26">
        <f ca="1">+SUM(F306:Z306)</f>
        <v>-99233039.106664419</v>
      </c>
      <c r="E306" s="26"/>
      <c r="F306" s="16">
        <f t="shared" ref="F306:Z306" ca="1" si="234">-F294</f>
        <v>-86569817.956540704</v>
      </c>
      <c r="G306" s="16">
        <f t="shared" ca="1" si="234"/>
        <v>-12663221.150123715</v>
      </c>
      <c r="H306" s="16">
        <f t="shared" ca="1" si="234"/>
        <v>0</v>
      </c>
      <c r="I306" s="16">
        <f t="shared" ca="1" si="234"/>
        <v>0</v>
      </c>
      <c r="J306" s="16">
        <f t="shared" ca="1" si="234"/>
        <v>0</v>
      </c>
      <c r="K306" s="16">
        <f t="shared" ca="1" si="234"/>
        <v>0</v>
      </c>
      <c r="L306" s="16">
        <f t="shared" ca="1" si="234"/>
        <v>0</v>
      </c>
      <c r="M306" s="16">
        <f t="shared" ca="1" si="234"/>
        <v>0</v>
      </c>
      <c r="N306" s="16">
        <f t="shared" ca="1" si="234"/>
        <v>0</v>
      </c>
      <c r="O306" s="16">
        <f t="shared" ca="1" si="234"/>
        <v>0</v>
      </c>
      <c r="P306" s="16">
        <f t="shared" ca="1" si="234"/>
        <v>0</v>
      </c>
      <c r="Q306" s="16">
        <f t="shared" ca="1" si="234"/>
        <v>0</v>
      </c>
      <c r="R306" s="16">
        <f t="shared" ca="1" si="234"/>
        <v>0</v>
      </c>
      <c r="S306" s="16">
        <f t="shared" ca="1" si="234"/>
        <v>0</v>
      </c>
      <c r="T306" s="16">
        <f t="shared" ca="1" si="234"/>
        <v>0</v>
      </c>
      <c r="U306" s="16">
        <f t="shared" ca="1" si="234"/>
        <v>0</v>
      </c>
      <c r="V306" s="16">
        <f t="shared" ca="1" si="234"/>
        <v>0</v>
      </c>
      <c r="W306" s="16">
        <f t="shared" ca="1" si="234"/>
        <v>0</v>
      </c>
      <c r="X306" s="16">
        <f t="shared" ca="1" si="234"/>
        <v>0</v>
      </c>
      <c r="Y306" s="16">
        <f t="shared" ca="1" si="234"/>
        <v>0</v>
      </c>
      <c r="Z306" s="16">
        <f t="shared" ca="1" si="234"/>
        <v>0</v>
      </c>
    </row>
    <row r="307" spans="2:26" ht="15.75">
      <c r="B307" s="15" t="s">
        <v>669</v>
      </c>
      <c r="D307" s="26">
        <f ca="1">+SUM(F307:Z307)</f>
        <v>286701883.16140974</v>
      </c>
      <c r="E307" s="26"/>
      <c r="F307" s="76">
        <f>+F276</f>
        <v>0</v>
      </c>
      <c r="G307" s="76">
        <f t="shared" ref="G307:Z307" si="235">+G276</f>
        <v>0</v>
      </c>
      <c r="H307" s="76">
        <f t="shared" si="235"/>
        <v>0</v>
      </c>
      <c r="I307" s="76">
        <f t="shared" ca="1" si="235"/>
        <v>24997086.071295984</v>
      </c>
      <c r="J307" s="76">
        <f t="shared" ca="1" si="235"/>
        <v>5278132.2857078519</v>
      </c>
      <c r="K307" s="76">
        <f t="shared" ca="1" si="235"/>
        <v>5896598.6043395866</v>
      </c>
      <c r="L307" s="76">
        <f t="shared" ca="1" si="235"/>
        <v>7678126.75579214</v>
      </c>
      <c r="M307" s="76">
        <f t="shared" ca="1" si="235"/>
        <v>8404916.6869085431</v>
      </c>
      <c r="N307" s="76">
        <f t="shared" ca="1" si="235"/>
        <v>8449315.2071530111</v>
      </c>
      <c r="O307" s="76">
        <f t="shared" ca="1" si="235"/>
        <v>8905274.030542098</v>
      </c>
      <c r="P307" s="76">
        <f t="shared" ca="1" si="235"/>
        <v>217092433.51967055</v>
      </c>
      <c r="Q307" s="76">
        <f t="shared" si="235"/>
        <v>0</v>
      </c>
      <c r="R307" s="76">
        <f t="shared" si="235"/>
        <v>0</v>
      </c>
      <c r="S307" s="76">
        <f t="shared" si="235"/>
        <v>0</v>
      </c>
      <c r="T307" s="76">
        <f t="shared" si="235"/>
        <v>0</v>
      </c>
      <c r="U307" s="76">
        <f t="shared" si="235"/>
        <v>0</v>
      </c>
      <c r="V307" s="76">
        <f t="shared" si="235"/>
        <v>0</v>
      </c>
      <c r="W307" s="76">
        <f t="shared" si="235"/>
        <v>0</v>
      </c>
      <c r="X307" s="76">
        <f t="shared" si="235"/>
        <v>0</v>
      </c>
      <c r="Y307" s="76">
        <f t="shared" si="235"/>
        <v>0</v>
      </c>
      <c r="Z307" s="76">
        <f t="shared" si="235"/>
        <v>0</v>
      </c>
    </row>
    <row r="308" spans="2:26" ht="15.75">
      <c r="B308" s="687" t="s">
        <v>670</v>
      </c>
      <c r="C308" s="687"/>
      <c r="D308" s="550">
        <f ca="1">+SUM(F308:Z308)</f>
        <v>222046920.57305685</v>
      </c>
      <c r="E308" s="550"/>
      <c r="F308" s="550">
        <f ca="1">+SUM(F306:F307)</f>
        <v>-51495790.787373006</v>
      </c>
      <c r="G308" s="550">
        <f t="shared" ref="G308:Z308" ca="1" si="236">+SUM(G306:G307)</f>
        <v>-12663221.150123715</v>
      </c>
      <c r="H308" s="550">
        <f t="shared" ca="1" si="236"/>
        <v>0</v>
      </c>
      <c r="I308" s="550">
        <f t="shared" ca="1" si="236"/>
        <v>24901299.124564815</v>
      </c>
      <c r="J308" s="550">
        <f t="shared" ca="1" si="236"/>
        <v>5278132.2857078519</v>
      </c>
      <c r="K308" s="550">
        <f t="shared" ca="1" si="236"/>
        <v>5896598.6043395866</v>
      </c>
      <c r="L308" s="550">
        <f t="shared" ca="1" si="236"/>
        <v>7678126.75579214</v>
      </c>
      <c r="M308" s="550">
        <f t="shared" ca="1" si="236"/>
        <v>8004752.9827835169</v>
      </c>
      <c r="N308" s="550">
        <f t="shared" ca="1" si="236"/>
        <v>8449315.2071530111</v>
      </c>
      <c r="O308" s="550">
        <f t="shared" ca="1" si="236"/>
        <v>8905274.030542098</v>
      </c>
      <c r="P308" s="550">
        <f t="shared" ca="1" si="236"/>
        <v>217092433.51967055</v>
      </c>
      <c r="Q308" s="550">
        <f t="shared" ca="1" si="236"/>
        <v>0</v>
      </c>
      <c r="R308" s="550">
        <f t="shared" ca="1" si="236"/>
        <v>0</v>
      </c>
      <c r="S308" s="550">
        <f t="shared" ca="1" si="236"/>
        <v>0</v>
      </c>
      <c r="T308" s="550">
        <f t="shared" ca="1" si="236"/>
        <v>0</v>
      </c>
      <c r="U308" s="550">
        <f t="shared" ca="1" si="236"/>
        <v>0</v>
      </c>
      <c r="V308" s="550">
        <f t="shared" ca="1" si="236"/>
        <v>0</v>
      </c>
      <c r="W308" s="550">
        <f t="shared" ca="1" si="236"/>
        <v>0</v>
      </c>
      <c r="X308" s="550">
        <f t="shared" ca="1" si="236"/>
        <v>0</v>
      </c>
      <c r="Y308" s="550">
        <f t="shared" ca="1" si="236"/>
        <v>0</v>
      </c>
      <c r="Z308" s="550">
        <f t="shared" ca="1" si="236"/>
        <v>0</v>
      </c>
    </row>
    <row r="310" spans="2:26" ht="15.75">
      <c r="B310" s="706" t="s">
        <v>110</v>
      </c>
      <c r="C310" s="706"/>
      <c r="D310" s="707">
        <f ca="1">+IRR(F308:Z308)</f>
        <v>0.20216207550226173</v>
      </c>
      <c r="I310" s="22"/>
    </row>
    <row r="311" spans="2:26" ht="15.75">
      <c r="B311" s="689" t="s">
        <v>671</v>
      </c>
      <c r="C311" s="533"/>
      <c r="D311" s="692">
        <f ca="1">+SUM(F308:Z308)</f>
        <v>222046920.57305685</v>
      </c>
    </row>
    <row r="312" spans="2:26" ht="15.75">
      <c r="B312" s="708" t="s">
        <v>120</v>
      </c>
      <c r="C312" s="536"/>
      <c r="D312" s="709">
        <f ca="1">+D307/-D306</f>
        <v>4.4608843538515446</v>
      </c>
    </row>
    <row r="314" spans="2:26" ht="15.75">
      <c r="B314" s="444" t="s">
        <v>672</v>
      </c>
      <c r="C314" s="445"/>
      <c r="D314" s="445"/>
      <c r="E314" s="445"/>
      <c r="F314" s="640"/>
      <c r="G314" s="640"/>
      <c r="H314" s="640"/>
      <c r="I314" s="640"/>
      <c r="J314" s="640"/>
      <c r="K314" s="640"/>
      <c r="L314" s="640"/>
      <c r="M314" s="640"/>
      <c r="N314" s="640"/>
      <c r="O314" s="640"/>
      <c r="P314" s="640"/>
      <c r="Q314" s="640"/>
      <c r="R314" s="640"/>
      <c r="S314" s="640"/>
      <c r="T314" s="640"/>
      <c r="U314" s="640"/>
      <c r="V314" s="640"/>
      <c r="W314" s="640"/>
      <c r="X314" s="640"/>
      <c r="Y314" s="640"/>
      <c r="Z314" s="640"/>
    </row>
    <row r="316" spans="2:26" ht="15.75">
      <c r="B316" s="73" t="s">
        <v>618</v>
      </c>
      <c r="F316" s="75">
        <f>+F$293</f>
        <v>44561</v>
      </c>
      <c r="G316" s="75">
        <f t="shared" ref="G316:Z316" si="237">+G$293</f>
        <v>44926</v>
      </c>
      <c r="H316" s="75">
        <f t="shared" si="237"/>
        <v>45291</v>
      </c>
      <c r="I316" s="75">
        <f>+I$293</f>
        <v>45657</v>
      </c>
      <c r="J316" s="75">
        <f t="shared" si="237"/>
        <v>46022</v>
      </c>
      <c r="K316" s="75">
        <f t="shared" si="237"/>
        <v>46387</v>
      </c>
      <c r="L316" s="75">
        <f t="shared" si="237"/>
        <v>46752</v>
      </c>
      <c r="M316" s="75">
        <f t="shared" si="237"/>
        <v>47118</v>
      </c>
      <c r="N316" s="75">
        <f t="shared" si="237"/>
        <v>47483</v>
      </c>
      <c r="O316" s="75">
        <f t="shared" si="237"/>
        <v>47848</v>
      </c>
      <c r="P316" s="75">
        <f t="shared" si="237"/>
        <v>48213</v>
      </c>
      <c r="Q316" s="75">
        <f t="shared" si="237"/>
        <v>48579</v>
      </c>
      <c r="R316" s="75">
        <f t="shared" si="237"/>
        <v>48944</v>
      </c>
      <c r="S316" s="75">
        <f t="shared" si="237"/>
        <v>49309</v>
      </c>
      <c r="T316" s="75">
        <f t="shared" si="237"/>
        <v>49674</v>
      </c>
      <c r="U316" s="75">
        <f t="shared" si="237"/>
        <v>50040</v>
      </c>
      <c r="V316" s="75">
        <f t="shared" si="237"/>
        <v>50405</v>
      </c>
      <c r="W316" s="75">
        <f t="shared" si="237"/>
        <v>50770</v>
      </c>
      <c r="X316" s="75">
        <f t="shared" si="237"/>
        <v>51135</v>
      </c>
      <c r="Y316" s="75">
        <f t="shared" si="237"/>
        <v>51501</v>
      </c>
      <c r="Z316" s="75">
        <f t="shared" si="237"/>
        <v>51866</v>
      </c>
    </row>
    <row r="317" spans="2:26">
      <c r="B317" s="15" t="s">
        <v>604</v>
      </c>
      <c r="C317"/>
      <c r="D317"/>
      <c r="E317"/>
      <c r="F317" s="16">
        <f>+F$137</f>
        <v>0</v>
      </c>
      <c r="G317" s="16">
        <f t="shared" ref="G317:Z317" si="238">+G$137</f>
        <v>0</v>
      </c>
      <c r="H317" s="16">
        <f t="shared" si="238"/>
        <v>0</v>
      </c>
      <c r="I317" s="16">
        <f>+I$137</f>
        <v>11894187.614988416</v>
      </c>
      <c r="J317" s="16">
        <f t="shared" si="238"/>
        <v>25641398.013133168</v>
      </c>
      <c r="K317" s="16">
        <f t="shared" si="238"/>
        <v>25563893.052008346</v>
      </c>
      <c r="L317" s="16">
        <f t="shared" si="238"/>
        <v>27391649.524160095</v>
      </c>
      <c r="M317" s="16">
        <f t="shared" si="238"/>
        <v>27669259.497022714</v>
      </c>
      <c r="N317" s="16">
        <f t="shared" si="238"/>
        <v>27872630.277859379</v>
      </c>
      <c r="O317" s="16">
        <f t="shared" si="238"/>
        <v>28044266.875779171</v>
      </c>
      <c r="P317" s="16">
        <f t="shared" si="238"/>
        <v>28320815.284170125</v>
      </c>
      <c r="Q317" s="16">
        <f t="shared" si="238"/>
        <v>30369368.612450965</v>
      </c>
      <c r="R317" s="16">
        <f t="shared" si="238"/>
        <v>30599088.363725372</v>
      </c>
      <c r="S317" s="16">
        <f t="shared" si="238"/>
        <v>30901584.133870374</v>
      </c>
      <c r="T317" s="16">
        <f t="shared" si="238"/>
        <v>31115365.020704959</v>
      </c>
      <c r="U317" s="16">
        <f t="shared" si="238"/>
        <v>31389133.168780394</v>
      </c>
      <c r="V317" s="16">
        <f t="shared" si="238"/>
        <v>33678261.447127357</v>
      </c>
      <c r="W317" s="16">
        <f t="shared" si="238"/>
        <v>33941879.774737872</v>
      </c>
      <c r="X317" s="16">
        <f t="shared" si="238"/>
        <v>34197127.951815575</v>
      </c>
      <c r="Y317" s="16">
        <f t="shared" si="238"/>
        <v>34553203.8508652</v>
      </c>
      <c r="Z317" s="16">
        <f t="shared" si="238"/>
        <v>34842012.422116064</v>
      </c>
    </row>
    <row r="318" spans="2:26">
      <c r="B318" s="15" t="s">
        <v>639</v>
      </c>
      <c r="C318"/>
      <c r="D318"/>
      <c r="E318"/>
      <c r="F318" s="76">
        <v>0</v>
      </c>
      <c r="G318" s="76">
        <v>0</v>
      </c>
      <c r="H318" s="76">
        <v>0</v>
      </c>
      <c r="I318" s="76">
        <v>0</v>
      </c>
      <c r="J318" s="76">
        <v>0</v>
      </c>
      <c r="K318" s="76">
        <v>0</v>
      </c>
      <c r="L318" s="76">
        <v>0</v>
      </c>
      <c r="M318" s="76">
        <v>0</v>
      </c>
      <c r="N318" s="76">
        <v>0</v>
      </c>
      <c r="O318" s="76">
        <v>0</v>
      </c>
      <c r="P318" s="76">
        <v>0</v>
      </c>
      <c r="Q318" s="76">
        <v>0</v>
      </c>
      <c r="R318" s="76">
        <v>0</v>
      </c>
      <c r="S318" s="76">
        <v>0</v>
      </c>
      <c r="T318" s="76">
        <v>0</v>
      </c>
      <c r="U318" s="76">
        <v>0</v>
      </c>
      <c r="V318" s="76">
        <v>0</v>
      </c>
      <c r="W318" s="76">
        <v>0</v>
      </c>
      <c r="X318" s="76">
        <v>0</v>
      </c>
      <c r="Y318" s="76">
        <v>0</v>
      </c>
      <c r="Z318" s="76">
        <v>0</v>
      </c>
    </row>
    <row r="319" spans="2:26">
      <c r="B319" s="15" t="s">
        <v>655</v>
      </c>
      <c r="C319"/>
      <c r="D319"/>
      <c r="E319"/>
      <c r="F319" s="76">
        <f>+F$250</f>
        <v>0</v>
      </c>
      <c r="G319" s="76">
        <f t="shared" ref="G319:Z319" si="239">+G$250</f>
        <v>0</v>
      </c>
      <c r="H319" s="76">
        <f t="shared" si="239"/>
        <v>0</v>
      </c>
      <c r="I319" s="76">
        <f>+I$250</f>
        <v>122001.34853749</v>
      </c>
      <c r="J319" s="76">
        <f t="shared" si="239"/>
        <v>186054.51215516002</v>
      </c>
      <c r="K319" s="76">
        <f t="shared" si="239"/>
        <v>184018.75439826321</v>
      </c>
      <c r="L319" s="76">
        <f t="shared" si="239"/>
        <v>210726.52148622851</v>
      </c>
      <c r="M319" s="76">
        <f t="shared" si="239"/>
        <v>208608.51911595304</v>
      </c>
      <c r="N319" s="76">
        <f t="shared" si="239"/>
        <v>206448.15669827213</v>
      </c>
      <c r="O319" s="76">
        <f t="shared" si="239"/>
        <v>204244.58703223756</v>
      </c>
      <c r="P319" s="76">
        <f t="shared" si="239"/>
        <v>201996.9459728823</v>
      </c>
      <c r="Q319" s="76">
        <f t="shared" si="239"/>
        <v>231367.01609234</v>
      </c>
      <c r="R319" s="76">
        <f t="shared" si="239"/>
        <v>229028.57033418681</v>
      </c>
      <c r="S319" s="76">
        <f t="shared" si="239"/>
        <v>226643.35566087055</v>
      </c>
      <c r="T319" s="76">
        <f t="shared" si="239"/>
        <v>224210.43669408793</v>
      </c>
      <c r="U319" s="76">
        <f t="shared" si="239"/>
        <v>221728.8593479697</v>
      </c>
      <c r="V319" s="76">
        <f t="shared" si="239"/>
        <v>254026.58085492917</v>
      </c>
      <c r="W319" s="76">
        <f t="shared" si="239"/>
        <v>251444.74778402771</v>
      </c>
      <c r="X319" s="76">
        <f t="shared" si="239"/>
        <v>248811.27805170824</v>
      </c>
      <c r="Y319" s="76">
        <f t="shared" si="239"/>
        <v>246125.13892474244</v>
      </c>
      <c r="Z319" s="76">
        <f t="shared" si="239"/>
        <v>243385.27701523725</v>
      </c>
    </row>
    <row r="320" spans="2:26" ht="15.75">
      <c r="B320" s="687" t="s">
        <v>618</v>
      </c>
      <c r="C320" s="687"/>
      <c r="D320" s="550"/>
      <c r="E320" s="550"/>
      <c r="F320" s="550">
        <f t="shared" ref="F320:Z320" si="240">+SUM(F317:F319)</f>
        <v>0</v>
      </c>
      <c r="G320" s="550">
        <f t="shared" si="240"/>
        <v>0</v>
      </c>
      <c r="H320" s="550">
        <f t="shared" si="240"/>
        <v>0</v>
      </c>
      <c r="I320" s="550">
        <f t="shared" si="240"/>
        <v>12016188.963525906</v>
      </c>
      <c r="J320" s="550">
        <f t="shared" si="240"/>
        <v>25827452.525288329</v>
      </c>
      <c r="K320" s="550">
        <f t="shared" si="240"/>
        <v>25747911.80640661</v>
      </c>
      <c r="L320" s="550">
        <f t="shared" si="240"/>
        <v>27602376.045646325</v>
      </c>
      <c r="M320" s="550">
        <f t="shared" si="240"/>
        <v>27877868.016138669</v>
      </c>
      <c r="N320" s="550">
        <f t="shared" si="240"/>
        <v>28079078.43455765</v>
      </c>
      <c r="O320" s="550">
        <f t="shared" si="240"/>
        <v>28248511.462811407</v>
      </c>
      <c r="P320" s="550">
        <f t="shared" si="240"/>
        <v>28522812.230143007</v>
      </c>
      <c r="Q320" s="550">
        <f t="shared" si="240"/>
        <v>30600735.628543306</v>
      </c>
      <c r="R320" s="550">
        <f t="shared" si="240"/>
        <v>30828116.93405956</v>
      </c>
      <c r="S320" s="550">
        <f t="shared" si="240"/>
        <v>31128227.489531245</v>
      </c>
      <c r="T320" s="550">
        <f t="shared" si="240"/>
        <v>31339575.457399048</v>
      </c>
      <c r="U320" s="550">
        <f t="shared" si="240"/>
        <v>31610862.028128363</v>
      </c>
      <c r="V320" s="550">
        <f t="shared" si="240"/>
        <v>33932288.027982287</v>
      </c>
      <c r="W320" s="550">
        <f t="shared" si="240"/>
        <v>34193324.522521898</v>
      </c>
      <c r="X320" s="550">
        <f t="shared" si="240"/>
        <v>34445939.229867287</v>
      </c>
      <c r="Y320" s="550">
        <f t="shared" si="240"/>
        <v>34799328.98978994</v>
      </c>
      <c r="Z320" s="550">
        <f t="shared" si="240"/>
        <v>35085397.699131303</v>
      </c>
    </row>
    <row r="322" spans="2:26" ht="15.75">
      <c r="B322" s="73" t="s">
        <v>247</v>
      </c>
      <c r="F322" s="75">
        <f>+F$293</f>
        <v>44561</v>
      </c>
      <c r="G322" s="75">
        <f t="shared" ref="G322:Z322" si="241">+G$293</f>
        <v>44926</v>
      </c>
      <c r="H322" s="75">
        <f t="shared" si="241"/>
        <v>45291</v>
      </c>
      <c r="I322" s="75">
        <f>+I$293</f>
        <v>45657</v>
      </c>
      <c r="J322" s="75">
        <f t="shared" si="241"/>
        <v>46022</v>
      </c>
      <c r="K322" s="75">
        <f t="shared" si="241"/>
        <v>46387</v>
      </c>
      <c r="L322" s="75">
        <f t="shared" si="241"/>
        <v>46752</v>
      </c>
      <c r="M322" s="75">
        <f t="shared" si="241"/>
        <v>47118</v>
      </c>
      <c r="N322" s="75">
        <f t="shared" si="241"/>
        <v>47483</v>
      </c>
      <c r="O322" s="75">
        <f t="shared" si="241"/>
        <v>47848</v>
      </c>
      <c r="P322" s="75">
        <f t="shared" si="241"/>
        <v>48213</v>
      </c>
      <c r="Q322" s="75">
        <f t="shared" si="241"/>
        <v>48579</v>
      </c>
      <c r="R322" s="75">
        <f t="shared" si="241"/>
        <v>48944</v>
      </c>
      <c r="S322" s="75">
        <f t="shared" si="241"/>
        <v>49309</v>
      </c>
      <c r="T322" s="75">
        <f t="shared" si="241"/>
        <v>49674</v>
      </c>
      <c r="U322" s="75">
        <f t="shared" si="241"/>
        <v>50040</v>
      </c>
      <c r="V322" s="75">
        <f t="shared" si="241"/>
        <v>50405</v>
      </c>
      <c r="W322" s="75">
        <f t="shared" si="241"/>
        <v>50770</v>
      </c>
      <c r="X322" s="75">
        <f t="shared" si="241"/>
        <v>51135</v>
      </c>
      <c r="Y322" s="75">
        <f t="shared" si="241"/>
        <v>51501</v>
      </c>
      <c r="Z322" s="75">
        <f t="shared" si="241"/>
        <v>51866</v>
      </c>
    </row>
    <row r="323" spans="2:26">
      <c r="B323" s="15" t="s">
        <v>24</v>
      </c>
      <c r="C323"/>
      <c r="D323"/>
      <c r="E323"/>
      <c r="F323" s="16">
        <f t="shared" ref="F323:Z323" si="242">+F269+F224+F154</f>
        <v>0</v>
      </c>
      <c r="G323" s="16">
        <f t="shared" si="242"/>
        <v>0</v>
      </c>
      <c r="H323" s="16">
        <v>30000000</v>
      </c>
      <c r="I323" s="16">
        <f t="shared" si="242"/>
        <v>0</v>
      </c>
      <c r="J323" s="16">
        <f t="shared" si="242"/>
        <v>0</v>
      </c>
      <c r="K323" s="16">
        <f t="shared" si="242"/>
        <v>0</v>
      </c>
      <c r="L323" s="16">
        <f t="shared" si="242"/>
        <v>0</v>
      </c>
      <c r="M323" s="16">
        <f t="shared" si="242"/>
        <v>0</v>
      </c>
      <c r="N323" s="16">
        <f t="shared" si="242"/>
        <v>0</v>
      </c>
      <c r="O323" s="16">
        <f t="shared" si="242"/>
        <v>0</v>
      </c>
      <c r="P323" s="16">
        <f t="shared" ca="1" si="242"/>
        <v>513514437.10414153</v>
      </c>
      <c r="Q323" s="16">
        <f t="shared" si="242"/>
        <v>0</v>
      </c>
      <c r="R323" s="16">
        <f t="shared" si="242"/>
        <v>0</v>
      </c>
      <c r="S323" s="16">
        <f t="shared" si="242"/>
        <v>0</v>
      </c>
      <c r="T323" s="16">
        <f t="shared" si="242"/>
        <v>0</v>
      </c>
      <c r="U323" s="16">
        <f t="shared" si="242"/>
        <v>0</v>
      </c>
      <c r="V323" s="16">
        <f t="shared" si="242"/>
        <v>0</v>
      </c>
      <c r="W323" s="16">
        <f t="shared" si="242"/>
        <v>0</v>
      </c>
      <c r="X323" s="16">
        <f t="shared" si="242"/>
        <v>0</v>
      </c>
      <c r="Y323" s="16">
        <f t="shared" si="242"/>
        <v>0</v>
      </c>
      <c r="Z323" s="16">
        <f t="shared" si="242"/>
        <v>0</v>
      </c>
    </row>
    <row r="324" spans="2:26">
      <c r="B324" s="15" t="s">
        <v>634</v>
      </c>
      <c r="F324" s="76">
        <f t="shared" ref="F324:Z324" si="243">+F270+F225+F156</f>
        <v>0</v>
      </c>
      <c r="G324" s="76">
        <f t="shared" si="243"/>
        <v>0</v>
      </c>
      <c r="H324" s="76">
        <f>-H323*0.15</f>
        <v>-4500000</v>
      </c>
      <c r="I324" s="76">
        <f t="shared" si="243"/>
        <v>0</v>
      </c>
      <c r="J324" s="76">
        <f t="shared" si="243"/>
        <v>0</v>
      </c>
      <c r="K324" s="76">
        <f t="shared" si="243"/>
        <v>0</v>
      </c>
      <c r="L324" s="76">
        <f t="shared" si="243"/>
        <v>0</v>
      </c>
      <c r="M324" s="76">
        <f t="shared" si="243"/>
        <v>0</v>
      </c>
      <c r="N324" s="76">
        <f t="shared" si="243"/>
        <v>0</v>
      </c>
      <c r="O324" s="76">
        <f t="shared" si="243"/>
        <v>0</v>
      </c>
      <c r="P324" s="76">
        <f t="shared" ca="1" si="243"/>
        <v>-10909238.664122071</v>
      </c>
      <c r="Q324" s="76">
        <f t="shared" si="243"/>
        <v>0</v>
      </c>
      <c r="R324" s="76">
        <f t="shared" si="243"/>
        <v>0</v>
      </c>
      <c r="S324" s="76">
        <f t="shared" si="243"/>
        <v>0</v>
      </c>
      <c r="T324" s="76">
        <f t="shared" si="243"/>
        <v>0</v>
      </c>
      <c r="U324" s="76">
        <f t="shared" si="243"/>
        <v>0</v>
      </c>
      <c r="V324" s="76">
        <f t="shared" si="243"/>
        <v>0</v>
      </c>
      <c r="W324" s="76">
        <f t="shared" si="243"/>
        <v>0</v>
      </c>
      <c r="X324" s="76">
        <f t="shared" si="243"/>
        <v>0</v>
      </c>
      <c r="Y324" s="76">
        <f t="shared" si="243"/>
        <v>0</v>
      </c>
      <c r="Z324" s="76">
        <f t="shared" si="243"/>
        <v>0</v>
      </c>
    </row>
    <row r="325" spans="2:26" ht="15.75">
      <c r="B325" s="687" t="s">
        <v>636</v>
      </c>
      <c r="C325" s="687"/>
      <c r="D325" s="550"/>
      <c r="E325" s="550"/>
      <c r="F325" s="550">
        <f>+SUM(F323:F324)</f>
        <v>0</v>
      </c>
      <c r="G325" s="550">
        <f t="shared" ref="G325:Z325" si="244">+SUM(G323:G324)</f>
        <v>0</v>
      </c>
      <c r="H325" s="710">
        <f>SUM(H323:H324)</f>
        <v>25500000</v>
      </c>
      <c r="I325" s="550">
        <f t="shared" si="244"/>
        <v>0</v>
      </c>
      <c r="J325" s="550">
        <f t="shared" si="244"/>
        <v>0</v>
      </c>
      <c r="K325" s="550">
        <f t="shared" si="244"/>
        <v>0</v>
      </c>
      <c r="L325" s="550">
        <f t="shared" si="244"/>
        <v>0</v>
      </c>
      <c r="M325" s="550">
        <f t="shared" si="244"/>
        <v>0</v>
      </c>
      <c r="N325" s="550">
        <f t="shared" si="244"/>
        <v>0</v>
      </c>
      <c r="O325" s="550">
        <f t="shared" si="244"/>
        <v>0</v>
      </c>
      <c r="P325" s="550">
        <f t="shared" ca="1" si="244"/>
        <v>504173324.00809598</v>
      </c>
      <c r="Q325" s="550">
        <f t="shared" si="244"/>
        <v>0</v>
      </c>
      <c r="R325" s="550">
        <f t="shared" si="244"/>
        <v>0</v>
      </c>
      <c r="S325" s="550">
        <f t="shared" si="244"/>
        <v>0</v>
      </c>
      <c r="T325" s="550">
        <f t="shared" si="244"/>
        <v>0</v>
      </c>
      <c r="U325" s="550">
        <f t="shared" si="244"/>
        <v>0</v>
      </c>
      <c r="V325" s="550">
        <f t="shared" si="244"/>
        <v>0</v>
      </c>
      <c r="W325" s="550">
        <f t="shared" si="244"/>
        <v>0</v>
      </c>
      <c r="X325" s="550">
        <f t="shared" si="244"/>
        <v>0</v>
      </c>
      <c r="Y325" s="550">
        <f t="shared" si="244"/>
        <v>0</v>
      </c>
      <c r="Z325" s="550">
        <f t="shared" si="244"/>
        <v>0</v>
      </c>
    </row>
    <row r="327" spans="2:26" ht="15.75">
      <c r="B327" s="73" t="s">
        <v>673</v>
      </c>
      <c r="F327" s="75">
        <f t="shared" ref="F327:Z327" si="245">+F$293</f>
        <v>44561</v>
      </c>
      <c r="G327" s="75">
        <f t="shared" si="245"/>
        <v>44926</v>
      </c>
      <c r="H327" s="75">
        <f t="shared" si="245"/>
        <v>45291</v>
      </c>
      <c r="I327" s="75">
        <f>+I$293</f>
        <v>45657</v>
      </c>
      <c r="J327" s="75">
        <f t="shared" si="245"/>
        <v>46022</v>
      </c>
      <c r="K327" s="75">
        <f t="shared" si="245"/>
        <v>46387</v>
      </c>
      <c r="L327" s="75">
        <f t="shared" si="245"/>
        <v>46752</v>
      </c>
      <c r="M327" s="75">
        <f t="shared" si="245"/>
        <v>47118</v>
      </c>
      <c r="N327" s="75">
        <f t="shared" si="245"/>
        <v>47483</v>
      </c>
      <c r="O327" s="75">
        <f t="shared" si="245"/>
        <v>47848</v>
      </c>
      <c r="P327" s="75">
        <f t="shared" si="245"/>
        <v>48213</v>
      </c>
      <c r="Q327" s="75">
        <f t="shared" si="245"/>
        <v>48579</v>
      </c>
      <c r="R327" s="75">
        <f t="shared" si="245"/>
        <v>48944</v>
      </c>
      <c r="S327" s="75">
        <f t="shared" si="245"/>
        <v>49309</v>
      </c>
      <c r="T327" s="75">
        <f t="shared" si="245"/>
        <v>49674</v>
      </c>
      <c r="U327" s="75">
        <f t="shared" si="245"/>
        <v>50040</v>
      </c>
      <c r="V327" s="75">
        <f t="shared" si="245"/>
        <v>50405</v>
      </c>
      <c r="W327" s="75">
        <f t="shared" si="245"/>
        <v>50770</v>
      </c>
      <c r="X327" s="75">
        <f t="shared" si="245"/>
        <v>51135</v>
      </c>
      <c r="Y327" s="75">
        <f t="shared" si="245"/>
        <v>51501</v>
      </c>
      <c r="Z327" s="75">
        <f t="shared" si="245"/>
        <v>51866</v>
      </c>
    </row>
    <row r="328" spans="2:26" ht="15.75">
      <c r="B328" s="15" t="s">
        <v>342</v>
      </c>
      <c r="D328" s="26">
        <f>+SUM(F328:Z328)</f>
        <v>69576802</v>
      </c>
      <c r="E328" s="26"/>
      <c r="F328" s="16">
        <f t="shared" ref="F328:Z328" si="246">+F284</f>
        <v>69576802</v>
      </c>
      <c r="G328" s="16">
        <f t="shared" si="246"/>
        <v>0</v>
      </c>
      <c r="H328" s="16">
        <f t="shared" si="246"/>
        <v>0</v>
      </c>
      <c r="I328" s="16">
        <f t="shared" si="246"/>
        <v>0</v>
      </c>
      <c r="J328" s="16">
        <f t="shared" si="246"/>
        <v>0</v>
      </c>
      <c r="K328" s="16">
        <f t="shared" si="246"/>
        <v>0</v>
      </c>
      <c r="L328" s="16">
        <f t="shared" si="246"/>
        <v>0</v>
      </c>
      <c r="M328" s="16">
        <f t="shared" si="246"/>
        <v>0</v>
      </c>
      <c r="N328" s="16">
        <f t="shared" si="246"/>
        <v>0</v>
      </c>
      <c r="O328" s="16">
        <f t="shared" si="246"/>
        <v>0</v>
      </c>
      <c r="P328" s="16">
        <f t="shared" si="246"/>
        <v>0</v>
      </c>
      <c r="Q328" s="16">
        <f t="shared" si="246"/>
        <v>0</v>
      </c>
      <c r="R328" s="16">
        <f t="shared" si="246"/>
        <v>0</v>
      </c>
      <c r="S328" s="16">
        <f t="shared" si="246"/>
        <v>0</v>
      </c>
      <c r="T328" s="16">
        <f t="shared" si="246"/>
        <v>0</v>
      </c>
      <c r="U328" s="16">
        <f t="shared" si="246"/>
        <v>0</v>
      </c>
      <c r="V328" s="16">
        <f t="shared" si="246"/>
        <v>0</v>
      </c>
      <c r="W328" s="16">
        <f t="shared" si="246"/>
        <v>0</v>
      </c>
      <c r="X328" s="16">
        <f t="shared" si="246"/>
        <v>0</v>
      </c>
      <c r="Y328" s="16">
        <f t="shared" si="246"/>
        <v>0</v>
      </c>
      <c r="Z328" s="16">
        <f t="shared" si="246"/>
        <v>0</v>
      </c>
    </row>
    <row r="329" spans="2:26" ht="15.75">
      <c r="B329" s="15" t="s">
        <v>90</v>
      </c>
      <c r="D329" s="26">
        <f t="shared" ref="D329:D334" si="247">+SUM(F329:Z329)</f>
        <v>4779023.2142857146</v>
      </c>
      <c r="E329" s="26"/>
      <c r="F329" s="76">
        <f t="shared" ref="F329:Z329" si="248">+F285</f>
        <v>4779023.2142857146</v>
      </c>
      <c r="G329" s="76">
        <f t="shared" si="248"/>
        <v>0</v>
      </c>
      <c r="H329" s="76">
        <f t="shared" si="248"/>
        <v>0</v>
      </c>
      <c r="I329" s="76">
        <f t="shared" si="248"/>
        <v>0</v>
      </c>
      <c r="J329" s="76">
        <f t="shared" si="248"/>
        <v>0</v>
      </c>
      <c r="K329" s="76">
        <f t="shared" si="248"/>
        <v>0</v>
      </c>
      <c r="L329" s="76">
        <f t="shared" si="248"/>
        <v>0</v>
      </c>
      <c r="M329" s="76">
        <f t="shared" si="248"/>
        <v>0</v>
      </c>
      <c r="N329" s="76">
        <f t="shared" si="248"/>
        <v>0</v>
      </c>
      <c r="O329" s="76">
        <f t="shared" si="248"/>
        <v>0</v>
      </c>
      <c r="P329" s="76">
        <f t="shared" si="248"/>
        <v>0</v>
      </c>
      <c r="Q329" s="76">
        <f t="shared" si="248"/>
        <v>0</v>
      </c>
      <c r="R329" s="76">
        <f t="shared" si="248"/>
        <v>0</v>
      </c>
      <c r="S329" s="76">
        <f t="shared" si="248"/>
        <v>0</v>
      </c>
      <c r="T329" s="76">
        <f t="shared" si="248"/>
        <v>0</v>
      </c>
      <c r="U329" s="76">
        <f t="shared" si="248"/>
        <v>0</v>
      </c>
      <c r="V329" s="76">
        <f t="shared" si="248"/>
        <v>0</v>
      </c>
      <c r="W329" s="76">
        <f t="shared" si="248"/>
        <v>0</v>
      </c>
      <c r="X329" s="76">
        <f t="shared" si="248"/>
        <v>0</v>
      </c>
      <c r="Y329" s="76">
        <f t="shared" si="248"/>
        <v>0</v>
      </c>
      <c r="Z329" s="76">
        <f t="shared" si="248"/>
        <v>0</v>
      </c>
    </row>
    <row r="330" spans="2:26" ht="15.75">
      <c r="B330" s="15" t="s">
        <v>28</v>
      </c>
      <c r="D330" s="26">
        <f t="shared" ca="1" si="247"/>
        <v>317555647.40850002</v>
      </c>
      <c r="E330" s="26"/>
      <c r="F330" s="76">
        <f t="shared" ref="F330:Z330" si="249">+F286</f>
        <v>2687323.32</v>
      </c>
      <c r="G330" s="76">
        <f t="shared" ca="1" si="249"/>
        <v>157434162.04425001</v>
      </c>
      <c r="H330" s="76">
        <f t="shared" ca="1" si="249"/>
        <v>157434162.04425001</v>
      </c>
      <c r="I330" s="76">
        <f t="shared" si="249"/>
        <v>0</v>
      </c>
      <c r="J330" s="76">
        <f t="shared" si="249"/>
        <v>0</v>
      </c>
      <c r="K330" s="76">
        <f t="shared" si="249"/>
        <v>0</v>
      </c>
      <c r="L330" s="76">
        <f t="shared" si="249"/>
        <v>0</v>
      </c>
      <c r="M330" s="76">
        <f t="shared" si="249"/>
        <v>0</v>
      </c>
      <c r="N330" s="76">
        <f t="shared" si="249"/>
        <v>0</v>
      </c>
      <c r="O330" s="76">
        <f t="shared" si="249"/>
        <v>0</v>
      </c>
      <c r="P330" s="76">
        <f t="shared" si="249"/>
        <v>0</v>
      </c>
      <c r="Q330" s="76">
        <f t="shared" si="249"/>
        <v>0</v>
      </c>
      <c r="R330" s="76">
        <f t="shared" si="249"/>
        <v>0</v>
      </c>
      <c r="S330" s="76">
        <f t="shared" si="249"/>
        <v>0</v>
      </c>
      <c r="T330" s="76">
        <f t="shared" si="249"/>
        <v>0</v>
      </c>
      <c r="U330" s="76">
        <f t="shared" si="249"/>
        <v>0</v>
      </c>
      <c r="V330" s="76">
        <f t="shared" si="249"/>
        <v>0</v>
      </c>
      <c r="W330" s="76">
        <f t="shared" si="249"/>
        <v>0</v>
      </c>
      <c r="X330" s="76">
        <f t="shared" si="249"/>
        <v>0</v>
      </c>
      <c r="Y330" s="76">
        <f t="shared" si="249"/>
        <v>0</v>
      </c>
      <c r="Z330" s="76">
        <f t="shared" si="249"/>
        <v>0</v>
      </c>
    </row>
    <row r="331" spans="2:26" ht="15.75">
      <c r="B331" s="15" t="s">
        <v>349</v>
      </c>
      <c r="D331" s="26">
        <f t="shared" ca="1" si="247"/>
        <v>15877782.370425001</v>
      </c>
      <c r="E331" s="26"/>
      <c r="F331" s="76">
        <f t="shared" ref="F331:Z331" ca="1" si="250">+F287</f>
        <v>9526669.4222550001</v>
      </c>
      <c r="G331" s="76">
        <f t="shared" ca="1" si="250"/>
        <v>3175556.4740850003</v>
      </c>
      <c r="H331" s="76">
        <f t="shared" ca="1" si="250"/>
        <v>3175556.4740850003</v>
      </c>
      <c r="I331" s="76">
        <f t="shared" si="250"/>
        <v>0</v>
      </c>
      <c r="J331" s="76">
        <f t="shared" si="250"/>
        <v>0</v>
      </c>
      <c r="K331" s="76">
        <f t="shared" si="250"/>
        <v>0</v>
      </c>
      <c r="L331" s="76">
        <f t="shared" si="250"/>
        <v>0</v>
      </c>
      <c r="M331" s="76">
        <f t="shared" si="250"/>
        <v>0</v>
      </c>
      <c r="N331" s="76">
        <f t="shared" si="250"/>
        <v>0</v>
      </c>
      <c r="O331" s="76">
        <f t="shared" si="250"/>
        <v>0</v>
      </c>
      <c r="P331" s="76">
        <f t="shared" si="250"/>
        <v>0</v>
      </c>
      <c r="Q331" s="76">
        <f t="shared" si="250"/>
        <v>0</v>
      </c>
      <c r="R331" s="76">
        <f t="shared" si="250"/>
        <v>0</v>
      </c>
      <c r="S331" s="76">
        <f t="shared" si="250"/>
        <v>0</v>
      </c>
      <c r="T331" s="76">
        <f t="shared" si="250"/>
        <v>0</v>
      </c>
      <c r="U331" s="76">
        <f t="shared" si="250"/>
        <v>0</v>
      </c>
      <c r="V331" s="76">
        <f t="shared" si="250"/>
        <v>0</v>
      </c>
      <c r="W331" s="76">
        <f t="shared" si="250"/>
        <v>0</v>
      </c>
      <c r="X331" s="76">
        <f t="shared" si="250"/>
        <v>0</v>
      </c>
      <c r="Y331" s="76">
        <f t="shared" si="250"/>
        <v>0</v>
      </c>
      <c r="Z331" s="76">
        <f t="shared" si="250"/>
        <v>0</v>
      </c>
    </row>
    <row r="332" spans="2:26" ht="15.75">
      <c r="B332" s="15" t="s">
        <v>37</v>
      </c>
      <c r="D332" s="26">
        <f t="shared" si="247"/>
        <v>0</v>
      </c>
      <c r="E332" s="26"/>
      <c r="F332" s="76">
        <v>0</v>
      </c>
      <c r="G332" s="76">
        <v>0</v>
      </c>
      <c r="H332" s="76">
        <v>0</v>
      </c>
      <c r="I332" s="76">
        <v>0</v>
      </c>
      <c r="J332" s="76">
        <v>0</v>
      </c>
      <c r="K332" s="76">
        <v>0</v>
      </c>
      <c r="L332" s="76">
        <v>0</v>
      </c>
      <c r="M332" s="76">
        <v>0</v>
      </c>
      <c r="N332" s="76">
        <v>0</v>
      </c>
      <c r="O332" s="76">
        <v>0</v>
      </c>
      <c r="P332" s="76">
        <v>0</v>
      </c>
      <c r="Q332" s="76">
        <v>0</v>
      </c>
      <c r="R332" s="76">
        <v>0</v>
      </c>
      <c r="S332" s="76">
        <v>0</v>
      </c>
      <c r="T332" s="76">
        <v>0</v>
      </c>
      <c r="U332" s="76">
        <v>0</v>
      </c>
      <c r="V332" s="76">
        <v>0</v>
      </c>
      <c r="W332" s="76">
        <v>0</v>
      </c>
      <c r="X332" s="76">
        <v>0</v>
      </c>
      <c r="Y332" s="76">
        <v>0</v>
      </c>
      <c r="Z332" s="76">
        <v>0</v>
      </c>
    </row>
    <row r="333" spans="2:26" ht="15.75">
      <c r="B333" s="15" t="s">
        <v>350</v>
      </c>
      <c r="D333" s="26">
        <f t="shared" ca="1" si="247"/>
        <v>874250.81025261071</v>
      </c>
      <c r="E333" s="26"/>
      <c r="F333" s="76">
        <f t="shared" ref="F333:Z333" si="251">+F289</f>
        <v>0</v>
      </c>
      <c r="G333" s="76">
        <f t="shared" ca="1" si="251"/>
        <v>437125.40512630536</v>
      </c>
      <c r="H333" s="76">
        <f t="shared" ca="1" si="251"/>
        <v>437125.40512630536</v>
      </c>
      <c r="I333" s="76">
        <f t="shared" si="251"/>
        <v>0</v>
      </c>
      <c r="J333" s="76">
        <f t="shared" si="251"/>
        <v>0</v>
      </c>
      <c r="K333" s="76">
        <f t="shared" si="251"/>
        <v>0</v>
      </c>
      <c r="L333" s="76">
        <f t="shared" si="251"/>
        <v>0</v>
      </c>
      <c r="M333" s="76">
        <f t="shared" si="251"/>
        <v>0</v>
      </c>
      <c r="N333" s="76">
        <f t="shared" si="251"/>
        <v>0</v>
      </c>
      <c r="O333" s="76">
        <f t="shared" si="251"/>
        <v>0</v>
      </c>
      <c r="P333" s="76">
        <f t="shared" si="251"/>
        <v>0</v>
      </c>
      <c r="Q333" s="76">
        <f t="shared" si="251"/>
        <v>0</v>
      </c>
      <c r="R333" s="76">
        <f t="shared" si="251"/>
        <v>0</v>
      </c>
      <c r="S333" s="76">
        <f t="shared" si="251"/>
        <v>0</v>
      </c>
      <c r="T333" s="76">
        <f t="shared" si="251"/>
        <v>0</v>
      </c>
      <c r="U333" s="76">
        <f t="shared" si="251"/>
        <v>0</v>
      </c>
      <c r="V333" s="76">
        <f t="shared" si="251"/>
        <v>0</v>
      </c>
      <c r="W333" s="76">
        <f t="shared" si="251"/>
        <v>0</v>
      </c>
      <c r="X333" s="76">
        <f t="shared" si="251"/>
        <v>0</v>
      </c>
      <c r="Y333" s="76">
        <f t="shared" si="251"/>
        <v>0</v>
      </c>
      <c r="Z333" s="76">
        <f t="shared" si="251"/>
        <v>0</v>
      </c>
    </row>
    <row r="334" spans="2:26" ht="15.75">
      <c r="B334" s="15" t="s">
        <v>351</v>
      </c>
      <c r="D334" s="26">
        <f t="shared" ca="1" si="247"/>
        <v>11439161.391024234</v>
      </c>
      <c r="E334" s="26"/>
      <c r="F334" s="76">
        <f t="shared" ref="F334:Z334" ca="1" si="252">+F290</f>
        <v>0</v>
      </c>
      <c r="G334" s="76">
        <f t="shared" ca="1" si="252"/>
        <v>2859790.3477560584</v>
      </c>
      <c r="H334" s="76">
        <f t="shared" ca="1" si="252"/>
        <v>2859790.3477560584</v>
      </c>
      <c r="I334" s="76">
        <f t="shared" ca="1" si="252"/>
        <v>2859790.3477560584</v>
      </c>
      <c r="J334" s="76">
        <f t="shared" ca="1" si="252"/>
        <v>2859790.3477560584</v>
      </c>
      <c r="K334" s="76">
        <f t="shared" si="252"/>
        <v>0</v>
      </c>
      <c r="L334" s="76">
        <f t="shared" si="252"/>
        <v>0</v>
      </c>
      <c r="M334" s="76">
        <f t="shared" si="252"/>
        <v>0</v>
      </c>
      <c r="N334" s="76">
        <f t="shared" si="252"/>
        <v>0</v>
      </c>
      <c r="O334" s="76">
        <f t="shared" si="252"/>
        <v>0</v>
      </c>
      <c r="P334" s="76">
        <f t="shared" si="252"/>
        <v>0</v>
      </c>
      <c r="Q334" s="76">
        <f t="shared" si="252"/>
        <v>0</v>
      </c>
      <c r="R334" s="76">
        <f t="shared" si="252"/>
        <v>0</v>
      </c>
      <c r="S334" s="76">
        <f t="shared" si="252"/>
        <v>0</v>
      </c>
      <c r="T334" s="76">
        <f t="shared" si="252"/>
        <v>0</v>
      </c>
      <c r="U334" s="76">
        <f t="shared" si="252"/>
        <v>0</v>
      </c>
      <c r="V334" s="76">
        <f t="shared" si="252"/>
        <v>0</v>
      </c>
      <c r="W334" s="76">
        <f t="shared" si="252"/>
        <v>0</v>
      </c>
      <c r="X334" s="76">
        <f t="shared" si="252"/>
        <v>0</v>
      </c>
      <c r="Y334" s="76">
        <f t="shared" si="252"/>
        <v>0</v>
      </c>
      <c r="Z334" s="76">
        <f t="shared" si="252"/>
        <v>0</v>
      </c>
    </row>
    <row r="335" spans="2:26" ht="15.75">
      <c r="B335" s="687" t="s">
        <v>662</v>
      </c>
      <c r="C335" s="687"/>
      <c r="D335" s="550">
        <f ca="1">+SUM(F335:Z335)</f>
        <v>420102667.19448763</v>
      </c>
      <c r="E335" s="550"/>
      <c r="F335" s="550">
        <f ca="1">+SUM(F328:F334)</f>
        <v>86569817.956540704</v>
      </c>
      <c r="G335" s="550">
        <f ca="1">+SUM(G328:G334)</f>
        <v>163906634.27121738</v>
      </c>
      <c r="H335" s="550">
        <f ca="1">+SUM(H328:H334)</f>
        <v>163906634.27121738</v>
      </c>
      <c r="I335" s="550">
        <f t="shared" ref="I335:Z335" ca="1" si="253">+SUM(I328:I334)</f>
        <v>2859790.3477560584</v>
      </c>
      <c r="J335" s="550">
        <f t="shared" ca="1" si="253"/>
        <v>2859790.3477560584</v>
      </c>
      <c r="K335" s="550">
        <f t="shared" si="253"/>
        <v>0</v>
      </c>
      <c r="L335" s="550">
        <f t="shared" si="253"/>
        <v>0</v>
      </c>
      <c r="M335" s="550">
        <f t="shared" si="253"/>
        <v>0</v>
      </c>
      <c r="N335" s="550">
        <f t="shared" si="253"/>
        <v>0</v>
      </c>
      <c r="O335" s="550">
        <f t="shared" si="253"/>
        <v>0</v>
      </c>
      <c r="P335" s="550">
        <f t="shared" si="253"/>
        <v>0</v>
      </c>
      <c r="Q335" s="550">
        <f t="shared" si="253"/>
        <v>0</v>
      </c>
      <c r="R335" s="550">
        <f t="shared" si="253"/>
        <v>0</v>
      </c>
      <c r="S335" s="550">
        <f t="shared" si="253"/>
        <v>0</v>
      </c>
      <c r="T335" s="550">
        <f t="shared" si="253"/>
        <v>0</v>
      </c>
      <c r="U335" s="550">
        <f t="shared" si="253"/>
        <v>0</v>
      </c>
      <c r="V335" s="550">
        <f t="shared" si="253"/>
        <v>0</v>
      </c>
      <c r="W335" s="550">
        <f t="shared" si="253"/>
        <v>0</v>
      </c>
      <c r="X335" s="550">
        <f t="shared" si="253"/>
        <v>0</v>
      </c>
      <c r="Y335" s="550">
        <f t="shared" si="253"/>
        <v>0</v>
      </c>
      <c r="Z335" s="550">
        <f t="shared" si="253"/>
        <v>0</v>
      </c>
    </row>
    <row r="337" spans="2:26" ht="15.75">
      <c r="B337" s="73" t="s">
        <v>663</v>
      </c>
      <c r="F337" s="75">
        <f>+Assumptions!$F$22</f>
        <v>44561</v>
      </c>
      <c r="G337" s="75">
        <f>+EOMONTH(F337,12)</f>
        <v>44926</v>
      </c>
      <c r="H337" s="75">
        <f t="shared" ref="H337" si="254">+EOMONTH(G337,12)</f>
        <v>45291</v>
      </c>
      <c r="I337" s="75">
        <f>+EOMONTH(H337,12)</f>
        <v>45657</v>
      </c>
      <c r="J337" s="75">
        <f>+EOMONTH(I337,12)</f>
        <v>46022</v>
      </c>
      <c r="K337" s="75">
        <f t="shared" ref="K337" si="255">+EOMONTH(J337,12)</f>
        <v>46387</v>
      </c>
      <c r="L337" s="75">
        <f t="shared" ref="L337" si="256">+EOMONTH(K337,12)</f>
        <v>46752</v>
      </c>
      <c r="M337" s="75">
        <f t="shared" ref="M337" si="257">+EOMONTH(L337,12)</f>
        <v>47118</v>
      </c>
      <c r="N337" s="75">
        <f t="shared" ref="N337" si="258">+EOMONTH(M337,12)</f>
        <v>47483</v>
      </c>
      <c r="O337" s="75">
        <f t="shared" ref="O337" si="259">+EOMONTH(N337,12)</f>
        <v>47848</v>
      </c>
      <c r="P337" s="75">
        <f t="shared" ref="P337" si="260">+EOMONTH(O337,12)</f>
        <v>48213</v>
      </c>
      <c r="Q337" s="75">
        <f t="shared" ref="Q337" si="261">+EOMONTH(P337,12)</f>
        <v>48579</v>
      </c>
      <c r="R337" s="75">
        <f t="shared" ref="R337" si="262">+EOMONTH(Q337,12)</f>
        <v>48944</v>
      </c>
      <c r="S337" s="75">
        <f t="shared" ref="S337" si="263">+EOMONTH(R337,12)</f>
        <v>49309</v>
      </c>
      <c r="T337" s="75">
        <f t="shared" ref="T337" si="264">+EOMONTH(S337,12)</f>
        <v>49674</v>
      </c>
      <c r="U337" s="75">
        <f t="shared" ref="U337" si="265">+EOMONTH(T337,12)</f>
        <v>50040</v>
      </c>
      <c r="V337" s="75">
        <f t="shared" ref="V337" si="266">+EOMONTH(U337,12)</f>
        <v>50405</v>
      </c>
      <c r="W337" s="75">
        <f t="shared" ref="W337" si="267">+EOMONTH(V337,12)</f>
        <v>50770</v>
      </c>
      <c r="X337" s="75">
        <f t="shared" ref="X337" si="268">+EOMONTH(W337,12)</f>
        <v>51135</v>
      </c>
      <c r="Y337" s="75">
        <f t="shared" ref="Y337" si="269">+EOMONTH(X337,12)</f>
        <v>51501</v>
      </c>
      <c r="Z337" s="75">
        <f t="shared" ref="Z337" si="270">+EOMONTH(Y337,12)</f>
        <v>51866</v>
      </c>
    </row>
    <row r="338" spans="2:26" ht="15.75">
      <c r="B338" s="15" t="s">
        <v>664</v>
      </c>
      <c r="D338" s="26">
        <f ca="1">+D335-SUM(D295:D298,D300)</f>
        <v>400813150.73255837</v>
      </c>
      <c r="E338" s="26"/>
      <c r="F338" s="16">
        <f ca="1">+MIN($D$338-SUM('Phase I Pro Forma'!$E338:E338),'Phase I Pro Forma'!F$335)</f>
        <v>86569817.956540704</v>
      </c>
      <c r="G338" s="16">
        <f ca="1">+MIN($D$338-SUM('Phase I Pro Forma'!$E338:F338),'Phase I Pro Forma'!G$335)</f>
        <v>163906634.27121738</v>
      </c>
      <c r="H338" s="16">
        <f ca="1">+MIN($D$338-SUM('Phase I Pro Forma'!$E338:G338),'Phase I Pro Forma'!H$335)</f>
        <v>67152945.779067457</v>
      </c>
      <c r="I338" s="16">
        <f ca="1">+MIN($D$338-SUM('Phase I Pro Forma'!$E338:H338),'Phase I Pro Forma'!I$335)</f>
        <v>0</v>
      </c>
      <c r="J338" s="16">
        <f ca="1">+MIN($D$338-SUM('Phase I Pro Forma'!$E338:I338),'Phase I Pro Forma'!J$335)</f>
        <v>0</v>
      </c>
      <c r="K338" s="16">
        <f ca="1">+MIN($D$338-SUM('Phase I Pro Forma'!$E338:J338),'Phase I Pro Forma'!K$335)</f>
        <v>0</v>
      </c>
      <c r="L338" s="16">
        <f ca="1">+MIN($D$338-SUM('Phase I Pro Forma'!$E338:K338),'Phase I Pro Forma'!L$335)</f>
        <v>0</v>
      </c>
      <c r="M338" s="16">
        <f ca="1">+MIN($D$338-SUM('Phase I Pro Forma'!$E338:L338),'Phase I Pro Forma'!M$335)</f>
        <v>0</v>
      </c>
      <c r="N338" s="16">
        <f ca="1">+MIN($D$338-SUM('Phase I Pro Forma'!$E338:M338),'Phase I Pro Forma'!N$335)</f>
        <v>0</v>
      </c>
      <c r="O338" s="16">
        <f ca="1">+MIN($D$338-SUM('Phase I Pro Forma'!$E338:N338),'Phase I Pro Forma'!O$335)</f>
        <v>0</v>
      </c>
      <c r="P338" s="16">
        <f ca="1">+MIN($D$338-SUM('Phase I Pro Forma'!$E338:O338),'Phase I Pro Forma'!P$335)</f>
        <v>0</v>
      </c>
      <c r="Q338" s="16">
        <f ca="1">+MIN($D$338-SUM('Phase I Pro Forma'!$E338:P338),'Phase I Pro Forma'!Q$335)</f>
        <v>0</v>
      </c>
      <c r="R338" s="16">
        <f ca="1">+MIN($D$338-SUM('Phase I Pro Forma'!$E338:Q338),'Phase I Pro Forma'!R$335)</f>
        <v>0</v>
      </c>
      <c r="S338" s="16">
        <f ca="1">+MIN($D$338-SUM('Phase I Pro Forma'!$E338:R338),'Phase I Pro Forma'!S$335)</f>
        <v>0</v>
      </c>
      <c r="T338" s="16">
        <f ca="1">+MIN($D$338-SUM('Phase I Pro Forma'!$E338:S338),'Phase I Pro Forma'!T$335)</f>
        <v>0</v>
      </c>
      <c r="U338" s="16">
        <f ca="1">+MIN($D$338-SUM('Phase I Pro Forma'!$E338:T338),'Phase I Pro Forma'!U$335)</f>
        <v>0</v>
      </c>
      <c r="V338" s="16">
        <f ca="1">+MIN($D$338-SUM('Phase I Pro Forma'!$E338:U338),'Phase I Pro Forma'!V$335)</f>
        <v>0</v>
      </c>
      <c r="W338" s="16">
        <f ca="1">+MIN($D$338-SUM('Phase I Pro Forma'!$E338:V338),'Phase I Pro Forma'!W$335)</f>
        <v>0</v>
      </c>
      <c r="X338" s="16">
        <f ca="1">+MIN($D$338-SUM('Phase I Pro Forma'!$E338:W338),'Phase I Pro Forma'!X$335)</f>
        <v>0</v>
      </c>
      <c r="Y338" s="16">
        <f ca="1">+MIN($D$338-SUM('Phase I Pro Forma'!$E338:X338),'Phase I Pro Forma'!Y$335)</f>
        <v>0</v>
      </c>
      <c r="Z338" s="16">
        <f ca="1">+MIN($D$338-SUM('Phase I Pro Forma'!$E338:Y338),'Phase I Pro Forma'!Z$335)</f>
        <v>0</v>
      </c>
    </row>
    <row r="339" spans="2:26" ht="15.75">
      <c r="B339" s="15" t="s">
        <v>97</v>
      </c>
      <c r="D339" s="26">
        <v>40000000</v>
      </c>
      <c r="E339" s="26"/>
      <c r="F339" s="76">
        <f ca="1">+MIN('S&amp;U'!$H19-SUM('Phase I Pro Forma'!$E339:E339),'Phase I Pro Forma'!F$335-SUM(F$338:F338))</f>
        <v>20000000</v>
      </c>
      <c r="G339" s="76">
        <f ca="1">+MIN('S&amp;U'!$H19-SUM('Phase I Pro Forma'!$E339:F339),'Phase I Pro Forma'!G$335-SUM(G$338:G338))</f>
        <v>6774404.2884259522</v>
      </c>
      <c r="H339" s="76">
        <v>40000000</v>
      </c>
      <c r="I339" s="76">
        <f ca="1">+MIN('S&amp;U'!$H19-SUM('Phase I Pro Forma'!$E339:H339),'Phase I Pro Forma'!I$335-SUM(I$338:I338))</f>
        <v>-26774404.288425952</v>
      </c>
      <c r="J339" s="76">
        <f ca="1">+MIN('S&amp;U'!$H19-SUM('Phase I Pro Forma'!$E339:I339),'Phase I Pro Forma'!J$335-SUM(J$338:J338))</f>
        <v>0</v>
      </c>
      <c r="K339" s="76">
        <f ca="1">+MIN('S&amp;U'!$H19-SUM('Phase I Pro Forma'!$E339:J339),'Phase I Pro Forma'!K$335-SUM(K$338:K338))</f>
        <v>-20000000</v>
      </c>
      <c r="L339" s="76">
        <f ca="1">+MIN('S&amp;U'!$H19-SUM('Phase I Pro Forma'!$E339:K339),'Phase I Pro Forma'!L$335-SUM(L$338:L338))</f>
        <v>-6774404.2884259522</v>
      </c>
      <c r="M339" s="76">
        <f ca="1">+MIN('S&amp;U'!$H19-SUM('Phase I Pro Forma'!$E339:L339),'Phase I Pro Forma'!M$335-SUM(M$338:M338))</f>
        <v>0</v>
      </c>
      <c r="N339" s="76">
        <f ca="1">+MIN('S&amp;U'!$H19-SUM('Phase I Pro Forma'!$E339:M339),'Phase I Pro Forma'!N$335-SUM(N$338:N338))</f>
        <v>0</v>
      </c>
      <c r="O339" s="76">
        <f ca="1">+MIN('S&amp;U'!$H19-SUM('Phase I Pro Forma'!$E339:N339),'Phase I Pro Forma'!O$335-SUM(O$338:O338))</f>
        <v>0</v>
      </c>
      <c r="P339" s="76">
        <f ca="1">+MIN('S&amp;U'!$H19-SUM('Phase I Pro Forma'!$E339:O339),'Phase I Pro Forma'!P$335-SUM(P$338:P338))</f>
        <v>0</v>
      </c>
      <c r="Q339" s="76">
        <f ca="1">+MIN('S&amp;U'!$H19-SUM('Phase I Pro Forma'!$E339:P339),'Phase I Pro Forma'!Q$335-SUM(Q$338:Q338))</f>
        <v>0</v>
      </c>
      <c r="R339" s="76">
        <f ca="1">+MIN('S&amp;U'!$H19-SUM('Phase I Pro Forma'!$E339:Q339),'Phase I Pro Forma'!R$335-SUM(R$338:R338))</f>
        <v>0</v>
      </c>
      <c r="S339" s="76">
        <f ca="1">+MIN('S&amp;U'!$H19-SUM('Phase I Pro Forma'!$E339:R339),'Phase I Pro Forma'!S$335-SUM(S$338:S338))</f>
        <v>0</v>
      </c>
      <c r="T339" s="76">
        <f ca="1">+MIN('S&amp;U'!$H19-SUM('Phase I Pro Forma'!$E339:S339),'Phase I Pro Forma'!T$335-SUM(T$338:T338))</f>
        <v>0</v>
      </c>
      <c r="U339" s="76">
        <f ca="1">+MIN('S&amp;U'!$H19-SUM('Phase I Pro Forma'!$E339:T339),'Phase I Pro Forma'!U$335-SUM(U$338:U338))</f>
        <v>0</v>
      </c>
      <c r="V339" s="76">
        <f ca="1">+MIN('S&amp;U'!$H19-SUM('Phase I Pro Forma'!$E339:U339),'Phase I Pro Forma'!V$335-SUM(V$338:V338))</f>
        <v>-6774404.2884259522</v>
      </c>
      <c r="W339" s="76">
        <f ca="1">+MIN('S&amp;U'!$H19-SUM('Phase I Pro Forma'!$E339:V339),'Phase I Pro Forma'!W$335-SUM(W$338:W338))</f>
        <v>-20000000</v>
      </c>
      <c r="X339" s="76">
        <f ca="1">+MIN('S&amp;U'!$H19-SUM('Phase I Pro Forma'!$E339:W339),'Phase I Pro Forma'!X$335-SUM(X$338:X338))</f>
        <v>0</v>
      </c>
      <c r="Y339" s="76">
        <f ca="1">+MIN('S&amp;U'!$H19-SUM('Phase I Pro Forma'!$E339:X339),'Phase I Pro Forma'!Y$335-SUM(Y$338:Y338))</f>
        <v>0</v>
      </c>
      <c r="Z339" s="76">
        <f ca="1">+MIN('S&amp;U'!$H19-SUM('Phase I Pro Forma'!$E339:Y339),'Phase I Pro Forma'!Z$335-SUM(Z$338:Z338))</f>
        <v>-20000000</v>
      </c>
    </row>
    <row r="340" spans="2:26" ht="15.75">
      <c r="B340" s="15" t="s">
        <v>392</v>
      </c>
      <c r="D340" s="26">
        <v>15000000</v>
      </c>
      <c r="E340" s="26"/>
      <c r="F340" s="76">
        <f ca="1">+MIN('S&amp;U'!$H20-SUM('Phase I Pro Forma'!$E340:E340),'Phase I Pro Forma'!F$335-SUM(F$338:F339))</f>
        <v>5335733.8687902158</v>
      </c>
      <c r="G340" s="76">
        <f ca="1">+MIN('S&amp;U'!$H20-SUM('Phase I Pro Forma'!$E340:F340),'Phase I Pro Forma'!G$335-SUM(G$338:G339))</f>
        <v>5335733.8687902158</v>
      </c>
      <c r="H340" s="76">
        <v>15000000</v>
      </c>
      <c r="I340" s="76">
        <f ca="1">+MIN('S&amp;U'!$H20-SUM('Phase I Pro Forma'!$E340:H340),'Phase I Pro Forma'!I$335-SUM(I$338:I339))</f>
        <v>-9664266.1312097833</v>
      </c>
      <c r="J340" s="76">
        <f ca="1">+MIN('S&amp;U'!$H20-SUM('Phase I Pro Forma'!$E340:I340),'Phase I Pro Forma'!J$335-SUM(J$338:J339))</f>
        <v>-5335733.8687902177</v>
      </c>
      <c r="K340" s="76">
        <f ca="1">+MIN('S&amp;U'!$H20-SUM('Phase I Pro Forma'!$E340:J340),'Phase I Pro Forma'!K$335-SUM(K$338:K339))</f>
        <v>-5335733.8687902177</v>
      </c>
      <c r="L340" s="76">
        <f ca="1">+MIN('S&amp;U'!$H20-SUM('Phase I Pro Forma'!$E340:K340),'Phase I Pro Forma'!L$335-SUM(L$338:L339))</f>
        <v>0</v>
      </c>
      <c r="M340" s="76">
        <f ca="1">+MIN('S&amp;U'!$H20-SUM('Phase I Pro Forma'!$E340:L340),'Phase I Pro Forma'!M$335-SUM(M$338:M339))</f>
        <v>-9.3132257461547852E-10</v>
      </c>
      <c r="N340" s="76">
        <f ca="1">+MIN('S&amp;U'!$H20-SUM('Phase I Pro Forma'!$E340:M340),'Phase I Pro Forma'!N$335-SUM(N$338:N339))</f>
        <v>0</v>
      </c>
      <c r="O340" s="76">
        <f ca="1">+MIN('S&amp;U'!$H20-SUM('Phase I Pro Forma'!$E340:N340),'Phase I Pro Forma'!O$335-SUM(O$338:O339))</f>
        <v>-9.3132257461547852E-10</v>
      </c>
      <c r="P340" s="76">
        <f ca="1">+MIN('S&amp;U'!$H20-SUM('Phase I Pro Forma'!$E340:O340),'Phase I Pro Forma'!P$335-SUM(P$338:P339))</f>
        <v>0</v>
      </c>
      <c r="Q340" s="76">
        <f ca="1">+MIN('S&amp;U'!$H20-SUM('Phase I Pro Forma'!$E340:P340),'Phase I Pro Forma'!Q$335-SUM(Q$338:Q339))</f>
        <v>0</v>
      </c>
      <c r="R340" s="76">
        <f ca="1">+MIN('S&amp;U'!$H20-SUM('Phase I Pro Forma'!$E340:Q340),'Phase I Pro Forma'!R$335-SUM(R$338:R339))</f>
        <v>0</v>
      </c>
      <c r="S340" s="76">
        <f ca="1">+MIN('S&amp;U'!$H20-SUM('Phase I Pro Forma'!$E340:R340),'Phase I Pro Forma'!S$335-SUM(S$338:S339))</f>
        <v>0</v>
      </c>
      <c r="T340" s="76">
        <f ca="1">+MIN('S&amp;U'!$H20-SUM('Phase I Pro Forma'!$E340:S340),'Phase I Pro Forma'!T$335-SUM(T$338:T339))</f>
        <v>0</v>
      </c>
      <c r="U340" s="76">
        <f ca="1">+MIN('S&amp;U'!$H20-SUM('Phase I Pro Forma'!$E340:T340),'Phase I Pro Forma'!U$335-SUM(U$338:U339))</f>
        <v>0</v>
      </c>
      <c r="V340" s="76">
        <f ca="1">+MIN('S&amp;U'!$H20-SUM('Phase I Pro Forma'!$E340:U340),'Phase I Pro Forma'!V$335-SUM(V$338:V339))</f>
        <v>0</v>
      </c>
      <c r="W340" s="76">
        <f ca="1">+MIN('S&amp;U'!$H20-SUM('Phase I Pro Forma'!$E340:V340),'Phase I Pro Forma'!W$335-SUM(W$338:W339))</f>
        <v>0</v>
      </c>
      <c r="X340" s="76">
        <f ca="1">+MIN('S&amp;U'!$H20-SUM('Phase I Pro Forma'!$E340:W340),'Phase I Pro Forma'!X$335-SUM(X$338:X339))</f>
        <v>0</v>
      </c>
      <c r="Y340" s="76">
        <f ca="1">+MIN('S&amp;U'!$H20-SUM('Phase I Pro Forma'!$E340:X340),'Phase I Pro Forma'!Y$335-SUM(Y$338:Y339))</f>
        <v>0</v>
      </c>
      <c r="Z340" s="76">
        <f ca="1">+MIN('S&amp;U'!$H20-SUM('Phase I Pro Forma'!$E340:Y340),'Phase I Pro Forma'!Z$335-SUM(Z$338:Z339))</f>
        <v>0</v>
      </c>
    </row>
    <row r="341" spans="2:26" ht="15.75">
      <c r="B341" s="15" t="s">
        <v>393</v>
      </c>
      <c r="D341" s="26">
        <f t="shared" ref="D341:D344" ca="1" si="271">+SUM(F341:Z341)</f>
        <v>5538000</v>
      </c>
      <c r="E341" s="26"/>
      <c r="F341" s="76">
        <f ca="1">+MIN('S&amp;U'!$H21-SUM('Phase I Pro Forma'!$E341:E341),'Phase I Pro Forma'!F$335-SUM(F$338:F340))</f>
        <v>5538000</v>
      </c>
      <c r="G341" s="76">
        <f ca="1">+MIN('S&amp;U'!$H21-SUM('Phase I Pro Forma'!$E341:F341),'Phase I Pro Forma'!G$335-SUM(G$338:G340))</f>
        <v>5538000</v>
      </c>
      <c r="H341" s="76">
        <f ca="1">+MIN('S&amp;U'!$H21-SUM('Phase I Pro Forma'!$E341:G341),'Phase I Pro Forma'!H$335-SUM(H$338:H340))</f>
        <v>5538000</v>
      </c>
      <c r="I341" s="76">
        <f ca="1">+MIN('S&amp;U'!$H21-SUM('Phase I Pro Forma'!$E341:H341),'Phase I Pro Forma'!I$335-SUM(I$338:I340))</f>
        <v>-5538000</v>
      </c>
      <c r="J341" s="76">
        <f ca="1">+MIN('S&amp;U'!$H21-SUM('Phase I Pro Forma'!$E341:I341),'Phase I Pro Forma'!J$335-SUM(J$338:J340))</f>
        <v>0</v>
      </c>
      <c r="K341" s="76">
        <f ca="1">+MIN('S&amp;U'!$H21-SUM('Phase I Pro Forma'!$E341:J341),'Phase I Pro Forma'!K$335-SUM(K$338:K340))</f>
        <v>0</v>
      </c>
      <c r="L341" s="76">
        <f ca="1">+MIN('S&amp;U'!$H21-SUM('Phase I Pro Forma'!$E341:K341),'Phase I Pro Forma'!L$335-SUM(L$338:L340))</f>
        <v>0</v>
      </c>
      <c r="M341" s="76">
        <f ca="1">+MIN('S&amp;U'!$H21-SUM('Phase I Pro Forma'!$E341:L341),'Phase I Pro Forma'!M$335-SUM(M$338:M340))</f>
        <v>0</v>
      </c>
      <c r="N341" s="76">
        <f ca="1">+MIN('S&amp;U'!$H21-SUM('Phase I Pro Forma'!$E341:M341),'Phase I Pro Forma'!N$335-SUM(N$338:N340))</f>
        <v>0</v>
      </c>
      <c r="O341" s="76">
        <f ca="1">+MIN('S&amp;U'!$H21-SUM('Phase I Pro Forma'!$E341:N341),'Phase I Pro Forma'!O$335-SUM(O$338:O340))</f>
        <v>0</v>
      </c>
      <c r="P341" s="76">
        <f ca="1">+MIN('S&amp;U'!$H21-SUM('Phase I Pro Forma'!$E341:O341),'Phase I Pro Forma'!P$335-SUM(P$338:P340))</f>
        <v>0</v>
      </c>
      <c r="Q341" s="76">
        <f ca="1">+MIN('S&amp;U'!$H21-SUM('Phase I Pro Forma'!$E341:P341),'Phase I Pro Forma'!Q$335-SUM(Q$338:Q340))</f>
        <v>0</v>
      </c>
      <c r="R341" s="76">
        <f ca="1">+MIN('S&amp;U'!$H21-SUM('Phase I Pro Forma'!$E341:Q341),'Phase I Pro Forma'!R$335-SUM(R$338:R340))</f>
        <v>0</v>
      </c>
      <c r="S341" s="76">
        <f ca="1">+MIN('S&amp;U'!$H21-SUM('Phase I Pro Forma'!$E341:R341),'Phase I Pro Forma'!S$335-SUM(S$338:S340))</f>
        <v>0</v>
      </c>
      <c r="T341" s="76">
        <f ca="1">+MIN('S&amp;U'!$H21-SUM('Phase I Pro Forma'!$E341:S341),'Phase I Pro Forma'!T$335-SUM(T$338:T340))</f>
        <v>0</v>
      </c>
      <c r="U341" s="76">
        <f ca="1">+MIN('S&amp;U'!$H21-SUM('Phase I Pro Forma'!$E341:T341),'Phase I Pro Forma'!U$335-SUM(U$338:U340))</f>
        <v>0</v>
      </c>
      <c r="V341" s="76">
        <f ca="1">+MIN('S&amp;U'!$H21-SUM('Phase I Pro Forma'!$E341:U341),'Phase I Pro Forma'!V$335-SUM(V$338:V340))</f>
        <v>0</v>
      </c>
      <c r="W341" s="76">
        <f ca="1">+MIN('S&amp;U'!$H21-SUM('Phase I Pro Forma'!$E341:V341),'Phase I Pro Forma'!W$335-SUM(W$338:W340))</f>
        <v>0</v>
      </c>
      <c r="X341" s="76">
        <f ca="1">+MIN('S&amp;U'!$H21-SUM('Phase I Pro Forma'!$E341:W341),'Phase I Pro Forma'!X$335-SUM(X$338:X340))</f>
        <v>0</v>
      </c>
      <c r="Y341" s="76">
        <f ca="1">+MIN('S&amp;U'!$H21-SUM('Phase I Pro Forma'!$E341:X341),'Phase I Pro Forma'!Y$335-SUM(Y$338:Y340))</f>
        <v>0</v>
      </c>
      <c r="Z341" s="76">
        <f ca="1">+MIN('S&amp;U'!$H21-SUM('Phase I Pro Forma'!$E341:Y341),'Phase I Pro Forma'!Z$335-SUM(Z$338:Z340))</f>
        <v>0</v>
      </c>
    </row>
    <row r="342" spans="2:26" ht="15.75">
      <c r="B342" s="15" t="s">
        <v>394</v>
      </c>
      <c r="D342" s="26">
        <v>0</v>
      </c>
      <c r="E342" s="26"/>
      <c r="F342" s="76">
        <f ca="1">+MIN('S&amp;U'!$H22-SUM('Phase I Pro Forma'!$E342:E342),'Phase I Pro Forma'!F$335-SUM(F$338:F341))</f>
        <v>4200293.3003774881</v>
      </c>
      <c r="G342" s="76">
        <f ca="1">+MIN('S&amp;U'!$H22-SUM('Phase I Pro Forma'!$E342:F342),'Phase I Pro Forma'!G$335-SUM(G$338:G341))</f>
        <v>-10873733.868790209</v>
      </c>
      <c r="H342" s="76">
        <f ca="1">+MIN('S&amp;U'!$H22-SUM('Phase I Pro Forma'!$E342:G342),'Phase I Pro Forma'!H$335-SUM(H$338:H341))</f>
        <v>20000000</v>
      </c>
      <c r="I342" s="76">
        <f ca="1">+MIN('S&amp;U'!$H22-SUM('Phase I Pro Forma'!$E342:H342),'Phase I Pro Forma'!I$335-SUM(I$338:I341))</f>
        <v>16743669.232522763</v>
      </c>
      <c r="J342" s="76">
        <f ca="1">+MIN('S&amp;U'!$H22-SUM('Phase I Pro Forma'!$E342:I342),'Phase I Pro Forma'!J$335-SUM(J$338:J341))</f>
        <v>0</v>
      </c>
      <c r="K342" s="76">
        <f ca="1">+MIN('S&amp;U'!$H22-SUM('Phase I Pro Forma'!$E342:J342),'Phase I Pro Forma'!K$335-SUM(K$338:K341))</f>
        <v>16743669.232522763</v>
      </c>
      <c r="L342" s="76">
        <f ca="1">+MIN('S&amp;U'!$H22-SUM('Phase I Pro Forma'!$E342:K342),'Phase I Pro Forma'!L$335-SUM(L$338:L341))</f>
        <v>6774404.2884259522</v>
      </c>
      <c r="M342" s="76">
        <f ca="1">+MIN('S&amp;U'!$H22-SUM('Phase I Pro Forma'!$E342:L342),'Phase I Pro Forma'!M$335-SUM(M$338:M341))</f>
        <v>9.3132257461547852E-10</v>
      </c>
      <c r="N342" s="76">
        <f ca="1">+MIN('S&amp;U'!$H22-SUM('Phase I Pro Forma'!$E342:M342),'Phase I Pro Forma'!N$335-SUM(N$338:N341))</f>
        <v>0</v>
      </c>
      <c r="O342" s="76">
        <f ca="1">+MIN('S&amp;U'!$H22-SUM('Phase I Pro Forma'!$E342:N342),'Phase I Pro Forma'!O$335-SUM(O$338:O341))</f>
        <v>-23518073.520948716</v>
      </c>
      <c r="P342" s="76">
        <f ca="1">+MIN('S&amp;U'!$H22-SUM('Phase I Pro Forma'!$E342:O342),'Phase I Pro Forma'!P$335-SUM(P$338:P341))</f>
        <v>0</v>
      </c>
      <c r="Q342" s="76">
        <f ca="1">+MIN('S&amp;U'!$H22-SUM('Phase I Pro Forma'!$E342:P342),'Phase I Pro Forma'!Q$335-SUM(Q$338:Q341))</f>
        <v>0</v>
      </c>
      <c r="R342" s="76">
        <f ca="1">+MIN('S&amp;U'!$H22-SUM('Phase I Pro Forma'!$E342:Q342),'Phase I Pro Forma'!R$335-SUM(R$338:R341))</f>
        <v>0</v>
      </c>
      <c r="S342" s="76">
        <f ca="1">+MIN('S&amp;U'!$H22-SUM('Phase I Pro Forma'!$E342:R342),'Phase I Pro Forma'!S$335-SUM(S$338:S341))</f>
        <v>0</v>
      </c>
      <c r="T342" s="76">
        <f ca="1">+MIN('S&amp;U'!$H22-SUM('Phase I Pro Forma'!$E342:S342),'Phase I Pro Forma'!T$335-SUM(T$338:T341))</f>
        <v>0</v>
      </c>
      <c r="U342" s="76">
        <f ca="1">+MIN('S&amp;U'!$H22-SUM('Phase I Pro Forma'!$E342:T342),'Phase I Pro Forma'!U$335-SUM(U$338:U341))</f>
        <v>0</v>
      </c>
      <c r="V342" s="76">
        <f ca="1">+MIN('S&amp;U'!$H22-SUM('Phase I Pro Forma'!$E342:U342),'Phase I Pro Forma'!V$335-SUM(V$338:V341))</f>
        <v>-5869935.363732554</v>
      </c>
      <c r="W342" s="76">
        <f ca="1">+MIN('S&amp;U'!$H22-SUM('Phase I Pro Forma'!$E342:V342),'Phase I Pro Forma'!W$335-SUM(W$338:W341))</f>
        <v>-5869935.363732554</v>
      </c>
      <c r="X342" s="76">
        <f ca="1">+MIN('S&amp;U'!$H22-SUM('Phase I Pro Forma'!$E342:W342),'Phase I Pro Forma'!X$335-SUM(X$338:X341))</f>
        <v>0</v>
      </c>
      <c r="Y342" s="76">
        <f ca="1">+MIN('S&amp;U'!$H22-SUM('Phase I Pro Forma'!$E342:X342),'Phase I Pro Forma'!Y$335-SUM(Y$338:Y341))</f>
        <v>0</v>
      </c>
      <c r="Z342" s="76">
        <f ca="1">+MIN('S&amp;U'!$H22-SUM('Phase I Pro Forma'!$E342:Y342),'Phase I Pro Forma'!Z$335-SUM(Z$338:Z341))</f>
        <v>5869935.363732554</v>
      </c>
    </row>
    <row r="343" spans="2:26" ht="15.75">
      <c r="B343" s="15" t="s">
        <v>356</v>
      </c>
      <c r="D343" s="26">
        <f t="shared" si="271"/>
        <v>0</v>
      </c>
      <c r="E343" s="26"/>
      <c r="F343" s="76">
        <v>0</v>
      </c>
      <c r="G343" s="76">
        <v>0</v>
      </c>
      <c r="H343" s="76">
        <v>0</v>
      </c>
      <c r="I343" s="76">
        <v>0</v>
      </c>
      <c r="J343" s="76">
        <v>0</v>
      </c>
      <c r="K343" s="76">
        <v>0</v>
      </c>
      <c r="L343" s="76">
        <v>0</v>
      </c>
      <c r="M343" s="76">
        <v>0</v>
      </c>
      <c r="N343" s="76">
        <v>0</v>
      </c>
      <c r="O343" s="76">
        <v>0</v>
      </c>
      <c r="P343" s="76">
        <v>0</v>
      </c>
      <c r="Q343" s="76">
        <v>0</v>
      </c>
      <c r="R343" s="76">
        <v>0</v>
      </c>
      <c r="S343" s="76">
        <v>0</v>
      </c>
      <c r="T343" s="76">
        <v>0</v>
      </c>
      <c r="U343" s="76">
        <v>0</v>
      </c>
      <c r="V343" s="76">
        <v>0</v>
      </c>
      <c r="W343" s="76">
        <v>0</v>
      </c>
      <c r="X343" s="76">
        <v>0</v>
      </c>
      <c r="Y343" s="76">
        <v>0</v>
      </c>
      <c r="Z343" s="76">
        <v>0</v>
      </c>
    </row>
    <row r="344" spans="2:26" ht="15.75">
      <c r="B344" s="15" t="s">
        <v>791</v>
      </c>
      <c r="D344" s="26">
        <f t="shared" ca="1" si="271"/>
        <v>45453342.708610758</v>
      </c>
      <c r="E344" s="26"/>
      <c r="F344" s="76">
        <f ca="1">+MIN('S&amp;U'!$H26-SUM('Phase I Pro Forma'!$E344:E344),'Phase I Pro Forma'!F$335-SUM(F$338:F343))</f>
        <v>0</v>
      </c>
      <c r="G344" s="76">
        <f ca="1">+MIN('S&amp;U'!$H26-SUM('Phase I Pro Forma'!$E344:F344),'Phase I Pro Forma'!G$335-SUM(G$338:G343))</f>
        <v>6774404.2884259522</v>
      </c>
      <c r="H344" s="76">
        <f ca="1">+MIN('S&amp;U'!$H26-SUM('Phase I Pro Forma'!$E344:G344),'Phase I Pro Forma'!H$335-SUM(H$338:H343))</f>
        <v>32959357.72467269</v>
      </c>
      <c r="I344" s="76">
        <f ca="1">+MIN('S&amp;U'!$H26-SUM('Phase I Pro Forma'!$E344:H344),'Phase I Pro Forma'!I$335-SUM(I$338:I343))</f>
        <v>2859790.3477560584</v>
      </c>
      <c r="J344" s="76">
        <f ca="1">+MIN('S&amp;U'!$H26-SUM('Phase I Pro Forma'!$E344:I344),'Phase I Pro Forma'!J$335-SUM(J$338:J343))</f>
        <v>2859790.3477560584</v>
      </c>
      <c r="K344" s="76">
        <f ca="1">+MIN('S&amp;U'!$H26-SUM('Phase I Pro Forma'!$E344:J344),'Phase I Pro Forma'!K$335-SUM(K$338:K343))</f>
        <v>0</v>
      </c>
      <c r="L344" s="76">
        <f ca="1">+MIN('S&amp;U'!$H26-SUM('Phase I Pro Forma'!$E344:K344),'Phase I Pro Forma'!L$335-SUM(L$338:L343))</f>
        <v>0</v>
      </c>
      <c r="M344" s="76">
        <f ca="1">+MIN('S&amp;U'!$H26-SUM('Phase I Pro Forma'!$E344:L344),'Phase I Pro Forma'!M$335-SUM(M$338:M343))</f>
        <v>0</v>
      </c>
      <c r="N344" s="76">
        <f ca="1">+MIN('S&amp;U'!$H26-SUM('Phase I Pro Forma'!$E344:M344),'Phase I Pro Forma'!N$335-SUM(N$338:N343))</f>
        <v>0</v>
      </c>
      <c r="O344" s="76">
        <f ca="1">+MIN('S&amp;U'!$H26-SUM('Phase I Pro Forma'!$E344:N344),'Phase I Pro Forma'!O$335-SUM(O$338:O343))</f>
        <v>0</v>
      </c>
      <c r="P344" s="76">
        <f ca="1">+MIN('S&amp;U'!$H26-SUM('Phase I Pro Forma'!$E344:O344),'Phase I Pro Forma'!P$335-SUM(P$338:P343))</f>
        <v>0</v>
      </c>
      <c r="Q344" s="76">
        <f ca="1">+MIN('S&amp;U'!$H26-SUM('Phase I Pro Forma'!$E344:P344),'Phase I Pro Forma'!Q$335-SUM(Q$338:Q343))</f>
        <v>0</v>
      </c>
      <c r="R344" s="76">
        <f ca="1">+MIN('S&amp;U'!$H26-SUM('Phase I Pro Forma'!$E344:Q344),'Phase I Pro Forma'!R$335-SUM(R$338:R343))</f>
        <v>0</v>
      </c>
      <c r="S344" s="76">
        <f ca="1">+MIN('S&amp;U'!$H26-SUM('Phase I Pro Forma'!$E344:R344),'Phase I Pro Forma'!S$335-SUM(S$338:S343))</f>
        <v>0</v>
      </c>
      <c r="T344" s="76">
        <f ca="1">+MIN('S&amp;U'!$H26-SUM('Phase I Pro Forma'!$E344:S344),'Phase I Pro Forma'!T$335-SUM(T$338:T343))</f>
        <v>0</v>
      </c>
      <c r="U344" s="76">
        <f ca="1">+MIN('S&amp;U'!$H26-SUM('Phase I Pro Forma'!$E344:T344),'Phase I Pro Forma'!U$335-SUM(U$338:U343))</f>
        <v>0</v>
      </c>
      <c r="V344" s="76">
        <f ca="1">+MIN('S&amp;U'!$H26-SUM('Phase I Pro Forma'!$E344:U344),'Phase I Pro Forma'!V$335-SUM(V$338:V343))</f>
        <v>0</v>
      </c>
      <c r="W344" s="76">
        <f ca="1">+MIN('S&amp;U'!$H26-SUM('Phase I Pro Forma'!$E344:V344),'Phase I Pro Forma'!W$335-SUM(W$338:W343))</f>
        <v>0</v>
      </c>
      <c r="X344" s="76">
        <f ca="1">+MIN('S&amp;U'!$H26-SUM('Phase I Pro Forma'!$E344:W344),'Phase I Pro Forma'!X$335-SUM(X$338:X343))</f>
        <v>0</v>
      </c>
      <c r="Y344" s="76">
        <f ca="1">+MIN('S&amp;U'!$H26-SUM('Phase I Pro Forma'!$E344:X344),'Phase I Pro Forma'!Y$335-SUM(Y$338:Y343))</f>
        <v>0</v>
      </c>
      <c r="Z344" s="76">
        <f ca="1">+MIN('S&amp;U'!$H26-SUM('Phase I Pro Forma'!$E344:Y344),'Phase I Pro Forma'!Z$335-SUM(Z$338:Z343))</f>
        <v>0</v>
      </c>
    </row>
    <row r="345" spans="2:26" ht="15.75">
      <c r="B345" s="687" t="s">
        <v>665</v>
      </c>
      <c r="C345" s="687"/>
      <c r="D345" s="550">
        <f ca="1">+SUM(F345:Z345)</f>
        <v>306449096.39256471</v>
      </c>
      <c r="E345" s="550"/>
      <c r="F345" s="550">
        <f t="shared" ref="F345:Z345" ca="1" si="272">+SUM(F338:F344)</f>
        <v>86569817.956540704</v>
      </c>
      <c r="G345" s="550">
        <f t="shared" ca="1" si="272"/>
        <v>170681038.55964333</v>
      </c>
      <c r="H345" s="550">
        <f ca="1">+SUM(H338:H344)</f>
        <v>180650303.50374013</v>
      </c>
      <c r="I345" s="550">
        <f t="shared" ca="1" si="272"/>
        <v>-22373210.839356914</v>
      </c>
      <c r="J345" s="550">
        <f t="shared" ca="1" si="272"/>
        <v>-2475943.5210341592</v>
      </c>
      <c r="K345" s="550">
        <f t="shared" ca="1" si="272"/>
        <v>-8592064.6362674534</v>
      </c>
      <c r="L345" s="550">
        <f t="shared" ca="1" si="272"/>
        <v>0</v>
      </c>
      <c r="M345" s="550">
        <f t="shared" ca="1" si="272"/>
        <v>0</v>
      </c>
      <c r="N345" s="550">
        <f t="shared" ca="1" si="272"/>
        <v>0</v>
      </c>
      <c r="O345" s="550">
        <f t="shared" ca="1" si="272"/>
        <v>-23518073.520948716</v>
      </c>
      <c r="P345" s="550">
        <f t="shared" ca="1" si="272"/>
        <v>0</v>
      </c>
      <c r="Q345" s="550">
        <f t="shared" ca="1" si="272"/>
        <v>0</v>
      </c>
      <c r="R345" s="550">
        <f t="shared" ca="1" si="272"/>
        <v>0</v>
      </c>
      <c r="S345" s="550">
        <f t="shared" ca="1" si="272"/>
        <v>0</v>
      </c>
      <c r="T345" s="550">
        <f t="shared" ca="1" si="272"/>
        <v>0</v>
      </c>
      <c r="U345" s="550">
        <f t="shared" ca="1" si="272"/>
        <v>0</v>
      </c>
      <c r="V345" s="550">
        <f t="shared" ca="1" si="272"/>
        <v>-12644339.652158506</v>
      </c>
      <c r="W345" s="550">
        <f t="shared" ca="1" si="272"/>
        <v>-25869935.363732554</v>
      </c>
      <c r="X345" s="550">
        <f t="shared" ca="1" si="272"/>
        <v>0</v>
      </c>
      <c r="Y345" s="550">
        <f t="shared" ca="1" si="272"/>
        <v>0</v>
      </c>
      <c r="Z345" s="550">
        <f t="shared" ca="1" si="272"/>
        <v>-14130064.636267446</v>
      </c>
    </row>
    <row r="347" spans="2:26" ht="15.75">
      <c r="B347" s="73" t="s">
        <v>667</v>
      </c>
    </row>
    <row r="348" spans="2:26" ht="15.75">
      <c r="B348" s="15" t="s">
        <v>668</v>
      </c>
      <c r="D348" s="26">
        <f ca="1">+SUM(F348:Z348)</f>
        <v>-275780966.54923189</v>
      </c>
      <c r="E348" s="26"/>
      <c r="F348" s="16">
        <f ca="1">-F338</f>
        <v>-86569817.956540704</v>
      </c>
      <c r="G348" s="16">
        <f t="shared" ref="G348:Z348" ca="1" si="273">-G338</f>
        <v>-163906634.27121738</v>
      </c>
      <c r="H348" s="16">
        <f t="shared" ca="1" si="273"/>
        <v>-67152945.779067457</v>
      </c>
      <c r="I348" s="16">
        <f t="shared" ca="1" si="273"/>
        <v>0</v>
      </c>
      <c r="J348" s="16">
        <f t="shared" ca="1" si="273"/>
        <v>0</v>
      </c>
      <c r="K348" s="16">
        <f t="shared" ca="1" si="273"/>
        <v>0</v>
      </c>
      <c r="L348" s="16">
        <f t="shared" ca="1" si="273"/>
        <v>0</v>
      </c>
      <c r="M348" s="16">
        <f t="shared" ca="1" si="273"/>
        <v>0</v>
      </c>
      <c r="N348" s="16">
        <f t="shared" ca="1" si="273"/>
        <v>0</v>
      </c>
      <c r="O348" s="16">
        <f t="shared" ca="1" si="273"/>
        <v>0</v>
      </c>
      <c r="P348" s="16">
        <f t="shared" ca="1" si="273"/>
        <v>0</v>
      </c>
      <c r="Q348" s="16">
        <f t="shared" ca="1" si="273"/>
        <v>0</v>
      </c>
      <c r="R348" s="16">
        <f t="shared" ca="1" si="273"/>
        <v>0</v>
      </c>
      <c r="S348" s="16">
        <f t="shared" ca="1" si="273"/>
        <v>0</v>
      </c>
      <c r="T348" s="16">
        <f t="shared" ca="1" si="273"/>
        <v>0</v>
      </c>
      <c r="U348" s="16">
        <f t="shared" ca="1" si="273"/>
        <v>0</v>
      </c>
      <c r="V348" s="16">
        <f t="shared" ca="1" si="273"/>
        <v>0</v>
      </c>
      <c r="W348" s="16">
        <f t="shared" ca="1" si="273"/>
        <v>0</v>
      </c>
      <c r="X348" s="16">
        <f t="shared" ca="1" si="273"/>
        <v>0</v>
      </c>
      <c r="Y348" s="16">
        <f t="shared" ca="1" si="273"/>
        <v>0</v>
      </c>
      <c r="Z348" s="16">
        <f t="shared" ca="1" si="273"/>
        <v>0</v>
      </c>
    </row>
    <row r="349" spans="2:26" ht="15.75">
      <c r="B349" s="15" t="s">
        <v>669</v>
      </c>
      <c r="D349" s="739">
        <f ca="1">+SUM(F349:Z349)</f>
        <v>733595523.49261391</v>
      </c>
      <c r="E349" s="26"/>
      <c r="F349" s="76">
        <f>+IF(YEAR(F$139)&lt;=YEAR(Assumptions!$F$30),F320+F325,0)</f>
        <v>0</v>
      </c>
      <c r="G349" s="76">
        <f>+IF(YEAR(G$139)&lt;=YEAR(Assumptions!$F$30),G320+G325,0)</f>
        <v>0</v>
      </c>
      <c r="H349" s="76">
        <f>+IF(YEAR(H$139)&lt;=YEAR(Assumptions!$F$30),H320+H325,0)</f>
        <v>25500000</v>
      </c>
      <c r="I349" s="76">
        <f>+IF(YEAR(I$139)&lt;=YEAR(Assumptions!$F$30),I320+I325,0)</f>
        <v>12016188.963525906</v>
      </c>
      <c r="J349" s="76">
        <f>+IF(YEAR(J$139)&lt;=YEAR(Assumptions!$F$30),J320+J325,0)</f>
        <v>25827452.525288329</v>
      </c>
      <c r="K349" s="76">
        <f>+IF(YEAR(K$139)&lt;=YEAR(Assumptions!$F$30),K320+K325,0)</f>
        <v>25747911.80640661</v>
      </c>
      <c r="L349" s="76">
        <f>+IF(YEAR(L$139)&lt;=YEAR(Assumptions!$F$30),L320+L325,0)</f>
        <v>27602376.045646325</v>
      </c>
      <c r="M349" s="76">
        <f>+IF(YEAR(M$139)&lt;=YEAR(Assumptions!$F$30),M320+M325,0)</f>
        <v>27877868.016138669</v>
      </c>
      <c r="N349" s="76">
        <f>+IF(YEAR(N$139)&lt;=YEAR(Assumptions!$F$30),N320+N325,0)</f>
        <v>28079078.43455765</v>
      </c>
      <c r="O349" s="76">
        <f>+IF(YEAR(O$139)&lt;=YEAR(Assumptions!$F$30),O320+O325,0)</f>
        <v>28248511.462811407</v>
      </c>
      <c r="P349" s="76">
        <f ca="1">+IF(YEAR(P$139)&lt;=YEAR(Assumptions!$F$30),P320+P325,0)</f>
        <v>532696136.23823899</v>
      </c>
      <c r="Q349" s="76">
        <f>+IF(YEAR(Q$139)&lt;=YEAR(Assumptions!$F$30),Q320+Q325,0)</f>
        <v>0</v>
      </c>
      <c r="R349" s="76">
        <f>+IF(YEAR(R$139)&lt;=YEAR(Assumptions!$F$30),R320+R325,0)</f>
        <v>0</v>
      </c>
      <c r="S349" s="76">
        <f>+IF(YEAR(S$139)&lt;=YEAR(Assumptions!$F$30),S320+S325,0)</f>
        <v>0</v>
      </c>
      <c r="T349" s="76">
        <f>+IF(YEAR(T$139)&lt;=YEAR(Assumptions!$F$30),T320+T325,0)</f>
        <v>0</v>
      </c>
      <c r="U349" s="76">
        <f>+IF(YEAR(U$139)&lt;=YEAR(Assumptions!$F$30),U320+U325,0)</f>
        <v>0</v>
      </c>
      <c r="V349" s="76">
        <f>+IF(YEAR(V$139)&lt;=YEAR(Assumptions!$F$30),V320+V325,0)</f>
        <v>0</v>
      </c>
      <c r="W349" s="76">
        <f>+IF(YEAR(W$139)&lt;=YEAR(Assumptions!$F$30),W320+W325,0)</f>
        <v>0</v>
      </c>
      <c r="X349" s="76">
        <f>+IF(YEAR(X$139)&lt;=YEAR(Assumptions!$F$30),X320+X325,0)</f>
        <v>0</v>
      </c>
      <c r="Y349" s="76">
        <f>+IF(YEAR(Y$139)&lt;=YEAR(Assumptions!$F$30),Y320+Y325,0)</f>
        <v>0</v>
      </c>
      <c r="Z349" s="76">
        <f>+IF(YEAR(Z$139)&lt;=YEAR(Assumptions!$F$30),Z320+Z325,0)</f>
        <v>0</v>
      </c>
    </row>
    <row r="350" spans="2:26" ht="15.75">
      <c r="B350" s="687" t="s">
        <v>670</v>
      </c>
      <c r="C350" s="687"/>
      <c r="D350" s="550">
        <f ca="1">+SUM(F350:Z350)</f>
        <v>387717641.2875011</v>
      </c>
      <c r="E350" s="550"/>
      <c r="F350" s="550">
        <f ca="1">+SUM(F348:F349)</f>
        <v>-51495790.787373006</v>
      </c>
      <c r="G350" s="550">
        <f t="shared" ref="G350:Z350" ca="1" si="274">+SUM(G348:G349)</f>
        <v>-157132229.98279142</v>
      </c>
      <c r="H350" s="550">
        <f t="shared" ca="1" si="274"/>
        <v>-41652945.779067457</v>
      </c>
      <c r="I350" s="550">
        <f t="shared" ca="1" si="274"/>
        <v>12016188.963525906</v>
      </c>
      <c r="J350" s="550">
        <f t="shared" ca="1" si="274"/>
        <v>25827452.525288329</v>
      </c>
      <c r="K350" s="550">
        <f t="shared" ca="1" si="274"/>
        <v>25747911.80640661</v>
      </c>
      <c r="L350" s="550">
        <f t="shared" ca="1" si="274"/>
        <v>27602376.045646325</v>
      </c>
      <c r="M350" s="550">
        <f t="shared" ca="1" si="274"/>
        <v>27877868.016138669</v>
      </c>
      <c r="N350" s="550">
        <f t="shared" ca="1" si="274"/>
        <v>28079078.43455765</v>
      </c>
      <c r="O350" s="550">
        <f t="shared" ca="1" si="274"/>
        <v>28248511.462811407</v>
      </c>
      <c r="P350" s="550">
        <f ca="1">+SUM(P348:P349)</f>
        <v>487000127.8604129</v>
      </c>
      <c r="Q350" s="550">
        <f t="shared" ca="1" si="274"/>
        <v>0</v>
      </c>
      <c r="R350" s="550">
        <f t="shared" ca="1" si="274"/>
        <v>0</v>
      </c>
      <c r="S350" s="550">
        <f t="shared" ca="1" si="274"/>
        <v>0</v>
      </c>
      <c r="T350" s="550">
        <f t="shared" ca="1" si="274"/>
        <v>0</v>
      </c>
      <c r="U350" s="550">
        <f t="shared" ca="1" si="274"/>
        <v>0</v>
      </c>
      <c r="V350" s="550">
        <f t="shared" ca="1" si="274"/>
        <v>0</v>
      </c>
      <c r="W350" s="550">
        <f t="shared" ca="1" si="274"/>
        <v>0</v>
      </c>
      <c r="X350" s="550">
        <f t="shared" ca="1" si="274"/>
        <v>0</v>
      </c>
      <c r="Y350" s="550">
        <f t="shared" ca="1" si="274"/>
        <v>0</v>
      </c>
      <c r="Z350" s="550">
        <f t="shared" ca="1" si="274"/>
        <v>0</v>
      </c>
    </row>
    <row r="352" spans="2:26" ht="15.75">
      <c r="B352" s="706" t="s">
        <v>111</v>
      </c>
      <c r="C352" s="706"/>
      <c r="D352" s="707">
        <f ca="1">+IRR(F350:Z350)</f>
        <v>0.13222313628872229</v>
      </c>
      <c r="E352" s="544"/>
    </row>
    <row r="353" spans="2:26" ht="15.75">
      <c r="B353" s="689" t="s">
        <v>671</v>
      </c>
      <c r="C353" s="533"/>
      <c r="D353" s="692">
        <f ca="1">+SUM(F350:Z350)</f>
        <v>387717641.2875011</v>
      </c>
      <c r="E353" s="544"/>
    </row>
    <row r="354" spans="2:26" ht="15.75">
      <c r="B354" s="708" t="s">
        <v>120</v>
      </c>
      <c r="C354" s="536"/>
      <c r="D354" s="709">
        <f ca="1">+D349/-D348</f>
        <v>2.4058897760019509</v>
      </c>
      <c r="E354" s="544"/>
    </row>
    <row r="356" spans="2:26" ht="15.75">
      <c r="B356" s="444" t="s">
        <v>674</v>
      </c>
      <c r="C356" s="445"/>
      <c r="D356" s="445"/>
      <c r="E356" s="445"/>
      <c r="F356" s="640">
        <f>+F337</f>
        <v>44561</v>
      </c>
      <c r="G356" s="640">
        <f t="shared" ref="G356:Z356" si="275">+G337</f>
        <v>44926</v>
      </c>
      <c r="H356" s="640">
        <f t="shared" si="275"/>
        <v>45291</v>
      </c>
      <c r="I356" s="640">
        <f t="shared" si="275"/>
        <v>45657</v>
      </c>
      <c r="J356" s="640">
        <f t="shared" si="275"/>
        <v>46022</v>
      </c>
      <c r="K356" s="640">
        <f t="shared" si="275"/>
        <v>46387</v>
      </c>
      <c r="L356" s="640">
        <f t="shared" si="275"/>
        <v>46752</v>
      </c>
      <c r="M356" s="640">
        <f t="shared" si="275"/>
        <v>47118</v>
      </c>
      <c r="N356" s="640">
        <f t="shared" si="275"/>
        <v>47483</v>
      </c>
      <c r="O356" s="640">
        <f t="shared" si="275"/>
        <v>47848</v>
      </c>
      <c r="P356" s="640">
        <f t="shared" si="275"/>
        <v>48213</v>
      </c>
      <c r="Q356" s="640">
        <f t="shared" si="275"/>
        <v>48579</v>
      </c>
      <c r="R356" s="640">
        <f t="shared" si="275"/>
        <v>48944</v>
      </c>
      <c r="S356" s="640">
        <f t="shared" si="275"/>
        <v>49309</v>
      </c>
      <c r="T356" s="640">
        <f t="shared" si="275"/>
        <v>49674</v>
      </c>
      <c r="U356" s="640">
        <f t="shared" si="275"/>
        <v>50040</v>
      </c>
      <c r="V356" s="640">
        <f t="shared" si="275"/>
        <v>50405</v>
      </c>
      <c r="W356" s="640">
        <f t="shared" si="275"/>
        <v>50770</v>
      </c>
      <c r="X356" s="640">
        <f t="shared" si="275"/>
        <v>51135</v>
      </c>
      <c r="Y356" s="640">
        <f t="shared" si="275"/>
        <v>51501</v>
      </c>
      <c r="Z356" s="640">
        <f t="shared" si="275"/>
        <v>51866</v>
      </c>
    </row>
    <row r="357" spans="2:26" ht="15.75">
      <c r="B357" s="54"/>
    </row>
    <row r="358" spans="2:26" ht="15.75">
      <c r="B358" s="73" t="s">
        <v>675</v>
      </c>
      <c r="F358" s="73">
        <v>0</v>
      </c>
      <c r="G358" s="73">
        <f>+F358+1</f>
        <v>1</v>
      </c>
      <c r="H358" s="73">
        <f t="shared" ref="H358:Z358" si="276">+G358+1</f>
        <v>2</v>
      </c>
      <c r="I358" s="73">
        <f>+H358+1</f>
        <v>3</v>
      </c>
      <c r="J358" s="73">
        <f>+I358+1</f>
        <v>4</v>
      </c>
      <c r="K358" s="73">
        <f t="shared" si="276"/>
        <v>5</v>
      </c>
      <c r="L358" s="73">
        <f t="shared" si="276"/>
        <v>6</v>
      </c>
      <c r="M358" s="73">
        <f t="shared" si="276"/>
        <v>7</v>
      </c>
      <c r="N358" s="73">
        <f t="shared" si="276"/>
        <v>8</v>
      </c>
      <c r="O358" s="73">
        <f t="shared" si="276"/>
        <v>9</v>
      </c>
      <c r="P358" s="73">
        <f t="shared" si="276"/>
        <v>10</v>
      </c>
      <c r="Q358" s="73">
        <f t="shared" si="276"/>
        <v>11</v>
      </c>
      <c r="R358" s="73">
        <f t="shared" si="276"/>
        <v>12</v>
      </c>
      <c r="S358" s="73">
        <f t="shared" si="276"/>
        <v>13</v>
      </c>
      <c r="T358" s="73">
        <f t="shared" si="276"/>
        <v>14</v>
      </c>
      <c r="U358" s="73">
        <f t="shared" si="276"/>
        <v>15</v>
      </c>
      <c r="V358" s="73">
        <f t="shared" si="276"/>
        <v>16</v>
      </c>
      <c r="W358" s="73">
        <f t="shared" si="276"/>
        <v>17</v>
      </c>
      <c r="X358" s="73">
        <f t="shared" si="276"/>
        <v>18</v>
      </c>
      <c r="Y358" s="73">
        <f t="shared" si="276"/>
        <v>19</v>
      </c>
      <c r="Z358" s="73">
        <f t="shared" si="276"/>
        <v>20</v>
      </c>
    </row>
    <row r="359" spans="2:26" ht="15.75">
      <c r="B359" s="15" t="s">
        <v>676</v>
      </c>
      <c r="D359" s="26"/>
      <c r="E359" s="26"/>
      <c r="F359" s="16">
        <f ca="1">+F$348</f>
        <v>-86569817.956540704</v>
      </c>
      <c r="G359" s="16">
        <f t="shared" ref="G359:Z359" ca="1" si="277">+G$348</f>
        <v>-163906634.27121738</v>
      </c>
      <c r="H359" s="16">
        <f t="shared" ca="1" si="277"/>
        <v>-67152945.779067457</v>
      </c>
      <c r="I359" s="16">
        <f ca="1">+I$348</f>
        <v>0</v>
      </c>
      <c r="J359" s="16">
        <f t="shared" ca="1" si="277"/>
        <v>0</v>
      </c>
      <c r="K359" s="16">
        <f t="shared" ca="1" si="277"/>
        <v>0</v>
      </c>
      <c r="L359" s="16">
        <f t="shared" ca="1" si="277"/>
        <v>0</v>
      </c>
      <c r="M359" s="16">
        <f t="shared" ca="1" si="277"/>
        <v>0</v>
      </c>
      <c r="N359" s="16">
        <f t="shared" ca="1" si="277"/>
        <v>0</v>
      </c>
      <c r="O359" s="16">
        <f t="shared" ca="1" si="277"/>
        <v>0</v>
      </c>
      <c r="P359" s="16">
        <f t="shared" ca="1" si="277"/>
        <v>0</v>
      </c>
      <c r="Q359" s="16">
        <f t="shared" ca="1" si="277"/>
        <v>0</v>
      </c>
      <c r="R359" s="16">
        <f t="shared" ca="1" si="277"/>
        <v>0</v>
      </c>
      <c r="S359" s="16">
        <f t="shared" ca="1" si="277"/>
        <v>0</v>
      </c>
      <c r="T359" s="16">
        <f t="shared" ca="1" si="277"/>
        <v>0</v>
      </c>
      <c r="U359" s="16">
        <f t="shared" ca="1" si="277"/>
        <v>0</v>
      </c>
      <c r="V359" s="16">
        <f t="shared" ca="1" si="277"/>
        <v>0</v>
      </c>
      <c r="W359" s="16">
        <f t="shared" ca="1" si="277"/>
        <v>0</v>
      </c>
      <c r="X359" s="16">
        <f t="shared" ca="1" si="277"/>
        <v>0</v>
      </c>
      <c r="Y359" s="16">
        <f t="shared" ca="1" si="277"/>
        <v>0</v>
      </c>
      <c r="Z359" s="16">
        <f t="shared" ca="1" si="277"/>
        <v>0</v>
      </c>
    </row>
    <row r="360" spans="2:26" ht="15.75">
      <c r="B360" s="15" t="s">
        <v>677</v>
      </c>
      <c r="D360" s="26"/>
      <c r="E360" s="26"/>
      <c r="F360" s="76">
        <v>0</v>
      </c>
      <c r="G360" s="76">
        <v>0</v>
      </c>
      <c r="H360" s="76">
        <v>0</v>
      </c>
      <c r="I360" s="76">
        <v>0</v>
      </c>
      <c r="J360" s="76">
        <v>0</v>
      </c>
      <c r="K360" s="76">
        <v>0</v>
      </c>
      <c r="L360" s="76">
        <v>0</v>
      </c>
      <c r="M360" s="76">
        <v>0</v>
      </c>
      <c r="N360" s="76">
        <v>0</v>
      </c>
      <c r="O360" s="76">
        <v>0</v>
      </c>
      <c r="P360" s="76">
        <v>0</v>
      </c>
      <c r="Q360" s="76">
        <v>0</v>
      </c>
      <c r="R360" s="76">
        <v>0</v>
      </c>
      <c r="S360" s="76">
        <v>0</v>
      </c>
      <c r="T360" s="76">
        <v>0</v>
      </c>
      <c r="U360" s="76">
        <v>0</v>
      </c>
      <c r="V360" s="76">
        <v>0</v>
      </c>
      <c r="W360" s="76">
        <v>0</v>
      </c>
      <c r="X360" s="76">
        <v>0</v>
      </c>
      <c r="Y360" s="76">
        <v>0</v>
      </c>
      <c r="Z360" s="76">
        <v>0</v>
      </c>
    </row>
    <row r="361" spans="2:26" ht="15.75">
      <c r="B361" s="15" t="s">
        <v>678</v>
      </c>
      <c r="D361" s="26"/>
      <c r="E361" s="26"/>
      <c r="F361" s="76">
        <v>0</v>
      </c>
      <c r="G361" s="76">
        <v>0</v>
      </c>
      <c r="H361" s="76">
        <v>0</v>
      </c>
      <c r="I361" s="76">
        <v>0</v>
      </c>
      <c r="J361" s="76">
        <v>0</v>
      </c>
      <c r="K361" s="76">
        <v>0</v>
      </c>
      <c r="L361" s="76">
        <v>0</v>
      </c>
      <c r="M361" s="76">
        <v>0</v>
      </c>
      <c r="N361" s="76">
        <v>0</v>
      </c>
      <c r="O361" s="76">
        <v>0</v>
      </c>
      <c r="P361" s="76">
        <v>0</v>
      </c>
      <c r="Q361" s="76">
        <v>0</v>
      </c>
      <c r="R361" s="76">
        <v>0</v>
      </c>
      <c r="S361" s="76">
        <v>0</v>
      </c>
      <c r="T361" s="76">
        <v>0</v>
      </c>
      <c r="U361" s="76">
        <v>0</v>
      </c>
      <c r="V361" s="76">
        <v>0</v>
      </c>
      <c r="W361" s="76">
        <v>0</v>
      </c>
      <c r="X361" s="76">
        <v>0</v>
      </c>
      <c r="Y361" s="76">
        <v>0</v>
      </c>
      <c r="Z361" s="76">
        <v>0</v>
      </c>
    </row>
    <row r="362" spans="2:26" ht="15.75">
      <c r="B362" s="15" t="s">
        <v>679</v>
      </c>
      <c r="D362" s="26"/>
      <c r="E362" s="26"/>
      <c r="F362" s="76">
        <f>-SUM(F389:F390)*Assumptions!$M$192</f>
        <v>0</v>
      </c>
      <c r="G362" s="76">
        <f>-SUM(G389:G390)*Assumptions!$M$192</f>
        <v>0</v>
      </c>
      <c r="H362" s="76">
        <f>-SUM(H389:H390)*Assumptions!$M$192</f>
        <v>0</v>
      </c>
      <c r="I362" s="76">
        <f>-SUM(I389:I390)*Assumptions!$M$192</f>
        <v>-2523399.6823404403</v>
      </c>
      <c r="J362" s="76">
        <f ca="1">-SUM(J389:J390)*Assumptions!$M$192</f>
        <v>-2982299.274985902</v>
      </c>
      <c r="K362" s="76">
        <f ca="1">-SUM(K389:K390)*Assumptions!$M$192</f>
        <v>-2965595.7240207409</v>
      </c>
      <c r="L362" s="76">
        <f ca="1">-SUM(L389:L390)*Assumptions!$M$192</f>
        <v>-3355033.2142610811</v>
      </c>
      <c r="M362" s="76">
        <f ca="1">-SUM(M389:M390)*Assumptions!$M$192</f>
        <v>-3412886.5280644735</v>
      </c>
      <c r="N362" s="76">
        <f ca="1">-SUM(N389:N390)*Assumptions!$M$192</f>
        <v>-3455140.7159324596</v>
      </c>
      <c r="O362" s="76">
        <f ca="1">-SUM(O389:O390)*Assumptions!$M$192</f>
        <v>-3490721.6518657482</v>
      </c>
      <c r="P362" s="76">
        <f ca="1">-SUM(P389:P390)*Assumptions!$M$192</f>
        <v>-3548324.8130053845</v>
      </c>
      <c r="Q362" s="76">
        <f>-SUM(Q389:Q390)*Assumptions!$M$192</f>
        <v>0</v>
      </c>
      <c r="R362" s="76">
        <f>-SUM(R389:R390)*Assumptions!$M$192</f>
        <v>0</v>
      </c>
      <c r="S362" s="76">
        <f>-SUM(S389:S390)*Assumptions!$M$192</f>
        <v>0</v>
      </c>
      <c r="T362" s="76">
        <f>-SUM(T389:T390)*Assumptions!$M$192</f>
        <v>0</v>
      </c>
      <c r="U362" s="76">
        <f>-SUM(U389:U390)*Assumptions!$M$192</f>
        <v>0</v>
      </c>
      <c r="V362" s="76">
        <f>-SUM(V389:V390)*Assumptions!$M$192</f>
        <v>0</v>
      </c>
      <c r="W362" s="76">
        <f>-SUM(W389:W390)*Assumptions!$M$192</f>
        <v>0</v>
      </c>
      <c r="X362" s="76">
        <f>-SUM(X389:X390)*Assumptions!$M$192</f>
        <v>0</v>
      </c>
      <c r="Y362" s="76">
        <f>-SUM(Y389:Y390)*Assumptions!$M$192</f>
        <v>0</v>
      </c>
      <c r="Z362" s="76">
        <f>-SUM(Z389:Z390)*Assumptions!$M$192</f>
        <v>0</v>
      </c>
    </row>
    <row r="363" spans="2:26" ht="15.75">
      <c r="B363" s="15" t="s">
        <v>680</v>
      </c>
      <c r="D363" s="26"/>
      <c r="E363" s="26"/>
      <c r="F363" s="76">
        <f>+IF(YEAR(F$139)&lt;=YEAR(Assumptions!$F$30),F320,0)</f>
        <v>0</v>
      </c>
      <c r="G363" s="76">
        <f>+IF(YEAR(G$139)&lt;=YEAR(Assumptions!$F$30),G320,0)</f>
        <v>0</v>
      </c>
      <c r="H363" s="76">
        <f>+IF(YEAR(H$139)&lt;=YEAR(Assumptions!$F$30),H320,0)</f>
        <v>0</v>
      </c>
      <c r="I363" s="76">
        <f>+IF(YEAR(I$139)&lt;=YEAR(Assumptions!$F$30),I320,0)</f>
        <v>12016188.963525906</v>
      </c>
      <c r="J363" s="76">
        <f>+IF(YEAR(J$139)&lt;=YEAR(Assumptions!$F$30),J320,0)</f>
        <v>25827452.525288329</v>
      </c>
      <c r="K363" s="76">
        <f>+IF(YEAR(K$139)&lt;=YEAR(Assumptions!$F$30),K320,0)</f>
        <v>25747911.80640661</v>
      </c>
      <c r="L363" s="76">
        <f>+IF(YEAR(L$139)&lt;=YEAR(Assumptions!$F$30),L320,0)</f>
        <v>27602376.045646325</v>
      </c>
      <c r="M363" s="76">
        <f>+IF(YEAR(M$139)&lt;=YEAR(Assumptions!$F$30),M320,0)</f>
        <v>27877868.016138669</v>
      </c>
      <c r="N363" s="76">
        <f>+IF(YEAR(N$139)&lt;=YEAR(Assumptions!$F$30),N320,0)</f>
        <v>28079078.43455765</v>
      </c>
      <c r="O363" s="76">
        <f>+IF(YEAR(O$139)&lt;=YEAR(Assumptions!$F$30),O320,0)</f>
        <v>28248511.462811407</v>
      </c>
      <c r="P363" s="76">
        <f>+IF(YEAR(P$139)&lt;=YEAR(Assumptions!$F$30),P320,0)</f>
        <v>28522812.230143007</v>
      </c>
      <c r="Q363" s="76">
        <f>+IF(YEAR(Q$139)&lt;=YEAR(Assumptions!$F$30),Q320,0)</f>
        <v>0</v>
      </c>
      <c r="R363" s="76">
        <f>+IF(YEAR(R$139)&lt;=YEAR(Assumptions!$F$30),R320,0)</f>
        <v>0</v>
      </c>
      <c r="S363" s="76">
        <f>+IF(YEAR(S$139)&lt;=YEAR(Assumptions!$F$30),S320,0)</f>
        <v>0</v>
      </c>
      <c r="T363" s="76">
        <f>+IF(YEAR(T$139)&lt;=YEAR(Assumptions!$F$30),T320,0)</f>
        <v>0</v>
      </c>
      <c r="U363" s="76">
        <f>+IF(YEAR(U$139)&lt;=YEAR(Assumptions!$F$30),U320,0)</f>
        <v>0</v>
      </c>
      <c r="V363" s="76">
        <f>+IF(YEAR(V$139)&lt;=YEAR(Assumptions!$F$30),V320,0)</f>
        <v>0</v>
      </c>
      <c r="W363" s="76">
        <f>+IF(YEAR(W$139)&lt;=YEAR(Assumptions!$F$30),W320,0)</f>
        <v>0</v>
      </c>
      <c r="X363" s="76">
        <f>+IF(YEAR(X$139)&lt;=YEAR(Assumptions!$F$30),X320,0)</f>
        <v>0</v>
      </c>
      <c r="Y363" s="76">
        <f>+IF(YEAR(Y$139)&lt;=YEAR(Assumptions!$F$30),Y320,0)</f>
        <v>0</v>
      </c>
      <c r="Z363" s="76">
        <f>+IF(YEAR(Z$139)&lt;=YEAR(Assumptions!$F$30),Z320,0)</f>
        <v>0</v>
      </c>
    </row>
    <row r="364" spans="2:26" ht="15.75">
      <c r="B364" s="15" t="s">
        <v>681</v>
      </c>
      <c r="D364" s="26"/>
      <c r="E364" s="26"/>
      <c r="F364" s="76">
        <f>+IF(YEAR(F$139)&lt;=YEAR(Assumptions!$F$30),F325,0)</f>
        <v>0</v>
      </c>
      <c r="G364" s="76">
        <f>+IF(YEAR(G$139)&lt;=YEAR(Assumptions!$F$30),G325,0)</f>
        <v>0</v>
      </c>
      <c r="H364" s="76">
        <f>+IF(YEAR(H$139)&lt;=YEAR(Assumptions!$F$30),H325,0)</f>
        <v>25500000</v>
      </c>
      <c r="I364" s="76">
        <f>+IF(YEAR(I$139)&lt;=YEAR(Assumptions!$F$30),I325,0)</f>
        <v>0</v>
      </c>
      <c r="J364" s="76">
        <f>+IF(YEAR(J$139)&lt;=YEAR(Assumptions!$F$30),J325,0)</f>
        <v>0</v>
      </c>
      <c r="K364" s="76">
        <f>+IF(YEAR(K$139)&lt;=YEAR(Assumptions!$F$30),K325,0)</f>
        <v>0</v>
      </c>
      <c r="L364" s="76">
        <f>+IF(YEAR(L$139)&lt;=YEAR(Assumptions!$F$30),L325,0)</f>
        <v>0</v>
      </c>
      <c r="M364" s="76">
        <f>+IF(YEAR(M$139)&lt;=YEAR(Assumptions!$F$30),M325,0)</f>
        <v>0</v>
      </c>
      <c r="N364" s="76">
        <f>+IF(YEAR(N$139)&lt;=YEAR(Assumptions!$F$30),N325,0)</f>
        <v>0</v>
      </c>
      <c r="O364" s="76">
        <f>+IF(YEAR(O$139)&lt;=YEAR(Assumptions!$F$30),O325,0)</f>
        <v>0</v>
      </c>
      <c r="P364" s="76">
        <f ca="1">+IF(YEAR(P$139)&lt;=YEAR(Assumptions!$F$30),P325,0)</f>
        <v>457714541.7062313</v>
      </c>
      <c r="Q364" s="76">
        <f>+IF(YEAR(Q$139)&lt;=YEAR(Assumptions!$F$30),Q325,0)</f>
        <v>0</v>
      </c>
      <c r="R364" s="76">
        <f>+IF(YEAR(R$139)&lt;=YEAR(Assumptions!$F$30),R325,0)</f>
        <v>0</v>
      </c>
      <c r="S364" s="76">
        <f>+IF(YEAR(S$139)&lt;=YEAR(Assumptions!$F$30),S325,0)</f>
        <v>0</v>
      </c>
      <c r="T364" s="76">
        <f>+IF(YEAR(T$139)&lt;=YEAR(Assumptions!$F$30),T325,0)</f>
        <v>0</v>
      </c>
      <c r="U364" s="76">
        <f>+IF(YEAR(U$139)&lt;=YEAR(Assumptions!$F$30),U325,0)</f>
        <v>0</v>
      </c>
      <c r="V364" s="76">
        <f>+IF(YEAR(V$139)&lt;=YEAR(Assumptions!$F$30),V325,0)</f>
        <v>0</v>
      </c>
      <c r="W364" s="76">
        <f>+IF(YEAR(W$139)&lt;=YEAR(Assumptions!$F$30),W325,0)</f>
        <v>0</v>
      </c>
      <c r="X364" s="76">
        <f>+IF(YEAR(X$139)&lt;=YEAR(Assumptions!$F$30),X325,0)</f>
        <v>0</v>
      </c>
      <c r="Y364" s="76">
        <f>+IF(YEAR(Y$139)&lt;=YEAR(Assumptions!$F$30),Y325,0)</f>
        <v>0</v>
      </c>
      <c r="Z364" s="76">
        <f>+IF(YEAR(Z$139)&lt;=YEAR(Assumptions!$F$30),Z325,0)</f>
        <v>0</v>
      </c>
    </row>
    <row r="365" spans="2:26" ht="15.75">
      <c r="B365" s="15" t="s">
        <v>682</v>
      </c>
      <c r="D365" s="26"/>
      <c r="E365" s="26"/>
      <c r="F365" s="76">
        <f>-F393*Assumptions!$M$192</f>
        <v>0</v>
      </c>
      <c r="G365" s="76">
        <f>-G393*Assumptions!$M$192</f>
        <v>0</v>
      </c>
      <c r="H365" s="76">
        <f>-H393*Assumptions!$M$192</f>
        <v>0</v>
      </c>
      <c r="I365" s="76">
        <f>-I393*Assumptions!$M$192</f>
        <v>0</v>
      </c>
      <c r="J365" s="76">
        <f>-J393*Assumptions!$M$192</f>
        <v>0</v>
      </c>
      <c r="K365" s="76">
        <f>-K393*Assumptions!$M$192</f>
        <v>0</v>
      </c>
      <c r="L365" s="76">
        <f>-L393*Assumptions!$M$192</f>
        <v>0</v>
      </c>
      <c r="M365" s="76">
        <f>-M393*Assumptions!$M$192</f>
        <v>0</v>
      </c>
      <c r="N365" s="76">
        <f>-N393*Assumptions!$M$192</f>
        <v>0</v>
      </c>
      <c r="O365" s="76">
        <f>-O393*Assumptions!$M$192</f>
        <v>0</v>
      </c>
      <c r="P365" s="76">
        <f ca="1">-P393*Assumptions!$M$192</f>
        <v>-55296311.070242368</v>
      </c>
      <c r="Q365" s="76">
        <f>-Q393*Assumptions!$M$192</f>
        <v>0</v>
      </c>
      <c r="R365" s="76">
        <f>-R393*Assumptions!$M$192</f>
        <v>0</v>
      </c>
      <c r="S365" s="76">
        <f>-S393*Assumptions!$M$192</f>
        <v>0</v>
      </c>
      <c r="T365" s="76">
        <f>-T393*Assumptions!$M$192</f>
        <v>0</v>
      </c>
      <c r="U365" s="76">
        <f>-U393*Assumptions!$M$192</f>
        <v>0</v>
      </c>
      <c r="V365" s="76">
        <f>-V393*Assumptions!$M$192</f>
        <v>0</v>
      </c>
      <c r="W365" s="76">
        <f>-W393*Assumptions!$M$192</f>
        <v>0</v>
      </c>
      <c r="X365" s="76">
        <f>-X393*Assumptions!$M$192</f>
        <v>0</v>
      </c>
      <c r="Y365" s="76">
        <f>-Y393*Assumptions!$M$192</f>
        <v>0</v>
      </c>
      <c r="Z365" s="76">
        <f>-Z393*Assumptions!$M$192</f>
        <v>0</v>
      </c>
    </row>
    <row r="366" spans="2:26" ht="15.75">
      <c r="B366" s="687" t="s">
        <v>675</v>
      </c>
      <c r="C366" s="687"/>
      <c r="D366" s="550">
        <f t="shared" ref="D366" ca="1" si="278">+SUM(F366:Z366)</f>
        <v>329964541.99190331</v>
      </c>
      <c r="E366" s="550"/>
      <c r="F366" s="550">
        <f t="shared" ref="F366:Z366" ca="1" si="279">+SUM(F359:F365)</f>
        <v>-51495790.787373006</v>
      </c>
      <c r="G366" s="550">
        <f t="shared" ca="1" si="279"/>
        <v>-157132229.98279142</v>
      </c>
      <c r="H366" s="550">
        <f t="shared" ca="1" si="279"/>
        <v>-41652945.779067457</v>
      </c>
      <c r="I366" s="550">
        <f t="shared" ca="1" si="279"/>
        <v>9492789.2811854668</v>
      </c>
      <c r="J366" s="550">
        <f t="shared" ca="1" si="279"/>
        <v>22955969.313947853</v>
      </c>
      <c r="K366" s="550">
        <f t="shared" ca="1" si="279"/>
        <v>22746550.668153472</v>
      </c>
      <c r="L366" s="550">
        <f t="shared" ca="1" si="279"/>
        <v>24226893.99558815</v>
      </c>
      <c r="M366" s="550">
        <f t="shared" ca="1" si="279"/>
        <v>24433794.458412305</v>
      </c>
      <c r="N366" s="550">
        <f t="shared" ca="1" si="279"/>
        <v>24541646.809713691</v>
      </c>
      <c r="O366" s="550">
        <f t="shared" ca="1" si="279"/>
        <v>24615328.485055741</v>
      </c>
      <c r="P366" s="550">
        <f t="shared" ca="1" si="279"/>
        <v>427232535.52907848</v>
      </c>
      <c r="Q366" s="550">
        <f t="shared" ca="1" si="279"/>
        <v>0</v>
      </c>
      <c r="R366" s="550">
        <f t="shared" ca="1" si="279"/>
        <v>0</v>
      </c>
      <c r="S366" s="550">
        <f t="shared" ca="1" si="279"/>
        <v>0</v>
      </c>
      <c r="T366" s="550">
        <f t="shared" ca="1" si="279"/>
        <v>0</v>
      </c>
      <c r="U366" s="550">
        <f t="shared" ca="1" si="279"/>
        <v>0</v>
      </c>
      <c r="V366" s="550">
        <f t="shared" ca="1" si="279"/>
        <v>0</v>
      </c>
      <c r="W366" s="550">
        <f t="shared" ca="1" si="279"/>
        <v>0</v>
      </c>
      <c r="X366" s="550">
        <f t="shared" ca="1" si="279"/>
        <v>0</v>
      </c>
      <c r="Y366" s="550">
        <f t="shared" ca="1" si="279"/>
        <v>0</v>
      </c>
      <c r="Z366" s="550">
        <f t="shared" ca="1" si="279"/>
        <v>0</v>
      </c>
    </row>
    <row r="367" spans="2:26" ht="15.75">
      <c r="B367" s="54"/>
    </row>
    <row r="368" spans="2:26" ht="15.75">
      <c r="B368" s="539" t="s">
        <v>683</v>
      </c>
      <c r="C368" s="539"/>
      <c r="D368" s="711">
        <f ca="1">+IRR(F366:Z366)</f>
        <v>0.11263222357909375</v>
      </c>
    </row>
    <row r="369" spans="2:26" ht="15.75">
      <c r="B369" s="54"/>
      <c r="D369" s="49"/>
    </row>
    <row r="370" spans="2:26" ht="15.75">
      <c r="B370" s="73" t="s">
        <v>684</v>
      </c>
      <c r="F370" s="73">
        <f>+F358</f>
        <v>0</v>
      </c>
      <c r="G370" s="73">
        <f t="shared" ref="G370:Z370" si="280">+G358</f>
        <v>1</v>
      </c>
      <c r="H370" s="73">
        <f t="shared" si="280"/>
        <v>2</v>
      </c>
      <c r="I370" s="73">
        <f t="shared" si="280"/>
        <v>3</v>
      </c>
      <c r="J370" s="73">
        <f t="shared" si="280"/>
        <v>4</v>
      </c>
      <c r="K370" s="73">
        <f t="shared" si="280"/>
        <v>5</v>
      </c>
      <c r="L370" s="73">
        <f t="shared" si="280"/>
        <v>6</v>
      </c>
      <c r="M370" s="73">
        <f t="shared" si="280"/>
        <v>7</v>
      </c>
      <c r="N370" s="73">
        <f t="shared" si="280"/>
        <v>8</v>
      </c>
      <c r="O370" s="73">
        <f t="shared" si="280"/>
        <v>9</v>
      </c>
      <c r="P370" s="73">
        <f t="shared" si="280"/>
        <v>10</v>
      </c>
      <c r="Q370" s="73">
        <f t="shared" si="280"/>
        <v>11</v>
      </c>
      <c r="R370" s="73">
        <f t="shared" si="280"/>
        <v>12</v>
      </c>
      <c r="S370" s="73">
        <f t="shared" si="280"/>
        <v>13</v>
      </c>
      <c r="T370" s="73">
        <f t="shared" si="280"/>
        <v>14</v>
      </c>
      <c r="U370" s="73">
        <f t="shared" si="280"/>
        <v>15</v>
      </c>
      <c r="V370" s="73">
        <f t="shared" si="280"/>
        <v>16</v>
      </c>
      <c r="W370" s="73">
        <f t="shared" si="280"/>
        <v>17</v>
      </c>
      <c r="X370" s="73">
        <f t="shared" si="280"/>
        <v>18</v>
      </c>
      <c r="Y370" s="73">
        <f t="shared" si="280"/>
        <v>19</v>
      </c>
      <c r="Z370" s="73">
        <f t="shared" si="280"/>
        <v>20</v>
      </c>
    </row>
    <row r="371" spans="2:26" ht="15.75">
      <c r="B371" s="15" t="s">
        <v>676</v>
      </c>
      <c r="D371" s="26"/>
      <c r="E371" s="26"/>
      <c r="F371" s="16">
        <f ca="1">+F359</f>
        <v>-51495790.787373006</v>
      </c>
      <c r="G371" s="16">
        <f t="shared" ref="G371:Z371" ca="1" si="281">+G359</f>
        <v>-163906634.27121738</v>
      </c>
      <c r="H371" s="16">
        <f t="shared" ca="1" si="281"/>
        <v>-67152945.779067457</v>
      </c>
      <c r="I371" s="16">
        <f t="shared" ca="1" si="281"/>
        <v>0</v>
      </c>
      <c r="J371" s="16">
        <f t="shared" ca="1" si="281"/>
        <v>0</v>
      </c>
      <c r="K371" s="16">
        <f t="shared" ca="1" si="281"/>
        <v>0</v>
      </c>
      <c r="L371" s="16">
        <f t="shared" ca="1" si="281"/>
        <v>0</v>
      </c>
      <c r="M371" s="16">
        <f t="shared" ca="1" si="281"/>
        <v>0</v>
      </c>
      <c r="N371" s="16">
        <f t="shared" ca="1" si="281"/>
        <v>0</v>
      </c>
      <c r="O371" s="16">
        <f t="shared" ca="1" si="281"/>
        <v>0</v>
      </c>
      <c r="P371" s="16">
        <f t="shared" ca="1" si="281"/>
        <v>0</v>
      </c>
      <c r="Q371" s="16">
        <f t="shared" ca="1" si="281"/>
        <v>0</v>
      </c>
      <c r="R371" s="16">
        <f t="shared" ca="1" si="281"/>
        <v>0</v>
      </c>
      <c r="S371" s="16">
        <f t="shared" ca="1" si="281"/>
        <v>0</v>
      </c>
      <c r="T371" s="16">
        <f t="shared" ca="1" si="281"/>
        <v>0</v>
      </c>
      <c r="U371" s="16">
        <f t="shared" ca="1" si="281"/>
        <v>0</v>
      </c>
      <c r="V371" s="16">
        <f t="shared" ca="1" si="281"/>
        <v>0</v>
      </c>
      <c r="W371" s="16">
        <f t="shared" ca="1" si="281"/>
        <v>0</v>
      </c>
      <c r="X371" s="16">
        <f t="shared" ca="1" si="281"/>
        <v>0</v>
      </c>
      <c r="Y371" s="16">
        <f t="shared" ca="1" si="281"/>
        <v>0</v>
      </c>
      <c r="Z371" s="16">
        <f t="shared" ca="1" si="281"/>
        <v>0</v>
      </c>
    </row>
    <row r="372" spans="2:26" ht="15.75">
      <c r="B372" s="15" t="s">
        <v>677</v>
      </c>
      <c r="D372" s="26"/>
      <c r="E372" s="26"/>
      <c r="F372" s="76">
        <f ca="1">-F371*Assumptions!$M$192</f>
        <v>10814116.065348331</v>
      </c>
      <c r="G372" s="76">
        <f ca="1">-G371*Assumptions!$M$192</f>
        <v>32997768.296386197</v>
      </c>
      <c r="H372" s="76">
        <f ca="1">-H371*Assumptions!$M$192</f>
        <v>14102118.613604166</v>
      </c>
      <c r="I372" s="76">
        <f ca="1">-I371*Assumptions!$M$192</f>
        <v>0</v>
      </c>
      <c r="J372" s="76">
        <f ca="1">-J371*Assumptions!$M$192</f>
        <v>0</v>
      </c>
      <c r="K372" s="76">
        <f ca="1">-K371*Assumptions!$M$192</f>
        <v>0</v>
      </c>
      <c r="L372" s="76">
        <f ca="1">-L371*Assumptions!$M$192</f>
        <v>0</v>
      </c>
      <c r="M372" s="76">
        <f ca="1">-M371*Assumptions!$M$192</f>
        <v>0</v>
      </c>
      <c r="N372" s="76">
        <f ca="1">-N371*Assumptions!$M$192</f>
        <v>0</v>
      </c>
      <c r="O372" s="76">
        <f ca="1">-O371*Assumptions!$M$192</f>
        <v>0</v>
      </c>
      <c r="P372" s="76">
        <f ca="1">-P371*Assumptions!$M$192</f>
        <v>0</v>
      </c>
      <c r="Q372" s="76">
        <f ca="1">-Q371*Assumptions!$M$192</f>
        <v>0</v>
      </c>
      <c r="R372" s="76">
        <f ca="1">-R371*Assumptions!$M$192</f>
        <v>0</v>
      </c>
      <c r="S372" s="76">
        <f ca="1">-S371*Assumptions!$M$192</f>
        <v>0</v>
      </c>
      <c r="T372" s="76">
        <f ca="1">-T371*Assumptions!$M$192</f>
        <v>0</v>
      </c>
      <c r="U372" s="76">
        <f ca="1">-U371*Assumptions!$M$192</f>
        <v>0</v>
      </c>
      <c r="V372" s="76">
        <f ca="1">-V371*Assumptions!$M$192</f>
        <v>0</v>
      </c>
      <c r="W372" s="76">
        <f ca="1">-W371*Assumptions!$M$192</f>
        <v>0</v>
      </c>
      <c r="X372" s="76">
        <f ca="1">-X371*Assumptions!$M$192</f>
        <v>0</v>
      </c>
      <c r="Y372" s="76">
        <f ca="1">-Y371*Assumptions!$M$192</f>
        <v>0</v>
      </c>
      <c r="Z372" s="76">
        <f ca="1">-Z371*Assumptions!$M$192</f>
        <v>0</v>
      </c>
    </row>
    <row r="373" spans="2:26" ht="15.75">
      <c r="B373" s="15" t="s">
        <v>678</v>
      </c>
      <c r="D373" s="26"/>
      <c r="E373" s="26"/>
      <c r="F373" s="76">
        <f ca="1">IFERROR(-IF(YEAR(F356)&lt;MIN(YEAR(Assumptions!$F$30),2026),(OFFSET('Phase I Pro Forma'!F372,0,-10)),IF(YEAR(F356)=MIN(YEAR(Assumptions!$F$30),2026),SUM('Phase I Pro Forma'!$E$372:F$372)-SUM('Phase I Pro Forma'!$E$373:E$373),0)),0)</f>
        <v>0</v>
      </c>
      <c r="G373" s="76">
        <f ca="1">IFERROR(-IF(YEAR(G356)&lt;MIN(YEAR(Assumptions!$F$30),2026),(OFFSET('Phase I Pro Forma'!G372,0,-10)),IF(YEAR(G356)=MIN(YEAR(Assumptions!$F$30),2026),SUM('Phase I Pro Forma'!$E$372:G$372)-SUM('Phase I Pro Forma'!$E$373:F$373),0)),0)</f>
        <v>0</v>
      </c>
      <c r="H373" s="76">
        <f ca="1">IFERROR(-IF(YEAR(H356)&lt;MIN(YEAR(Assumptions!$F$30),2026),(OFFSET('Phase I Pro Forma'!H372,0,-10)),IF(YEAR(H356)=MIN(YEAR(Assumptions!$F$30),2026),SUM('Phase I Pro Forma'!$E$372:H$372)-SUM('Phase I Pro Forma'!$E$373:G$373),0)),0)</f>
        <v>0</v>
      </c>
      <c r="I373" s="76">
        <f ca="1">IFERROR(-IF(YEAR(I356)&lt;MIN(YEAR(Assumptions!$F$30),2026),(OFFSET('Phase I Pro Forma'!I372,0,-10)),IF(YEAR(I356)=MIN(YEAR(Assumptions!$F$30),2026),SUM('Phase I Pro Forma'!$E$372:I$372)-SUM('Phase I Pro Forma'!$E$373:H$373),0)),0)</f>
        <v>0</v>
      </c>
      <c r="J373" s="76">
        <f ca="1">IFERROR(-IF(YEAR(J356)&lt;MIN(YEAR(Assumptions!$F$30),2026),(OFFSET('Phase I Pro Forma'!J372,0,-10)),IF(YEAR(J356)=MIN(YEAR(Assumptions!$F$30),2026),SUM('Phase I Pro Forma'!$E$372:J$372)-SUM('Phase I Pro Forma'!$E$373:I$373),0)),0)</f>
        <v>0</v>
      </c>
      <c r="K373" s="76">
        <f ca="1">IFERROR(-IF(YEAR(K356)&lt;MIN(YEAR(Assumptions!$F$30),2026),(OFFSET('Phase I Pro Forma'!K372,0,-10)),IF(YEAR(K356)=MIN(YEAR(Assumptions!$F$30),2026),SUM('Phase I Pro Forma'!$E$372:K$372)-SUM('Phase I Pro Forma'!$E$373:J$373),0)),0)</f>
        <v>-57914002.97533869</v>
      </c>
      <c r="L373" s="76">
        <f ca="1">IFERROR(-IF(YEAR(L356)&lt;MIN(YEAR(Assumptions!$F$30),2026),(OFFSET('Phase I Pro Forma'!L372,0,-10)),IF(YEAR(L356)=MIN(YEAR(Assumptions!$F$30),2026),SUM('Phase I Pro Forma'!$E$372:L$372)-SUM('Phase I Pro Forma'!$E$373:K$373),0)),0)</f>
        <v>0</v>
      </c>
      <c r="M373" s="76">
        <f ca="1">IFERROR(-IF(YEAR(M356)&lt;MIN(YEAR(Assumptions!$F$30),2026),(OFFSET('Phase I Pro Forma'!M372,0,-10)),IF(YEAR(M356)=MIN(YEAR(Assumptions!$F$30),2026),SUM('Phase I Pro Forma'!$E$372:M$372)-SUM('Phase I Pro Forma'!$E$373:L$373),0)),0)</f>
        <v>0</v>
      </c>
      <c r="N373" s="76">
        <f ca="1">IFERROR(-IF(YEAR(N356)&lt;MIN(YEAR(Assumptions!$F$30),2026),(OFFSET('Phase I Pro Forma'!N372,0,-10)),IF(YEAR(N356)=MIN(YEAR(Assumptions!$F$30),2026),SUM('Phase I Pro Forma'!$E$372:N$372)-SUM('Phase I Pro Forma'!$E$373:M$373),0)),0)</f>
        <v>0</v>
      </c>
      <c r="O373" s="76">
        <f ca="1">IFERROR(-IF(YEAR(O356)&lt;MIN(YEAR(Assumptions!$F$30),2026),(OFFSET('Phase I Pro Forma'!O372,0,-10)),IF(YEAR(O356)=MIN(YEAR(Assumptions!$F$30),2026),SUM('Phase I Pro Forma'!$E$372:O$372)-SUM('Phase I Pro Forma'!$E$373:N$373),0)),0)</f>
        <v>0</v>
      </c>
      <c r="P373" s="76">
        <f ca="1">IFERROR(-IF(YEAR(P356)&lt;MIN(YEAR(Assumptions!$F$30),2026),(OFFSET('Phase I Pro Forma'!P372,0,-10)),IF(YEAR(P356)=MIN(YEAR(Assumptions!$F$30),2026),SUM('Phase I Pro Forma'!$E$372:P$372)-SUM('Phase I Pro Forma'!$E$373:O$373),0)),0)</f>
        <v>0</v>
      </c>
      <c r="Q373" s="76">
        <f ca="1">IFERROR(-IF(YEAR(Q356)&lt;MIN(YEAR(Assumptions!$F$30),2026),(OFFSET('Phase I Pro Forma'!Q372,0,-10)),IF(YEAR(Q356)=MIN(YEAR(Assumptions!$F$30),2026),SUM('Phase I Pro Forma'!$E$372:Q$372)-SUM('Phase I Pro Forma'!$E$373:P$373),0)),0)</f>
        <v>0</v>
      </c>
      <c r="R373" s="76">
        <f ca="1">IFERROR(-IF(YEAR(R356)&lt;MIN(YEAR(Assumptions!$F$30),2026),(OFFSET('Phase I Pro Forma'!R372,0,-10)),IF(YEAR(R356)=MIN(YEAR(Assumptions!$F$30),2026),SUM('Phase I Pro Forma'!$E$372:R$372)-SUM('Phase I Pro Forma'!$E$373:Q$373),0)),0)</f>
        <v>0</v>
      </c>
      <c r="S373" s="76">
        <f ca="1">IFERROR(-IF(YEAR(S356)&lt;MIN(YEAR(Assumptions!$F$30),2026),(OFFSET('Phase I Pro Forma'!S372,0,-10)),IF(YEAR(S356)=MIN(YEAR(Assumptions!$F$30),2026),SUM('Phase I Pro Forma'!$E$372:S$372)-SUM('Phase I Pro Forma'!$E$373:R$373),0)),0)</f>
        <v>0</v>
      </c>
      <c r="T373" s="76">
        <f ca="1">IFERROR(-IF(YEAR(T356)&lt;MIN(YEAR(Assumptions!$F$30),2026),(OFFSET('Phase I Pro Forma'!T372,0,-10)),IF(YEAR(T356)=MIN(YEAR(Assumptions!$F$30),2026),SUM('Phase I Pro Forma'!$E$372:T$372)-SUM('Phase I Pro Forma'!$E$373:S$373),0)),0)</f>
        <v>0</v>
      </c>
      <c r="U373" s="76">
        <f ca="1">IFERROR(-IF(YEAR(U356)&lt;MIN(YEAR(Assumptions!$F$30),2026),(OFFSET('Phase I Pro Forma'!U372,0,-10)),IF(YEAR(U356)=MIN(YEAR(Assumptions!$F$30),2026),SUM('Phase I Pro Forma'!$E$372:U$372)-SUM('Phase I Pro Forma'!$E$373:T$373),0)),0)</f>
        <v>0</v>
      </c>
      <c r="V373" s="76">
        <f ca="1">IFERROR(-IF(YEAR(V356)&lt;MIN(YEAR(Assumptions!$F$30),2026),(OFFSET('Phase I Pro Forma'!V372,0,-10)),IF(YEAR(V356)=MIN(YEAR(Assumptions!$F$30),2026),SUM('Phase I Pro Forma'!$E$372:V$372)-SUM('Phase I Pro Forma'!$E$373:U$373),0)),0)</f>
        <v>0</v>
      </c>
      <c r="W373" s="76">
        <f ca="1">IFERROR(-IF(YEAR(W356)&lt;MIN(YEAR(Assumptions!$F$30),2026),(OFFSET('Phase I Pro Forma'!W372,0,-10)),IF(YEAR(W356)=MIN(YEAR(Assumptions!$F$30),2026),SUM('Phase I Pro Forma'!$E$372:W$372)-SUM('Phase I Pro Forma'!$E$373:V$373),0)),0)</f>
        <v>0</v>
      </c>
      <c r="X373" s="76">
        <f ca="1">IFERROR(-IF(YEAR(X356)&lt;MIN(YEAR(Assumptions!$F$30),2026),(OFFSET('Phase I Pro Forma'!X372,0,-10)),IF(YEAR(X356)=MIN(YEAR(Assumptions!$F$30),2026),SUM('Phase I Pro Forma'!$E$372:X$372)-SUM('Phase I Pro Forma'!$E$373:W$373),0)),0)</f>
        <v>0</v>
      </c>
      <c r="Y373" s="76">
        <f ca="1">IFERROR(-IF(YEAR(Y356)&lt;MIN(YEAR(Assumptions!$F$30),2026),(OFFSET('Phase I Pro Forma'!Y372,0,-10)),IF(YEAR(Y356)=MIN(YEAR(Assumptions!$F$30),2026),SUM('Phase I Pro Forma'!$E$372:Y$372)-SUM('Phase I Pro Forma'!$E$373:X$373),0)),0)</f>
        <v>0</v>
      </c>
      <c r="Z373" s="76">
        <f ca="1">IFERROR(-IF(YEAR(Z356)&lt;MIN(YEAR(Assumptions!$F$30),2026),(OFFSET('Phase I Pro Forma'!Z372,0,-10)),IF(YEAR(Z356)=MIN(YEAR(Assumptions!$F$30),2026),SUM('Phase I Pro Forma'!$E$372:Z$372)-SUM('Phase I Pro Forma'!$E$373:Y$373),0)),0)</f>
        <v>0</v>
      </c>
    </row>
    <row r="374" spans="2:26" ht="15.75">
      <c r="B374" s="15" t="s">
        <v>685</v>
      </c>
      <c r="D374" s="26"/>
      <c r="E374" s="26"/>
      <c r="F374" s="76">
        <f>+IF(YEAR(F356)=MIN(YEAR(Assumptions!$F$30),2026),SUM('Phase I Pro Forma'!$F$384:$Z$384),0)</f>
        <v>0</v>
      </c>
      <c r="G374" s="76">
        <f>+IF(YEAR(G356)=MIN(YEAR(Assumptions!$F$30),2026),SUM('Phase I Pro Forma'!$F$384:$Z$384),0)</f>
        <v>0</v>
      </c>
      <c r="H374" s="76">
        <f>+IF(YEAR(H356)=MIN(YEAR(Assumptions!$F$30),2026),SUM('Phase I Pro Forma'!$F$384:$Z$384),0)</f>
        <v>0</v>
      </c>
      <c r="I374" s="76">
        <f>+IF(YEAR(I356)=MIN(YEAR(Assumptions!$F$30),2026),SUM('Phase I Pro Forma'!$F$384:$Z$384),0)</f>
        <v>0</v>
      </c>
      <c r="J374" s="76">
        <f>+IF(YEAR(J356)=MIN(YEAR(Assumptions!$F$30),2026),SUM('Phase I Pro Forma'!$F$384:$Z$384),0)</f>
        <v>0</v>
      </c>
      <c r="K374" s="76">
        <f ca="1">+IF(YEAR(K356)=MIN(YEAR(Assumptions!$F$30),2026),SUM('Phase I Pro Forma'!$F$384:$Z$384),0)</f>
        <v>8687100.4463008046</v>
      </c>
      <c r="L374" s="76">
        <f>+IF(YEAR(L356)=MIN(YEAR(Assumptions!$F$30),2026),SUM('Phase I Pro Forma'!$F$384:$Z$384),0)</f>
        <v>0</v>
      </c>
      <c r="M374" s="76">
        <f>+IF(YEAR(M356)=MIN(YEAR(Assumptions!$F$30),2026),SUM('Phase I Pro Forma'!$F$384:$Z$384),0)</f>
        <v>0</v>
      </c>
      <c r="N374" s="76">
        <f>+IF(YEAR(N356)=MIN(YEAR(Assumptions!$F$30),2026),SUM('Phase I Pro Forma'!$F$384:$Z$384),0)</f>
        <v>0</v>
      </c>
      <c r="O374" s="76">
        <f>+IF(YEAR(O356)=MIN(YEAR(Assumptions!$F$30),2026),SUM('Phase I Pro Forma'!$F$384:$Z$384),0)</f>
        <v>0</v>
      </c>
      <c r="P374" s="76">
        <f>+IF(YEAR(P356)=MIN(YEAR(Assumptions!$F$30),2026),SUM('Phase I Pro Forma'!$F$384:$Z$384),0)</f>
        <v>0</v>
      </c>
      <c r="Q374" s="76">
        <f>+IF(YEAR(Q356)=MIN(YEAR(Assumptions!$F$30),2026),SUM('Phase I Pro Forma'!$F$384:$Z$384),0)</f>
        <v>0</v>
      </c>
      <c r="R374" s="76">
        <f>+IF(YEAR(R356)=MIN(YEAR(Assumptions!$F$30),2026),SUM('Phase I Pro Forma'!$F$384:$Z$384),0)</f>
        <v>0</v>
      </c>
      <c r="S374" s="76">
        <f>+IF(YEAR(S356)=MIN(YEAR(Assumptions!$F$30),2026),SUM('Phase I Pro Forma'!$F$384:$Z$384),0)</f>
        <v>0</v>
      </c>
      <c r="T374" s="76">
        <f>+IF(YEAR(T356)=MIN(YEAR(Assumptions!$F$30),2026),SUM('Phase I Pro Forma'!$F$384:$Z$384),0)</f>
        <v>0</v>
      </c>
      <c r="U374" s="76">
        <f>+IF(YEAR(U356)=MIN(YEAR(Assumptions!$F$30),2026),SUM('Phase I Pro Forma'!$F$384:$Z$384),0)</f>
        <v>0</v>
      </c>
      <c r="V374" s="76">
        <f>+IF(YEAR(V356)=MIN(YEAR(Assumptions!$F$30),2026),SUM('Phase I Pro Forma'!$F$384:$Z$384),0)</f>
        <v>0</v>
      </c>
      <c r="W374" s="76">
        <f>+IF(YEAR(W356)=MIN(YEAR(Assumptions!$F$30),2026),SUM('Phase I Pro Forma'!$F$384:$Z$384),0)</f>
        <v>0</v>
      </c>
      <c r="X374" s="76">
        <f>+IF(YEAR(X356)=MIN(YEAR(Assumptions!$F$30),2026),SUM('Phase I Pro Forma'!$F$384:$Z$384),0)</f>
        <v>0</v>
      </c>
      <c r="Y374" s="76">
        <f>+IF(YEAR(Y356)=MIN(YEAR(Assumptions!$F$30),2026),SUM('Phase I Pro Forma'!$F$384:$Z$384),0)</f>
        <v>0</v>
      </c>
      <c r="Z374" s="76">
        <f>+IF(YEAR(Z356)=MIN(YEAR(Assumptions!$F$30),2026),SUM('Phase I Pro Forma'!$F$384:$Z$384),0)</f>
        <v>0</v>
      </c>
    </row>
    <row r="375" spans="2:26" ht="15.75">
      <c r="B375" s="15" t="s">
        <v>679</v>
      </c>
      <c r="D375" s="26"/>
      <c r="E375" s="26"/>
      <c r="F375" s="76">
        <f>+F362</f>
        <v>0</v>
      </c>
      <c r="G375" s="76">
        <f t="shared" ref="G375:Z375" si="282">+G362</f>
        <v>0</v>
      </c>
      <c r="H375" s="76">
        <f t="shared" si="282"/>
        <v>0</v>
      </c>
      <c r="I375" s="76">
        <f t="shared" si="282"/>
        <v>-2523399.6823404403</v>
      </c>
      <c r="J375" s="76">
        <f t="shared" ca="1" si="282"/>
        <v>-2982299.274985902</v>
      </c>
      <c r="K375" s="76">
        <f t="shared" ca="1" si="282"/>
        <v>-3001361.1382531389</v>
      </c>
      <c r="L375" s="76">
        <f t="shared" ca="1" si="282"/>
        <v>-3355033.2142610811</v>
      </c>
      <c r="M375" s="76">
        <f t="shared" ca="1" si="282"/>
        <v>-3444073.5577263646</v>
      </c>
      <c r="N375" s="76">
        <f t="shared" ca="1" si="282"/>
        <v>-3537431.6248439578</v>
      </c>
      <c r="O375" s="76">
        <f t="shared" ca="1" si="282"/>
        <v>-3633182.9777556662</v>
      </c>
      <c r="P375" s="76">
        <f t="shared" ca="1" si="282"/>
        <v>-3708507.3370534903</v>
      </c>
      <c r="Q375" s="76">
        <f t="shared" si="282"/>
        <v>0</v>
      </c>
      <c r="R375" s="76">
        <f t="shared" si="282"/>
        <v>0</v>
      </c>
      <c r="S375" s="76">
        <f t="shared" si="282"/>
        <v>0</v>
      </c>
      <c r="T375" s="76">
        <f t="shared" si="282"/>
        <v>0</v>
      </c>
      <c r="U375" s="76">
        <f t="shared" si="282"/>
        <v>0</v>
      </c>
      <c r="V375" s="76">
        <f t="shared" si="282"/>
        <v>0</v>
      </c>
      <c r="W375" s="76">
        <f t="shared" si="282"/>
        <v>0</v>
      </c>
      <c r="X375" s="76">
        <f t="shared" si="282"/>
        <v>0</v>
      </c>
      <c r="Y375" s="76">
        <f t="shared" si="282"/>
        <v>0</v>
      </c>
      <c r="Z375" s="76">
        <f t="shared" si="282"/>
        <v>0</v>
      </c>
    </row>
    <row r="376" spans="2:26" ht="15.75">
      <c r="B376" s="15" t="s">
        <v>680</v>
      </c>
      <c r="D376" s="26"/>
      <c r="E376" s="26"/>
      <c r="F376" s="76">
        <f>+F363</f>
        <v>0</v>
      </c>
      <c r="G376" s="76">
        <f t="shared" ref="G376:Z376" si="283">+G363</f>
        <v>0</v>
      </c>
      <c r="H376" s="76">
        <f t="shared" si="283"/>
        <v>0</v>
      </c>
      <c r="I376" s="76">
        <f t="shared" si="283"/>
        <v>12016188.963525906</v>
      </c>
      <c r="J376" s="76">
        <f t="shared" si="283"/>
        <v>25827452.525288329</v>
      </c>
      <c r="K376" s="76">
        <f t="shared" si="283"/>
        <v>25747911.80640661</v>
      </c>
      <c r="L376" s="76">
        <f t="shared" si="283"/>
        <v>27602376.045646325</v>
      </c>
      <c r="M376" s="76">
        <f t="shared" si="283"/>
        <v>27877868.016138669</v>
      </c>
      <c r="N376" s="76">
        <f t="shared" si="283"/>
        <v>28079078.43455765</v>
      </c>
      <c r="O376" s="76">
        <f t="shared" si="283"/>
        <v>28248511.462811407</v>
      </c>
      <c r="P376" s="76">
        <f t="shared" si="283"/>
        <v>28522812.230143007</v>
      </c>
      <c r="Q376" s="76">
        <f t="shared" si="283"/>
        <v>0</v>
      </c>
      <c r="R376" s="76">
        <f t="shared" si="283"/>
        <v>0</v>
      </c>
      <c r="S376" s="76">
        <f t="shared" si="283"/>
        <v>0</v>
      </c>
      <c r="T376" s="76">
        <f t="shared" si="283"/>
        <v>0</v>
      </c>
      <c r="U376" s="76">
        <f t="shared" si="283"/>
        <v>0</v>
      </c>
      <c r="V376" s="76">
        <f t="shared" si="283"/>
        <v>0</v>
      </c>
      <c r="W376" s="76">
        <f t="shared" si="283"/>
        <v>0</v>
      </c>
      <c r="X376" s="76">
        <f t="shared" si="283"/>
        <v>0</v>
      </c>
      <c r="Y376" s="76">
        <f t="shared" si="283"/>
        <v>0</v>
      </c>
      <c r="Z376" s="76">
        <f t="shared" si="283"/>
        <v>0</v>
      </c>
    </row>
    <row r="377" spans="2:26" ht="15.75">
      <c r="B377" s="15" t="s">
        <v>681</v>
      </c>
      <c r="D377" s="26"/>
      <c r="E377" s="26"/>
      <c r="F377" s="76">
        <f>+F364</f>
        <v>0</v>
      </c>
      <c r="G377" s="76">
        <f t="shared" ref="G377:Z377" si="284">+G364</f>
        <v>0</v>
      </c>
      <c r="H377" s="76">
        <f t="shared" si="284"/>
        <v>25500000</v>
      </c>
      <c r="I377" s="76">
        <f t="shared" si="284"/>
        <v>0</v>
      </c>
      <c r="J377" s="76">
        <f t="shared" si="284"/>
        <v>0</v>
      </c>
      <c r="K377" s="76">
        <f t="shared" si="284"/>
        <v>0</v>
      </c>
      <c r="L377" s="76">
        <f t="shared" si="284"/>
        <v>0</v>
      </c>
      <c r="M377" s="76">
        <f t="shared" si="284"/>
        <v>0</v>
      </c>
      <c r="N377" s="76">
        <f t="shared" si="284"/>
        <v>0</v>
      </c>
      <c r="O377" s="76">
        <f t="shared" si="284"/>
        <v>0</v>
      </c>
      <c r="P377" s="76">
        <f t="shared" ca="1" si="284"/>
        <v>457714541.7062313</v>
      </c>
      <c r="Q377" s="76">
        <f t="shared" si="284"/>
        <v>0</v>
      </c>
      <c r="R377" s="76">
        <f t="shared" si="284"/>
        <v>0</v>
      </c>
      <c r="S377" s="76">
        <f t="shared" si="284"/>
        <v>0</v>
      </c>
      <c r="T377" s="76">
        <f t="shared" si="284"/>
        <v>0</v>
      </c>
      <c r="U377" s="76">
        <f t="shared" si="284"/>
        <v>0</v>
      </c>
      <c r="V377" s="76">
        <f t="shared" si="284"/>
        <v>0</v>
      </c>
      <c r="W377" s="76">
        <f t="shared" si="284"/>
        <v>0</v>
      </c>
      <c r="X377" s="76">
        <f t="shared" si="284"/>
        <v>0</v>
      </c>
      <c r="Y377" s="76">
        <f t="shared" si="284"/>
        <v>0</v>
      </c>
      <c r="Z377" s="76">
        <f t="shared" si="284"/>
        <v>0</v>
      </c>
    </row>
    <row r="378" spans="2:26" ht="15.75">
      <c r="B378" s="15" t="s">
        <v>682</v>
      </c>
      <c r="D378" s="26"/>
      <c r="E378" s="26"/>
      <c r="F378" s="76">
        <f>+IF(F358&gt;=10,0,F365)</f>
        <v>0</v>
      </c>
      <c r="G378" s="76">
        <f t="shared" ref="G378:Z378" si="285">+IF(G358&gt;=10,0,G365)</f>
        <v>0</v>
      </c>
      <c r="H378" s="76">
        <f t="shared" si="285"/>
        <v>0</v>
      </c>
      <c r="I378" s="76">
        <f t="shared" si="285"/>
        <v>0</v>
      </c>
      <c r="J378" s="76">
        <f t="shared" si="285"/>
        <v>0</v>
      </c>
      <c r="K378" s="76">
        <f t="shared" si="285"/>
        <v>0</v>
      </c>
      <c r="L378" s="76">
        <f t="shared" si="285"/>
        <v>0</v>
      </c>
      <c r="M378" s="76">
        <f t="shared" si="285"/>
        <v>0</v>
      </c>
      <c r="N378" s="76">
        <f t="shared" si="285"/>
        <v>0</v>
      </c>
      <c r="O378" s="76">
        <f t="shared" si="285"/>
        <v>0</v>
      </c>
      <c r="P378" s="76">
        <f t="shared" si="285"/>
        <v>0</v>
      </c>
      <c r="Q378" s="76">
        <f t="shared" si="285"/>
        <v>0</v>
      </c>
      <c r="R378" s="76">
        <f t="shared" si="285"/>
        <v>0</v>
      </c>
      <c r="S378" s="76">
        <f t="shared" si="285"/>
        <v>0</v>
      </c>
      <c r="T378" s="76">
        <f t="shared" si="285"/>
        <v>0</v>
      </c>
      <c r="U378" s="76">
        <f t="shared" si="285"/>
        <v>0</v>
      </c>
      <c r="V378" s="76">
        <f t="shared" si="285"/>
        <v>0</v>
      </c>
      <c r="W378" s="76">
        <f t="shared" si="285"/>
        <v>0</v>
      </c>
      <c r="X378" s="76">
        <f t="shared" si="285"/>
        <v>0</v>
      </c>
      <c r="Y378" s="76">
        <f t="shared" si="285"/>
        <v>0</v>
      </c>
      <c r="Z378" s="76">
        <f t="shared" si="285"/>
        <v>0</v>
      </c>
    </row>
    <row r="379" spans="2:26" ht="15.75">
      <c r="B379" s="687" t="s">
        <v>684</v>
      </c>
      <c r="C379" s="687"/>
      <c r="D379" s="550">
        <f t="shared" ref="D379" ca="1" si="286">+SUM(F379:Z379)</f>
        <v>320734624.44322991</v>
      </c>
      <c r="E379" s="550"/>
      <c r="F379" s="550">
        <f t="shared" ref="F379:Z379" ca="1" si="287">+SUM(F371:F378)</f>
        <v>-40681674.722024679</v>
      </c>
      <c r="G379" s="550">
        <f t="shared" ca="1" si="287"/>
        <v>-130908865.97483118</v>
      </c>
      <c r="H379" s="550">
        <f t="shared" ca="1" si="287"/>
        <v>-27550827.165463291</v>
      </c>
      <c r="I379" s="550">
        <f t="shared" ca="1" si="287"/>
        <v>9492789.2811854668</v>
      </c>
      <c r="J379" s="550">
        <f t="shared" ca="1" si="287"/>
        <v>22955969.313947853</v>
      </c>
      <c r="K379" s="550">
        <f t="shared" ca="1" si="287"/>
        <v>-26480351.860884413</v>
      </c>
      <c r="L379" s="550">
        <f t="shared" ca="1" si="287"/>
        <v>24226893.99558815</v>
      </c>
      <c r="M379" s="550">
        <f t="shared" ca="1" si="287"/>
        <v>24433794.458412305</v>
      </c>
      <c r="N379" s="550">
        <f t="shared" ca="1" si="287"/>
        <v>24541646.809713691</v>
      </c>
      <c r="O379" s="550">
        <f t="shared" ca="1" si="287"/>
        <v>24615328.485055741</v>
      </c>
      <c r="P379" s="550">
        <f t="shared" ca="1" si="287"/>
        <v>482528846.59932083</v>
      </c>
      <c r="Q379" s="550">
        <f t="shared" ca="1" si="287"/>
        <v>0</v>
      </c>
      <c r="R379" s="550">
        <f t="shared" ca="1" si="287"/>
        <v>0</v>
      </c>
      <c r="S379" s="550">
        <f t="shared" ca="1" si="287"/>
        <v>0</v>
      </c>
      <c r="T379" s="550">
        <f t="shared" ca="1" si="287"/>
        <v>0</v>
      </c>
      <c r="U379" s="550">
        <f t="shared" ca="1" si="287"/>
        <v>0</v>
      </c>
      <c r="V379" s="550">
        <f t="shared" ca="1" si="287"/>
        <v>0</v>
      </c>
      <c r="W379" s="550">
        <f t="shared" ca="1" si="287"/>
        <v>0</v>
      </c>
      <c r="X379" s="550">
        <f t="shared" ca="1" si="287"/>
        <v>0</v>
      </c>
      <c r="Y379" s="550">
        <f t="shared" ca="1" si="287"/>
        <v>0</v>
      </c>
      <c r="Z379" s="550">
        <f t="shared" ca="1" si="287"/>
        <v>0</v>
      </c>
    </row>
    <row r="381" spans="2:26" ht="15.75">
      <c r="B381" s="706" t="s">
        <v>686</v>
      </c>
      <c r="C381" s="706"/>
      <c r="D381" s="707">
        <f ca="1">+IRR(F379:Z379)</f>
        <v>0.14221720620878497</v>
      </c>
    </row>
    <row r="382" spans="2:26" ht="15.75">
      <c r="B382" s="708" t="s">
        <v>687</v>
      </c>
      <c r="C382" s="536"/>
      <c r="D382" s="712">
        <f ca="1">+D381/(1-Assumptions!$M$192)</f>
        <v>0.18002178001112021</v>
      </c>
    </row>
    <row r="384" spans="2:26">
      <c r="B384" s="21" t="s">
        <v>688</v>
      </c>
      <c r="F384" s="76">
        <f ca="1">IFERROR(IF(YEAR(F356)&lt;=YEAR(Assumptions!$F$30),10%*(OFFSET('Phase I Pro Forma'!F372,0,-5))+5%*(OFFSET('Phase I Pro Forma'!F372,0,-7)),0),0)</f>
        <v>0</v>
      </c>
      <c r="G384" s="76">
        <f ca="1">IFERROR(IF(YEAR(G356)&lt;=YEAR(Assumptions!$F$30),10%*(OFFSET('Phase I Pro Forma'!G372,0,-5))+5%*(OFFSET('Phase I Pro Forma'!G372,0,-7)),0),0)</f>
        <v>0</v>
      </c>
      <c r="H384" s="76">
        <f ca="1">IFERROR(IF(YEAR(H356)&lt;=YEAR(Assumptions!$F$30),10%*(OFFSET('Phase I Pro Forma'!H372,0,-5))+5%*(OFFSET('Phase I Pro Forma'!H372,0,-7)),0),0)</f>
        <v>0</v>
      </c>
      <c r="I384" s="76">
        <f ca="1">IFERROR(IF(YEAR(I356)&lt;=YEAR(Assumptions!$F$30),10%*(OFFSET('Phase I Pro Forma'!I372,0,-5))+5%*(OFFSET('Phase I Pro Forma'!I372,0,-7)),0),0)</f>
        <v>0</v>
      </c>
      <c r="J384" s="76">
        <f ca="1">IFERROR(IF(YEAR(J356)&lt;=YEAR(Assumptions!$F$30),10%*(OFFSET('Phase I Pro Forma'!J372,0,-5))+5%*(OFFSET('Phase I Pro Forma'!J372,0,-7)),0),0)</f>
        <v>0</v>
      </c>
      <c r="K384" s="76">
        <f ca="1">IFERROR(IF(YEAR(K356)&lt;=YEAR(Assumptions!$F$30),10%*(OFFSET('Phase I Pro Forma'!K372,0,-5))+5%*(OFFSET('Phase I Pro Forma'!K372,0,-7)),0),0)</f>
        <v>1081411.6065348331</v>
      </c>
      <c r="L384" s="76">
        <f ca="1">IFERROR(IF(YEAR(L356)&lt;=YEAR(Assumptions!$F$30),10%*(OFFSET('Phase I Pro Forma'!L372,0,-5))+5%*(OFFSET('Phase I Pro Forma'!L372,0,-7)),0),0)</f>
        <v>3299776.8296386199</v>
      </c>
      <c r="M384" s="76">
        <f ca="1">IFERROR(IF(YEAR(M356)&lt;=YEAR(Assumptions!$F$30),10%*(OFFSET('Phase I Pro Forma'!M372,0,-5))+5%*(OFFSET('Phase I Pro Forma'!M372,0,-7)),0),0)</f>
        <v>1950917.6646278333</v>
      </c>
      <c r="N384" s="76">
        <f ca="1">IFERROR(IF(YEAR(N356)&lt;=YEAR(Assumptions!$F$30),10%*(OFFSET('Phase I Pro Forma'!N372,0,-5))+5%*(OFFSET('Phase I Pro Forma'!N372,0,-7)),0),0)</f>
        <v>1649888.41481931</v>
      </c>
      <c r="O384" s="76">
        <f ca="1">IFERROR(IF(YEAR(O356)&lt;=YEAR(Assumptions!$F$30),10%*(OFFSET('Phase I Pro Forma'!O372,0,-5))+5%*(OFFSET('Phase I Pro Forma'!O372,0,-7)),0),0)</f>
        <v>705105.93068020837</v>
      </c>
      <c r="P384" s="76">
        <f ca="1">IFERROR(IF(YEAR(P356)&lt;=YEAR(Assumptions!$F$30),10%*(OFFSET('Phase I Pro Forma'!P372,0,-5))+5%*(OFFSET('Phase I Pro Forma'!P372,0,-7)),0),0)</f>
        <v>0</v>
      </c>
      <c r="Q384" s="76">
        <f ca="1">IFERROR(IF(YEAR(Q356)&lt;=YEAR(Assumptions!$F$30),10%*(OFFSET('Phase I Pro Forma'!Q372,0,-5))+5%*(OFFSET('Phase I Pro Forma'!Q372,0,-7)),0),0)</f>
        <v>0</v>
      </c>
      <c r="R384" s="76">
        <f ca="1">IFERROR(IF(YEAR(R356)&lt;=YEAR(Assumptions!$F$30),10%*(OFFSET('Phase I Pro Forma'!R372,0,-5))+5%*(OFFSET('Phase I Pro Forma'!R372,0,-7)),0),0)</f>
        <v>0</v>
      </c>
      <c r="S384" s="76">
        <f ca="1">IFERROR(IF(YEAR(S356)&lt;=YEAR(Assumptions!$F$30),10%*(OFFSET('Phase I Pro Forma'!S372,0,-5))+5%*(OFFSET('Phase I Pro Forma'!S372,0,-7)),0),0)</f>
        <v>0</v>
      </c>
      <c r="T384" s="76">
        <f ca="1">IFERROR(IF(YEAR(T356)&lt;=YEAR(Assumptions!$F$30),10%*(OFFSET('Phase I Pro Forma'!T372,0,-5))+5%*(OFFSET('Phase I Pro Forma'!T372,0,-7)),0),0)</f>
        <v>0</v>
      </c>
      <c r="U384" s="76">
        <f ca="1">IFERROR(IF(YEAR(U356)&lt;=YEAR(Assumptions!$F$30),10%*(OFFSET('Phase I Pro Forma'!U372,0,-5))+5%*(OFFSET('Phase I Pro Forma'!U372,0,-7)),0),0)</f>
        <v>0</v>
      </c>
      <c r="V384" s="76">
        <f ca="1">IFERROR(IF(YEAR(V356)&lt;=YEAR(Assumptions!$F$30),10%*(OFFSET('Phase I Pro Forma'!V372,0,-5))+5%*(OFFSET('Phase I Pro Forma'!V372,0,-7)),0),0)</f>
        <v>0</v>
      </c>
      <c r="W384" s="76">
        <f ca="1">IFERROR(IF(YEAR(W356)&lt;=YEAR(Assumptions!$F$30),10%*(OFFSET('Phase I Pro Forma'!W372,0,-5))+5%*(OFFSET('Phase I Pro Forma'!W372,0,-7)),0),0)</f>
        <v>0</v>
      </c>
      <c r="X384" s="76">
        <f ca="1">IFERROR(IF(YEAR(X356)&lt;=YEAR(Assumptions!$F$30),10%*(OFFSET('Phase I Pro Forma'!X372,0,-5))+5%*(OFFSET('Phase I Pro Forma'!X372,0,-7)),0),0)</f>
        <v>0</v>
      </c>
      <c r="Y384" s="76">
        <f ca="1">IFERROR(IF(YEAR(Y356)&lt;=YEAR(Assumptions!$F$30),10%*(OFFSET('Phase I Pro Forma'!Y372,0,-5))+5%*(OFFSET('Phase I Pro Forma'!Y372,0,-7)),0),0)</f>
        <v>0</v>
      </c>
      <c r="Z384" s="76">
        <f ca="1">IFERROR(IF(YEAR(Z356)&lt;=YEAR(Assumptions!$F$30),10%*(OFFSET('Phase I Pro Forma'!Z372,0,-5))+5%*(OFFSET('Phase I Pro Forma'!Z372,0,-7)),0),0)</f>
        <v>0</v>
      </c>
    </row>
    <row r="386" spans="2:26" ht="15.75">
      <c r="B386" s="73" t="s">
        <v>689</v>
      </c>
    </row>
    <row r="387" spans="2:26" ht="15.75">
      <c r="B387" s="15" t="s">
        <v>690</v>
      </c>
      <c r="D387" s="26">
        <f ca="1">+SUM(F387:Z387)</f>
        <v>2222224968.4189286</v>
      </c>
      <c r="E387" s="26"/>
      <c r="F387" s="16">
        <v>0</v>
      </c>
      <c r="G387" s="16">
        <f ca="1">+F394</f>
        <v>86569817.956540704</v>
      </c>
      <c r="H387" s="16">
        <f t="shared" ref="H387:Z387" ca="1" si="288">+G394</f>
        <v>243702047.93933213</v>
      </c>
      <c r="I387" s="16">
        <f ca="1">+H394</f>
        <v>285354993.71839958</v>
      </c>
      <c r="J387" s="16">
        <f ca="1">+I394</f>
        <v>285354993.71839958</v>
      </c>
      <c r="K387" s="16">
        <f t="shared" ca="1" si="288"/>
        <v>273728966.31209177</v>
      </c>
      <c r="L387" s="16">
        <f t="shared" ca="1" si="288"/>
        <v>262102938.90578395</v>
      </c>
      <c r="M387" s="16">
        <f t="shared" ca="1" si="288"/>
        <v>250476911.49947613</v>
      </c>
      <c r="N387" s="16">
        <f t="shared" ca="1" si="288"/>
        <v>238850884.09316829</v>
      </c>
      <c r="O387" s="16">
        <f t="shared" ca="1" si="288"/>
        <v>217650829.51769283</v>
      </c>
      <c r="P387" s="16">
        <f t="shared" ca="1" si="288"/>
        <v>206024802.11138499</v>
      </c>
      <c r="Q387" s="16">
        <f t="shared" ca="1" si="288"/>
        <v>0</v>
      </c>
      <c r="R387" s="16">
        <f t="shared" ca="1" si="288"/>
        <v>0</v>
      </c>
      <c r="S387" s="16">
        <f t="shared" ca="1" si="288"/>
        <v>0</v>
      </c>
      <c r="T387" s="16">
        <f t="shared" ca="1" si="288"/>
        <v>0</v>
      </c>
      <c r="U387" s="16">
        <f t="shared" ca="1" si="288"/>
        <v>0</v>
      </c>
      <c r="V387" s="16">
        <f t="shared" ca="1" si="288"/>
        <v>0</v>
      </c>
      <c r="W387" s="16">
        <f t="shared" ca="1" si="288"/>
        <v>0</v>
      </c>
      <c r="X387" s="16">
        <f t="shared" ca="1" si="288"/>
        <v>0</v>
      </c>
      <c r="Y387" s="16">
        <f t="shared" ca="1" si="288"/>
        <v>0</v>
      </c>
      <c r="Z387" s="16">
        <f t="shared" ca="1" si="288"/>
        <v>0</v>
      </c>
    </row>
    <row r="388" spans="2:26" ht="15.75">
      <c r="B388" s="15" t="s">
        <v>676</v>
      </c>
      <c r="D388" s="26">
        <f t="shared" ref="D388:D393" ca="1" si="289">+SUM(F388:Z388)</f>
        <v>275780966.54923189</v>
      </c>
      <c r="E388" s="26"/>
      <c r="F388" s="76">
        <f ca="1">-F359</f>
        <v>86569817.956540704</v>
      </c>
      <c r="G388" s="76">
        <f t="shared" ref="G388:Z388" ca="1" si="290">-G359</f>
        <v>157132229.98279142</v>
      </c>
      <c r="H388" s="76">
        <f t="shared" ca="1" si="290"/>
        <v>67152945.779067457</v>
      </c>
      <c r="I388" s="76">
        <f t="shared" ca="1" si="290"/>
        <v>0</v>
      </c>
      <c r="J388" s="76">
        <f t="shared" ca="1" si="290"/>
        <v>0</v>
      </c>
      <c r="K388" s="76">
        <f t="shared" ca="1" si="290"/>
        <v>0</v>
      </c>
      <c r="L388" s="76">
        <f t="shared" ca="1" si="290"/>
        <v>0</v>
      </c>
      <c r="M388" s="76">
        <f t="shared" ca="1" si="290"/>
        <v>0</v>
      </c>
      <c r="N388" s="76">
        <f t="shared" ca="1" si="290"/>
        <v>0</v>
      </c>
      <c r="O388" s="76">
        <f t="shared" ca="1" si="290"/>
        <v>0</v>
      </c>
      <c r="P388" s="76">
        <f t="shared" ca="1" si="290"/>
        <v>0</v>
      </c>
      <c r="Q388" s="76">
        <f t="shared" ca="1" si="290"/>
        <v>0</v>
      </c>
      <c r="R388" s="76">
        <f t="shared" ca="1" si="290"/>
        <v>0</v>
      </c>
      <c r="S388" s="76">
        <f t="shared" ca="1" si="290"/>
        <v>0</v>
      </c>
      <c r="T388" s="76">
        <f t="shared" ca="1" si="290"/>
        <v>0</v>
      </c>
      <c r="U388" s="76">
        <f t="shared" ca="1" si="290"/>
        <v>0</v>
      </c>
      <c r="V388" s="76">
        <f t="shared" ca="1" si="290"/>
        <v>0</v>
      </c>
      <c r="W388" s="76">
        <f t="shared" ca="1" si="290"/>
        <v>0</v>
      </c>
      <c r="X388" s="76">
        <f t="shared" ca="1" si="290"/>
        <v>0</v>
      </c>
      <c r="Y388" s="76">
        <f t="shared" ca="1" si="290"/>
        <v>0</v>
      </c>
      <c r="Z388" s="76">
        <f t="shared" ca="1" si="290"/>
        <v>0</v>
      </c>
    </row>
    <row r="389" spans="2:26" ht="15.75">
      <c r="B389" s="15" t="s">
        <v>618</v>
      </c>
      <c r="D389" s="26">
        <f t="shared" si="289"/>
        <v>203922199.4845179</v>
      </c>
      <c r="E389" s="26"/>
      <c r="F389" s="76">
        <f>IF(F356&lt;=Assumptions!$F$30,F320,0)</f>
        <v>0</v>
      </c>
      <c r="G389" s="76">
        <f>IF(G356&lt;=Assumptions!$F$30,G320,0)</f>
        <v>0</v>
      </c>
      <c r="H389" s="76">
        <f>IF(H356&lt;=Assumptions!$F$30,H320,0)</f>
        <v>0</v>
      </c>
      <c r="I389" s="76">
        <f>IF(I356&lt;=Assumptions!$F$30,I320,0)</f>
        <v>12016188.963525906</v>
      </c>
      <c r="J389" s="76">
        <f>IF(J356&lt;=Assumptions!$F$30,J320,0)</f>
        <v>25827452.525288329</v>
      </c>
      <c r="K389" s="76">
        <f>IF(K356&lt;=Assumptions!$F$30,K320,0)</f>
        <v>25747911.80640661</v>
      </c>
      <c r="L389" s="76">
        <f>IF(L356&lt;=Assumptions!$F$30,L320,0)</f>
        <v>27602376.045646325</v>
      </c>
      <c r="M389" s="76">
        <f>IF(M356&lt;=Assumptions!$F$30,M320,0)</f>
        <v>27877868.016138669</v>
      </c>
      <c r="N389" s="76">
        <f>IF(N356&lt;=Assumptions!$F$30,N320,0)</f>
        <v>28079078.43455765</v>
      </c>
      <c r="O389" s="76">
        <f>IF(O356&lt;=Assumptions!$F$30,O320,0)</f>
        <v>28248511.462811407</v>
      </c>
      <c r="P389" s="76">
        <f>IF(P356&lt;=Assumptions!$F$30,P320,0)</f>
        <v>28522812.230143007</v>
      </c>
      <c r="Q389" s="76">
        <f>IF(Q356&lt;=Assumptions!$F$30,Q320,0)</f>
        <v>0</v>
      </c>
      <c r="R389" s="76">
        <f>IF(R356&lt;=Assumptions!$F$30,R320,0)</f>
        <v>0</v>
      </c>
      <c r="S389" s="76">
        <f>IF(S356&lt;=Assumptions!$F$30,S320,0)</f>
        <v>0</v>
      </c>
      <c r="T389" s="76">
        <f>IF(T356&lt;=Assumptions!$F$30,T320,0)</f>
        <v>0</v>
      </c>
      <c r="U389" s="76">
        <f>IF(U356&lt;=Assumptions!$F$30,U320,0)</f>
        <v>0</v>
      </c>
      <c r="V389" s="76">
        <f>IF(V356&lt;=Assumptions!$F$30,V320,0)</f>
        <v>0</v>
      </c>
      <c r="W389" s="76">
        <f>IF(W356&lt;=Assumptions!$F$30,W320,0)</f>
        <v>0</v>
      </c>
      <c r="X389" s="76">
        <f>IF(X356&lt;=Assumptions!$F$30,X320,0)</f>
        <v>0</v>
      </c>
      <c r="Y389" s="76">
        <f>IF(Y356&lt;=Assumptions!$F$30,Y320,0)</f>
        <v>0</v>
      </c>
      <c r="Z389" s="76">
        <f>IF(Z356&lt;=Assumptions!$F$30,Z320,0)</f>
        <v>0</v>
      </c>
    </row>
    <row r="390" spans="2:26" ht="15.75">
      <c r="B390" s="15" t="s">
        <v>691</v>
      </c>
      <c r="D390" s="26">
        <f t="shared" ca="1" si="289"/>
        <v>-81382191.844154909</v>
      </c>
      <c r="E390" s="26"/>
      <c r="F390" s="76">
        <f>-IF(AND(F356&gt;Assumptions!$F$26,F356&lt;=Assumptions!$F$30),Budget!$H$82*Assumptions!$M$194/Assumptions!$M$193,0)</f>
        <v>0</v>
      </c>
      <c r="G390" s="76">
        <f>-IF(AND(G356&gt;Assumptions!$F$26,G356&lt;=Assumptions!$F$30),Budget!$H$82*Assumptions!$M$194/Assumptions!$M$193,0)</f>
        <v>0</v>
      </c>
      <c r="H390" s="76">
        <f>-IF(AND(H356&gt;Assumptions!$F$26,H356&lt;=Assumptions!$F$30),Budget!$H$82*Assumptions!$M$194/Assumptions!$M$193,0)</f>
        <v>0</v>
      </c>
      <c r="I390" s="76">
        <f>-IF(AND(I356&gt;Assumptions!$F$26,I356&lt;=Assumptions!$F$30),Budget!$H$82*Assumptions!$M$194/Assumptions!$M$193,0)</f>
        <v>0</v>
      </c>
      <c r="J390" s="76">
        <f ca="1">-IF(AND(J356&gt;Assumptions!$F$26,J356&lt;=Assumptions!$F$30),Budget!$H$82*Assumptions!$M$194/Assumptions!$M$193,0)</f>
        <v>-11626027.406307843</v>
      </c>
      <c r="K390" s="76">
        <f ca="1">-IF(AND(K356&gt;Assumptions!$F$26,K356&lt;=Assumptions!$F$30),Budget!$H$82*Assumptions!$M$194/Assumptions!$M$193,0)</f>
        <v>-11626027.406307843</v>
      </c>
      <c r="L390" s="76">
        <f ca="1">-IF(AND(L356&gt;Assumptions!$F$26,L356&lt;=Assumptions!$F$30),Budget!$H$82*Assumptions!$M$194/Assumptions!$M$193,0)</f>
        <v>-11626027.406307843</v>
      </c>
      <c r="M390" s="76">
        <f ca="1">-IF(AND(M356&gt;Assumptions!$F$26,M356&lt;=Assumptions!$F$30),Budget!$H$82*Assumptions!$M$194/Assumptions!$M$193,0)</f>
        <v>-11626027.406307843</v>
      </c>
      <c r="N390" s="76">
        <f ca="1">-IF(AND(N356&gt;Assumptions!$F$26,N356&lt;=Assumptions!$F$30),Budget!$H$82*Assumptions!$M$194/Assumptions!$M$193,0)</f>
        <v>-11626027.406307843</v>
      </c>
      <c r="O390" s="76">
        <f ca="1">-IF(AND(O356&gt;Assumptions!$F$26,O356&lt;=Assumptions!$F$30),Budget!$H$82*Assumptions!$M$194/Assumptions!$M$193,0)</f>
        <v>-11626027.406307843</v>
      </c>
      <c r="P390" s="76">
        <f ca="1">-IF(AND(P356&gt;Assumptions!$F$26,P356&lt;=Assumptions!$F$30),Budget!$H$82*Assumptions!$M$194/Assumptions!$M$193,0)</f>
        <v>-11626027.406307843</v>
      </c>
      <c r="Q390" s="76">
        <f>-IF(AND(Q356&gt;Assumptions!$F$26,Q356&lt;=Assumptions!$F$30),Budget!$H$82*Assumptions!$M$194/Assumptions!$M$193,0)</f>
        <v>0</v>
      </c>
      <c r="R390" s="76">
        <f>-IF(AND(R356&gt;Assumptions!$F$26,R356&lt;=Assumptions!$F$30),Budget!$H$82*Assumptions!$M$194/Assumptions!$M$193,0)</f>
        <v>0</v>
      </c>
      <c r="S390" s="76">
        <f>-IF(AND(S356&gt;Assumptions!$F$26,S356&lt;=Assumptions!$F$30),Budget!$H$82*Assumptions!$M$194/Assumptions!$M$193,0)</f>
        <v>0</v>
      </c>
      <c r="T390" s="76">
        <f>-IF(AND(T356&gt;Assumptions!$F$26,T356&lt;=Assumptions!$F$30),Budget!$H$82*Assumptions!$M$194/Assumptions!$M$193,0)</f>
        <v>0</v>
      </c>
      <c r="U390" s="76">
        <f>-IF(AND(U356&gt;Assumptions!$F$26,U356&lt;=Assumptions!$F$30),Budget!$H$82*Assumptions!$M$194/Assumptions!$M$193,0)</f>
        <v>0</v>
      </c>
      <c r="V390" s="76">
        <f>-IF(AND(V356&gt;Assumptions!$F$26,V356&lt;=Assumptions!$F$30),Budget!$H$82*Assumptions!$M$194/Assumptions!$M$193,0)</f>
        <v>0</v>
      </c>
      <c r="W390" s="76">
        <f>-IF(AND(W356&gt;Assumptions!$F$26,W356&lt;=Assumptions!$F$30),Budget!$H$82*Assumptions!$M$194/Assumptions!$M$193,0)</f>
        <v>0</v>
      </c>
      <c r="X390" s="76">
        <f>-IF(AND(X356&gt;Assumptions!$F$26,X356&lt;=Assumptions!$F$30),Budget!$H$82*Assumptions!$M$194/Assumptions!$M$193,0)</f>
        <v>0</v>
      </c>
      <c r="Y390" s="76">
        <f>-IF(AND(Y356&gt;Assumptions!$F$26,Y356&lt;=Assumptions!$F$30),Budget!$H$82*Assumptions!$M$194/Assumptions!$M$193,0)</f>
        <v>0</v>
      </c>
      <c r="Z390" s="76">
        <f>-IF(AND(Z356&gt;Assumptions!$F$26,Z356&lt;=Assumptions!$F$30),Budget!$H$82*Assumptions!$M$194/Assumptions!$M$193,0)</f>
        <v>0</v>
      </c>
    </row>
    <row r="391" spans="2:26" ht="15.75">
      <c r="B391" s="15" t="s">
        <v>692</v>
      </c>
      <c r="D391" s="26">
        <f t="shared" si="289"/>
        <v>-203922199.4845179</v>
      </c>
      <c r="E391" s="26"/>
      <c r="F391" s="76">
        <f>-F363</f>
        <v>0</v>
      </c>
      <c r="G391" s="76">
        <f t="shared" ref="G391:Z391" si="291">-G363</f>
        <v>0</v>
      </c>
      <c r="H391" s="76">
        <f t="shared" si="291"/>
        <v>0</v>
      </c>
      <c r="I391" s="76">
        <f t="shared" si="291"/>
        <v>-12016188.963525906</v>
      </c>
      <c r="J391" s="76">
        <f t="shared" si="291"/>
        <v>-25827452.525288329</v>
      </c>
      <c r="K391" s="76">
        <f t="shared" si="291"/>
        <v>-25747911.80640661</v>
      </c>
      <c r="L391" s="76">
        <f t="shared" si="291"/>
        <v>-27602376.045646325</v>
      </c>
      <c r="M391" s="76">
        <f t="shared" si="291"/>
        <v>-27877868.016138669</v>
      </c>
      <c r="N391" s="76">
        <f t="shared" si="291"/>
        <v>-28079078.43455765</v>
      </c>
      <c r="O391" s="76">
        <f t="shared" si="291"/>
        <v>-28248511.462811407</v>
      </c>
      <c r="P391" s="76">
        <f t="shared" si="291"/>
        <v>-28522812.230143007</v>
      </c>
      <c r="Q391" s="76">
        <f t="shared" si="291"/>
        <v>0</v>
      </c>
      <c r="R391" s="76">
        <f t="shared" si="291"/>
        <v>0</v>
      </c>
      <c r="S391" s="76">
        <f t="shared" si="291"/>
        <v>0</v>
      </c>
      <c r="T391" s="76">
        <f t="shared" si="291"/>
        <v>0</v>
      </c>
      <c r="U391" s="76">
        <f t="shared" si="291"/>
        <v>0</v>
      </c>
      <c r="V391" s="76">
        <f t="shared" si="291"/>
        <v>0</v>
      </c>
      <c r="W391" s="76">
        <f t="shared" si="291"/>
        <v>0</v>
      </c>
      <c r="X391" s="76">
        <f t="shared" si="291"/>
        <v>0</v>
      </c>
      <c r="Y391" s="76">
        <f t="shared" si="291"/>
        <v>0</v>
      </c>
      <c r="Z391" s="76">
        <f t="shared" si="291"/>
        <v>0</v>
      </c>
    </row>
    <row r="392" spans="2:26" ht="15.75">
      <c r="B392" s="15" t="s">
        <v>681</v>
      </c>
      <c r="D392" s="26">
        <f t="shared" ca="1" si="289"/>
        <v>-483214541.7062313</v>
      </c>
      <c r="E392" s="26"/>
      <c r="F392" s="76">
        <f t="shared" ref="F392:Z392" si="292">-F364</f>
        <v>0</v>
      </c>
      <c r="G392" s="76">
        <f t="shared" si="292"/>
        <v>0</v>
      </c>
      <c r="H392" s="76">
        <f t="shared" si="292"/>
        <v>-25500000</v>
      </c>
      <c r="I392" s="76">
        <f t="shared" si="292"/>
        <v>0</v>
      </c>
      <c r="J392" s="76">
        <f t="shared" si="292"/>
        <v>0</v>
      </c>
      <c r="K392" s="76">
        <f t="shared" si="292"/>
        <v>0</v>
      </c>
      <c r="L392" s="76">
        <f t="shared" si="292"/>
        <v>0</v>
      </c>
      <c r="M392" s="76">
        <f t="shared" si="292"/>
        <v>0</v>
      </c>
      <c r="N392" s="76">
        <f t="shared" si="292"/>
        <v>0</v>
      </c>
      <c r="O392" s="76">
        <f t="shared" si="292"/>
        <v>0</v>
      </c>
      <c r="P392" s="76">
        <f t="shared" ca="1" si="292"/>
        <v>-457714541.7062313</v>
      </c>
      <c r="Q392" s="76">
        <f t="shared" si="292"/>
        <v>0</v>
      </c>
      <c r="R392" s="76">
        <f t="shared" si="292"/>
        <v>0</v>
      </c>
      <c r="S392" s="76">
        <f t="shared" si="292"/>
        <v>0</v>
      </c>
      <c r="T392" s="76">
        <f t="shared" si="292"/>
        <v>0</v>
      </c>
      <c r="U392" s="76">
        <f t="shared" si="292"/>
        <v>0</v>
      </c>
      <c r="V392" s="76">
        <f t="shared" si="292"/>
        <v>0</v>
      </c>
      <c r="W392" s="76">
        <f t="shared" si="292"/>
        <v>0</v>
      </c>
      <c r="X392" s="76">
        <f t="shared" si="292"/>
        <v>0</v>
      </c>
      <c r="Y392" s="76">
        <f t="shared" si="292"/>
        <v>0</v>
      </c>
      <c r="Z392" s="76">
        <f t="shared" si="292"/>
        <v>0</v>
      </c>
    </row>
    <row r="393" spans="2:26" ht="15.75">
      <c r="B393" s="15" t="s">
        <v>693</v>
      </c>
      <c r="D393" s="26">
        <f t="shared" ca="1" si="289"/>
        <v>263315767.00115415</v>
      </c>
      <c r="E393" s="26"/>
      <c r="F393" s="76">
        <f>-IF(YEAR(F356)=YEAR(Assumptions!$F$30),SUM(F387:F392),0)</f>
        <v>0</v>
      </c>
      <c r="G393" s="76">
        <f>-IF(YEAR(G356)=YEAR(Assumptions!$F$30),SUM(G387:G392),0)</f>
        <v>0</v>
      </c>
      <c r="H393" s="76">
        <f>-IF(YEAR(H356)=YEAR(Assumptions!$F$30),SUM(H387:H392),0)</f>
        <v>0</v>
      </c>
      <c r="I393" s="76">
        <f>-IF(YEAR(I356)=YEAR(Assumptions!$F$30),SUM(I387:I392),0)</f>
        <v>0</v>
      </c>
      <c r="J393" s="76">
        <f>-IF(YEAR(J356)=YEAR(Assumptions!$F$30),SUM(J387:J392),0)</f>
        <v>0</v>
      </c>
      <c r="K393" s="76">
        <f>-IF(YEAR(K356)=YEAR(Assumptions!$F$30),SUM(K387:K392),0)</f>
        <v>0</v>
      </c>
      <c r="L393" s="76">
        <f>-IF(YEAR(L356)=YEAR(Assumptions!$F$30),SUM(L387:L392),0)</f>
        <v>0</v>
      </c>
      <c r="M393" s="76">
        <f>-IF(YEAR(M356)=YEAR(Assumptions!$F$30),SUM(M387:M392),0)</f>
        <v>0</v>
      </c>
      <c r="N393" s="76">
        <f>-IF(YEAR(N356)=YEAR(Assumptions!$F$30),SUM(N387:N392),0)</f>
        <v>0</v>
      </c>
      <c r="O393" s="76">
        <f>-IF(YEAR(O356)=YEAR(Assumptions!$F$30),SUM(O387:O392),0)</f>
        <v>0</v>
      </c>
      <c r="P393" s="76">
        <f ca="1">-IF(YEAR(P356)=YEAR(Assumptions!$F$30),SUM(P387:P392),0)</f>
        <v>263315767.00115415</v>
      </c>
      <c r="Q393" s="76">
        <f>-IF(YEAR(Q356)=YEAR(Assumptions!$F$30),SUM(Q387:Q392),0)</f>
        <v>0</v>
      </c>
      <c r="R393" s="76">
        <f>-IF(YEAR(R356)=YEAR(Assumptions!$F$30),SUM(R387:R392),0)</f>
        <v>0</v>
      </c>
      <c r="S393" s="76">
        <f>-IF(YEAR(S356)=YEAR(Assumptions!$F$30),SUM(S387:S392),0)</f>
        <v>0</v>
      </c>
      <c r="T393" s="76">
        <f>-IF(YEAR(T356)=YEAR(Assumptions!$F$30),SUM(T387:T392),0)</f>
        <v>0</v>
      </c>
      <c r="U393" s="76">
        <f>-IF(YEAR(U356)=YEAR(Assumptions!$F$30),SUM(U387:U392),0)</f>
        <v>0</v>
      </c>
      <c r="V393" s="76">
        <f>-IF(YEAR(V356)=YEAR(Assumptions!$F$30),SUM(V387:V392),0)</f>
        <v>0</v>
      </c>
      <c r="W393" s="76">
        <f>-IF(YEAR(W356)=YEAR(Assumptions!$F$30),SUM(W387:W392),0)</f>
        <v>0</v>
      </c>
      <c r="X393" s="76">
        <f>-IF(YEAR(X356)=YEAR(Assumptions!$F$30),SUM(X387:X392),0)</f>
        <v>0</v>
      </c>
      <c r="Y393" s="76">
        <f>-IF(YEAR(Y356)=YEAR(Assumptions!$F$30),SUM(Y387:Y392),0)</f>
        <v>0</v>
      </c>
      <c r="Z393" s="76">
        <f>-IF(YEAR(Z356)=YEAR(Assumptions!$F$30),SUM(Z387:Z392),0)</f>
        <v>0</v>
      </c>
    </row>
    <row r="394" spans="2:26" ht="15.75">
      <c r="B394" s="62" t="s">
        <v>694</v>
      </c>
      <c r="C394" s="62"/>
      <c r="D394" s="18">
        <f t="shared" ref="D394" ca="1" si="293">+SUM(F394:Z394)</f>
        <v>2222224968.4189286</v>
      </c>
      <c r="E394" s="58"/>
      <c r="F394" s="58">
        <f ca="1">+SUM(F387:F393)</f>
        <v>86569817.956540704</v>
      </c>
      <c r="G394" s="58">
        <f t="shared" ref="G394:Z394" ca="1" si="294">+SUM(G387:G393)</f>
        <v>243702047.93933213</v>
      </c>
      <c r="H394" s="58">
        <f t="shared" ca="1" si="294"/>
        <v>285354993.71839958</v>
      </c>
      <c r="I394" s="58">
        <f t="shared" ca="1" si="294"/>
        <v>285354993.71839958</v>
      </c>
      <c r="J394" s="58">
        <f t="shared" ca="1" si="294"/>
        <v>273728966.31209177</v>
      </c>
      <c r="K394" s="58">
        <f t="shared" ca="1" si="294"/>
        <v>262102938.90578395</v>
      </c>
      <c r="L394" s="58">
        <f t="shared" ca="1" si="294"/>
        <v>250476911.49947613</v>
      </c>
      <c r="M394" s="58">
        <f t="shared" ca="1" si="294"/>
        <v>238850884.09316829</v>
      </c>
      <c r="N394" s="58">
        <f t="shared" ca="1" si="294"/>
        <v>217650829.51769283</v>
      </c>
      <c r="O394" s="58">
        <f t="shared" ca="1" si="294"/>
        <v>206024802.11138499</v>
      </c>
      <c r="P394" s="58">
        <f t="shared" ca="1" si="294"/>
        <v>0</v>
      </c>
      <c r="Q394" s="58">
        <f t="shared" ca="1" si="294"/>
        <v>0</v>
      </c>
      <c r="R394" s="58">
        <f t="shared" ca="1" si="294"/>
        <v>0</v>
      </c>
      <c r="S394" s="58">
        <f t="shared" ca="1" si="294"/>
        <v>0</v>
      </c>
      <c r="T394" s="58">
        <f t="shared" ca="1" si="294"/>
        <v>0</v>
      </c>
      <c r="U394" s="58">
        <f t="shared" ca="1" si="294"/>
        <v>0</v>
      </c>
      <c r="V394" s="58">
        <f t="shared" ca="1" si="294"/>
        <v>0</v>
      </c>
      <c r="W394" s="58">
        <f t="shared" ca="1" si="294"/>
        <v>0</v>
      </c>
      <c r="X394" s="58">
        <f t="shared" ca="1" si="294"/>
        <v>0</v>
      </c>
      <c r="Y394" s="58">
        <f t="shared" ca="1" si="294"/>
        <v>0</v>
      </c>
      <c r="Z394" s="58">
        <f t="shared" ca="1" si="294"/>
        <v>0</v>
      </c>
    </row>
    <row r="396" spans="2:26" ht="15.75">
      <c r="B396" s="444" t="s">
        <v>695</v>
      </c>
      <c r="C396" s="445"/>
      <c r="D396" s="445"/>
      <c r="E396" s="445"/>
      <c r="F396" s="640">
        <f>+F356</f>
        <v>44561</v>
      </c>
      <c r="G396" s="640">
        <f t="shared" ref="G396:Z396" si="295">+G356</f>
        <v>44926</v>
      </c>
      <c r="H396" s="640">
        <f t="shared" si="295"/>
        <v>45291</v>
      </c>
      <c r="I396" s="640">
        <f t="shared" si="295"/>
        <v>45657</v>
      </c>
      <c r="J396" s="640">
        <f t="shared" si="295"/>
        <v>46022</v>
      </c>
      <c r="K396" s="640">
        <f t="shared" si="295"/>
        <v>46387</v>
      </c>
      <c r="L396" s="640">
        <f t="shared" si="295"/>
        <v>46752</v>
      </c>
      <c r="M396" s="640">
        <f t="shared" si="295"/>
        <v>47118</v>
      </c>
      <c r="N396" s="640">
        <f t="shared" si="295"/>
        <v>47483</v>
      </c>
      <c r="O396" s="640">
        <f t="shared" si="295"/>
        <v>47848</v>
      </c>
      <c r="P396" s="640">
        <f t="shared" si="295"/>
        <v>48213</v>
      </c>
      <c r="Q396" s="640">
        <f t="shared" si="295"/>
        <v>48579</v>
      </c>
      <c r="R396" s="640">
        <f t="shared" si="295"/>
        <v>48944</v>
      </c>
      <c r="S396" s="640">
        <f t="shared" si="295"/>
        <v>49309</v>
      </c>
      <c r="T396" s="640">
        <f t="shared" si="295"/>
        <v>49674</v>
      </c>
      <c r="U396" s="640">
        <f t="shared" si="295"/>
        <v>50040</v>
      </c>
      <c r="V396" s="640">
        <f t="shared" si="295"/>
        <v>50405</v>
      </c>
      <c r="W396" s="640">
        <f t="shared" si="295"/>
        <v>50770</v>
      </c>
      <c r="X396" s="640">
        <f t="shared" si="295"/>
        <v>51135</v>
      </c>
      <c r="Y396" s="640">
        <f t="shared" si="295"/>
        <v>51501</v>
      </c>
      <c r="Z396" s="640">
        <f t="shared" si="295"/>
        <v>51866</v>
      </c>
    </row>
    <row r="397" spans="2:26" ht="15.75">
      <c r="B397" s="54"/>
    </row>
    <row r="398" spans="2:26" ht="15.75">
      <c r="B398" s="73" t="s">
        <v>696</v>
      </c>
      <c r="F398" s="73">
        <v>0</v>
      </c>
      <c r="G398" s="73">
        <f>+F398+1</f>
        <v>1</v>
      </c>
      <c r="H398" s="73">
        <f t="shared" ref="H398" si="296">+G398+1</f>
        <v>2</v>
      </c>
      <c r="I398" s="73">
        <f>+H398+1</f>
        <v>3</v>
      </c>
      <c r="J398" s="73">
        <f>+I398+1</f>
        <v>4</v>
      </c>
      <c r="K398" s="73">
        <f t="shared" ref="K398" si="297">+J398+1</f>
        <v>5</v>
      </c>
      <c r="L398" s="73">
        <f t="shared" ref="L398" si="298">+K398+1</f>
        <v>6</v>
      </c>
      <c r="M398" s="73">
        <f t="shared" ref="M398" si="299">+L398+1</f>
        <v>7</v>
      </c>
      <c r="N398" s="73">
        <f t="shared" ref="N398" si="300">+M398+1</f>
        <v>8</v>
      </c>
      <c r="O398" s="73">
        <f t="shared" ref="O398" si="301">+N398+1</f>
        <v>9</v>
      </c>
      <c r="P398" s="73">
        <f t="shared" ref="P398" si="302">+O398+1</f>
        <v>10</v>
      </c>
      <c r="Q398" s="73">
        <f t="shared" ref="Q398" si="303">+P398+1</f>
        <v>11</v>
      </c>
      <c r="R398" s="73">
        <f t="shared" ref="R398" si="304">+Q398+1</f>
        <v>12</v>
      </c>
      <c r="S398" s="73">
        <f t="shared" ref="S398" si="305">+R398+1</f>
        <v>13</v>
      </c>
      <c r="T398" s="73">
        <f t="shared" ref="T398" si="306">+S398+1</f>
        <v>14</v>
      </c>
      <c r="U398" s="73">
        <f t="shared" ref="U398" si="307">+T398+1</f>
        <v>15</v>
      </c>
      <c r="V398" s="73">
        <f t="shared" ref="V398" si="308">+U398+1</f>
        <v>16</v>
      </c>
      <c r="W398" s="73">
        <f t="shared" ref="W398" si="309">+V398+1</f>
        <v>17</v>
      </c>
      <c r="X398" s="73">
        <f t="shared" ref="X398" si="310">+W398+1</f>
        <v>18</v>
      </c>
      <c r="Y398" s="73">
        <f t="shared" ref="Y398" si="311">+X398+1</f>
        <v>19</v>
      </c>
      <c r="Z398" s="73">
        <f t="shared" ref="Z398" si="312">+Y398+1</f>
        <v>20</v>
      </c>
    </row>
    <row r="399" spans="2:26" ht="15.75">
      <c r="B399" s="15" t="s">
        <v>676</v>
      </c>
      <c r="D399" s="26"/>
      <c r="E399" s="26"/>
      <c r="F399" s="16">
        <f ca="1">+F$306</f>
        <v>-86569817.956540704</v>
      </c>
      <c r="G399" s="16">
        <f t="shared" ref="G399:Z399" ca="1" si="313">+G$306</f>
        <v>-12663221.150123715</v>
      </c>
      <c r="H399" s="16">
        <f t="shared" ca="1" si="313"/>
        <v>0</v>
      </c>
      <c r="I399" s="16">
        <f ca="1">+I$306</f>
        <v>0</v>
      </c>
      <c r="J399" s="16">
        <f t="shared" ca="1" si="313"/>
        <v>0</v>
      </c>
      <c r="K399" s="16">
        <f t="shared" ca="1" si="313"/>
        <v>0</v>
      </c>
      <c r="L399" s="16">
        <f t="shared" ca="1" si="313"/>
        <v>0</v>
      </c>
      <c r="M399" s="16">
        <f t="shared" ca="1" si="313"/>
        <v>0</v>
      </c>
      <c r="N399" s="16">
        <f t="shared" ca="1" si="313"/>
        <v>0</v>
      </c>
      <c r="O399" s="16">
        <f t="shared" ca="1" si="313"/>
        <v>0</v>
      </c>
      <c r="P399" s="16">
        <f t="shared" ca="1" si="313"/>
        <v>0</v>
      </c>
      <c r="Q399" s="16">
        <f t="shared" ca="1" si="313"/>
        <v>0</v>
      </c>
      <c r="R399" s="16">
        <f t="shared" ca="1" si="313"/>
        <v>0</v>
      </c>
      <c r="S399" s="16">
        <f t="shared" ca="1" si="313"/>
        <v>0</v>
      </c>
      <c r="T399" s="16">
        <f t="shared" ca="1" si="313"/>
        <v>0</v>
      </c>
      <c r="U399" s="16">
        <f t="shared" ca="1" si="313"/>
        <v>0</v>
      </c>
      <c r="V399" s="16">
        <f t="shared" ca="1" si="313"/>
        <v>0</v>
      </c>
      <c r="W399" s="16">
        <f t="shared" ca="1" si="313"/>
        <v>0</v>
      </c>
      <c r="X399" s="16">
        <f t="shared" ca="1" si="313"/>
        <v>0</v>
      </c>
      <c r="Y399" s="16">
        <f t="shared" ca="1" si="313"/>
        <v>0</v>
      </c>
      <c r="Z399" s="16">
        <f t="shared" ca="1" si="313"/>
        <v>0</v>
      </c>
    </row>
    <row r="400" spans="2:26" ht="15.75">
      <c r="B400" s="15" t="s">
        <v>677</v>
      </c>
      <c r="D400" s="26"/>
      <c r="E400" s="26"/>
      <c r="F400" s="76">
        <v>0</v>
      </c>
      <c r="G400" s="76">
        <v>0</v>
      </c>
      <c r="H400" s="76">
        <v>0</v>
      </c>
      <c r="I400" s="76">
        <v>0</v>
      </c>
      <c r="J400" s="76">
        <v>0</v>
      </c>
      <c r="K400" s="76">
        <v>0</v>
      </c>
      <c r="L400" s="76">
        <v>0</v>
      </c>
      <c r="M400" s="76">
        <v>0</v>
      </c>
      <c r="N400" s="76">
        <v>0</v>
      </c>
      <c r="O400" s="76">
        <v>0</v>
      </c>
      <c r="P400" s="76">
        <v>0</v>
      </c>
      <c r="Q400" s="76">
        <v>0</v>
      </c>
      <c r="R400" s="76">
        <v>0</v>
      </c>
      <c r="S400" s="76">
        <v>0</v>
      </c>
      <c r="T400" s="76">
        <v>0</v>
      </c>
      <c r="U400" s="76">
        <v>0</v>
      </c>
      <c r="V400" s="76">
        <v>0</v>
      </c>
      <c r="W400" s="76">
        <v>0</v>
      </c>
      <c r="X400" s="76">
        <v>0</v>
      </c>
      <c r="Y400" s="76">
        <v>0</v>
      </c>
      <c r="Z400" s="76">
        <v>0</v>
      </c>
    </row>
    <row r="401" spans="2:26" ht="15.75">
      <c r="B401" s="15" t="s">
        <v>678</v>
      </c>
      <c r="D401" s="26"/>
      <c r="E401" s="26"/>
      <c r="F401" s="76">
        <v>0</v>
      </c>
      <c r="G401" s="76">
        <v>0</v>
      </c>
      <c r="H401" s="76">
        <v>0</v>
      </c>
      <c r="I401" s="76">
        <v>0</v>
      </c>
      <c r="J401" s="76">
        <v>0</v>
      </c>
      <c r="K401" s="76">
        <v>0</v>
      </c>
      <c r="L401" s="76">
        <v>0</v>
      </c>
      <c r="M401" s="76">
        <v>0</v>
      </c>
      <c r="N401" s="76">
        <v>0</v>
      </c>
      <c r="O401" s="76">
        <v>0</v>
      </c>
      <c r="P401" s="76">
        <v>0</v>
      </c>
      <c r="Q401" s="76">
        <v>0</v>
      </c>
      <c r="R401" s="76">
        <v>0</v>
      </c>
      <c r="S401" s="76">
        <v>0</v>
      </c>
      <c r="T401" s="76">
        <v>0</v>
      </c>
      <c r="U401" s="76">
        <v>0</v>
      </c>
      <c r="V401" s="76">
        <v>0</v>
      </c>
      <c r="W401" s="76">
        <v>0</v>
      </c>
      <c r="X401" s="76">
        <v>0</v>
      </c>
      <c r="Y401" s="76">
        <v>0</v>
      </c>
      <c r="Z401" s="76">
        <v>0</v>
      </c>
    </row>
    <row r="402" spans="2:26" ht="15.75">
      <c r="B402" s="15" t="s">
        <v>697</v>
      </c>
      <c r="D402" s="26"/>
      <c r="E402" s="26"/>
      <c r="F402" s="76">
        <f>-SUM(F429:F430)*Assumptions!$M$192</f>
        <v>0</v>
      </c>
      <c r="G402" s="76">
        <f>-SUM(G429:G430)*Assumptions!$M$192</f>
        <v>0</v>
      </c>
      <c r="H402" s="76">
        <f>-SUM(H429:H430)*Assumptions!$M$192</f>
        <v>0</v>
      </c>
      <c r="I402" s="76">
        <f>-SUM(I429:I430)*Assumptions!$M$192</f>
        <v>1319893.6467545913</v>
      </c>
      <c r="J402" s="76">
        <f ca="1">-SUM(J429:J430)*Assumptions!$M$192</f>
        <v>817359.24881165382</v>
      </c>
      <c r="K402" s="76">
        <f ca="1">-SUM(K429:K430)*Assumptions!$M$192</f>
        <v>787591.73213500192</v>
      </c>
      <c r="L402" s="76">
        <f ca="1">-SUM(L429:L430)*Assumptions!$M$192</f>
        <v>348662.55485613254</v>
      </c>
      <c r="M402" s="76">
        <f ca="1">-SUM(M429:M430)*Assumptions!$M$192</f>
        <v>238100.59435670552</v>
      </c>
      <c r="N402" s="76">
        <f ca="1">-SUM(N429:N430)*Assumptions!$M$192</f>
        <v>139711.69775744347</v>
      </c>
      <c r="O402" s="76">
        <f ca="1">-SUM(O429:O430)*Assumptions!$M$192</f>
        <v>44347.29702534595</v>
      </c>
      <c r="P402" s="76">
        <f ca="1">-SUM(P429:P430)*Assumptions!$M$192</f>
        <v>-76925.254125022489</v>
      </c>
      <c r="Q402" s="76">
        <f>-SUM(Q429:Q430)*Assumptions!$M$192</f>
        <v>0</v>
      </c>
      <c r="R402" s="76">
        <f>-SUM(R429:R430)*Assumptions!$M$192</f>
        <v>0</v>
      </c>
      <c r="S402" s="76">
        <f>-SUM(S429:S430)*Assumptions!$M$192</f>
        <v>0</v>
      </c>
      <c r="T402" s="76">
        <f>-SUM(T429:T430)*Assumptions!$M$192</f>
        <v>0</v>
      </c>
      <c r="U402" s="76">
        <f>-SUM(U429:U430)*Assumptions!$M$192</f>
        <v>0</v>
      </c>
      <c r="V402" s="76">
        <f>-SUM(V429:V430)*Assumptions!$M$192</f>
        <v>0</v>
      </c>
      <c r="W402" s="76">
        <f>-SUM(W429:W430)*Assumptions!$M$192</f>
        <v>0</v>
      </c>
      <c r="X402" s="76">
        <f>-SUM(X429:X430)*Assumptions!$M$192</f>
        <v>0</v>
      </c>
      <c r="Y402" s="76">
        <f>-SUM(Y429:Y430)*Assumptions!$M$192</f>
        <v>0</v>
      </c>
      <c r="Z402" s="76">
        <f>-SUM(Z429:Z430)*Assumptions!$M$192</f>
        <v>0</v>
      </c>
    </row>
    <row r="403" spans="2:26" ht="15.75">
      <c r="B403" s="15" t="s">
        <v>698</v>
      </c>
      <c r="D403" s="26"/>
      <c r="E403" s="26"/>
      <c r="F403" s="76">
        <f>+IF(YEAR(F$139)&lt;=YEAR(Assumptions!$F$30),F266+F221+F151,0)</f>
        <v>0</v>
      </c>
      <c r="G403" s="76">
        <f>+IF(YEAR(G$139)&lt;=YEAR(Assumptions!$F$30),G266+G221+G151,0)</f>
        <v>0</v>
      </c>
      <c r="H403" s="76">
        <f>+IF(YEAR(H$139)&lt;=YEAR(Assumptions!$F$30),H266+H221+H151,0)</f>
        <v>0</v>
      </c>
      <c r="I403" s="76">
        <f ca="1">+IF(YEAR(I$139)&lt;=YEAR(Assumptions!$F$30),I266+I221+I151,0)</f>
        <v>-10962201.200303458</v>
      </c>
      <c r="J403" s="76">
        <f ca="1">+IF(YEAR(J$139)&lt;=YEAR(Assumptions!$F$30),J266+J221+J151,0)</f>
        <v>5979836.4010027135</v>
      </c>
      <c r="K403" s="76">
        <f ca="1">+IF(YEAR(K$139)&lt;=YEAR(Assumptions!$F$30),K266+K221+K151,0)</f>
        <v>6157185.7452014135</v>
      </c>
      <c r="L403" s="76">
        <f ca="1">+IF(YEAR(L$139)&lt;=YEAR(Assumptions!$F$30),L266+L221+L151,0)</f>
        <v>8089716.1966364617</v>
      </c>
      <c r="M403" s="76">
        <f ca="1">+IF(YEAR(M$139)&lt;=YEAR(Assumptions!$F$30),M266+M221+M151,0)</f>
        <v>8404916.6869085431</v>
      </c>
      <c r="N403" s="76">
        <f ca="1">+IF(YEAR(N$139)&lt;=YEAR(Assumptions!$F$30),N266+N221+N151,0)</f>
        <v>8687347.1924955491</v>
      </c>
      <c r="O403" s="76">
        <f ca="1">+IF(YEAR(O$139)&lt;=YEAR(Assumptions!$F$30),O266+O221+O151,0)</f>
        <v>8939624.7096606903</v>
      </c>
      <c r="P403" s="76">
        <f ca="1">+IF(YEAR(P$139)&lt;=YEAR(Assumptions!$F$30),P266+P221+P151,0)</f>
        <v>9257709.4586892091</v>
      </c>
      <c r="Q403" s="76">
        <f>+IF(YEAR(Q$139)&lt;=YEAR(Assumptions!$F$30),Q266+Q221+Q151,0)</f>
        <v>0</v>
      </c>
      <c r="R403" s="76">
        <f>+IF(YEAR(R$139)&lt;=YEAR(Assumptions!$F$30),R266+R221+R151,0)</f>
        <v>0</v>
      </c>
      <c r="S403" s="76">
        <f>+IF(YEAR(S$139)&lt;=YEAR(Assumptions!$F$30),S266+S221+S151,0)</f>
        <v>0</v>
      </c>
      <c r="T403" s="76">
        <f>+IF(YEAR(T$139)&lt;=YEAR(Assumptions!$F$30),T266+T221+T151,0)</f>
        <v>0</v>
      </c>
      <c r="U403" s="76">
        <f>+IF(YEAR(U$139)&lt;=YEAR(Assumptions!$F$30),U266+U221+U151,0)</f>
        <v>0</v>
      </c>
      <c r="V403" s="76">
        <f>+IF(YEAR(V$139)&lt;=YEAR(Assumptions!$F$30),V266+V221+V151,0)</f>
        <v>0</v>
      </c>
      <c r="W403" s="76">
        <f>+IF(YEAR(W$139)&lt;=YEAR(Assumptions!$F$30),W266+W221+W151,0)</f>
        <v>0</v>
      </c>
      <c r="X403" s="76">
        <f>+IF(YEAR(X$139)&lt;=YEAR(Assumptions!$F$30),X266+X221+X151,0)</f>
        <v>0</v>
      </c>
      <c r="Y403" s="76">
        <f>+IF(YEAR(Y$139)&lt;=YEAR(Assumptions!$F$30),Y266+Y221+Y151,0)</f>
        <v>0</v>
      </c>
      <c r="Z403" s="76">
        <f>+IF(YEAR(Z$139)&lt;=YEAR(Assumptions!$F$30),Z266+Z221+Z151,0)</f>
        <v>0</v>
      </c>
    </row>
    <row r="404" spans="2:26" ht="15.75">
      <c r="B404" s="15" t="s">
        <v>699</v>
      </c>
      <c r="D404" s="26"/>
      <c r="E404" s="26"/>
      <c r="F404" s="76">
        <f>-IF(YEAR(F$139)&lt;=YEAR(Assumptions!$F$30),F432,0)</f>
        <v>0</v>
      </c>
      <c r="G404" s="76">
        <f>-IF(YEAR(G$139)&lt;=YEAR(Assumptions!$F$30),G432,0)</f>
        <v>0</v>
      </c>
      <c r="H404" s="76">
        <f>-IF(YEAR(H$139)&lt;=YEAR(Assumptions!$F$30),H432,0)</f>
        <v>0</v>
      </c>
      <c r="I404" s="76">
        <f ca="1">-IF(YEAR(I$139)&lt;=YEAR(Assumptions!$F$30),I432,0)</f>
        <v>34980880.000533104</v>
      </c>
      <c r="J404" s="76">
        <f>-IF(YEAR(J$139)&lt;=YEAR(Assumptions!$F$30),J432,0)</f>
        <v>0</v>
      </c>
      <c r="K404" s="76">
        <f>-IF(YEAR(K$139)&lt;=YEAR(Assumptions!$F$30),K432,0)</f>
        <v>0</v>
      </c>
      <c r="L404" s="76">
        <f>-IF(YEAR(L$139)&lt;=YEAR(Assumptions!$F$30),L432,0)</f>
        <v>0</v>
      </c>
      <c r="M404" s="76">
        <f>-IF(YEAR(M$139)&lt;=YEAR(Assumptions!$F$30),M432,0)</f>
        <v>0</v>
      </c>
      <c r="N404" s="76">
        <f>-IF(YEAR(N$139)&lt;=YEAR(Assumptions!$F$30),N432,0)</f>
        <v>0</v>
      </c>
      <c r="O404" s="76">
        <f>-IF(YEAR(O$139)&lt;=YEAR(Assumptions!$F$30),O432,0)</f>
        <v>0</v>
      </c>
      <c r="P404" s="76">
        <f ca="1">-IF(YEAR(P$139)&lt;=YEAR(Assumptions!$F$30),P432,0)</f>
        <v>207828472.06390071</v>
      </c>
      <c r="Q404" s="76">
        <f>-IF(YEAR(Q$139)&lt;=YEAR(Assumptions!$F$30),Q432,0)</f>
        <v>0</v>
      </c>
      <c r="R404" s="76">
        <f>-IF(YEAR(R$139)&lt;=YEAR(Assumptions!$F$30),R432,0)</f>
        <v>0</v>
      </c>
      <c r="S404" s="76">
        <f>-IF(YEAR(S$139)&lt;=YEAR(Assumptions!$F$30),S432,0)</f>
        <v>0</v>
      </c>
      <c r="T404" s="76">
        <f>-IF(YEAR(T$139)&lt;=YEAR(Assumptions!$F$30),T432,0)</f>
        <v>0</v>
      </c>
      <c r="U404" s="76">
        <f>-IF(YEAR(U$139)&lt;=YEAR(Assumptions!$F$30),U432,0)</f>
        <v>0</v>
      </c>
      <c r="V404" s="76">
        <f>-IF(YEAR(V$139)&lt;=YEAR(Assumptions!$F$30),V432,0)</f>
        <v>0</v>
      </c>
      <c r="W404" s="76">
        <f>-IF(YEAR(W$139)&lt;=YEAR(Assumptions!$F$30),W432,0)</f>
        <v>0</v>
      </c>
      <c r="X404" s="76">
        <f>-IF(YEAR(X$139)&lt;=YEAR(Assumptions!$F$30),X432,0)</f>
        <v>0</v>
      </c>
      <c r="Y404" s="76">
        <f>-IF(YEAR(Y$139)&lt;=YEAR(Assumptions!$F$30),Y432,0)</f>
        <v>0</v>
      </c>
      <c r="Z404" s="76">
        <f>-IF(YEAR(Z$139)&lt;=YEAR(Assumptions!$F$30),Z432,0)</f>
        <v>0</v>
      </c>
    </row>
    <row r="405" spans="2:26" ht="15.75">
      <c r="B405" s="15" t="s">
        <v>682</v>
      </c>
      <c r="D405" s="26"/>
      <c r="E405" s="26"/>
      <c r="F405" s="76">
        <f>-F433*Assumptions!$M$192</f>
        <v>0</v>
      </c>
      <c r="G405" s="76">
        <f>-G433*Assumptions!$M$192</f>
        <v>0</v>
      </c>
      <c r="H405" s="76">
        <f>-H433*Assumptions!$M$192</f>
        <v>0</v>
      </c>
      <c r="I405" s="76">
        <f>-I433*Assumptions!$M$192</f>
        <v>0</v>
      </c>
      <c r="J405" s="76">
        <f>-J433*Assumptions!$M$192</f>
        <v>0</v>
      </c>
      <c r="K405" s="76">
        <f>-K433*Assumptions!$M$192</f>
        <v>0</v>
      </c>
      <c r="L405" s="76">
        <f>-L433*Assumptions!$M$192</f>
        <v>0</v>
      </c>
      <c r="M405" s="76">
        <f>-M433*Assumptions!$M$192</f>
        <v>0</v>
      </c>
      <c r="N405" s="76">
        <f>-N433*Assumptions!$M$192</f>
        <v>0</v>
      </c>
      <c r="O405" s="76">
        <f>-O433*Assumptions!$M$192</f>
        <v>0</v>
      </c>
      <c r="P405" s="76">
        <f ca="1">-P433*Assumptions!$M$192</f>
        <v>-48916647.834747545</v>
      </c>
      <c r="Q405" s="76">
        <f>-Q433*Assumptions!$M$192</f>
        <v>0</v>
      </c>
      <c r="R405" s="76">
        <f>-R433*Assumptions!$M$192</f>
        <v>0</v>
      </c>
      <c r="S405" s="76">
        <f>-S433*Assumptions!$M$192</f>
        <v>0</v>
      </c>
      <c r="T405" s="76">
        <f>-T433*Assumptions!$M$192</f>
        <v>0</v>
      </c>
      <c r="U405" s="76">
        <f>-U433*Assumptions!$M$192</f>
        <v>0</v>
      </c>
      <c r="V405" s="76">
        <f>-V433*Assumptions!$M$192</f>
        <v>0</v>
      </c>
      <c r="W405" s="76">
        <f>-W433*Assumptions!$M$192</f>
        <v>0</v>
      </c>
      <c r="X405" s="76">
        <f>-X433*Assumptions!$M$192</f>
        <v>0</v>
      </c>
      <c r="Y405" s="76">
        <f>-Y433*Assumptions!$M$192</f>
        <v>0</v>
      </c>
      <c r="Z405" s="76">
        <f>-Z433*Assumptions!$M$192</f>
        <v>0</v>
      </c>
    </row>
    <row r="406" spans="2:26" ht="15.75">
      <c r="B406" s="687" t="s">
        <v>675</v>
      </c>
      <c r="C406" s="687"/>
      <c r="D406" s="550">
        <f t="shared" ref="D406" ca="1" si="314">+SUM(F406:Z406)</f>
        <v>175417067.2527149</v>
      </c>
      <c r="E406" s="550"/>
      <c r="F406" s="550">
        <f t="shared" ref="F406:Z406" ca="1" si="315">+SUM(F399:F405)</f>
        <v>-51495790.787373006</v>
      </c>
      <c r="G406" s="550">
        <f t="shared" ca="1" si="315"/>
        <v>-12663221.150123715</v>
      </c>
      <c r="H406" s="550">
        <f t="shared" ca="1" si="315"/>
        <v>0</v>
      </c>
      <c r="I406" s="550">
        <f t="shared" ca="1" si="315"/>
        <v>26221192.771319404</v>
      </c>
      <c r="J406" s="550">
        <f t="shared" ca="1" si="315"/>
        <v>6058956.9749201192</v>
      </c>
      <c r="K406" s="550">
        <f t="shared" ca="1" si="315"/>
        <v>6511650.2030417984</v>
      </c>
      <c r="L406" s="550">
        <f t="shared" ca="1" si="315"/>
        <v>7880829.0934580928</v>
      </c>
      <c r="M406" s="550">
        <f t="shared" ca="1" si="315"/>
        <v>8098150.6208500275</v>
      </c>
      <c r="N406" s="550">
        <f t="shared" ca="1" si="315"/>
        <v>8405995.2286951449</v>
      </c>
      <c r="O406" s="550">
        <f t="shared" ca="1" si="315"/>
        <v>8720024.779054299</v>
      </c>
      <c r="P406" s="550">
        <f t="shared" ca="1" si="315"/>
        <v>167866032.58921146</v>
      </c>
      <c r="Q406" s="550">
        <f t="shared" ca="1" si="315"/>
        <v>0</v>
      </c>
      <c r="R406" s="550">
        <f t="shared" ca="1" si="315"/>
        <v>0</v>
      </c>
      <c r="S406" s="550">
        <f t="shared" ca="1" si="315"/>
        <v>0</v>
      </c>
      <c r="T406" s="550">
        <f t="shared" ca="1" si="315"/>
        <v>0</v>
      </c>
      <c r="U406" s="550">
        <f t="shared" ca="1" si="315"/>
        <v>0</v>
      </c>
      <c r="V406" s="550">
        <f t="shared" ca="1" si="315"/>
        <v>0</v>
      </c>
      <c r="W406" s="550">
        <f t="shared" ca="1" si="315"/>
        <v>0</v>
      </c>
      <c r="X406" s="550">
        <f t="shared" ca="1" si="315"/>
        <v>0</v>
      </c>
      <c r="Y406" s="550">
        <f t="shared" ca="1" si="315"/>
        <v>0</v>
      </c>
      <c r="Z406" s="550">
        <f t="shared" ca="1" si="315"/>
        <v>0</v>
      </c>
    </row>
    <row r="407" spans="2:26" ht="15.75">
      <c r="B407" s="54"/>
    </row>
    <row r="408" spans="2:26" ht="15.75">
      <c r="B408" s="539" t="s">
        <v>700</v>
      </c>
      <c r="C408" s="539"/>
      <c r="D408" s="711">
        <f ca="1">+IRR(F406:Z406)</f>
        <v>0.18348882078246898</v>
      </c>
      <c r="F408" s="242"/>
      <c r="G408" s="16"/>
    </row>
    <row r="409" spans="2:26" ht="15.75">
      <c r="B409" s="54"/>
      <c r="D409" s="49"/>
    </row>
    <row r="410" spans="2:26" ht="15.75">
      <c r="B410" s="73" t="s">
        <v>701</v>
      </c>
      <c r="F410" s="73">
        <f>+F398</f>
        <v>0</v>
      </c>
      <c r="G410" s="73">
        <f t="shared" ref="G410:Z410" si="316">+G398</f>
        <v>1</v>
      </c>
      <c r="H410" s="73">
        <f t="shared" si="316"/>
        <v>2</v>
      </c>
      <c r="I410" s="73">
        <f t="shared" si="316"/>
        <v>3</v>
      </c>
      <c r="J410" s="73">
        <f t="shared" si="316"/>
        <v>4</v>
      </c>
      <c r="K410" s="73">
        <f t="shared" si="316"/>
        <v>5</v>
      </c>
      <c r="L410" s="73">
        <f t="shared" si="316"/>
        <v>6</v>
      </c>
      <c r="M410" s="73">
        <f t="shared" si="316"/>
        <v>7</v>
      </c>
      <c r="N410" s="73">
        <f t="shared" si="316"/>
        <v>8</v>
      </c>
      <c r="O410" s="73">
        <f t="shared" si="316"/>
        <v>9</v>
      </c>
      <c r="P410" s="73">
        <f t="shared" si="316"/>
        <v>10</v>
      </c>
      <c r="Q410" s="73">
        <f t="shared" si="316"/>
        <v>11</v>
      </c>
      <c r="R410" s="73">
        <f t="shared" si="316"/>
        <v>12</v>
      </c>
      <c r="S410" s="73">
        <f t="shared" si="316"/>
        <v>13</v>
      </c>
      <c r="T410" s="73">
        <f t="shared" si="316"/>
        <v>14</v>
      </c>
      <c r="U410" s="73">
        <f t="shared" si="316"/>
        <v>15</v>
      </c>
      <c r="V410" s="73">
        <f t="shared" si="316"/>
        <v>16</v>
      </c>
      <c r="W410" s="73">
        <f t="shared" si="316"/>
        <v>17</v>
      </c>
      <c r="X410" s="73">
        <f t="shared" si="316"/>
        <v>18</v>
      </c>
      <c r="Y410" s="73">
        <f t="shared" si="316"/>
        <v>19</v>
      </c>
      <c r="Z410" s="73">
        <f t="shared" si="316"/>
        <v>20</v>
      </c>
    </row>
    <row r="411" spans="2:26" ht="15.75">
      <c r="B411" s="15" t="s">
        <v>676</v>
      </c>
      <c r="D411" s="26"/>
      <c r="E411" s="26"/>
      <c r="F411" s="16">
        <f ca="1">+F399</f>
        <v>-51495790.787373006</v>
      </c>
      <c r="G411" s="16">
        <f t="shared" ref="G411:Z411" ca="1" si="317">+G399</f>
        <v>-12663221.150123715</v>
      </c>
      <c r="H411" s="16">
        <f t="shared" ca="1" si="317"/>
        <v>0</v>
      </c>
      <c r="I411" s="16">
        <f t="shared" ca="1" si="317"/>
        <v>0</v>
      </c>
      <c r="J411" s="16">
        <f t="shared" ca="1" si="317"/>
        <v>0</v>
      </c>
      <c r="K411" s="16">
        <f t="shared" ca="1" si="317"/>
        <v>0</v>
      </c>
      <c r="L411" s="16">
        <f t="shared" ca="1" si="317"/>
        <v>0</v>
      </c>
      <c r="M411" s="16">
        <f t="shared" ca="1" si="317"/>
        <v>0</v>
      </c>
      <c r="N411" s="16">
        <f t="shared" ca="1" si="317"/>
        <v>0</v>
      </c>
      <c r="O411" s="16">
        <f t="shared" ca="1" si="317"/>
        <v>0</v>
      </c>
      <c r="P411" s="16">
        <f t="shared" ca="1" si="317"/>
        <v>0</v>
      </c>
      <c r="Q411" s="16">
        <f t="shared" ca="1" si="317"/>
        <v>0</v>
      </c>
      <c r="R411" s="16">
        <f t="shared" ca="1" si="317"/>
        <v>0</v>
      </c>
      <c r="S411" s="16">
        <f t="shared" ca="1" si="317"/>
        <v>0</v>
      </c>
      <c r="T411" s="16">
        <f t="shared" ca="1" si="317"/>
        <v>0</v>
      </c>
      <c r="U411" s="16">
        <f t="shared" ca="1" si="317"/>
        <v>0</v>
      </c>
      <c r="V411" s="16">
        <f t="shared" ca="1" si="317"/>
        <v>0</v>
      </c>
      <c r="W411" s="16">
        <f t="shared" ca="1" si="317"/>
        <v>0</v>
      </c>
      <c r="X411" s="16">
        <f t="shared" ca="1" si="317"/>
        <v>0</v>
      </c>
      <c r="Y411" s="16">
        <f t="shared" ca="1" si="317"/>
        <v>0</v>
      </c>
      <c r="Z411" s="16">
        <f t="shared" ca="1" si="317"/>
        <v>0</v>
      </c>
    </row>
    <row r="412" spans="2:26" ht="15.75">
      <c r="B412" s="15" t="s">
        <v>677</v>
      </c>
      <c r="D412" s="26"/>
      <c r="E412" s="26"/>
      <c r="F412" s="76">
        <f ca="1">-F411*Assumptions!$M$192</f>
        <v>10814116.065348331</v>
      </c>
      <c r="G412" s="76">
        <f ca="1">-G411*Assumptions!$M$192</f>
        <v>2659276.4415259804</v>
      </c>
      <c r="H412" s="76">
        <f ca="1">-H411*Assumptions!$M$192</f>
        <v>0</v>
      </c>
      <c r="I412" s="76">
        <f ca="1">-I411*Assumptions!$M$192</f>
        <v>0</v>
      </c>
      <c r="J412" s="76">
        <f ca="1">-J411*Assumptions!$M$192</f>
        <v>0</v>
      </c>
      <c r="K412" s="76">
        <f ca="1">-K411*Assumptions!$M$192</f>
        <v>0</v>
      </c>
      <c r="L412" s="76">
        <f ca="1">-L411*Assumptions!$M$192</f>
        <v>0</v>
      </c>
      <c r="M412" s="76">
        <f ca="1">-M411*Assumptions!$M$192</f>
        <v>0</v>
      </c>
      <c r="N412" s="76">
        <f ca="1">-N411*Assumptions!$M$192</f>
        <v>0</v>
      </c>
      <c r="O412" s="76">
        <f ca="1">-O411*Assumptions!$M$192</f>
        <v>0</v>
      </c>
      <c r="P412" s="76">
        <f ca="1">-P411*Assumptions!$M$192</f>
        <v>0</v>
      </c>
      <c r="Q412" s="76">
        <f ca="1">-Q411*Assumptions!$M$192</f>
        <v>0</v>
      </c>
      <c r="R412" s="76">
        <f ca="1">-R411*Assumptions!$M$192</f>
        <v>0</v>
      </c>
      <c r="S412" s="76">
        <f ca="1">-S411*Assumptions!$M$192</f>
        <v>0</v>
      </c>
      <c r="T412" s="76">
        <f ca="1">-T411*Assumptions!$M$192</f>
        <v>0</v>
      </c>
      <c r="U412" s="76">
        <f ca="1">-U411*Assumptions!$M$192</f>
        <v>0</v>
      </c>
      <c r="V412" s="76">
        <f ca="1">-V411*Assumptions!$M$192</f>
        <v>0</v>
      </c>
      <c r="W412" s="76">
        <f ca="1">-W411*Assumptions!$M$192</f>
        <v>0</v>
      </c>
      <c r="X412" s="76">
        <f ca="1">-X411*Assumptions!$M$192</f>
        <v>0</v>
      </c>
      <c r="Y412" s="76">
        <f ca="1">-Y411*Assumptions!$M$192</f>
        <v>0</v>
      </c>
      <c r="Z412" s="76">
        <f ca="1">-Z411*Assumptions!$M$192</f>
        <v>0</v>
      </c>
    </row>
    <row r="413" spans="2:26" ht="15.75">
      <c r="B413" s="15" t="s">
        <v>678</v>
      </c>
      <c r="D413" s="26"/>
      <c r="E413" s="26"/>
      <c r="F413" s="76">
        <f ca="1">IFERROR(-IF(YEAR(F396)&lt;MIN(YEAR(Assumptions!$F$30),2026),(OFFSET('Phase I Pro Forma'!F412,0,-10)),IF(YEAR(F396)=MIN(YEAR(Assumptions!$F$30),2026),SUM('Phase I Pro Forma'!$E$412:F$412)-SUM('Phase I Pro Forma'!$E$413:E$413),0)),0)</f>
        <v>0</v>
      </c>
      <c r="G413" s="76">
        <f ca="1">IFERROR(-IF(YEAR(G396)&lt;MIN(YEAR(Assumptions!$F$30),2026),(OFFSET('Phase I Pro Forma'!G412,0,-10)),IF(YEAR(G396)=MIN(YEAR(Assumptions!$F$30),2026),SUM('Phase I Pro Forma'!$E$412:G$412)-SUM('Phase I Pro Forma'!$E$413:F$413),0)),0)</f>
        <v>0</v>
      </c>
      <c r="H413" s="76">
        <f ca="1">IFERROR(-IF(YEAR(H396)&lt;MIN(YEAR(Assumptions!$F$30),2026),(OFFSET('Phase I Pro Forma'!H412,0,-10)),IF(YEAR(H396)=MIN(YEAR(Assumptions!$F$30),2026),SUM('Phase I Pro Forma'!$E$412:H$412)-SUM('Phase I Pro Forma'!$E$413:G$413),0)),0)</f>
        <v>0</v>
      </c>
      <c r="I413" s="76">
        <f ca="1">IFERROR(-IF(YEAR(I396)&lt;MIN(YEAR(Assumptions!$F$30),2026),(OFFSET('Phase I Pro Forma'!I412,0,-10)),IF(YEAR(I396)=MIN(YEAR(Assumptions!$F$30),2026),SUM('Phase I Pro Forma'!$E$412:I$412)-SUM('Phase I Pro Forma'!$E$413:H$413),0)),0)</f>
        <v>0</v>
      </c>
      <c r="J413" s="76">
        <f ca="1">IFERROR(-IF(YEAR(J396)&lt;MIN(YEAR(Assumptions!$F$30),2026),(OFFSET('Phase I Pro Forma'!J412,0,-10)),IF(YEAR(J396)=MIN(YEAR(Assumptions!$F$30),2026),SUM('Phase I Pro Forma'!$E$412:J$412)-SUM('Phase I Pro Forma'!$E$413:I$413),0)),0)</f>
        <v>0</v>
      </c>
      <c r="K413" s="76">
        <f ca="1">IFERROR(-IF(YEAR(K396)&lt;MIN(YEAR(Assumptions!$F$30),2026),(OFFSET('Phase I Pro Forma'!K412,0,-10)),IF(YEAR(K396)=MIN(YEAR(Assumptions!$F$30),2026),SUM('Phase I Pro Forma'!$E$412:K$412)-SUM('Phase I Pro Forma'!$E$413:J$413),0)),0)</f>
        <v>-13473392.506874312</v>
      </c>
      <c r="L413" s="76">
        <f ca="1">IFERROR(-IF(YEAR(L396)&lt;MIN(YEAR(Assumptions!$F$30),2026),(OFFSET('Phase I Pro Forma'!L412,0,-10)),IF(YEAR(L396)=MIN(YEAR(Assumptions!$F$30),2026),SUM('Phase I Pro Forma'!$E$412:L$412)-SUM('Phase I Pro Forma'!$E$413:K$413),0)),0)</f>
        <v>0</v>
      </c>
      <c r="M413" s="76">
        <f ca="1">IFERROR(-IF(YEAR(M396)&lt;MIN(YEAR(Assumptions!$F$30),2026),(OFFSET('Phase I Pro Forma'!M412,0,-10)),IF(YEAR(M396)=MIN(YEAR(Assumptions!$F$30),2026),SUM('Phase I Pro Forma'!$E$412:M$412)-SUM('Phase I Pro Forma'!$E$413:L$413),0)),0)</f>
        <v>0</v>
      </c>
      <c r="N413" s="76">
        <f ca="1">IFERROR(-IF(YEAR(N396)&lt;MIN(YEAR(Assumptions!$F$30),2026),(OFFSET('Phase I Pro Forma'!N412,0,-10)),IF(YEAR(N396)=MIN(YEAR(Assumptions!$F$30),2026),SUM('Phase I Pro Forma'!$E$412:N$412)-SUM('Phase I Pro Forma'!$E$413:M$413),0)),0)</f>
        <v>0</v>
      </c>
      <c r="O413" s="76">
        <f ca="1">IFERROR(-IF(YEAR(O396)&lt;MIN(YEAR(Assumptions!$F$30),2026),(OFFSET('Phase I Pro Forma'!O412,0,-10)),IF(YEAR(O396)=MIN(YEAR(Assumptions!$F$30),2026),SUM('Phase I Pro Forma'!$E$412:O$412)-SUM('Phase I Pro Forma'!$E$413:N$413),0)),0)</f>
        <v>0</v>
      </c>
      <c r="P413" s="76">
        <f ca="1">IFERROR(-IF(YEAR(P396)&lt;MIN(YEAR(Assumptions!$F$30),2026),(OFFSET('Phase I Pro Forma'!P412,0,-10)),IF(YEAR(P396)=MIN(YEAR(Assumptions!$F$30),2026),SUM('Phase I Pro Forma'!$E$412:P$412)-SUM('Phase I Pro Forma'!$E$413:O$413),0)),0)</f>
        <v>0</v>
      </c>
      <c r="Q413" s="76">
        <f ca="1">IFERROR(-IF(YEAR(Q396)&lt;MIN(YEAR(Assumptions!$F$30),2026),(OFFSET('Phase I Pro Forma'!Q412,0,-10)),IF(YEAR(Q396)=MIN(YEAR(Assumptions!$F$30),2026),SUM('Phase I Pro Forma'!$E$412:Q$412)-SUM('Phase I Pro Forma'!$E$413:P$413),0)),0)</f>
        <v>0</v>
      </c>
      <c r="R413" s="76">
        <f ca="1">IFERROR(-IF(YEAR(R396)&lt;MIN(YEAR(Assumptions!$F$30),2026),(OFFSET('Phase I Pro Forma'!R412,0,-10)),IF(YEAR(R396)=MIN(YEAR(Assumptions!$F$30),2026),SUM('Phase I Pro Forma'!$E$412:R$412)-SUM('Phase I Pro Forma'!$E$413:Q$413),0)),0)</f>
        <v>0</v>
      </c>
      <c r="S413" s="76">
        <f ca="1">IFERROR(-IF(YEAR(S396)&lt;MIN(YEAR(Assumptions!$F$30),2026),(OFFSET('Phase I Pro Forma'!S412,0,-10)),IF(YEAR(S396)=MIN(YEAR(Assumptions!$F$30),2026),SUM('Phase I Pro Forma'!$E$412:S$412)-SUM('Phase I Pro Forma'!$E$413:R$413),0)),0)</f>
        <v>0</v>
      </c>
      <c r="T413" s="76">
        <f ca="1">IFERROR(-IF(YEAR(T396)&lt;MIN(YEAR(Assumptions!$F$30),2026),(OFFSET('Phase I Pro Forma'!T412,0,-10)),IF(YEAR(T396)=MIN(YEAR(Assumptions!$F$30),2026),SUM('Phase I Pro Forma'!$E$412:T$412)-SUM('Phase I Pro Forma'!$E$413:S$413),0)),0)</f>
        <v>0</v>
      </c>
      <c r="U413" s="76">
        <f ca="1">IFERROR(-IF(YEAR(U396)&lt;MIN(YEAR(Assumptions!$F$30),2026),(OFFSET('Phase I Pro Forma'!U412,0,-10)),IF(YEAR(U396)=MIN(YEAR(Assumptions!$F$30),2026),SUM('Phase I Pro Forma'!$E$412:U$412)-SUM('Phase I Pro Forma'!$E$413:T$413),0)),0)</f>
        <v>0</v>
      </c>
      <c r="V413" s="76">
        <f ca="1">IFERROR(-IF(YEAR(V396)&lt;MIN(YEAR(Assumptions!$F$30),2026),(OFFSET('Phase I Pro Forma'!V412,0,-10)),IF(YEAR(V396)=MIN(YEAR(Assumptions!$F$30),2026),SUM('Phase I Pro Forma'!$E$412:V$412)-SUM('Phase I Pro Forma'!$E$413:U$413),0)),0)</f>
        <v>0</v>
      </c>
      <c r="W413" s="76">
        <f ca="1">IFERROR(-IF(YEAR(W396)&lt;MIN(YEAR(Assumptions!$F$30),2026),(OFFSET('Phase I Pro Forma'!W412,0,-10)),IF(YEAR(W396)=MIN(YEAR(Assumptions!$F$30),2026),SUM('Phase I Pro Forma'!$E$412:W$412)-SUM('Phase I Pro Forma'!$E$413:V$413),0)),0)</f>
        <v>0</v>
      </c>
      <c r="X413" s="76">
        <f ca="1">IFERROR(-IF(YEAR(X396)&lt;MIN(YEAR(Assumptions!$F$30),2026),(OFFSET('Phase I Pro Forma'!X412,0,-10)),IF(YEAR(X396)=MIN(YEAR(Assumptions!$F$30),2026),SUM('Phase I Pro Forma'!$E$412:X$412)-SUM('Phase I Pro Forma'!$E$413:W$413),0)),0)</f>
        <v>0</v>
      </c>
      <c r="Y413" s="76">
        <f ca="1">IFERROR(-IF(YEAR(Y396)&lt;MIN(YEAR(Assumptions!$F$30),2026),(OFFSET('Phase I Pro Forma'!Y412,0,-10)),IF(YEAR(Y396)=MIN(YEAR(Assumptions!$F$30),2026),SUM('Phase I Pro Forma'!$E$412:Y$412)-SUM('Phase I Pro Forma'!$E$413:X$413),0)),0)</f>
        <v>0</v>
      </c>
      <c r="Z413" s="76">
        <f ca="1">IFERROR(-IF(YEAR(Z396)&lt;MIN(YEAR(Assumptions!$F$30),2026),(OFFSET('Phase I Pro Forma'!Z412,0,-10)),IF(YEAR(Z396)=MIN(YEAR(Assumptions!$F$30),2026),SUM('Phase I Pro Forma'!$E$412:Z$412)-SUM('Phase I Pro Forma'!$E$413:Y$413),0)),0)</f>
        <v>0</v>
      </c>
    </row>
    <row r="414" spans="2:26" ht="15.75">
      <c r="B414" s="15" t="s">
        <v>685</v>
      </c>
      <c r="D414" s="26"/>
      <c r="E414" s="26"/>
      <c r="F414" s="76">
        <f>+IF(YEAR(F396)=MIN(YEAR(Assumptions!$F$30),2026),SUM('Phase I Pro Forma'!$F$424:$Z$424),0)</f>
        <v>0</v>
      </c>
      <c r="G414" s="76">
        <f>+IF(YEAR(G396)=MIN(YEAR(Assumptions!$F$30),2026),SUM('Phase I Pro Forma'!$F$424:$Z$424),0)</f>
        <v>0</v>
      </c>
      <c r="H414" s="76">
        <f>+IF(YEAR(H396)=MIN(YEAR(Assumptions!$F$30),2026),SUM('Phase I Pro Forma'!$F$424:$Z$424),0)</f>
        <v>0</v>
      </c>
      <c r="I414" s="76">
        <f>+IF(YEAR(I396)=MIN(YEAR(Assumptions!$F$30),2026),SUM('Phase I Pro Forma'!$F$424:$Z$424),0)</f>
        <v>0</v>
      </c>
      <c r="J414" s="76">
        <f>+IF(YEAR(J396)=MIN(YEAR(Assumptions!$F$30),2026),SUM('Phase I Pro Forma'!$F$424:$Z$424),0)</f>
        <v>0</v>
      </c>
      <c r="K414" s="76">
        <f ca="1">+IF(YEAR(K396)=MIN(YEAR(Assumptions!$F$30),2026),SUM('Phase I Pro Forma'!$F$424:$Z$424),0)</f>
        <v>2021008.8760311466</v>
      </c>
      <c r="L414" s="76">
        <f>+IF(YEAR(L396)=MIN(YEAR(Assumptions!$F$30),2026),SUM('Phase I Pro Forma'!$F$424:$Z$424),0)</f>
        <v>0</v>
      </c>
      <c r="M414" s="76">
        <f>+IF(YEAR(M396)=MIN(YEAR(Assumptions!$F$30),2026),SUM('Phase I Pro Forma'!$F$424:$Z$424),0)</f>
        <v>0</v>
      </c>
      <c r="N414" s="76">
        <f>+IF(YEAR(N396)=MIN(YEAR(Assumptions!$F$30),2026),SUM('Phase I Pro Forma'!$F$424:$Z$424),0)</f>
        <v>0</v>
      </c>
      <c r="O414" s="76">
        <f>+IF(YEAR(O396)=MIN(YEAR(Assumptions!$F$30),2026),SUM('Phase I Pro Forma'!$F$424:$Z$424),0)</f>
        <v>0</v>
      </c>
      <c r="P414" s="76">
        <f>+IF(YEAR(P396)=MIN(YEAR(Assumptions!$F$30),2026),SUM('Phase I Pro Forma'!$F$424:$Z$424),0)</f>
        <v>0</v>
      </c>
      <c r="Q414" s="76">
        <f>+IF(YEAR(Q396)=MIN(YEAR(Assumptions!$F$30),2026),SUM('Phase I Pro Forma'!$F$424:$Z$424),0)</f>
        <v>0</v>
      </c>
      <c r="R414" s="76">
        <f>+IF(YEAR(R396)=MIN(YEAR(Assumptions!$F$30),2026),SUM('Phase I Pro Forma'!$F$424:$Z$424),0)</f>
        <v>0</v>
      </c>
      <c r="S414" s="76">
        <f>+IF(YEAR(S396)=MIN(YEAR(Assumptions!$F$30),2026),SUM('Phase I Pro Forma'!$F$424:$Z$424),0)</f>
        <v>0</v>
      </c>
      <c r="T414" s="76">
        <f>+IF(YEAR(T396)=MIN(YEAR(Assumptions!$F$30),2026),SUM('Phase I Pro Forma'!$F$424:$Z$424),0)</f>
        <v>0</v>
      </c>
      <c r="U414" s="76">
        <f>+IF(YEAR(U396)=MIN(YEAR(Assumptions!$F$30),2026),SUM('Phase I Pro Forma'!$F$424:$Z$424),0)</f>
        <v>0</v>
      </c>
      <c r="V414" s="76">
        <f>+IF(YEAR(V396)=MIN(YEAR(Assumptions!$F$30),2026),SUM('Phase I Pro Forma'!$F$424:$Z$424),0)</f>
        <v>0</v>
      </c>
      <c r="W414" s="76">
        <f>+IF(YEAR(W396)=MIN(YEAR(Assumptions!$F$30),2026),SUM('Phase I Pro Forma'!$F$424:$Z$424),0)</f>
        <v>0</v>
      </c>
      <c r="X414" s="76">
        <f>+IF(YEAR(X396)=MIN(YEAR(Assumptions!$F$30),2026),SUM('Phase I Pro Forma'!$F$424:$Z$424),0)</f>
        <v>0</v>
      </c>
      <c r="Y414" s="76">
        <f>+IF(YEAR(Y396)=MIN(YEAR(Assumptions!$F$30),2026),SUM('Phase I Pro Forma'!$F$424:$Z$424),0)</f>
        <v>0</v>
      </c>
      <c r="Z414" s="76">
        <f>+IF(YEAR(Z396)=MIN(YEAR(Assumptions!$F$30),2026),SUM('Phase I Pro Forma'!$F$424:$Z$424),0)</f>
        <v>0</v>
      </c>
    </row>
    <row r="415" spans="2:26" ht="15.75">
      <c r="B415" s="15" t="s">
        <v>697</v>
      </c>
      <c r="D415" s="26"/>
      <c r="E415" s="26"/>
      <c r="F415" s="76">
        <f>+F402</f>
        <v>0</v>
      </c>
      <c r="G415" s="76">
        <f t="shared" ref="G415:Z415" si="318">+G402</f>
        <v>0</v>
      </c>
      <c r="H415" s="76">
        <f t="shared" si="318"/>
        <v>0</v>
      </c>
      <c r="I415" s="76">
        <f t="shared" si="318"/>
        <v>1319893.6467545913</v>
      </c>
      <c r="J415" s="76">
        <f t="shared" ca="1" si="318"/>
        <v>817359.24881165382</v>
      </c>
      <c r="K415" s="76">
        <f t="shared" ca="1" si="318"/>
        <v>615051.59870221163</v>
      </c>
      <c r="L415" s="76">
        <f t="shared" ca="1" si="318"/>
        <v>202702.33766595231</v>
      </c>
      <c r="M415" s="76">
        <f t="shared" ca="1" si="318"/>
        <v>93397.638066510495</v>
      </c>
      <c r="N415" s="76">
        <f t="shared" ca="1" si="318"/>
        <v>-43319.978457866848</v>
      </c>
      <c r="O415" s="76">
        <f t="shared" ca="1" si="318"/>
        <v>-185249.25148779972</v>
      </c>
      <c r="P415" s="76">
        <f t="shared" ca="1" si="318"/>
        <v>-309753.0957115331</v>
      </c>
      <c r="Q415" s="76">
        <f t="shared" si="318"/>
        <v>0</v>
      </c>
      <c r="R415" s="76">
        <f t="shared" si="318"/>
        <v>0</v>
      </c>
      <c r="S415" s="76">
        <f t="shared" si="318"/>
        <v>0</v>
      </c>
      <c r="T415" s="76">
        <f t="shared" si="318"/>
        <v>0</v>
      </c>
      <c r="U415" s="76">
        <f t="shared" si="318"/>
        <v>0</v>
      </c>
      <c r="V415" s="76">
        <f t="shared" si="318"/>
        <v>0</v>
      </c>
      <c r="W415" s="76">
        <f t="shared" si="318"/>
        <v>0</v>
      </c>
      <c r="X415" s="76">
        <f t="shared" si="318"/>
        <v>0</v>
      </c>
      <c r="Y415" s="76">
        <f t="shared" si="318"/>
        <v>0</v>
      </c>
      <c r="Z415" s="76">
        <f t="shared" si="318"/>
        <v>0</v>
      </c>
    </row>
    <row r="416" spans="2:26" ht="15.75">
      <c r="B416" s="15" t="s">
        <v>698</v>
      </c>
      <c r="D416" s="26"/>
      <c r="E416" s="26"/>
      <c r="F416" s="76">
        <f>+F403</f>
        <v>0</v>
      </c>
      <c r="G416" s="76">
        <f t="shared" ref="G416:Z416" si="319">+G403</f>
        <v>0</v>
      </c>
      <c r="H416" s="76">
        <f t="shared" si="319"/>
        <v>0</v>
      </c>
      <c r="I416" s="76">
        <f t="shared" ca="1" si="319"/>
        <v>-10079580.87596829</v>
      </c>
      <c r="J416" s="76">
        <f t="shared" ca="1" si="319"/>
        <v>5979836.4010027135</v>
      </c>
      <c r="K416" s="76">
        <f t="shared" ca="1" si="319"/>
        <v>5896598.6043395866</v>
      </c>
      <c r="L416" s="76">
        <f t="shared" ca="1" si="319"/>
        <v>7678126.75579214</v>
      </c>
      <c r="M416" s="76">
        <f t="shared" ca="1" si="319"/>
        <v>8004752.9827835169</v>
      </c>
      <c r="N416" s="76">
        <f t="shared" ca="1" si="319"/>
        <v>8449315.2071530111</v>
      </c>
      <c r="O416" s="76">
        <f t="shared" ca="1" si="319"/>
        <v>8905274.030542098</v>
      </c>
      <c r="P416" s="76">
        <f t="shared" ca="1" si="319"/>
        <v>9263961.4557698313</v>
      </c>
      <c r="Q416" s="76">
        <f t="shared" si="319"/>
        <v>0</v>
      </c>
      <c r="R416" s="76">
        <f t="shared" si="319"/>
        <v>0</v>
      </c>
      <c r="S416" s="76">
        <f t="shared" si="319"/>
        <v>0</v>
      </c>
      <c r="T416" s="76">
        <f t="shared" si="319"/>
        <v>0</v>
      </c>
      <c r="U416" s="76">
        <f t="shared" si="319"/>
        <v>0</v>
      </c>
      <c r="V416" s="76">
        <f t="shared" si="319"/>
        <v>0</v>
      </c>
      <c r="W416" s="76">
        <f t="shared" si="319"/>
        <v>0</v>
      </c>
      <c r="X416" s="76">
        <f t="shared" si="319"/>
        <v>0</v>
      </c>
      <c r="Y416" s="76">
        <f t="shared" si="319"/>
        <v>0</v>
      </c>
      <c r="Z416" s="76">
        <f t="shared" si="319"/>
        <v>0</v>
      </c>
    </row>
    <row r="417" spans="2:26" ht="15.75">
      <c r="B417" s="15" t="s">
        <v>699</v>
      </c>
      <c r="D417" s="26"/>
      <c r="E417" s="26"/>
      <c r="F417" s="76">
        <f>-F272-F227-F158</f>
        <v>0</v>
      </c>
      <c r="G417" s="76">
        <f t="shared" ref="G417:Z417" si="320">+G404</f>
        <v>0</v>
      </c>
      <c r="H417" s="76">
        <f t="shared" si="320"/>
        <v>0</v>
      </c>
      <c r="I417" s="76">
        <f t="shared" ca="1" si="320"/>
        <v>34980880.000533104</v>
      </c>
      <c r="J417" s="76">
        <f t="shared" si="320"/>
        <v>0</v>
      </c>
      <c r="K417" s="76">
        <f t="shared" si="320"/>
        <v>0</v>
      </c>
      <c r="L417" s="76">
        <f t="shared" si="320"/>
        <v>0</v>
      </c>
      <c r="M417" s="76">
        <f t="shared" si="320"/>
        <v>0</v>
      </c>
      <c r="N417" s="76">
        <f t="shared" si="320"/>
        <v>0</v>
      </c>
      <c r="O417" s="76">
        <f t="shared" si="320"/>
        <v>0</v>
      </c>
      <c r="P417" s="76">
        <f t="shared" ca="1" si="320"/>
        <v>207828472.06390071</v>
      </c>
      <c r="Q417" s="76">
        <f t="shared" si="320"/>
        <v>0</v>
      </c>
      <c r="R417" s="76">
        <f t="shared" si="320"/>
        <v>0</v>
      </c>
      <c r="S417" s="76">
        <f t="shared" si="320"/>
        <v>0</v>
      </c>
      <c r="T417" s="76">
        <f t="shared" si="320"/>
        <v>0</v>
      </c>
      <c r="U417" s="76">
        <f t="shared" si="320"/>
        <v>0</v>
      </c>
      <c r="V417" s="76">
        <f t="shared" si="320"/>
        <v>0</v>
      </c>
      <c r="W417" s="76">
        <f t="shared" si="320"/>
        <v>0</v>
      </c>
      <c r="X417" s="76">
        <f t="shared" si="320"/>
        <v>0</v>
      </c>
      <c r="Y417" s="76">
        <f t="shared" si="320"/>
        <v>0</v>
      </c>
      <c r="Z417" s="76">
        <f t="shared" si="320"/>
        <v>0</v>
      </c>
    </row>
    <row r="418" spans="2:26" ht="15.75">
      <c r="B418" s="15" t="s">
        <v>682</v>
      </c>
      <c r="D418" s="26"/>
      <c r="E418" s="26"/>
      <c r="F418" s="76">
        <f>+IF(F398&gt;=10,0,F405)</f>
        <v>0</v>
      </c>
      <c r="G418" s="76">
        <f t="shared" ref="G418:Z418" si="321">+IF(G398&gt;=10,0,G405)</f>
        <v>0</v>
      </c>
      <c r="H418" s="76">
        <f t="shared" si="321"/>
        <v>0</v>
      </c>
      <c r="I418" s="76">
        <f t="shared" si="321"/>
        <v>0</v>
      </c>
      <c r="J418" s="76">
        <f t="shared" si="321"/>
        <v>0</v>
      </c>
      <c r="K418" s="76">
        <f t="shared" si="321"/>
        <v>0</v>
      </c>
      <c r="L418" s="76">
        <f t="shared" si="321"/>
        <v>0</v>
      </c>
      <c r="M418" s="76">
        <f t="shared" si="321"/>
        <v>0</v>
      </c>
      <c r="N418" s="76">
        <f t="shared" si="321"/>
        <v>0</v>
      </c>
      <c r="O418" s="76">
        <f t="shared" si="321"/>
        <v>0</v>
      </c>
      <c r="P418" s="76">
        <f t="shared" si="321"/>
        <v>0</v>
      </c>
      <c r="Q418" s="76">
        <f t="shared" si="321"/>
        <v>0</v>
      </c>
      <c r="R418" s="76">
        <f t="shared" si="321"/>
        <v>0</v>
      </c>
      <c r="S418" s="76">
        <f t="shared" si="321"/>
        <v>0</v>
      </c>
      <c r="T418" s="76">
        <f t="shared" si="321"/>
        <v>0</v>
      </c>
      <c r="U418" s="76">
        <f t="shared" si="321"/>
        <v>0</v>
      </c>
      <c r="V418" s="76">
        <f t="shared" si="321"/>
        <v>0</v>
      </c>
      <c r="W418" s="76">
        <f t="shared" si="321"/>
        <v>0</v>
      </c>
      <c r="X418" s="76">
        <f t="shared" si="321"/>
        <v>0</v>
      </c>
      <c r="Y418" s="76">
        <f t="shared" si="321"/>
        <v>0</v>
      </c>
      <c r="Z418" s="76">
        <f t="shared" si="321"/>
        <v>0</v>
      </c>
    </row>
    <row r="419" spans="2:26" ht="15.75">
      <c r="B419" s="687" t="s">
        <v>684</v>
      </c>
      <c r="C419" s="687"/>
      <c r="D419" s="550">
        <f t="shared" ref="D419" ca="1" si="322">+SUM(F419:Z419)</f>
        <v>226354723.96349359</v>
      </c>
      <c r="E419" s="550"/>
      <c r="F419" s="550">
        <f t="shared" ref="F419:Z419" ca="1" si="323">+SUM(F411:F418)</f>
        <v>-40681674.722024679</v>
      </c>
      <c r="G419" s="550">
        <f t="shared" ca="1" si="323"/>
        <v>-10003944.708597735</v>
      </c>
      <c r="H419" s="550">
        <f t="shared" ca="1" si="323"/>
        <v>0</v>
      </c>
      <c r="I419" s="550">
        <f t="shared" ca="1" si="323"/>
        <v>26221192.771319404</v>
      </c>
      <c r="J419" s="550">
        <f t="shared" ca="1" si="323"/>
        <v>6760661.0902149808</v>
      </c>
      <c r="K419" s="550">
        <f t="shared" ca="1" si="323"/>
        <v>-4940733.4278013669</v>
      </c>
      <c r="L419" s="550">
        <f t="shared" ca="1" si="323"/>
        <v>7880829.0934580928</v>
      </c>
      <c r="M419" s="550">
        <f t="shared" ca="1" si="323"/>
        <v>8098150.6208500275</v>
      </c>
      <c r="N419" s="550">
        <f t="shared" ca="1" si="323"/>
        <v>8405995.2286951449</v>
      </c>
      <c r="O419" s="550">
        <f t="shared" ca="1" si="323"/>
        <v>8720024.779054299</v>
      </c>
      <c r="P419" s="550">
        <f t="shared" ca="1" si="323"/>
        <v>216782680.42395902</v>
      </c>
      <c r="Q419" s="550">
        <f t="shared" ca="1" si="323"/>
        <v>0</v>
      </c>
      <c r="R419" s="550">
        <f t="shared" ca="1" si="323"/>
        <v>0</v>
      </c>
      <c r="S419" s="550">
        <f t="shared" ca="1" si="323"/>
        <v>0</v>
      </c>
      <c r="T419" s="550">
        <f t="shared" ca="1" si="323"/>
        <v>0</v>
      </c>
      <c r="U419" s="550">
        <f t="shared" ca="1" si="323"/>
        <v>0</v>
      </c>
      <c r="V419" s="550">
        <f t="shared" ca="1" si="323"/>
        <v>0</v>
      </c>
      <c r="W419" s="550">
        <f t="shared" ca="1" si="323"/>
        <v>0</v>
      </c>
      <c r="X419" s="550">
        <f t="shared" ca="1" si="323"/>
        <v>0</v>
      </c>
      <c r="Y419" s="550">
        <f t="shared" ca="1" si="323"/>
        <v>0</v>
      </c>
      <c r="Z419" s="550">
        <f t="shared" ca="1" si="323"/>
        <v>0</v>
      </c>
    </row>
    <row r="421" spans="2:26" ht="15.75">
      <c r="B421" s="706" t="s">
        <v>702</v>
      </c>
      <c r="C421" s="706"/>
      <c r="D421" s="707">
        <f ca="1">+IRR(F419:Z419)</f>
        <v>0.23330137849124055</v>
      </c>
    </row>
    <row r="422" spans="2:26" ht="15.75">
      <c r="B422" s="708" t="s">
        <v>703</v>
      </c>
      <c r="C422" s="536"/>
      <c r="D422" s="712">
        <f ca="1">+D421/(1-Assumptions!$M$192)</f>
        <v>0.29531820062182346</v>
      </c>
    </row>
    <row r="424" spans="2:26">
      <c r="B424" s="21" t="s">
        <v>688</v>
      </c>
      <c r="F424" s="76">
        <f ca="1">IFERROR(IF(YEAR(F396)&lt;=YEAR(Assumptions!$F$30),10%*(OFFSET('Phase I Pro Forma'!F412,0,-5))+5%*(OFFSET('Phase I Pro Forma'!F412,0,-7)),0),0)</f>
        <v>0</v>
      </c>
      <c r="G424" s="76">
        <f ca="1">IFERROR(IF(YEAR(G396)&lt;=YEAR(Assumptions!$F$30),10%*(OFFSET('Phase I Pro Forma'!G412,0,-5))+5%*(OFFSET('Phase I Pro Forma'!G412,0,-7)),0),0)</f>
        <v>0</v>
      </c>
      <c r="H424" s="76">
        <f ca="1">IFERROR(IF(YEAR(H396)&lt;=YEAR(Assumptions!$F$30),10%*(OFFSET('Phase I Pro Forma'!H412,0,-5))+5%*(OFFSET('Phase I Pro Forma'!H412,0,-7)),0),0)</f>
        <v>0</v>
      </c>
      <c r="I424" s="76">
        <f ca="1">IFERROR(IF(YEAR(I396)&lt;=YEAR(Assumptions!$F$30),10%*(OFFSET('Phase I Pro Forma'!I412,0,-5))+5%*(OFFSET('Phase I Pro Forma'!I412,0,-7)),0),0)</f>
        <v>0</v>
      </c>
      <c r="J424" s="76">
        <f ca="1">IFERROR(IF(YEAR(J396)&lt;=YEAR(Assumptions!$F$30),10%*(OFFSET('Phase I Pro Forma'!J412,0,-5))+5%*(OFFSET('Phase I Pro Forma'!J412,0,-7)),0),0)</f>
        <v>0</v>
      </c>
      <c r="K424" s="76">
        <f ca="1">IFERROR(IF(YEAR(K396)&lt;=YEAR(Assumptions!$F$30),10%*(OFFSET('Phase I Pro Forma'!K412,0,-5))+5%*(OFFSET('Phase I Pro Forma'!K412,0,-7)),0),0)</f>
        <v>1081411.6065348331</v>
      </c>
      <c r="L424" s="76">
        <f ca="1">IFERROR(IF(YEAR(L396)&lt;=YEAR(Assumptions!$F$30),10%*(OFFSET('Phase I Pro Forma'!L412,0,-5))+5%*(OFFSET('Phase I Pro Forma'!L412,0,-7)),0),0)</f>
        <v>265927.64415259805</v>
      </c>
      <c r="M424" s="76">
        <f ca="1">IFERROR(IF(YEAR(M396)&lt;=YEAR(Assumptions!$F$30),10%*(OFFSET('Phase I Pro Forma'!M412,0,-5))+5%*(OFFSET('Phase I Pro Forma'!M412,0,-7)),0),0)</f>
        <v>540705.80326741654</v>
      </c>
      <c r="N424" s="76">
        <f ca="1">IFERROR(IF(YEAR(N396)&lt;=YEAR(Assumptions!$F$30),10%*(OFFSET('Phase I Pro Forma'!N412,0,-5))+5%*(OFFSET('Phase I Pro Forma'!N412,0,-7)),0),0)</f>
        <v>132963.82207629902</v>
      </c>
      <c r="O424" s="76">
        <f ca="1">IFERROR(IF(YEAR(O396)&lt;=YEAR(Assumptions!$F$30),10%*(OFFSET('Phase I Pro Forma'!O412,0,-5))+5%*(OFFSET('Phase I Pro Forma'!O412,0,-7)),0),0)</f>
        <v>0</v>
      </c>
      <c r="P424" s="76">
        <f ca="1">IFERROR(IF(YEAR(P396)&lt;=YEAR(Assumptions!$F$30),10%*(OFFSET('Phase I Pro Forma'!P412,0,-5))+5%*(OFFSET('Phase I Pro Forma'!P412,0,-7)),0),0)</f>
        <v>0</v>
      </c>
      <c r="Q424" s="76">
        <f ca="1">IFERROR(IF(YEAR(Q396)&lt;=YEAR(Assumptions!$F$30),10%*(OFFSET('Phase I Pro Forma'!Q412,0,-5))+5%*(OFFSET('Phase I Pro Forma'!Q412,0,-7)),0),0)</f>
        <v>0</v>
      </c>
      <c r="R424" s="76">
        <f ca="1">IFERROR(IF(YEAR(R396)&lt;=YEAR(Assumptions!$F$30),10%*(OFFSET('Phase I Pro Forma'!R412,0,-5))+5%*(OFFSET('Phase I Pro Forma'!R412,0,-7)),0),0)</f>
        <v>0</v>
      </c>
      <c r="S424" s="76">
        <f ca="1">IFERROR(IF(YEAR(S396)&lt;=YEAR(Assumptions!$F$30),10%*(OFFSET('Phase I Pro Forma'!S412,0,-5))+5%*(OFFSET('Phase I Pro Forma'!S412,0,-7)),0),0)</f>
        <v>0</v>
      </c>
      <c r="T424" s="76">
        <f ca="1">IFERROR(IF(YEAR(T396)&lt;=YEAR(Assumptions!$F$30),10%*(OFFSET('Phase I Pro Forma'!T412,0,-5))+5%*(OFFSET('Phase I Pro Forma'!T412,0,-7)),0),0)</f>
        <v>0</v>
      </c>
      <c r="U424" s="76">
        <f ca="1">IFERROR(IF(YEAR(U396)&lt;=YEAR(Assumptions!$F$30),10%*(OFFSET('Phase I Pro Forma'!U412,0,-5))+5%*(OFFSET('Phase I Pro Forma'!U412,0,-7)),0),0)</f>
        <v>0</v>
      </c>
      <c r="V424" s="76">
        <f ca="1">IFERROR(IF(YEAR(V396)&lt;=YEAR(Assumptions!$F$30),10%*(OFFSET('Phase I Pro Forma'!V412,0,-5))+5%*(OFFSET('Phase I Pro Forma'!V412,0,-7)),0),0)</f>
        <v>0</v>
      </c>
      <c r="W424" s="76">
        <f ca="1">IFERROR(IF(YEAR(W396)&lt;=YEAR(Assumptions!$F$30),10%*(OFFSET('Phase I Pro Forma'!W412,0,-5))+5%*(OFFSET('Phase I Pro Forma'!W412,0,-7)),0),0)</f>
        <v>0</v>
      </c>
      <c r="X424" s="76">
        <f ca="1">IFERROR(IF(YEAR(X396)&lt;=YEAR(Assumptions!$F$30),10%*(OFFSET('Phase I Pro Forma'!X412,0,-5))+5%*(OFFSET('Phase I Pro Forma'!X412,0,-7)),0),0)</f>
        <v>0</v>
      </c>
      <c r="Y424" s="76">
        <f ca="1">IFERROR(IF(YEAR(Y396)&lt;=YEAR(Assumptions!$F$30),10%*(OFFSET('Phase I Pro Forma'!Y412,0,-5))+5%*(OFFSET('Phase I Pro Forma'!Y412,0,-7)),0),0)</f>
        <v>0</v>
      </c>
      <c r="Z424" s="76">
        <f ca="1">IFERROR(IF(YEAR(Z396)&lt;=YEAR(Assumptions!$F$30),10%*(OFFSET('Phase I Pro Forma'!Z412,0,-5))+5%*(OFFSET('Phase I Pro Forma'!Z412,0,-7)),0),0)</f>
        <v>0</v>
      </c>
    </row>
    <row r="426" spans="2:26" ht="15.75">
      <c r="B426" s="73" t="s">
        <v>689</v>
      </c>
    </row>
    <row r="427" spans="2:26" ht="15.75">
      <c r="B427" s="15" t="s">
        <v>690</v>
      </c>
      <c r="D427" s="26">
        <f ca="1">+SUM(F427:Z427)</f>
        <v>234310093.77126545</v>
      </c>
      <c r="E427" s="26"/>
      <c r="F427" s="16">
        <v>0</v>
      </c>
      <c r="G427" s="16">
        <f ca="1">+F434</f>
        <v>86569817.956540704</v>
      </c>
      <c r="H427" s="16">
        <f t="shared" ref="H427" ca="1" si="324">+G434</f>
        <v>99233039.106664419</v>
      </c>
      <c r="I427" s="16">
        <f ca="1">+H434</f>
        <v>99233039.106664419</v>
      </c>
      <c r="J427" s="16">
        <f ca="1">+I434</f>
        <v>68929152.464746237</v>
      </c>
      <c r="K427" s="16">
        <f t="shared" ref="K427" ca="1" si="325">+J434</f>
        <v>59758833.279935263</v>
      </c>
      <c r="L427" s="16">
        <f t="shared" ref="L427" ca="1" si="326">+K434</f>
        <v>50111797.85590519</v>
      </c>
      <c r="M427" s="16">
        <f t="shared" ref="M427" ca="1" si="327">+L434</f>
        <v>7396668.4909194792</v>
      </c>
      <c r="N427" s="16">
        <f t="shared" ref="N427" ca="1" si="328">+M434</f>
        <v>-1741896.8459435869</v>
      </c>
      <c r="O427" s="16">
        <f t="shared" ref="O427" ca="1" si="329">+N434</f>
        <v>-10856505.851941567</v>
      </c>
      <c r="P427" s="16">
        <f t="shared" ref="P427" ca="1" si="330">+O434</f>
        <v>-19972957.487366267</v>
      </c>
      <c r="Q427" s="16">
        <f t="shared" ref="Q427" ca="1" si="331">+P434</f>
        <v>-48059283.644708961</v>
      </c>
      <c r="R427" s="16">
        <f t="shared" ref="R427" ca="1" si="332">+Q434</f>
        <v>0</v>
      </c>
      <c r="S427" s="16">
        <f t="shared" ref="S427" ca="1" si="333">+R434</f>
        <v>0</v>
      </c>
      <c r="T427" s="16">
        <f t="shared" ref="T427" ca="1" si="334">+S434</f>
        <v>0</v>
      </c>
      <c r="U427" s="16">
        <f t="shared" ref="U427" ca="1" si="335">+T434</f>
        <v>0</v>
      </c>
      <c r="V427" s="16">
        <f t="shared" ref="V427" ca="1" si="336">+U434</f>
        <v>0</v>
      </c>
      <c r="W427" s="16">
        <f t="shared" ref="W427" ca="1" si="337">+V434</f>
        <v>0</v>
      </c>
      <c r="X427" s="16">
        <f t="shared" ref="X427" ca="1" si="338">+W434</f>
        <v>0</v>
      </c>
      <c r="Y427" s="16">
        <f t="shared" ref="Y427" ca="1" si="339">+X434</f>
        <v>0</v>
      </c>
      <c r="Z427" s="16">
        <f t="shared" ref="Z427" ca="1" si="340">+Y434</f>
        <v>0</v>
      </c>
    </row>
    <row r="428" spans="2:26" ht="15.75">
      <c r="B428" s="15" t="s">
        <v>676</v>
      </c>
      <c r="D428" s="26">
        <f t="shared" ref="D428:D433" ca="1" si="341">+SUM(F428:Z428)</f>
        <v>64159011.937496722</v>
      </c>
      <c r="E428" s="26"/>
      <c r="F428" s="76">
        <f ca="1">-F399</f>
        <v>86569817.956540704</v>
      </c>
      <c r="G428" s="76">
        <f t="shared" ref="G428:Z428" ca="1" si="342">-G399</f>
        <v>12663221.150123715</v>
      </c>
      <c r="H428" s="76">
        <f t="shared" ca="1" si="342"/>
        <v>0</v>
      </c>
      <c r="I428" s="76">
        <f t="shared" ca="1" si="342"/>
        <v>0</v>
      </c>
      <c r="J428" s="76">
        <f t="shared" ca="1" si="342"/>
        <v>0</v>
      </c>
      <c r="K428" s="76">
        <f t="shared" ca="1" si="342"/>
        <v>0</v>
      </c>
      <c r="L428" s="76">
        <f t="shared" ca="1" si="342"/>
        <v>0</v>
      </c>
      <c r="M428" s="76">
        <f t="shared" ca="1" si="342"/>
        <v>0</v>
      </c>
      <c r="N428" s="76">
        <f t="shared" ca="1" si="342"/>
        <v>0</v>
      </c>
      <c r="O428" s="76">
        <f t="shared" ca="1" si="342"/>
        <v>0</v>
      </c>
      <c r="P428" s="76">
        <f t="shared" ca="1" si="342"/>
        <v>0</v>
      </c>
      <c r="Q428" s="76">
        <f t="shared" ca="1" si="342"/>
        <v>0</v>
      </c>
      <c r="R428" s="76">
        <f t="shared" ca="1" si="342"/>
        <v>0</v>
      </c>
      <c r="S428" s="76">
        <f t="shared" ca="1" si="342"/>
        <v>0</v>
      </c>
      <c r="T428" s="76">
        <f t="shared" ca="1" si="342"/>
        <v>0</v>
      </c>
      <c r="U428" s="76">
        <f t="shared" ca="1" si="342"/>
        <v>0</v>
      </c>
      <c r="V428" s="76">
        <f t="shared" ca="1" si="342"/>
        <v>0</v>
      </c>
      <c r="W428" s="76">
        <f t="shared" ca="1" si="342"/>
        <v>0</v>
      </c>
      <c r="X428" s="76">
        <f t="shared" ca="1" si="342"/>
        <v>0</v>
      </c>
      <c r="Y428" s="76">
        <f t="shared" ca="1" si="342"/>
        <v>0</v>
      </c>
      <c r="Z428" s="76">
        <f t="shared" ca="1" si="342"/>
        <v>0</v>
      </c>
    </row>
    <row r="429" spans="2:26" ht="15.75">
      <c r="B429" s="15" t="s">
        <v>704</v>
      </c>
      <c r="D429" s="26">
        <f t="shared" si="341"/>
        <v>64150089.379527032</v>
      </c>
      <c r="E429" s="26"/>
      <c r="F429" s="76">
        <f>IF(F396&lt;=Assumptions!$F$30,F389-F145-F215-F260,0)</f>
        <v>0</v>
      </c>
      <c r="G429" s="76">
        <f>IF(G396&lt;=Assumptions!$F$30,G389-G145-G215-G260,0)</f>
        <v>0</v>
      </c>
      <c r="H429" s="76">
        <f>IF(H396&lt;=Assumptions!$F$30,H389-H145-H215-H260,0)</f>
        <v>0</v>
      </c>
      <c r="I429" s="76">
        <f>IF(I396&lt;=Assumptions!$F$30,I389-I145-I215-I260,0)</f>
        <v>-6285207.8416885296</v>
      </c>
      <c r="J429" s="76">
        <f>IF(J396&lt;=Assumptions!$F$30,J389-J145-J215-J260,0)</f>
        <v>7733840.5072047291</v>
      </c>
      <c r="K429" s="76">
        <f>IF(K396&lt;=Assumptions!$F$30,K389-K145-K215-K260,0)</f>
        <v>7875590.5866173571</v>
      </c>
      <c r="L429" s="76">
        <f>IF(L396&lt;=Assumptions!$F$30,L389-L145-L215-L260,0)</f>
        <v>9965729.5260405447</v>
      </c>
      <c r="M429" s="76">
        <f>IF(M396&lt;=Assumptions!$F$30,M389-M145-M215-M260,0)</f>
        <v>10492215.052228292</v>
      </c>
      <c r="N429" s="76">
        <f>IF(N396&lt;=Assumptions!$F$30,N389-N145-N215-N260,0)</f>
        <v>10960733.607462874</v>
      </c>
      <c r="O429" s="76">
        <f>IF(O396&lt;=Assumptions!$F$30,O389-O145-O215-O260,0)</f>
        <v>11414849.801425243</v>
      </c>
      <c r="P429" s="76">
        <f>IF(P396&lt;=Assumptions!$F$30,P389-P145-P215-P260,0)</f>
        <v>11992338.140236521</v>
      </c>
      <c r="Q429" s="76">
        <f>IF(Q396&lt;=Assumptions!$F$30,Q389-Q145-Q215-Q260,0)</f>
        <v>0</v>
      </c>
      <c r="R429" s="76">
        <f>IF(R396&lt;=Assumptions!$F$30,R389-R145-R215-R260,0)</f>
        <v>0</v>
      </c>
      <c r="S429" s="76">
        <f>IF(S396&lt;=Assumptions!$F$30,S389-S145-S215-S260,0)</f>
        <v>0</v>
      </c>
      <c r="T429" s="76">
        <f>IF(T396&lt;=Assumptions!$F$30,T389-T145-T215-T260,0)</f>
        <v>0</v>
      </c>
      <c r="U429" s="76">
        <f>IF(U396&lt;=Assumptions!$F$30,U389-U145-U215-U260,0)</f>
        <v>0</v>
      </c>
      <c r="V429" s="76">
        <f>IF(V396&lt;=Assumptions!$F$30,V389-V145-V215-V260,0)</f>
        <v>0</v>
      </c>
      <c r="W429" s="76">
        <f>IF(W396&lt;=Assumptions!$F$30,W389-W145-W215-W260,0)</f>
        <v>0</v>
      </c>
      <c r="X429" s="76">
        <f>IF(X396&lt;=Assumptions!$F$30,X389-X145-X215-X260,0)</f>
        <v>0</v>
      </c>
      <c r="Y429" s="76">
        <f>IF(Y396&lt;=Assumptions!$F$30,Y389-Y145-Y215-Y260,0)</f>
        <v>0</v>
      </c>
      <c r="Z429" s="76">
        <f>IF(Z396&lt;=Assumptions!$F$30,Z389-Z145-Z215-Z260,0)</f>
        <v>0</v>
      </c>
    </row>
    <row r="430" spans="2:26" ht="15.75">
      <c r="B430" s="15" t="s">
        <v>691</v>
      </c>
      <c r="D430" s="26">
        <f t="shared" ca="1" si="341"/>
        <v>-81382191.844154909</v>
      </c>
      <c r="E430" s="26"/>
      <c r="F430" s="76">
        <f>+F390</f>
        <v>0</v>
      </c>
      <c r="G430" s="76">
        <f t="shared" ref="G430:Z430" si="343">+G390</f>
        <v>0</v>
      </c>
      <c r="H430" s="76">
        <f t="shared" si="343"/>
        <v>0</v>
      </c>
      <c r="I430" s="76">
        <f t="shared" si="343"/>
        <v>0</v>
      </c>
      <c r="J430" s="76">
        <f t="shared" ca="1" si="343"/>
        <v>-11626027.406307843</v>
      </c>
      <c r="K430" s="76">
        <f t="shared" ca="1" si="343"/>
        <v>-11626027.406307843</v>
      </c>
      <c r="L430" s="76">
        <f t="shared" ca="1" si="343"/>
        <v>-11626027.406307843</v>
      </c>
      <c r="M430" s="76">
        <f t="shared" ca="1" si="343"/>
        <v>-11626027.406307843</v>
      </c>
      <c r="N430" s="76">
        <f t="shared" ca="1" si="343"/>
        <v>-11626027.406307843</v>
      </c>
      <c r="O430" s="76">
        <f t="shared" ca="1" si="343"/>
        <v>-11626027.406307843</v>
      </c>
      <c r="P430" s="76">
        <f t="shared" ca="1" si="343"/>
        <v>-11626027.406307843</v>
      </c>
      <c r="Q430" s="76">
        <f t="shared" si="343"/>
        <v>0</v>
      </c>
      <c r="R430" s="76">
        <f t="shared" si="343"/>
        <v>0</v>
      </c>
      <c r="S430" s="76">
        <f t="shared" si="343"/>
        <v>0</v>
      </c>
      <c r="T430" s="76">
        <f t="shared" si="343"/>
        <v>0</v>
      </c>
      <c r="U430" s="76">
        <f t="shared" si="343"/>
        <v>0</v>
      </c>
      <c r="V430" s="76">
        <f t="shared" si="343"/>
        <v>0</v>
      </c>
      <c r="W430" s="76">
        <f t="shared" si="343"/>
        <v>0</v>
      </c>
      <c r="X430" s="76">
        <f t="shared" si="343"/>
        <v>0</v>
      </c>
      <c r="Y430" s="76">
        <f t="shared" si="343"/>
        <v>0</v>
      </c>
      <c r="Z430" s="76">
        <f t="shared" si="343"/>
        <v>0</v>
      </c>
    </row>
    <row r="431" spans="2:26" ht="15.75">
      <c r="B431" s="15" t="s">
        <v>698</v>
      </c>
      <c r="D431" s="26">
        <f t="shared" ca="1" si="341"/>
        <v>-42925549.562628902</v>
      </c>
      <c r="E431" s="26"/>
      <c r="F431" s="76">
        <f>-F403</f>
        <v>0</v>
      </c>
      <c r="G431" s="76">
        <f t="shared" ref="G431:Z431" si="344">-G403</f>
        <v>0</v>
      </c>
      <c r="H431" s="76">
        <f t="shared" si="344"/>
        <v>0</v>
      </c>
      <c r="I431" s="76">
        <f t="shared" ca="1" si="344"/>
        <v>10962201.200303458</v>
      </c>
      <c r="J431" s="76">
        <f t="shared" ca="1" si="344"/>
        <v>-5278132.2857078519</v>
      </c>
      <c r="K431" s="76">
        <f t="shared" ca="1" si="344"/>
        <v>-5896598.6043395866</v>
      </c>
      <c r="L431" s="76">
        <f t="shared" ca="1" si="344"/>
        <v>-8089716.1966364617</v>
      </c>
      <c r="M431" s="76">
        <f t="shared" ca="1" si="344"/>
        <v>-8004752.9827835169</v>
      </c>
      <c r="N431" s="76">
        <f t="shared" ca="1" si="344"/>
        <v>-8449315.2071530111</v>
      </c>
      <c r="O431" s="76">
        <f t="shared" ca="1" si="344"/>
        <v>-8905274.030542098</v>
      </c>
      <c r="P431" s="76">
        <f t="shared" ca="1" si="344"/>
        <v>-9263961.4557698313</v>
      </c>
      <c r="Q431" s="76">
        <f t="shared" si="344"/>
        <v>0</v>
      </c>
      <c r="R431" s="76">
        <f t="shared" si="344"/>
        <v>0</v>
      </c>
      <c r="S431" s="76">
        <f t="shared" si="344"/>
        <v>0</v>
      </c>
      <c r="T431" s="76">
        <f t="shared" si="344"/>
        <v>0</v>
      </c>
      <c r="U431" s="76">
        <f t="shared" si="344"/>
        <v>0</v>
      </c>
      <c r="V431" s="76">
        <f t="shared" si="344"/>
        <v>0</v>
      </c>
      <c r="W431" s="76">
        <f t="shared" si="344"/>
        <v>0</v>
      </c>
      <c r="X431" s="76">
        <f t="shared" si="344"/>
        <v>0</v>
      </c>
      <c r="Y431" s="76">
        <f t="shared" si="344"/>
        <v>0</v>
      </c>
      <c r="Z431" s="76">
        <f t="shared" si="344"/>
        <v>0</v>
      </c>
    </row>
    <row r="432" spans="2:26" ht="15.75">
      <c r="B432" s="15" t="s">
        <v>705</v>
      </c>
      <c r="D432" s="26">
        <f t="shared" ca="1" si="341"/>
        <v>-242809352.06443381</v>
      </c>
      <c r="E432" s="26"/>
      <c r="F432" s="76">
        <f>-F272-F227-F158</f>
        <v>0</v>
      </c>
      <c r="G432" s="76">
        <f t="shared" ref="G432:Z432" si="345">-G272-G227-G158</f>
        <v>0</v>
      </c>
      <c r="H432" s="76">
        <f t="shared" si="345"/>
        <v>0</v>
      </c>
      <c r="I432" s="76">
        <f t="shared" ca="1" si="345"/>
        <v>-34980880.000533104</v>
      </c>
      <c r="J432" s="76">
        <f t="shared" si="345"/>
        <v>0</v>
      </c>
      <c r="K432" s="76">
        <f t="shared" si="345"/>
        <v>0</v>
      </c>
      <c r="L432" s="76">
        <f t="shared" si="345"/>
        <v>0</v>
      </c>
      <c r="M432" s="76">
        <f t="shared" si="345"/>
        <v>0</v>
      </c>
      <c r="N432" s="76">
        <f t="shared" si="345"/>
        <v>0</v>
      </c>
      <c r="O432" s="76">
        <f t="shared" si="345"/>
        <v>0</v>
      </c>
      <c r="P432" s="76">
        <f t="shared" ca="1" si="345"/>
        <v>-253233797.70375896</v>
      </c>
      <c r="Q432" s="76">
        <f t="shared" si="345"/>
        <v>0</v>
      </c>
      <c r="R432" s="76">
        <f t="shared" si="345"/>
        <v>0</v>
      </c>
      <c r="S432" s="76">
        <f t="shared" si="345"/>
        <v>0</v>
      </c>
      <c r="T432" s="76">
        <f t="shared" si="345"/>
        <v>0</v>
      </c>
      <c r="U432" s="76">
        <f t="shared" si="345"/>
        <v>0</v>
      </c>
      <c r="V432" s="76">
        <f t="shared" si="345"/>
        <v>0</v>
      </c>
      <c r="W432" s="76">
        <f t="shared" si="345"/>
        <v>0</v>
      </c>
      <c r="X432" s="76">
        <f t="shared" si="345"/>
        <v>0</v>
      </c>
      <c r="Y432" s="76">
        <f t="shared" si="345"/>
        <v>0</v>
      </c>
      <c r="Z432" s="76">
        <f t="shared" si="345"/>
        <v>0</v>
      </c>
    </row>
    <row r="433" spans="2:26" ht="15.75">
      <c r="B433" s="15" t="s">
        <v>693</v>
      </c>
      <c r="D433" s="26">
        <f t="shared" ca="1" si="341"/>
        <v>232936418.26070261</v>
      </c>
      <c r="E433" s="26"/>
      <c r="F433" s="76">
        <f>-IF(YEAR(F396)=YEAR(Assumptions!$F$30),SUM(F427:F432),0)</f>
        <v>0</v>
      </c>
      <c r="G433" s="76">
        <f>-IF(YEAR(G396)=YEAR(Assumptions!$F$30),SUM(G427:G432),0)</f>
        <v>0</v>
      </c>
      <c r="H433" s="76">
        <f>-IF(YEAR(H396)=YEAR(Assumptions!$F$30),SUM(H427:H432),0)</f>
        <v>0</v>
      </c>
      <c r="I433" s="76">
        <f>-IF(YEAR(I396)=YEAR(Assumptions!$F$30),SUM(I427:I432),0)</f>
        <v>0</v>
      </c>
      <c r="J433" s="76">
        <f>-IF(YEAR(J396)=YEAR(Assumptions!$F$30),SUM(J427:J432),0)</f>
        <v>0</v>
      </c>
      <c r="K433" s="76">
        <f>-IF(YEAR(K396)=YEAR(Assumptions!$F$30),SUM(K427:K432),0)</f>
        <v>0</v>
      </c>
      <c r="L433" s="76">
        <f>-IF(YEAR(L396)=YEAR(Assumptions!$F$30),SUM(L427:L432),0)</f>
        <v>0</v>
      </c>
      <c r="M433" s="76">
        <f>-IF(YEAR(M396)=YEAR(Assumptions!$F$30),SUM(M427:M432),0)</f>
        <v>0</v>
      </c>
      <c r="N433" s="76">
        <f>-IF(YEAR(N396)=YEAR(Assumptions!$F$30),SUM(N427:N432),0)</f>
        <v>0</v>
      </c>
      <c r="O433" s="76">
        <f>-IF(YEAR(O396)=YEAR(Assumptions!$F$30),SUM(O427:O432),0)</f>
        <v>0</v>
      </c>
      <c r="P433" s="76">
        <f ca="1">-IF(YEAR(P396)=YEAR(Assumptions!$F$30),SUM(P427:P432),0)</f>
        <v>234045122.26825741</v>
      </c>
      <c r="Q433" s="76">
        <f>-IF(YEAR(Q396)=YEAR(Assumptions!$F$30),SUM(Q427:Q432),0)</f>
        <v>0</v>
      </c>
      <c r="R433" s="76">
        <f>-IF(YEAR(R396)=YEAR(Assumptions!$F$30),SUM(R427:R432),0)</f>
        <v>0</v>
      </c>
      <c r="S433" s="76">
        <f>-IF(YEAR(S396)=YEAR(Assumptions!$F$30),SUM(S427:S432),0)</f>
        <v>0</v>
      </c>
      <c r="T433" s="76">
        <f>-IF(YEAR(T396)=YEAR(Assumptions!$F$30),SUM(T427:T432),0)</f>
        <v>0</v>
      </c>
      <c r="U433" s="76">
        <f>-IF(YEAR(U396)=YEAR(Assumptions!$F$30),SUM(U427:U432),0)</f>
        <v>0</v>
      </c>
      <c r="V433" s="76">
        <f>-IF(YEAR(V396)=YEAR(Assumptions!$F$30),SUM(V427:V432),0)</f>
        <v>0</v>
      </c>
      <c r="W433" s="76">
        <f>-IF(YEAR(W396)=YEAR(Assumptions!$F$30),SUM(W427:W432),0)</f>
        <v>0</v>
      </c>
      <c r="X433" s="76">
        <f>-IF(YEAR(X396)=YEAR(Assumptions!$F$30),SUM(X427:X432),0)</f>
        <v>0</v>
      </c>
      <c r="Y433" s="76">
        <f>-IF(YEAR(Y396)=YEAR(Assumptions!$F$30),SUM(Y427:Y432),0)</f>
        <v>0</v>
      </c>
      <c r="Z433" s="76">
        <f>-IF(YEAR(Z396)=YEAR(Assumptions!$F$30),SUM(Z427:Z432),0)</f>
        <v>0</v>
      </c>
    </row>
    <row r="434" spans="2:26" ht="15.75">
      <c r="B434" s="62" t="s">
        <v>694</v>
      </c>
      <c r="C434" s="62"/>
      <c r="D434" s="18">
        <f t="shared" ref="D434" ca="1" si="346">+SUM(F434:Z434)</f>
        <v>234310093.77126545</v>
      </c>
      <c r="E434" s="58"/>
      <c r="F434" s="58">
        <f ca="1">+SUM(F427:F433)</f>
        <v>86569817.956540704</v>
      </c>
      <c r="G434" s="58">
        <f t="shared" ref="G434:Z434" ca="1" si="347">+SUM(G427:G433)</f>
        <v>99233039.106664419</v>
      </c>
      <c r="H434" s="58">
        <f t="shared" ca="1" si="347"/>
        <v>99233039.106664419</v>
      </c>
      <c r="I434" s="58">
        <f t="shared" ca="1" si="347"/>
        <v>68929152.464746237</v>
      </c>
      <c r="J434" s="58">
        <f t="shared" ca="1" si="347"/>
        <v>59758833.279935263</v>
      </c>
      <c r="K434" s="58">
        <f t="shared" ca="1" si="347"/>
        <v>50111797.85590519</v>
      </c>
      <c r="L434" s="58">
        <f t="shared" ca="1" si="347"/>
        <v>40361783.779001437</v>
      </c>
      <c r="M434" s="58">
        <f t="shared" ca="1" si="347"/>
        <v>-1741896.8459435869</v>
      </c>
      <c r="N434" s="58">
        <f t="shared" ca="1" si="347"/>
        <v>-10856505.851941567</v>
      </c>
      <c r="O434" s="58">
        <f t="shared" ca="1" si="347"/>
        <v>-19972957.487366267</v>
      </c>
      <c r="P434" s="58">
        <f t="shared" ca="1" si="347"/>
        <v>-48059283.644708961</v>
      </c>
      <c r="Q434" s="58">
        <f t="shared" ca="1" si="347"/>
        <v>-48059283.644708961</v>
      </c>
      <c r="R434" s="58">
        <f t="shared" ca="1" si="347"/>
        <v>0</v>
      </c>
      <c r="S434" s="58">
        <f t="shared" ca="1" si="347"/>
        <v>0</v>
      </c>
      <c r="T434" s="58">
        <f t="shared" ca="1" si="347"/>
        <v>0</v>
      </c>
      <c r="U434" s="58">
        <f t="shared" ca="1" si="347"/>
        <v>0</v>
      </c>
      <c r="V434" s="58">
        <f t="shared" ca="1" si="347"/>
        <v>0</v>
      </c>
      <c r="W434" s="58">
        <f t="shared" ca="1" si="347"/>
        <v>0</v>
      </c>
      <c r="X434" s="58">
        <f t="shared" ca="1" si="347"/>
        <v>0</v>
      </c>
      <c r="Y434" s="58">
        <f t="shared" ca="1" si="347"/>
        <v>0</v>
      </c>
      <c r="Z434" s="58">
        <f t="shared" ca="1" si="347"/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00B050"/>
  </sheetPr>
  <dimension ref="A1:AI367"/>
  <sheetViews>
    <sheetView showGridLines="0" topLeftCell="A292" zoomScale="120" zoomScaleNormal="120" workbookViewId="0">
      <selection activeCell="A271" sqref="A1:XFD1048576"/>
    </sheetView>
  </sheetViews>
  <sheetFormatPr defaultColWidth="14.42578125" defaultRowHeight="15"/>
  <cols>
    <col min="1" max="1" width="9.5703125" style="21" bestFit="1" customWidth="1"/>
    <col min="2" max="2" width="79.42578125" style="21" bestFit="1" customWidth="1"/>
    <col min="3" max="3" width="23.28515625" style="21" customWidth="1"/>
    <col min="4" max="4" width="17" style="21" bestFit="1" customWidth="1"/>
    <col min="5" max="5" width="5.85546875" style="21" bestFit="1" customWidth="1"/>
    <col min="6" max="6" width="15.5703125" style="21" bestFit="1" customWidth="1"/>
    <col min="7" max="7" width="17" style="21" bestFit="1" customWidth="1"/>
    <col min="8" max="9" width="16.28515625" style="21" bestFit="1" customWidth="1"/>
    <col min="10" max="10" width="17.42578125" style="21" bestFit="1" customWidth="1"/>
    <col min="11" max="26" width="16.28515625" style="21" bestFit="1" customWidth="1"/>
    <col min="27" max="35" width="1.85546875" style="21" bestFit="1" customWidth="1"/>
    <col min="36" max="16384" width="14.42578125" style="21"/>
  </cols>
  <sheetData>
    <row r="1" spans="1:26">
      <c r="B1" s="71" t="s">
        <v>602</v>
      </c>
      <c r="E1" s="71">
        <v>0</v>
      </c>
      <c r="F1" s="72">
        <f>+IF(F6&gt;=Assumptions!$G$26,'Phase II Pro Forma'!E1+1,'Phase II Pro Forma'!E1)</f>
        <v>0</v>
      </c>
      <c r="G1" s="72">
        <f>+IF(G6&gt;=Assumptions!$G$26,'Phase II Pro Forma'!F1+1,'Phase II Pro Forma'!F1)</f>
        <v>0</v>
      </c>
      <c r="H1" s="72">
        <f>+IF(H6&gt;=Assumptions!$G$26,'Phase II Pro Forma'!G1+1,'Phase II Pro Forma'!G1)</f>
        <v>0</v>
      </c>
      <c r="I1" s="72">
        <f>+IF(I6&gt;=Assumptions!$G$26,'Phase II Pro Forma'!H1+1,'Phase II Pro Forma'!H1)</f>
        <v>1</v>
      </c>
      <c r="J1" s="72">
        <f>+IF(J6&gt;=Assumptions!$G$26,'Phase II Pro Forma'!I1+1,'Phase II Pro Forma'!I1)</f>
        <v>2</v>
      </c>
      <c r="K1" s="72">
        <f>+IF(K6&gt;=Assumptions!$G$26,'Phase II Pro Forma'!J1+1,'Phase II Pro Forma'!J1)</f>
        <v>3</v>
      </c>
      <c r="L1" s="72">
        <f>+IF(L6&gt;=Assumptions!$G$26,'Phase II Pro Forma'!K1+1,'Phase II Pro Forma'!K1)</f>
        <v>4</v>
      </c>
      <c r="M1" s="72">
        <f>+IF(M6&gt;=Assumptions!$G$26,'Phase II Pro Forma'!L1+1,'Phase II Pro Forma'!L1)</f>
        <v>5</v>
      </c>
      <c r="N1" s="72">
        <f>+IF(N6&gt;=Assumptions!$G$26,'Phase II Pro Forma'!M1+1,'Phase II Pro Forma'!M1)</f>
        <v>6</v>
      </c>
      <c r="O1" s="72">
        <f>+IF(O6&gt;=Assumptions!$G$26,'Phase II Pro Forma'!N1+1,'Phase II Pro Forma'!N1)</f>
        <v>7</v>
      </c>
      <c r="P1" s="72">
        <f>+IF(P6&gt;=Assumptions!$G$26,'Phase II Pro Forma'!O1+1,'Phase II Pro Forma'!O1)</f>
        <v>8</v>
      </c>
      <c r="Q1" s="72">
        <f>+IF(Q6&gt;=Assumptions!$G$26,'Phase II Pro Forma'!P1+1,'Phase II Pro Forma'!P1)</f>
        <v>9</v>
      </c>
      <c r="R1" s="72">
        <f>+IF(R6&gt;=Assumptions!$G$26,'Phase II Pro Forma'!Q1+1,'Phase II Pro Forma'!Q1)</f>
        <v>10</v>
      </c>
      <c r="S1" s="72">
        <f>+IF(S6&gt;=Assumptions!$G$26,'Phase II Pro Forma'!R1+1,'Phase II Pro Forma'!R1)</f>
        <v>11</v>
      </c>
      <c r="T1" s="72">
        <f>+IF(T6&gt;=Assumptions!$G$26,'Phase II Pro Forma'!S1+1,'Phase II Pro Forma'!S1)</f>
        <v>12</v>
      </c>
      <c r="U1" s="72">
        <f>+IF(U6&gt;=Assumptions!$G$26,'Phase II Pro Forma'!T1+1,'Phase II Pro Forma'!T1)</f>
        <v>13</v>
      </c>
      <c r="V1" s="72">
        <f>+IF(V6&gt;=Assumptions!$G$26,'Phase II Pro Forma'!U1+1,'Phase II Pro Forma'!U1)</f>
        <v>14</v>
      </c>
      <c r="W1" s="72">
        <f>+IF(W6&gt;=Assumptions!$G$26,'Phase II Pro Forma'!V1+1,'Phase II Pro Forma'!V1)</f>
        <v>15</v>
      </c>
      <c r="X1" s="72">
        <f>+IF(X6&gt;=Assumptions!$G$26,'Phase II Pro Forma'!W1+1,'Phase II Pro Forma'!W1)</f>
        <v>16</v>
      </c>
      <c r="Y1" s="72">
        <f>+IF(Y6&gt;=Assumptions!$G$26,'Phase II Pro Forma'!X1+1,'Phase II Pro Forma'!X1)</f>
        <v>17</v>
      </c>
      <c r="Z1" s="72">
        <f>+IF(Z6&gt;=Assumptions!$G$26,'Phase II Pro Forma'!Y1+1,'Phase II Pro Forma'!Y1)</f>
        <v>18</v>
      </c>
    </row>
    <row r="2" spans="1:26">
      <c r="B2" s="71" t="s">
        <v>603</v>
      </c>
      <c r="F2" s="72">
        <f>+IF(F6&gt;=Assumptions!$G$28,'Phase II Pro Forma'!E2+1,'Phase II Pro Forma'!E2)</f>
        <v>0</v>
      </c>
      <c r="G2" s="72">
        <f>+IF(G6&gt;=Assumptions!$G$28,'Phase II Pro Forma'!F2+1,'Phase II Pro Forma'!F2)</f>
        <v>0</v>
      </c>
      <c r="H2" s="72">
        <f>+IF(H6&gt;=Assumptions!$G$28,'Phase II Pro Forma'!G2+1,'Phase II Pro Forma'!G2)</f>
        <v>0</v>
      </c>
      <c r="I2" s="72">
        <f>+IF(I6&gt;=Assumptions!$G$28,'Phase II Pro Forma'!H2+1,'Phase II Pro Forma'!H2)</f>
        <v>0</v>
      </c>
      <c r="J2" s="72">
        <f>+IF(J6&gt;=Assumptions!$G$28,'Phase II Pro Forma'!I2+1,'Phase II Pro Forma'!I2)</f>
        <v>0</v>
      </c>
      <c r="K2" s="72">
        <f>+IF(K6&gt;=Assumptions!$G$28,'Phase II Pro Forma'!J2+1,'Phase II Pro Forma'!J2)</f>
        <v>1</v>
      </c>
      <c r="L2" s="72">
        <f>+IF(L6&gt;=Assumptions!$G$28,'Phase II Pro Forma'!K2+1,'Phase II Pro Forma'!K2)</f>
        <v>2</v>
      </c>
      <c r="M2" s="72">
        <f>+IF(M6&gt;=Assumptions!$G$28,'Phase II Pro Forma'!L2+1,'Phase II Pro Forma'!L2)</f>
        <v>3</v>
      </c>
      <c r="N2" s="72">
        <f>+IF(N6&gt;=Assumptions!$G$28,'Phase II Pro Forma'!M2+1,'Phase II Pro Forma'!M2)</f>
        <v>4</v>
      </c>
      <c r="O2" s="72">
        <f>+IF(O6&gt;=Assumptions!$G$28,'Phase II Pro Forma'!N2+1,'Phase II Pro Forma'!N2)</f>
        <v>5</v>
      </c>
      <c r="P2" s="72">
        <f>+IF(P6&gt;=Assumptions!$G$28,'Phase II Pro Forma'!O2+1,'Phase II Pro Forma'!O2)</f>
        <v>6</v>
      </c>
      <c r="Q2" s="72">
        <f>+IF(Q6&gt;=Assumptions!$G$28,'Phase II Pro Forma'!P2+1,'Phase II Pro Forma'!P2)</f>
        <v>7</v>
      </c>
      <c r="R2" s="72">
        <f>+IF(R6&gt;=Assumptions!$G$28,'Phase II Pro Forma'!Q2+1,'Phase II Pro Forma'!Q2)</f>
        <v>8</v>
      </c>
      <c r="S2" s="72">
        <f>+IF(S6&gt;=Assumptions!$G$28,'Phase II Pro Forma'!R2+1,'Phase II Pro Forma'!R2)</f>
        <v>9</v>
      </c>
      <c r="T2" s="72">
        <f>+IF(T6&gt;=Assumptions!$G$28,'Phase II Pro Forma'!S2+1,'Phase II Pro Forma'!S2)</f>
        <v>10</v>
      </c>
      <c r="U2" s="72">
        <f>+IF(U6&gt;=Assumptions!$G$28,'Phase II Pro Forma'!T2+1,'Phase II Pro Forma'!T2)</f>
        <v>11</v>
      </c>
      <c r="V2" s="72">
        <f>+IF(V6&gt;=Assumptions!$G$28,'Phase II Pro Forma'!U2+1,'Phase II Pro Forma'!U2)</f>
        <v>12</v>
      </c>
      <c r="W2" s="72">
        <f>+IF(W6&gt;=Assumptions!$G$28,'Phase II Pro Forma'!V2+1,'Phase II Pro Forma'!V2)</f>
        <v>13</v>
      </c>
      <c r="X2" s="72">
        <f>+IF(X6&gt;=Assumptions!$G$28,'Phase II Pro Forma'!W2+1,'Phase II Pro Forma'!W2)</f>
        <v>14</v>
      </c>
      <c r="Y2" s="72">
        <f>+IF(Y6&gt;=Assumptions!$G$28,'Phase II Pro Forma'!X2+1,'Phase II Pro Forma'!X2)</f>
        <v>15</v>
      </c>
      <c r="Z2" s="72">
        <f>+IF(Z6&gt;=Assumptions!$G$28,'Phase II Pro Forma'!Y2+1,'Phase II Pro Forma'!Y2)</f>
        <v>16</v>
      </c>
    </row>
    <row r="3" spans="1:26">
      <c r="F3" s="22"/>
      <c r="G3" s="22"/>
      <c r="H3" s="22"/>
      <c r="I3" s="22"/>
      <c r="J3" s="22"/>
      <c r="K3" s="22"/>
      <c r="L3" s="22"/>
      <c r="M3" s="22"/>
      <c r="N3" s="22"/>
    </row>
    <row r="4" spans="1:26" ht="15.75">
      <c r="B4" s="444" t="s">
        <v>604</v>
      </c>
      <c r="C4" s="445"/>
      <c r="D4" s="445"/>
      <c r="E4" s="445"/>
      <c r="F4" s="640"/>
      <c r="G4" s="640"/>
      <c r="H4" s="640"/>
      <c r="I4" s="640"/>
      <c r="J4" s="640"/>
      <c r="K4" s="640"/>
      <c r="L4" s="640"/>
      <c r="M4" s="640"/>
      <c r="N4" s="640"/>
      <c r="O4" s="640"/>
      <c r="P4" s="640"/>
      <c r="Q4" s="640"/>
      <c r="R4" s="640"/>
      <c r="S4" s="640"/>
      <c r="T4" s="640"/>
      <c r="U4" s="640"/>
      <c r="V4" s="640"/>
      <c r="W4" s="640"/>
      <c r="X4" s="640"/>
      <c r="Y4" s="640"/>
      <c r="Z4" s="640"/>
    </row>
    <row r="5" spans="1:26" ht="15.75">
      <c r="B5" s="54"/>
      <c r="F5" s="107">
        <f>+YEAR(F6)</f>
        <v>2022</v>
      </c>
      <c r="G5" s="107">
        <f t="shared" ref="G5:Z5" si="0">+YEAR(G6)</f>
        <v>2023</v>
      </c>
      <c r="H5" s="107">
        <f t="shared" si="0"/>
        <v>2024</v>
      </c>
      <c r="I5" s="107">
        <f t="shared" si="0"/>
        <v>2025</v>
      </c>
      <c r="J5" s="107">
        <f t="shared" si="0"/>
        <v>2026</v>
      </c>
      <c r="K5" s="107">
        <f t="shared" si="0"/>
        <v>2027</v>
      </c>
      <c r="L5" s="107">
        <f t="shared" si="0"/>
        <v>2028</v>
      </c>
      <c r="M5" s="107">
        <f t="shared" si="0"/>
        <v>2029</v>
      </c>
      <c r="N5" s="107">
        <f t="shared" si="0"/>
        <v>2030</v>
      </c>
      <c r="O5" s="107">
        <f t="shared" si="0"/>
        <v>2031</v>
      </c>
      <c r="P5" s="107">
        <f t="shared" si="0"/>
        <v>2032</v>
      </c>
      <c r="Q5" s="107">
        <f t="shared" si="0"/>
        <v>2033</v>
      </c>
      <c r="R5" s="107">
        <f t="shared" si="0"/>
        <v>2034</v>
      </c>
      <c r="S5" s="107">
        <f t="shared" si="0"/>
        <v>2035</v>
      </c>
      <c r="T5" s="107">
        <f t="shared" si="0"/>
        <v>2036</v>
      </c>
      <c r="U5" s="107">
        <f t="shared" si="0"/>
        <v>2037</v>
      </c>
      <c r="V5" s="107">
        <f t="shared" si="0"/>
        <v>2038</v>
      </c>
      <c r="W5" s="107">
        <f t="shared" si="0"/>
        <v>2039</v>
      </c>
      <c r="X5" s="107">
        <f t="shared" si="0"/>
        <v>2040</v>
      </c>
      <c r="Y5" s="107">
        <f t="shared" si="0"/>
        <v>2041</v>
      </c>
      <c r="Z5" s="107">
        <f t="shared" si="0"/>
        <v>2042</v>
      </c>
    </row>
    <row r="6" spans="1:26" ht="15.75">
      <c r="B6" s="73" t="s">
        <v>130</v>
      </c>
      <c r="C6" s="74"/>
      <c r="D6" s="74"/>
      <c r="E6" s="74"/>
      <c r="F6" s="75">
        <f>+Assumptions!$G$22</f>
        <v>44926</v>
      </c>
      <c r="G6" s="75">
        <f>+EOMONTH(F6,12)</f>
        <v>45291</v>
      </c>
      <c r="H6" s="75">
        <f t="shared" ref="H6:Z6" si="1">+EOMONTH(G6,12)</f>
        <v>45657</v>
      </c>
      <c r="I6" s="75">
        <f t="shared" si="1"/>
        <v>46022</v>
      </c>
      <c r="J6" s="75">
        <f t="shared" si="1"/>
        <v>46387</v>
      </c>
      <c r="K6" s="75">
        <f t="shared" si="1"/>
        <v>46752</v>
      </c>
      <c r="L6" s="75">
        <f t="shared" si="1"/>
        <v>47118</v>
      </c>
      <c r="M6" s="75">
        <f t="shared" si="1"/>
        <v>47483</v>
      </c>
      <c r="N6" s="75">
        <f t="shared" si="1"/>
        <v>47848</v>
      </c>
      <c r="O6" s="75">
        <f t="shared" si="1"/>
        <v>48213</v>
      </c>
      <c r="P6" s="75">
        <f t="shared" si="1"/>
        <v>48579</v>
      </c>
      <c r="Q6" s="75">
        <f t="shared" si="1"/>
        <v>48944</v>
      </c>
      <c r="R6" s="75">
        <f t="shared" si="1"/>
        <v>49309</v>
      </c>
      <c r="S6" s="75">
        <f t="shared" si="1"/>
        <v>49674</v>
      </c>
      <c r="T6" s="75">
        <f t="shared" si="1"/>
        <v>50040</v>
      </c>
      <c r="U6" s="75">
        <f t="shared" si="1"/>
        <v>50405</v>
      </c>
      <c r="V6" s="75">
        <f t="shared" si="1"/>
        <v>50770</v>
      </c>
      <c r="W6" s="75">
        <f t="shared" si="1"/>
        <v>51135</v>
      </c>
      <c r="X6" s="75">
        <f t="shared" si="1"/>
        <v>51501</v>
      </c>
      <c r="Y6" s="75">
        <f t="shared" si="1"/>
        <v>51866</v>
      </c>
      <c r="Z6" s="75">
        <f t="shared" si="1"/>
        <v>52231</v>
      </c>
    </row>
    <row r="7" spans="1:26">
      <c r="A7" s="65" t="b">
        <f>+SUM(F7:Z7)=Assumptions!$F$55</f>
        <v>0</v>
      </c>
      <c r="B7" s="15" t="s">
        <v>605</v>
      </c>
      <c r="C7" s="15"/>
      <c r="D7" s="20"/>
      <c r="E7" s="24">
        <f ca="1">+Assumptions!M14</f>
        <v>0.25394836654862751</v>
      </c>
      <c r="F7" s="22">
        <f>+IF(AND(F6&gt;=Assumptions!$G$26,F6&lt;Assumptions!$G$28),Assumptions!$G$55/ROUNDUP((Assumptions!$G$27/12),0),0)</f>
        <v>0</v>
      </c>
      <c r="G7" s="22">
        <f>+IF(AND(G6&gt;=Assumptions!$G$26,G6&lt;Assumptions!$G$28),Assumptions!$G$55/ROUNDUP((Assumptions!$G$27/12),0),0)</f>
        <v>0</v>
      </c>
      <c r="H7" s="22">
        <f>+IF(AND(H6&gt;=Assumptions!$G$26,H6&lt;Assumptions!$G$28),Assumptions!$G$55/ROUNDUP((Assumptions!$G$27/12),0),0)</f>
        <v>0</v>
      </c>
      <c r="I7" s="22">
        <f>+IF(AND(I6&gt;=Assumptions!$G$26,I6&lt;Assumptions!$G$28),Assumptions!$G$55/ROUNDUP((Assumptions!$G$27/12),0),0)</f>
        <v>126970.44521745505</v>
      </c>
      <c r="J7" s="22">
        <f>+IF(AND(J6&gt;=Assumptions!$G$26,J6&lt;Assumptions!$G$28),Assumptions!$G$55/ROUNDUP((Assumptions!$G$27/12),0),0)</f>
        <v>126970.44521745505</v>
      </c>
      <c r="K7" s="22">
        <f>+IF(AND(K6&gt;=Assumptions!$G$26,K6&lt;Assumptions!$G$28),Assumptions!$G$55/ROUNDUP((Assumptions!$G$27/12),0),0)</f>
        <v>0</v>
      </c>
      <c r="L7" s="22">
        <f>+IF(AND(L6&gt;=Assumptions!$G$26,L6&lt;Assumptions!$G$28),Assumptions!$G$55/ROUNDUP((Assumptions!$G$27/12),0),0)</f>
        <v>0</v>
      </c>
      <c r="M7" s="22">
        <f>+IF(AND(M6&gt;=Assumptions!$G$26,M6&lt;Assumptions!$G$28),Assumptions!$G$55/ROUNDUP((Assumptions!$G$27/12),0),0)</f>
        <v>0</v>
      </c>
      <c r="N7" s="22">
        <f>+IF(AND(N6&gt;=Assumptions!$G$26,N6&lt;Assumptions!$G$28),Assumptions!$G$55/ROUNDUP((Assumptions!$G$27/12),0),0)</f>
        <v>0</v>
      </c>
      <c r="O7" s="22">
        <f>+IF(AND(O6&gt;=Assumptions!$G$26,O6&lt;Assumptions!$G$28),Assumptions!$G$55/ROUNDUP((Assumptions!$G$27/12),0),0)</f>
        <v>0</v>
      </c>
      <c r="P7" s="22">
        <f>+IF(AND(P6&gt;=Assumptions!$G$26,P6&lt;Assumptions!$G$28),Assumptions!$G$55/ROUNDUP((Assumptions!$G$27/12),0),0)</f>
        <v>0</v>
      </c>
      <c r="Q7" s="22">
        <f>+IF(AND(Q6&gt;=Assumptions!$G$26,Q6&lt;Assumptions!$G$28),Assumptions!$G$55/ROUNDUP((Assumptions!$G$27/12),0),0)</f>
        <v>0</v>
      </c>
      <c r="R7" s="22">
        <f>+IF(AND(R6&gt;=Assumptions!$G$26,R6&lt;Assumptions!$G$28),Assumptions!$G$55/ROUNDUP((Assumptions!$G$27/12),0),0)</f>
        <v>0</v>
      </c>
      <c r="S7" s="22">
        <f>+IF(AND(S6&gt;=Assumptions!$G$26,S6&lt;Assumptions!$G$28),Assumptions!$G$55/ROUNDUP((Assumptions!$G$27/12),0),0)</f>
        <v>0</v>
      </c>
      <c r="T7" s="22">
        <f>+IF(AND(T6&gt;=Assumptions!$G$26,T6&lt;Assumptions!$G$28),Assumptions!$G$55/ROUNDUP((Assumptions!$G$27/12),0),0)</f>
        <v>0</v>
      </c>
      <c r="U7" s="22">
        <f>+IF(AND(U6&gt;=Assumptions!$G$26,U6&lt;Assumptions!$G$28),Assumptions!$G$55/ROUNDUP((Assumptions!$G$27/12),0),0)</f>
        <v>0</v>
      </c>
      <c r="V7" s="22">
        <f>+IF(AND(V6&gt;=Assumptions!$G$26,V6&lt;Assumptions!$G$28),Assumptions!$G$55/ROUNDUP((Assumptions!$G$27/12),0),0)</f>
        <v>0</v>
      </c>
      <c r="W7" s="22">
        <f>+IF(AND(W6&gt;=Assumptions!$G$26,W6&lt;Assumptions!$G$28),Assumptions!$G$55/ROUNDUP((Assumptions!$G$27/12),0),0)</f>
        <v>0</v>
      </c>
      <c r="X7" s="22">
        <f>+IF(AND(X6&gt;=Assumptions!$G$26,X6&lt;Assumptions!$G$28),Assumptions!$G$55/ROUNDUP((Assumptions!$G$27/12),0),0)</f>
        <v>0</v>
      </c>
      <c r="Y7" s="22">
        <f>+IF(AND(Y6&gt;=Assumptions!$G$26,Y6&lt;Assumptions!$G$28),Assumptions!$G$55/ROUNDUP((Assumptions!$G$27/12),0),0)</f>
        <v>0</v>
      </c>
      <c r="Z7" s="22">
        <f>+IF(AND(Z6&gt;=Assumptions!$G$26,Z6&lt;Assumptions!$G$28),Assumptions!$G$55/ROUNDUP((Assumptions!$G$27/12),0),0)</f>
        <v>0</v>
      </c>
    </row>
    <row r="8" spans="1:26">
      <c r="B8" s="15" t="s">
        <v>606</v>
      </c>
      <c r="C8" s="15"/>
      <c r="D8" s="22">
        <v>0</v>
      </c>
      <c r="E8" s="22"/>
      <c r="F8" s="22">
        <f>+D8+F7</f>
        <v>0</v>
      </c>
      <c r="G8" s="22">
        <f t="shared" ref="G8:Z8" si="2">+F8+G7</f>
        <v>0</v>
      </c>
      <c r="H8" s="22">
        <f t="shared" si="2"/>
        <v>0</v>
      </c>
      <c r="I8" s="22">
        <f t="shared" si="2"/>
        <v>126970.44521745505</v>
      </c>
      <c r="J8" s="22">
        <f t="shared" si="2"/>
        <v>253940.89043491011</v>
      </c>
      <c r="K8" s="22">
        <f t="shared" si="2"/>
        <v>253940.89043491011</v>
      </c>
      <c r="L8" s="22">
        <f t="shared" si="2"/>
        <v>253940.89043491011</v>
      </c>
      <c r="M8" s="22">
        <f t="shared" si="2"/>
        <v>253940.89043491011</v>
      </c>
      <c r="N8" s="22">
        <f t="shared" si="2"/>
        <v>253940.89043491011</v>
      </c>
      <c r="O8" s="22">
        <f t="shared" si="2"/>
        <v>253940.89043491011</v>
      </c>
      <c r="P8" s="22">
        <f t="shared" si="2"/>
        <v>253940.89043491011</v>
      </c>
      <c r="Q8" s="22">
        <f t="shared" si="2"/>
        <v>253940.89043491011</v>
      </c>
      <c r="R8" s="22">
        <f t="shared" si="2"/>
        <v>253940.89043491011</v>
      </c>
      <c r="S8" s="22">
        <f t="shared" si="2"/>
        <v>253940.89043491011</v>
      </c>
      <c r="T8" s="22">
        <f t="shared" si="2"/>
        <v>253940.89043491011</v>
      </c>
      <c r="U8" s="22">
        <f t="shared" si="2"/>
        <v>253940.89043491011</v>
      </c>
      <c r="V8" s="22">
        <f t="shared" si="2"/>
        <v>253940.89043491011</v>
      </c>
      <c r="W8" s="22">
        <f t="shared" si="2"/>
        <v>253940.89043491011</v>
      </c>
      <c r="X8" s="22">
        <f t="shared" si="2"/>
        <v>253940.89043491011</v>
      </c>
      <c r="Y8" s="22">
        <f t="shared" si="2"/>
        <v>253940.89043491011</v>
      </c>
      <c r="Z8" s="22">
        <f t="shared" si="2"/>
        <v>253940.89043491011</v>
      </c>
    </row>
    <row r="9" spans="1:26">
      <c r="B9" s="15" t="s">
        <v>607</v>
      </c>
      <c r="C9" s="15"/>
      <c r="D9" s="22"/>
      <c r="E9" s="22"/>
      <c r="F9" s="22">
        <f>+F10-E10</f>
        <v>0</v>
      </c>
      <c r="G9" s="22">
        <f t="shared" ref="G9" si="3">+G10-F10</f>
        <v>0</v>
      </c>
      <c r="H9" s="22">
        <f t="shared" ref="H9" si="4">+H10-G10</f>
        <v>0</v>
      </c>
      <c r="I9" s="22">
        <f t="shared" ref="I9" si="5">+I10-H10</f>
        <v>180.93028211972734</v>
      </c>
      <c r="J9" s="22">
        <f t="shared" ref="J9" si="6">+J10-I10</f>
        <v>180.93028211972734</v>
      </c>
      <c r="K9" s="22">
        <f t="shared" ref="K9" si="7">+K10-J10</f>
        <v>0</v>
      </c>
      <c r="L9" s="22">
        <f t="shared" ref="L9" si="8">+L10-K10</f>
        <v>0</v>
      </c>
      <c r="M9" s="22">
        <f t="shared" ref="M9" si="9">+M10-L10</f>
        <v>0</v>
      </c>
      <c r="N9" s="22">
        <f t="shared" ref="N9" si="10">+N10-M10</f>
        <v>0</v>
      </c>
      <c r="O9" s="22">
        <f t="shared" ref="O9" si="11">+O10-N10</f>
        <v>0</v>
      </c>
      <c r="P9" s="22">
        <f t="shared" ref="P9" si="12">+P10-O10</f>
        <v>0</v>
      </c>
      <c r="Q9" s="22">
        <f t="shared" ref="Q9" si="13">+Q10-P10</f>
        <v>0</v>
      </c>
      <c r="R9" s="22">
        <f t="shared" ref="R9" si="14">+R10-Q10</f>
        <v>0</v>
      </c>
      <c r="S9" s="22">
        <f t="shared" ref="S9" si="15">+S10-R10</f>
        <v>0</v>
      </c>
      <c r="T9" s="22">
        <f t="shared" ref="T9" si="16">+T10-S10</f>
        <v>0</v>
      </c>
      <c r="U9" s="22">
        <f t="shared" ref="U9" si="17">+U10-T10</f>
        <v>0</v>
      </c>
      <c r="V9" s="22">
        <f t="shared" ref="V9" si="18">+V10-U10</f>
        <v>0</v>
      </c>
      <c r="W9" s="22">
        <f t="shared" ref="W9" si="19">+W10-V10</f>
        <v>0</v>
      </c>
      <c r="X9" s="22">
        <f t="shared" ref="X9" si="20">+X10-W10</f>
        <v>0</v>
      </c>
      <c r="Y9" s="22">
        <f t="shared" ref="Y9" si="21">+Y10-X10</f>
        <v>0</v>
      </c>
      <c r="Z9" s="22">
        <f t="shared" ref="Z9" si="22">+Z10-Y10</f>
        <v>0</v>
      </c>
    </row>
    <row r="10" spans="1:26">
      <c r="B10" s="15" t="s">
        <v>608</v>
      </c>
      <c r="C10" s="15"/>
      <c r="D10" s="22"/>
      <c r="E10" s="22"/>
      <c r="F10" s="22">
        <f>+F11*Assumptions!$G$56</f>
        <v>0</v>
      </c>
      <c r="G10" s="22">
        <f>+G11*Assumptions!$G$56</f>
        <v>0</v>
      </c>
      <c r="H10" s="22">
        <f>+H11*Assumptions!$G$56</f>
        <v>0</v>
      </c>
      <c r="I10" s="22">
        <f>+I11*Assumptions!$G$56</f>
        <v>180.93028211972734</v>
      </c>
      <c r="J10" s="22">
        <f>+J11*Assumptions!$G$56</f>
        <v>361.86056423945467</v>
      </c>
      <c r="K10" s="22">
        <f>+K11*Assumptions!$G$56</f>
        <v>361.86056423945467</v>
      </c>
      <c r="L10" s="22">
        <f>+L11*Assumptions!$G$56</f>
        <v>361.86056423945467</v>
      </c>
      <c r="M10" s="22">
        <f>+M11*Assumptions!$G$56</f>
        <v>361.86056423945467</v>
      </c>
      <c r="N10" s="22">
        <f>+N11*Assumptions!$G$56</f>
        <v>361.86056423945467</v>
      </c>
      <c r="O10" s="22">
        <f>+O11*Assumptions!$G$56</f>
        <v>361.86056423945467</v>
      </c>
      <c r="P10" s="22">
        <f>+P11*Assumptions!$G$56</f>
        <v>361.86056423945467</v>
      </c>
      <c r="Q10" s="22">
        <f>+Q11*Assumptions!$G$56</f>
        <v>361.86056423945467</v>
      </c>
      <c r="R10" s="22">
        <f>+R11*Assumptions!$G$56</f>
        <v>361.86056423945467</v>
      </c>
      <c r="S10" s="22">
        <f>+S11*Assumptions!$G$56</f>
        <v>361.86056423945467</v>
      </c>
      <c r="T10" s="22">
        <f>+T11*Assumptions!$G$56</f>
        <v>361.86056423945467</v>
      </c>
      <c r="U10" s="22">
        <f>+U11*Assumptions!$G$56</f>
        <v>361.86056423945467</v>
      </c>
      <c r="V10" s="22">
        <f>+V11*Assumptions!$G$56</f>
        <v>361.86056423945467</v>
      </c>
      <c r="W10" s="22">
        <f>+W11*Assumptions!$G$56</f>
        <v>361.86056423945467</v>
      </c>
      <c r="X10" s="22">
        <f>+X11*Assumptions!$G$56</f>
        <v>361.86056423945467</v>
      </c>
      <c r="Y10" s="22">
        <f>+Y11*Assumptions!$G$56</f>
        <v>361.86056423945467</v>
      </c>
      <c r="Z10" s="22">
        <f>+Z11*Assumptions!$G$56</f>
        <v>361.86056423945467</v>
      </c>
    </row>
    <row r="11" spans="1:26">
      <c r="B11" s="15" t="s">
        <v>609</v>
      </c>
      <c r="C11" s="15"/>
      <c r="D11" s="22"/>
      <c r="E11" s="22"/>
      <c r="F11" s="49">
        <f>+F8/SUM($F$7:$Z$7)</f>
        <v>0</v>
      </c>
      <c r="G11" s="49">
        <f t="shared" ref="G11:Z11" si="23">+G8/SUM($F$7:$Z$7)</f>
        <v>0</v>
      </c>
      <c r="H11" s="49">
        <f t="shared" si="23"/>
        <v>0</v>
      </c>
      <c r="I11" s="49">
        <f t="shared" si="23"/>
        <v>0.5</v>
      </c>
      <c r="J11" s="49">
        <f t="shared" si="23"/>
        <v>1</v>
      </c>
      <c r="K11" s="49">
        <f t="shared" si="23"/>
        <v>1</v>
      </c>
      <c r="L11" s="49">
        <f t="shared" si="23"/>
        <v>1</v>
      </c>
      <c r="M11" s="49">
        <f t="shared" si="23"/>
        <v>1</v>
      </c>
      <c r="N11" s="49">
        <f t="shared" si="23"/>
        <v>1</v>
      </c>
      <c r="O11" s="49">
        <f t="shared" si="23"/>
        <v>1</v>
      </c>
      <c r="P11" s="49">
        <f t="shared" si="23"/>
        <v>1</v>
      </c>
      <c r="Q11" s="49">
        <f t="shared" si="23"/>
        <v>1</v>
      </c>
      <c r="R11" s="49">
        <f t="shared" si="23"/>
        <v>1</v>
      </c>
      <c r="S11" s="49">
        <f t="shared" si="23"/>
        <v>1</v>
      </c>
      <c r="T11" s="49">
        <f t="shared" si="23"/>
        <v>1</v>
      </c>
      <c r="U11" s="49">
        <f t="shared" si="23"/>
        <v>1</v>
      </c>
      <c r="V11" s="49">
        <f t="shared" si="23"/>
        <v>1</v>
      </c>
      <c r="W11" s="49">
        <f t="shared" si="23"/>
        <v>1</v>
      </c>
      <c r="X11" s="49">
        <f t="shared" si="23"/>
        <v>1</v>
      </c>
      <c r="Y11" s="49">
        <f t="shared" si="23"/>
        <v>1</v>
      </c>
      <c r="Z11" s="49">
        <f t="shared" si="23"/>
        <v>1</v>
      </c>
    </row>
    <row r="12" spans="1:26">
      <c r="B12" s="15"/>
      <c r="C12" s="15"/>
      <c r="D12" s="22"/>
      <c r="E12" s="22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</row>
    <row r="13" spans="1:26">
      <c r="B13" s="15" t="s">
        <v>610</v>
      </c>
      <c r="C13" s="15"/>
      <c r="D13" s="22"/>
      <c r="E13" s="22"/>
      <c r="F13" s="49">
        <v>1</v>
      </c>
      <c r="G13" s="49">
        <f>+F13*(1+Assumptions!$O$63)</f>
        <v>1.02</v>
      </c>
      <c r="H13" s="49">
        <f>+G13*(1+Assumptions!$O$63)</f>
        <v>1.0404</v>
      </c>
      <c r="I13" s="49">
        <f>+H13*(1+Assumptions!$O$63)</f>
        <v>1.0612079999999999</v>
      </c>
      <c r="J13" s="49">
        <f>+I13*(1+Assumptions!$O$63)</f>
        <v>1.08243216</v>
      </c>
      <c r="K13" s="49">
        <f>+J13*(1+Assumptions!$O$63)</f>
        <v>1.1040808032</v>
      </c>
      <c r="L13" s="49">
        <f>+K13*(1+Assumptions!$O$63)</f>
        <v>1.1261624192640001</v>
      </c>
      <c r="M13" s="49">
        <f>+L13*(1+Assumptions!$O$63)</f>
        <v>1.14868566764928</v>
      </c>
      <c r="N13" s="49">
        <f>+M13*(1+Assumptions!$O$63)</f>
        <v>1.1716593810022657</v>
      </c>
      <c r="O13" s="49">
        <f>+N13*(1+Assumptions!$O$63)</f>
        <v>1.1950925686223111</v>
      </c>
      <c r="P13" s="49">
        <f>+O13*(1+Assumptions!$O$63)</f>
        <v>1.2189944199947573</v>
      </c>
      <c r="Q13" s="49">
        <f>+P13*(1+Assumptions!$O$63)</f>
        <v>1.2433743083946525</v>
      </c>
      <c r="R13" s="49">
        <f>+Q13*(1+Assumptions!$O$63)</f>
        <v>1.2682417945625455</v>
      </c>
      <c r="S13" s="49">
        <f>+R13*(1+Assumptions!$O$63)</f>
        <v>1.2936066304537963</v>
      </c>
      <c r="T13" s="49">
        <f>+S13*(1+Assumptions!$O$63)</f>
        <v>1.3194787630628724</v>
      </c>
      <c r="U13" s="49">
        <f>+T13*(1+Assumptions!$O$63)</f>
        <v>1.3458683383241299</v>
      </c>
      <c r="V13" s="49">
        <f>+U13*(1+Assumptions!$O$63)</f>
        <v>1.3727857050906125</v>
      </c>
      <c r="W13" s="49">
        <f>+V13*(1+Assumptions!$O$63)</f>
        <v>1.4002414191924248</v>
      </c>
      <c r="X13" s="49">
        <f>+W13*(1+Assumptions!$O$63)</f>
        <v>1.4282462475762734</v>
      </c>
      <c r="Y13" s="49">
        <f>+X13*(1+Assumptions!$O$63)</f>
        <v>1.4568111725277988</v>
      </c>
      <c r="Z13" s="49">
        <f>+Y13*(1+Assumptions!$O$63)</f>
        <v>1.4859473959783549</v>
      </c>
    </row>
    <row r="14" spans="1:26">
      <c r="B14" s="15" t="s">
        <v>611</v>
      </c>
      <c r="C14" s="15"/>
      <c r="D14" s="22"/>
      <c r="E14" s="22"/>
      <c r="F14" s="49">
        <v>1</v>
      </c>
      <c r="G14" s="49">
        <f>+F14*(1+Assumptions!$O$76)</f>
        <v>1.02</v>
      </c>
      <c r="H14" s="49">
        <f>+G14*(1+Assumptions!$O$76)</f>
        <v>1.0404</v>
      </c>
      <c r="I14" s="49">
        <f>+H14*(1+Assumptions!$O$76)</f>
        <v>1.0612079999999999</v>
      </c>
      <c r="J14" s="49">
        <f>+I14*(1+Assumptions!$O$76)</f>
        <v>1.08243216</v>
      </c>
      <c r="K14" s="49">
        <f>+J14*(1+Assumptions!$O$76)</f>
        <v>1.1040808032</v>
      </c>
      <c r="L14" s="49">
        <f>+K14*(1+Assumptions!$O$76)</f>
        <v>1.1261624192640001</v>
      </c>
      <c r="M14" s="49">
        <f>+L14*(1+Assumptions!$O$76)</f>
        <v>1.14868566764928</v>
      </c>
      <c r="N14" s="49">
        <f>+M14*(1+Assumptions!$O$76)</f>
        <v>1.1716593810022657</v>
      </c>
      <c r="O14" s="49">
        <f>+N14*(1+Assumptions!$O$76)</f>
        <v>1.1950925686223111</v>
      </c>
      <c r="P14" s="49">
        <f>+O14*(1+Assumptions!$O$76)</f>
        <v>1.2189944199947573</v>
      </c>
      <c r="Q14" s="49">
        <f>+P14*(1+Assumptions!$O$76)</f>
        <v>1.2433743083946525</v>
      </c>
      <c r="R14" s="49">
        <f>+Q14*(1+Assumptions!$O$76)</f>
        <v>1.2682417945625455</v>
      </c>
      <c r="S14" s="49">
        <f>+R14*(1+Assumptions!$O$76)</f>
        <v>1.2936066304537963</v>
      </c>
      <c r="T14" s="49">
        <f>+S14*(1+Assumptions!$O$76)</f>
        <v>1.3194787630628724</v>
      </c>
      <c r="U14" s="49">
        <f>+T14*(1+Assumptions!$O$76)</f>
        <v>1.3458683383241299</v>
      </c>
      <c r="V14" s="49">
        <f>+U14*(1+Assumptions!$O$76)</f>
        <v>1.3727857050906125</v>
      </c>
      <c r="W14" s="49">
        <f>+V14*(1+Assumptions!$O$76)</f>
        <v>1.4002414191924248</v>
      </c>
      <c r="X14" s="49">
        <f>+W14*(1+Assumptions!$O$76)</f>
        <v>1.4282462475762734</v>
      </c>
      <c r="Y14" s="49">
        <f>+X14*(1+Assumptions!$O$76)</f>
        <v>1.4568111725277988</v>
      </c>
      <c r="Z14" s="49">
        <f>+Y14*(1+Assumptions!$O$76)</f>
        <v>1.4859473959783549</v>
      </c>
    </row>
    <row r="15" spans="1:26">
      <c r="B15" s="15"/>
      <c r="C15" s="15"/>
      <c r="D15" s="20"/>
      <c r="E15" s="20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</row>
    <row r="16" spans="1:26">
      <c r="B16" s="15" t="s">
        <v>612</v>
      </c>
      <c r="C16" s="15"/>
      <c r="D16" s="20"/>
      <c r="E16" s="20"/>
      <c r="F16" s="16">
        <f>+F11*Assumptions!$G$54*F13</f>
        <v>0</v>
      </c>
      <c r="G16" s="16">
        <f>+G11*Assumptions!$G$54*G13</f>
        <v>0</v>
      </c>
      <c r="H16" s="16">
        <f>+H11*Assumptions!$G$54*H13</f>
        <v>0</v>
      </c>
      <c r="I16" s="16">
        <f>+I11*Assumptions!$G$54*I13</f>
        <v>2317627.8650562451</v>
      </c>
      <c r="J16" s="16">
        <f>+J11*Assumptions!$G$54*J13</f>
        <v>4727960.8447147394</v>
      </c>
      <c r="K16" s="16">
        <f>+K11*Assumptions!$G$54*K13</f>
        <v>4822520.0616090344</v>
      </c>
      <c r="L16" s="16">
        <f>+L11*Assumptions!$G$54*L13</f>
        <v>4918970.4628412155</v>
      </c>
      <c r="M16" s="16">
        <f>+M11*Assumptions!$G$54*M13</f>
        <v>5017349.8720980398</v>
      </c>
      <c r="N16" s="16">
        <f>+N11*Assumptions!$G$54*N13</f>
        <v>5117696.8695400013</v>
      </c>
      <c r="O16" s="16">
        <f>+O11*Assumptions!$G$54*O13</f>
        <v>5220050.8069308009</v>
      </c>
      <c r="P16" s="16">
        <f>+P11*Assumptions!$G$54*P13</f>
        <v>5324451.8230694178</v>
      </c>
      <c r="Q16" s="16">
        <f>+Q11*Assumptions!$G$54*Q13</f>
        <v>5430940.8595308056</v>
      </c>
      <c r="R16" s="16">
        <f>+R11*Assumptions!$G$54*R13</f>
        <v>5539559.676721422</v>
      </c>
      <c r="S16" s="16">
        <f>+S11*Assumptions!$G$54*S13</f>
        <v>5650350.8702558493</v>
      </c>
      <c r="T16" s="16">
        <f>+T11*Assumptions!$G$54*T13</f>
        <v>5763357.8876609672</v>
      </c>
      <c r="U16" s="16">
        <f>+U11*Assumptions!$G$54*U13</f>
        <v>5878625.045414187</v>
      </c>
      <c r="V16" s="16">
        <f>+V11*Assumptions!$G$54*V13</f>
        <v>5996197.5463224705</v>
      </c>
      <c r="W16" s="16">
        <f>+W11*Assumptions!$G$54*W13</f>
        <v>6116121.4972489206</v>
      </c>
      <c r="X16" s="16">
        <f>+X11*Assumptions!$G$54*X13</f>
        <v>6238443.9271938996</v>
      </c>
      <c r="Y16" s="16">
        <f>+Y11*Assumptions!$G$54*Y13</f>
        <v>6363212.8057377767</v>
      </c>
      <c r="Z16" s="16">
        <f>+Z11*Assumptions!$G$54*Z13</f>
        <v>6490477.0618525334</v>
      </c>
    </row>
    <row r="17" spans="2:26">
      <c r="B17" s="15" t="s">
        <v>613</v>
      </c>
      <c r="C17" s="15"/>
      <c r="D17" s="20"/>
      <c r="E17" s="20"/>
      <c r="F17" s="22">
        <f>-F16*Assumptions!$O$54</f>
        <v>0</v>
      </c>
      <c r="G17" s="22">
        <f>-G16*Assumptions!$O$54</f>
        <v>0</v>
      </c>
      <c r="H17" s="22">
        <f>-H16*Assumptions!$O$54</f>
        <v>0</v>
      </c>
      <c r="I17" s="22">
        <f>-I16*Assumptions!$O$54</f>
        <v>-46352.5573011249</v>
      </c>
      <c r="J17" s="22">
        <f>-J16*Assumptions!$O$54</f>
        <v>-94559.21689429479</v>
      </c>
      <c r="K17" s="22">
        <f>-K16*Assumptions!$O$54</f>
        <v>-96450.401232180695</v>
      </c>
      <c r="L17" s="22">
        <f>-L16*Assumptions!$O$54</f>
        <v>-98379.409256824307</v>
      </c>
      <c r="M17" s="22">
        <f>-M16*Assumptions!$O$54</f>
        <v>-100346.9974419608</v>
      </c>
      <c r="N17" s="22">
        <f>-N16*Assumptions!$O$54</f>
        <v>-102353.93739080003</v>
      </c>
      <c r="O17" s="22">
        <f>-O16*Assumptions!$O$54</f>
        <v>-104401.01613861602</v>
      </c>
      <c r="P17" s="22">
        <f>-P16*Assumptions!$O$54</f>
        <v>-106489.03646138836</v>
      </c>
      <c r="Q17" s="22">
        <f>-Q16*Assumptions!$O$54</f>
        <v>-108618.81719061612</v>
      </c>
      <c r="R17" s="22">
        <f>-R16*Assumptions!$O$54</f>
        <v>-110791.19353442844</v>
      </c>
      <c r="S17" s="22">
        <f>-S16*Assumptions!$O$54</f>
        <v>-113007.01740511699</v>
      </c>
      <c r="T17" s="22">
        <f>-T16*Assumptions!$O$54</f>
        <v>-115267.15775321935</v>
      </c>
      <c r="U17" s="22">
        <f>-U16*Assumptions!$O$54</f>
        <v>-117572.50090828375</v>
      </c>
      <c r="V17" s="22">
        <f>-V16*Assumptions!$O$54</f>
        <v>-119923.95092644941</v>
      </c>
      <c r="W17" s="22">
        <f>-W16*Assumptions!$O$54</f>
        <v>-122322.42994497842</v>
      </c>
      <c r="X17" s="22">
        <f>-X16*Assumptions!$O$54</f>
        <v>-124768.87854387799</v>
      </c>
      <c r="Y17" s="22">
        <f>-Y16*Assumptions!$O$54</f>
        <v>-127264.25611475554</v>
      </c>
      <c r="Z17" s="22">
        <f>-Z16*Assumptions!$O$54</f>
        <v>-129809.54123705067</v>
      </c>
    </row>
    <row r="18" spans="2:26">
      <c r="B18" s="15" t="s">
        <v>186</v>
      </c>
      <c r="C18" s="15"/>
      <c r="D18" s="20"/>
      <c r="E18" s="20"/>
      <c r="F18" s="76">
        <f>+F10*Assumptions!$G$89*(1-Assumptions!$O$54)*12</f>
        <v>0</v>
      </c>
      <c r="G18" s="76">
        <f>+G10*Assumptions!$G$89*(1-Assumptions!$O$54)*12</f>
        <v>0</v>
      </c>
      <c r="H18" s="76">
        <f>+H10*Assumptions!$G$89*(1-Assumptions!$O$54)*12</f>
        <v>0</v>
      </c>
      <c r="I18" s="76">
        <f>+I10*Assumptions!$G$89*(1-Assumptions!$O$54)*12</f>
        <v>10638.700588639967</v>
      </c>
      <c r="J18" s="76">
        <f>+J10*Assumptions!$G$89*(1-Assumptions!$O$54)*12</f>
        <v>21277.401177279935</v>
      </c>
      <c r="K18" s="76">
        <f>+K10*Assumptions!$G$89*(1-Assumptions!$O$54)*12</f>
        <v>21277.401177279935</v>
      </c>
      <c r="L18" s="76">
        <f>+L10*Assumptions!$G$89*(1-Assumptions!$O$54)*12</f>
        <v>21277.401177279935</v>
      </c>
      <c r="M18" s="76">
        <f>+M10*Assumptions!$G$89*(1-Assumptions!$O$54)*12</f>
        <v>21277.401177279935</v>
      </c>
      <c r="N18" s="76">
        <f>+N10*Assumptions!$G$89*(1-Assumptions!$O$54)*12</f>
        <v>21277.401177279935</v>
      </c>
      <c r="O18" s="76">
        <f>+O10*Assumptions!$G$89*(1-Assumptions!$O$54)*12</f>
        <v>21277.401177279935</v>
      </c>
      <c r="P18" s="76">
        <f>+P10*Assumptions!$G$89*(1-Assumptions!$O$54)*12</f>
        <v>21277.401177279935</v>
      </c>
      <c r="Q18" s="76">
        <f>+Q10*Assumptions!$G$89*(1-Assumptions!$O$54)*12</f>
        <v>21277.401177279935</v>
      </c>
      <c r="R18" s="76">
        <f>+R10*Assumptions!$G$89*(1-Assumptions!$O$54)*12</f>
        <v>21277.401177279935</v>
      </c>
      <c r="S18" s="76">
        <f>+S10*Assumptions!$G$89*(1-Assumptions!$O$54)*12</f>
        <v>21277.401177279935</v>
      </c>
      <c r="T18" s="76">
        <f>+T10*Assumptions!$G$89*(1-Assumptions!$O$54)*12</f>
        <v>21277.401177279935</v>
      </c>
      <c r="U18" s="76">
        <f>+U10*Assumptions!$G$89*(1-Assumptions!$O$54)*12</f>
        <v>21277.401177279935</v>
      </c>
      <c r="V18" s="76">
        <f>+V10*Assumptions!$G$89*(1-Assumptions!$O$54)*12</f>
        <v>21277.401177279935</v>
      </c>
      <c r="W18" s="76">
        <f>+W10*Assumptions!$G$89*(1-Assumptions!$O$54)*12</f>
        <v>21277.401177279935</v>
      </c>
      <c r="X18" s="76">
        <f>+X10*Assumptions!$G$89*(1-Assumptions!$O$54)*12</f>
        <v>21277.401177279935</v>
      </c>
      <c r="Y18" s="76">
        <f>+Y10*Assumptions!$G$89*(1-Assumptions!$O$54)*12</f>
        <v>21277.401177279935</v>
      </c>
      <c r="Z18" s="76">
        <f>+Z10*Assumptions!$G$89*(1-Assumptions!$O$54)*12</f>
        <v>21277.401177279935</v>
      </c>
    </row>
    <row r="19" spans="2:26">
      <c r="B19" s="62" t="s">
        <v>614</v>
      </c>
      <c r="C19" s="62"/>
      <c r="D19" s="62"/>
      <c r="E19" s="62"/>
      <c r="F19" s="58">
        <f t="shared" ref="F19:Z19" si="24">+SUM(F16:F18)</f>
        <v>0</v>
      </c>
      <c r="G19" s="58">
        <f t="shared" si="24"/>
        <v>0</v>
      </c>
      <c r="H19" s="58">
        <f t="shared" si="24"/>
        <v>0</v>
      </c>
      <c r="I19" s="58">
        <f t="shared" si="24"/>
        <v>2281914.0083437599</v>
      </c>
      <c r="J19" s="58">
        <f t="shared" si="24"/>
        <v>4654679.0289977239</v>
      </c>
      <c r="K19" s="58">
        <f t="shared" si="24"/>
        <v>4747347.061554133</v>
      </c>
      <c r="L19" s="58">
        <f t="shared" si="24"/>
        <v>4841868.4547616709</v>
      </c>
      <c r="M19" s="58">
        <f t="shared" si="24"/>
        <v>4938280.275833359</v>
      </c>
      <c r="N19" s="58">
        <f t="shared" si="24"/>
        <v>5036620.3333264813</v>
      </c>
      <c r="O19" s="58">
        <f t="shared" si="24"/>
        <v>5136927.1919694645</v>
      </c>
      <c r="P19" s="58">
        <f t="shared" si="24"/>
        <v>5239240.1877853088</v>
      </c>
      <c r="Q19" s="58">
        <f t="shared" si="24"/>
        <v>5343599.4435174689</v>
      </c>
      <c r="R19" s="58">
        <f t="shared" si="24"/>
        <v>5450045.8843642734</v>
      </c>
      <c r="S19" s="58">
        <f t="shared" si="24"/>
        <v>5558621.254028012</v>
      </c>
      <c r="T19" s="58">
        <f t="shared" si="24"/>
        <v>5669368.1310850279</v>
      </c>
      <c r="U19" s="58">
        <f t="shared" si="24"/>
        <v>5782329.9456831831</v>
      </c>
      <c r="V19" s="58">
        <f t="shared" si="24"/>
        <v>5897550.996573301</v>
      </c>
      <c r="W19" s="58">
        <f t="shared" si="24"/>
        <v>6015076.4684812222</v>
      </c>
      <c r="X19" s="58">
        <f t="shared" si="24"/>
        <v>6134952.4498273013</v>
      </c>
      <c r="Y19" s="58">
        <f t="shared" si="24"/>
        <v>6257225.9508003006</v>
      </c>
      <c r="Z19" s="58">
        <f t="shared" si="24"/>
        <v>6381944.9217927624</v>
      </c>
    </row>
    <row r="21" spans="2:26">
      <c r="B21" s="15" t="s">
        <v>615</v>
      </c>
      <c r="F21" s="16">
        <f>+F10*Assumptions!$O$95*F14</f>
        <v>0</v>
      </c>
      <c r="G21" s="16">
        <f>+G10*Assumptions!$O$95*G14</f>
        <v>0</v>
      </c>
      <c r="H21" s="16">
        <f>+H10*Assumptions!$O$95*H14</f>
        <v>0</v>
      </c>
      <c r="I21" s="16">
        <f>+I10*Assumptions!$O$95*I14</f>
        <v>1158617.5769945164</v>
      </c>
      <c r="J21" s="16">
        <f>+J10*Assumptions!$O$95*J14</f>
        <v>2363579.8570688139</v>
      </c>
      <c r="K21" s="16">
        <f>+K10*Assumptions!$O$95*K14</f>
        <v>2410851.4542101901</v>
      </c>
      <c r="L21" s="16">
        <f>+L10*Assumptions!$O$95*L14</f>
        <v>2459068.4832943939</v>
      </c>
      <c r="M21" s="16">
        <f>+M10*Assumptions!$O$95*M14</f>
        <v>2508249.8529602815</v>
      </c>
      <c r="N21" s="16">
        <f>+N10*Assumptions!$O$95*N14</f>
        <v>2558414.8500194876</v>
      </c>
      <c r="O21" s="16">
        <f>+O10*Assumptions!$O$95*O14</f>
        <v>2609583.1470198776</v>
      </c>
      <c r="P21" s="16">
        <f>+P10*Assumptions!$O$95*P14</f>
        <v>2661774.809960275</v>
      </c>
      <c r="Q21" s="16">
        <f>+Q10*Assumptions!$O$95*Q14</f>
        <v>2715010.3061594805</v>
      </c>
      <c r="R21" s="16">
        <f>+R10*Assumptions!$O$95*R14</f>
        <v>2769310.51228267</v>
      </c>
      <c r="S21" s="16">
        <f>+S10*Assumptions!$O$95*S14</f>
        <v>2824696.7225283231</v>
      </c>
      <c r="T21" s="16">
        <f>+T10*Assumptions!$O$95*T14</f>
        <v>2881190.6569788898</v>
      </c>
      <c r="U21" s="16">
        <f>+U10*Assumptions!$O$95*U14</f>
        <v>2938814.4701184682</v>
      </c>
      <c r="V21" s="16">
        <f>+V10*Assumptions!$O$95*V14</f>
        <v>2997590.7595208376</v>
      </c>
      <c r="W21" s="16">
        <f>+W10*Assumptions!$O$95*W14</f>
        <v>3057542.5747112543</v>
      </c>
      <c r="X21" s="16">
        <f>+X10*Assumptions!$O$95*X14</f>
        <v>3118693.4262054795</v>
      </c>
      <c r="Y21" s="16">
        <f>+Y10*Assumptions!$O$95*Y14</f>
        <v>3181067.294729589</v>
      </c>
      <c r="Z21" s="16">
        <f>+Z10*Assumptions!$O$95*Z14</f>
        <v>3244688.6406241809</v>
      </c>
    </row>
    <row r="22" spans="2:26">
      <c r="B22" s="15" t="s">
        <v>616</v>
      </c>
      <c r="F22" s="76">
        <v>0</v>
      </c>
      <c r="G22" s="76">
        <v>0</v>
      </c>
      <c r="H22" s="76">
        <v>0</v>
      </c>
      <c r="I22" s="76">
        <v>0</v>
      </c>
      <c r="J22" s="76">
        <v>0</v>
      </c>
      <c r="K22" s="76">
        <v>0</v>
      </c>
      <c r="L22" s="76">
        <v>0</v>
      </c>
      <c r="M22" s="76">
        <v>0</v>
      </c>
      <c r="N22" s="76">
        <v>0</v>
      </c>
      <c r="O22" s="76">
        <v>0</v>
      </c>
      <c r="P22" s="76">
        <v>0</v>
      </c>
      <c r="Q22" s="76">
        <v>0</v>
      </c>
      <c r="R22" s="76">
        <v>0</v>
      </c>
      <c r="S22" s="76">
        <v>0</v>
      </c>
      <c r="T22" s="76">
        <v>0</v>
      </c>
      <c r="U22" s="76">
        <v>0</v>
      </c>
      <c r="V22" s="76">
        <v>0</v>
      </c>
      <c r="W22" s="76">
        <v>0</v>
      </c>
      <c r="X22" s="76">
        <v>0</v>
      </c>
      <c r="Y22" s="76">
        <v>0</v>
      </c>
      <c r="Z22" s="76">
        <v>0</v>
      </c>
    </row>
    <row r="23" spans="2:26">
      <c r="B23" s="62" t="s">
        <v>617</v>
      </c>
      <c r="C23" s="62"/>
      <c r="D23" s="62"/>
      <c r="E23" s="62"/>
      <c r="F23" s="58">
        <v>0</v>
      </c>
      <c r="G23" s="58">
        <v>0</v>
      </c>
      <c r="H23" s="58">
        <v>0</v>
      </c>
      <c r="I23" s="58">
        <f>SUM(I21:I22)</f>
        <v>1158617.5769945164</v>
      </c>
      <c r="J23" s="58">
        <f>SUM(J21:J22)</f>
        <v>2363579.8570688139</v>
      </c>
      <c r="K23" s="58">
        <f>SUM(K21:K22)</f>
        <v>2410851.4542101901</v>
      </c>
      <c r="L23" s="58">
        <f>SUM(L21:L22)</f>
        <v>2459068.4832943939</v>
      </c>
      <c r="M23" s="58">
        <f>SUM(M21:M22)</f>
        <v>2508249.8529602815</v>
      </c>
      <c r="N23" s="58">
        <f t="shared" ref="N23:Z23" si="25">+SUM(N21:N22)</f>
        <v>2558414.8500194876</v>
      </c>
      <c r="O23" s="58">
        <f t="shared" si="25"/>
        <v>2609583.1470198776</v>
      </c>
      <c r="P23" s="58">
        <f t="shared" si="25"/>
        <v>2661774.809960275</v>
      </c>
      <c r="Q23" s="58">
        <f t="shared" si="25"/>
        <v>2715010.3061594805</v>
      </c>
      <c r="R23" s="58">
        <f t="shared" si="25"/>
        <v>2769310.51228267</v>
      </c>
      <c r="S23" s="58">
        <f t="shared" si="25"/>
        <v>2824696.7225283231</v>
      </c>
      <c r="T23" s="58">
        <f t="shared" si="25"/>
        <v>2881190.6569788898</v>
      </c>
      <c r="U23" s="58">
        <f t="shared" si="25"/>
        <v>2938814.4701184682</v>
      </c>
      <c r="V23" s="58">
        <f t="shared" si="25"/>
        <v>2997590.7595208376</v>
      </c>
      <c r="W23" s="58">
        <f t="shared" si="25"/>
        <v>3057542.5747112543</v>
      </c>
      <c r="X23" s="58">
        <f t="shared" si="25"/>
        <v>3118693.4262054795</v>
      </c>
      <c r="Y23" s="58">
        <f t="shared" si="25"/>
        <v>3181067.294729589</v>
      </c>
      <c r="Z23" s="58">
        <f t="shared" si="25"/>
        <v>3244688.6406241809</v>
      </c>
    </row>
    <row r="24" spans="2:26">
      <c r="B24" s="15"/>
    </row>
    <row r="25" spans="2:26" ht="15.75">
      <c r="B25" s="687" t="s">
        <v>618</v>
      </c>
      <c r="C25" s="687"/>
      <c r="D25" s="687"/>
      <c r="E25" s="687"/>
      <c r="F25" s="550">
        <v>0</v>
      </c>
      <c r="G25" s="550">
        <v>0</v>
      </c>
      <c r="H25" s="550">
        <v>0</v>
      </c>
      <c r="I25" s="550">
        <f t="shared" ref="I25:Z25" si="26">I19-I23</f>
        <v>1123296.4313492435</v>
      </c>
      <c r="J25" s="550">
        <f t="shared" si="26"/>
        <v>2291099.1719289101</v>
      </c>
      <c r="K25" s="550">
        <f t="shared" si="26"/>
        <v>2336495.6073439429</v>
      </c>
      <c r="L25" s="550">
        <f t="shared" si="26"/>
        <v>2382799.971467277</v>
      </c>
      <c r="M25" s="550">
        <f t="shared" si="26"/>
        <v>2430030.4228730774</v>
      </c>
      <c r="N25" s="550">
        <f t="shared" si="26"/>
        <v>2478205.4833069937</v>
      </c>
      <c r="O25" s="550">
        <f t="shared" si="26"/>
        <v>2527344.044949587</v>
      </c>
      <c r="P25" s="550">
        <f t="shared" si="26"/>
        <v>2577465.3778250339</v>
      </c>
      <c r="Q25" s="550">
        <f t="shared" si="26"/>
        <v>2628589.1373579884</v>
      </c>
      <c r="R25" s="550">
        <f t="shared" si="26"/>
        <v>2680735.3720816034</v>
      </c>
      <c r="S25" s="550">
        <f t="shared" si="26"/>
        <v>2733924.531499689</v>
      </c>
      <c r="T25" s="550">
        <f t="shared" si="26"/>
        <v>2788177.4741061381</v>
      </c>
      <c r="U25" s="550">
        <f t="shared" si="26"/>
        <v>2843515.475564715</v>
      </c>
      <c r="V25" s="550">
        <f t="shared" si="26"/>
        <v>2899960.2370524635</v>
      </c>
      <c r="W25" s="550">
        <f t="shared" si="26"/>
        <v>2957533.8937699678</v>
      </c>
      <c r="X25" s="550">
        <f t="shared" si="26"/>
        <v>3016259.0236218218</v>
      </c>
      <c r="Y25" s="550">
        <f t="shared" si="26"/>
        <v>3076158.6560707116</v>
      </c>
      <c r="Z25" s="550">
        <f t="shared" si="26"/>
        <v>3137256.2811685815</v>
      </c>
    </row>
    <row r="26" spans="2:26" ht="15.75">
      <c r="B26" s="688" t="s">
        <v>619</v>
      </c>
      <c r="C26" s="689"/>
      <c r="D26" s="689"/>
      <c r="E26" s="689"/>
      <c r="F26" s="690" t="s">
        <v>770</v>
      </c>
      <c r="G26" s="690">
        <v>0</v>
      </c>
      <c r="H26" s="690" t="s">
        <v>770</v>
      </c>
      <c r="I26" s="691">
        <f t="shared" ref="I26:Z26" si="27">+IFERROR(I25/I19,"")</f>
        <v>0.49226063175121365</v>
      </c>
      <c r="J26" s="691">
        <f t="shared" si="27"/>
        <v>0.49221421233468909</v>
      </c>
      <c r="K26" s="691">
        <f t="shared" si="27"/>
        <v>0.49216869486239906</v>
      </c>
      <c r="L26" s="691">
        <f t="shared" si="27"/>
        <v>0.49212406196701691</v>
      </c>
      <c r="M26" s="691">
        <f t="shared" si="27"/>
        <v>0.49208029660953134</v>
      </c>
      <c r="N26" s="691">
        <f t="shared" si="27"/>
        <v>0.49203738207327624</v>
      </c>
      <c r="O26" s="691">
        <f t="shared" si="27"/>
        <v>0.49199530195806018</v>
      </c>
      <c r="P26" s="691">
        <f t="shared" si="27"/>
        <v>0.49195404017439409</v>
      </c>
      <c r="Q26" s="691">
        <f t="shared" si="27"/>
        <v>0.49191358093781401</v>
      </c>
      <c r="R26" s="691">
        <f t="shared" si="27"/>
        <v>0.49187390876330223</v>
      </c>
      <c r="S26" s="691">
        <f t="shared" si="27"/>
        <v>0.49183500845979955</v>
      </c>
      <c r="T26" s="691">
        <f t="shared" si="27"/>
        <v>0.49179686512481324</v>
      </c>
      <c r="U26" s="691">
        <f t="shared" si="27"/>
        <v>0.49175946413911414</v>
      </c>
      <c r="V26" s="691">
        <f t="shared" si="27"/>
        <v>0.49172279116152612</v>
      </c>
      <c r="W26" s="691">
        <f t="shared" si="27"/>
        <v>0.49168683212380354</v>
      </c>
      <c r="X26" s="691">
        <f t="shared" si="27"/>
        <v>0.49165157322559677</v>
      </c>
      <c r="Y26" s="691">
        <f t="shared" si="27"/>
        <v>0.49161700092950456</v>
      </c>
      <c r="Z26" s="691">
        <f t="shared" si="27"/>
        <v>0.49158310195621208</v>
      </c>
    </row>
    <row r="27" spans="2:26" ht="15.75">
      <c r="B27" s="688" t="s">
        <v>568</v>
      </c>
      <c r="C27" s="689"/>
      <c r="D27" s="689"/>
      <c r="E27" s="689"/>
      <c r="F27" s="692">
        <v>0</v>
      </c>
      <c r="G27" s="692">
        <v>0</v>
      </c>
      <c r="H27" s="692">
        <v>0</v>
      </c>
      <c r="I27" s="692">
        <f>I25/Assumptions!$O$128</f>
        <v>19535590.110421624</v>
      </c>
      <c r="J27" s="692">
        <f>J25/Assumptions!$O$128</f>
        <v>39845202.990067996</v>
      </c>
      <c r="K27" s="692">
        <f>K25/Assumptions!$O$128</f>
        <v>40634706.214677267</v>
      </c>
      <c r="L27" s="692">
        <f>L25/Assumptions!$O$128</f>
        <v>41439999.503778726</v>
      </c>
      <c r="M27" s="692">
        <f>M25/Assumptions!$O$128</f>
        <v>42261398.658662215</v>
      </c>
      <c r="N27" s="692">
        <f>N25/Assumptions!$O$128</f>
        <v>43099225.796643369</v>
      </c>
      <c r="O27" s="692">
        <f>O25/Assumptions!$O$128</f>
        <v>43953809.47738412</v>
      </c>
      <c r="P27" s="692">
        <f>P25/Assumptions!$O$128</f>
        <v>44825484.831739716</v>
      </c>
      <c r="Q27" s="692">
        <f>Q25/Assumptions!$O$128</f>
        <v>45714593.693182401</v>
      </c>
      <c r="R27" s="692">
        <f>R25/Assumptions!$O$128</f>
        <v>46621484.731853969</v>
      </c>
      <c r="S27" s="692">
        <f>S25/Assumptions!$O$128</f>
        <v>47546513.591298938</v>
      </c>
      <c r="T27" s="692">
        <f>T25/Assumptions!$O$128</f>
        <v>48490043.027932838</v>
      </c>
      <c r="U27" s="692">
        <f>U25/Assumptions!$O$128</f>
        <v>49452443.05329939</v>
      </c>
      <c r="V27" s="692">
        <f>V25/Assumptions!$O$128</f>
        <v>50434091.079173274</v>
      </c>
      <c r="W27" s="692">
        <f>W25/Assumptions!$O$128</f>
        <v>51435372.065564655</v>
      </c>
      <c r="X27" s="692">
        <f>X25/Assumptions!$O$128</f>
        <v>52456678.671683855</v>
      </c>
      <c r="Y27" s="692">
        <f>Y25/Assumptions!$O$128</f>
        <v>53498411.409925416</v>
      </c>
      <c r="Z27" s="692">
        <f>Z25/Assumptions!$O$128</f>
        <v>54560978.802931853</v>
      </c>
    </row>
    <row r="29" spans="2:26" ht="15.75">
      <c r="B29" s="73" t="s">
        <v>620</v>
      </c>
      <c r="C29" s="74"/>
      <c r="D29" s="74"/>
      <c r="E29" s="74"/>
      <c r="F29" s="75">
        <f>+Assumptions!$G$22</f>
        <v>44926</v>
      </c>
      <c r="G29" s="75">
        <f>+EOMONTH(F29,12)</f>
        <v>45291</v>
      </c>
      <c r="H29" s="75">
        <f t="shared" ref="H29:Z29" si="28">+EOMONTH(G29,12)</f>
        <v>45657</v>
      </c>
      <c r="I29" s="75">
        <f t="shared" si="28"/>
        <v>46022</v>
      </c>
      <c r="J29" s="75">
        <f t="shared" si="28"/>
        <v>46387</v>
      </c>
      <c r="K29" s="75">
        <f t="shared" si="28"/>
        <v>46752</v>
      </c>
      <c r="L29" s="75">
        <f t="shared" si="28"/>
        <v>47118</v>
      </c>
      <c r="M29" s="75">
        <f t="shared" si="28"/>
        <v>47483</v>
      </c>
      <c r="N29" s="75">
        <f t="shared" si="28"/>
        <v>47848</v>
      </c>
      <c r="O29" s="75">
        <f t="shared" si="28"/>
        <v>48213</v>
      </c>
      <c r="P29" s="75">
        <f t="shared" si="28"/>
        <v>48579</v>
      </c>
      <c r="Q29" s="75">
        <f t="shared" si="28"/>
        <v>48944</v>
      </c>
      <c r="R29" s="75">
        <f t="shared" si="28"/>
        <v>49309</v>
      </c>
      <c r="S29" s="75">
        <f t="shared" si="28"/>
        <v>49674</v>
      </c>
      <c r="T29" s="75">
        <f t="shared" si="28"/>
        <v>50040</v>
      </c>
      <c r="U29" s="75">
        <f t="shared" si="28"/>
        <v>50405</v>
      </c>
      <c r="V29" s="75">
        <f t="shared" si="28"/>
        <v>50770</v>
      </c>
      <c r="W29" s="75">
        <f t="shared" si="28"/>
        <v>51135</v>
      </c>
      <c r="X29" s="75">
        <f t="shared" si="28"/>
        <v>51501</v>
      </c>
      <c r="Y29" s="75">
        <f t="shared" si="28"/>
        <v>51866</v>
      </c>
      <c r="Z29" s="75">
        <f t="shared" si="28"/>
        <v>52231</v>
      </c>
    </row>
    <row r="30" spans="2:26">
      <c r="B30" s="15" t="s">
        <v>605</v>
      </c>
      <c r="C30" s="15"/>
      <c r="D30" s="20"/>
      <c r="E30" s="20"/>
      <c r="F30" s="22">
        <f>+IF(AND(F29&gt;=Assumptions!$G$26,F29&lt;Assumptions!$G$28),Assumptions!$G$83/ROUNDUP((Assumptions!$G$27/12),0),0)</f>
        <v>0</v>
      </c>
      <c r="G30" s="22">
        <f>+IF(AND(G29&gt;=Assumptions!$G$26,G29&lt;Assumptions!$G$28),Assumptions!$G$83/ROUNDUP((Assumptions!$G$27/12),0),0)</f>
        <v>0</v>
      </c>
      <c r="H30" s="22">
        <f>+IF(AND(H29&gt;=Assumptions!$G$26,H29&lt;Assumptions!$G$28),Assumptions!$G$83/ROUNDUP((Assumptions!$G$27/12),0),0)</f>
        <v>0</v>
      </c>
      <c r="I30" s="22">
        <f>+IF(AND(I29&gt;=Assumptions!$G$26,I29&lt;Assumptions!$G$28),Assumptions!$G$83/ROUNDUP((Assumptions!$G$27/12),0),0)</f>
        <v>190455.66782618256</v>
      </c>
      <c r="J30" s="22">
        <f>+IF(AND(J29&gt;=Assumptions!$G$26,J29&lt;Assumptions!$G$28),Assumptions!$G$83/ROUNDUP((Assumptions!$G$27/12),0),0)</f>
        <v>190455.66782618256</v>
      </c>
      <c r="K30" s="22">
        <f>+IF(AND(K29&gt;=Assumptions!$G$26,K29&lt;Assumptions!$G$28),Assumptions!$G$83/ROUNDUP((Assumptions!$G$27/12),0),0)</f>
        <v>0</v>
      </c>
      <c r="L30" s="22">
        <f>+IF(AND(L29&gt;=Assumptions!$G$26,L29&lt;Assumptions!$G$28),Assumptions!$G$83/ROUNDUP((Assumptions!$G$27/12),0),0)</f>
        <v>0</v>
      </c>
      <c r="M30" s="22">
        <f>+IF(AND(M29&gt;=Assumptions!$G$26,M29&lt;Assumptions!$G$28),Assumptions!$G$83/ROUNDUP((Assumptions!$G$27/12),0),0)</f>
        <v>0</v>
      </c>
      <c r="N30" s="22">
        <f>+IF(AND(N29&gt;=Assumptions!$G$26,N29&lt;Assumptions!$G$28),Assumptions!$G$83/ROUNDUP((Assumptions!$G$27/12),0),0)</f>
        <v>0</v>
      </c>
      <c r="O30" s="22">
        <f>+IF(AND(O29&gt;=Assumptions!$G$26,O29&lt;Assumptions!$G$28),Assumptions!$G$83/ROUNDUP((Assumptions!$G$27/12),0),0)</f>
        <v>0</v>
      </c>
      <c r="P30" s="22">
        <f>+IF(AND(P29&gt;=Assumptions!$G$26,P29&lt;Assumptions!$G$28),Assumptions!$G$83/ROUNDUP((Assumptions!$G$27/12),0),0)</f>
        <v>0</v>
      </c>
      <c r="Q30" s="22">
        <f>+IF(AND(Q29&gt;=Assumptions!$G$26,Q29&lt;Assumptions!$G$28),Assumptions!$G$83/ROUNDUP((Assumptions!$G$27/12),0),0)</f>
        <v>0</v>
      </c>
      <c r="R30" s="22">
        <f>+IF(AND(R29&gt;=Assumptions!$G$26,R29&lt;Assumptions!$G$28),Assumptions!$G$83/ROUNDUP((Assumptions!$G$27/12),0),0)</f>
        <v>0</v>
      </c>
      <c r="S30" s="22">
        <f>+IF(AND(S29&gt;=Assumptions!$G$26,S29&lt;Assumptions!$G$28),Assumptions!$G$83/ROUNDUP((Assumptions!$G$27/12),0),0)</f>
        <v>0</v>
      </c>
      <c r="T30" s="22">
        <f>+IF(AND(T29&gt;=Assumptions!$G$26,T29&lt;Assumptions!$G$28),Assumptions!$G$83/ROUNDUP((Assumptions!$G$27/12),0),0)</f>
        <v>0</v>
      </c>
      <c r="U30" s="22">
        <f>+IF(AND(U29&gt;=Assumptions!$G$26,U29&lt;Assumptions!$G$28),Assumptions!$G$83/ROUNDUP((Assumptions!$G$27/12),0),0)</f>
        <v>0</v>
      </c>
      <c r="V30" s="22">
        <f>+IF(AND(V29&gt;=Assumptions!$G$26,V29&lt;Assumptions!$G$28),Assumptions!$G$83/ROUNDUP((Assumptions!$G$27/12),0),0)</f>
        <v>0</v>
      </c>
      <c r="W30" s="22">
        <f>+IF(AND(W29&gt;=Assumptions!$G$26,W29&lt;Assumptions!$G$28),Assumptions!$G$83/ROUNDUP((Assumptions!$G$27/12),0),0)</f>
        <v>0</v>
      </c>
      <c r="X30" s="22">
        <f>+IF(AND(X29&gt;=Assumptions!$G$26,X29&lt;Assumptions!$G$28),Assumptions!$G$83/ROUNDUP((Assumptions!$G$27/12),0),0)</f>
        <v>0</v>
      </c>
      <c r="Y30" s="22">
        <f>+IF(AND(Y29&gt;=Assumptions!$G$26,Y29&lt;Assumptions!$G$28),Assumptions!$G$83/ROUNDUP((Assumptions!$G$27/12),0),0)</f>
        <v>0</v>
      </c>
      <c r="Z30" s="22">
        <f>+IF(AND(Z29&gt;=Assumptions!$G$26,Z29&lt;Assumptions!$G$28),Assumptions!$G$83/ROUNDUP((Assumptions!$G$27/12),0),0)</f>
        <v>0</v>
      </c>
    </row>
    <row r="31" spans="2:26">
      <c r="B31" s="15" t="s">
        <v>606</v>
      </c>
      <c r="C31" s="15"/>
      <c r="D31" s="22">
        <v>0</v>
      </c>
      <c r="E31" s="22"/>
      <c r="F31" s="22">
        <f>+D31+F30</f>
        <v>0</v>
      </c>
      <c r="G31" s="22">
        <f t="shared" ref="G31:Z31" si="29">+F31+G30</f>
        <v>0</v>
      </c>
      <c r="H31" s="22">
        <f t="shared" si="29"/>
        <v>0</v>
      </c>
      <c r="I31" s="22">
        <f t="shared" si="29"/>
        <v>190455.66782618256</v>
      </c>
      <c r="J31" s="22">
        <f t="shared" si="29"/>
        <v>380911.33565236512</v>
      </c>
      <c r="K31" s="22">
        <f t="shared" si="29"/>
        <v>380911.33565236512</v>
      </c>
      <c r="L31" s="22">
        <f t="shared" si="29"/>
        <v>380911.33565236512</v>
      </c>
      <c r="M31" s="22">
        <f t="shared" si="29"/>
        <v>380911.33565236512</v>
      </c>
      <c r="N31" s="22">
        <f t="shared" si="29"/>
        <v>380911.33565236512</v>
      </c>
      <c r="O31" s="22">
        <f t="shared" si="29"/>
        <v>380911.33565236512</v>
      </c>
      <c r="P31" s="22">
        <f t="shared" si="29"/>
        <v>380911.33565236512</v>
      </c>
      <c r="Q31" s="22">
        <f t="shared" si="29"/>
        <v>380911.33565236512</v>
      </c>
      <c r="R31" s="22">
        <f t="shared" si="29"/>
        <v>380911.33565236512</v>
      </c>
      <c r="S31" s="22">
        <f t="shared" si="29"/>
        <v>380911.33565236512</v>
      </c>
      <c r="T31" s="22">
        <f t="shared" si="29"/>
        <v>380911.33565236512</v>
      </c>
      <c r="U31" s="22">
        <f t="shared" si="29"/>
        <v>380911.33565236512</v>
      </c>
      <c r="V31" s="22">
        <f t="shared" si="29"/>
        <v>380911.33565236512</v>
      </c>
      <c r="W31" s="22">
        <f t="shared" si="29"/>
        <v>380911.33565236512</v>
      </c>
      <c r="X31" s="22">
        <f t="shared" si="29"/>
        <v>380911.33565236512</v>
      </c>
      <c r="Y31" s="22">
        <f t="shared" si="29"/>
        <v>380911.33565236512</v>
      </c>
      <c r="Z31" s="22">
        <f t="shared" si="29"/>
        <v>380911.33565236512</v>
      </c>
    </row>
    <row r="32" spans="2:26">
      <c r="B32" s="15" t="s">
        <v>607</v>
      </c>
      <c r="C32" s="15"/>
      <c r="D32" s="22"/>
      <c r="E32" s="22"/>
      <c r="F32" s="22">
        <f>+F33-E33</f>
        <v>0</v>
      </c>
      <c r="G32" s="22">
        <f t="shared" ref="G32" si="30">+G33-F33</f>
        <v>0</v>
      </c>
      <c r="H32" s="22">
        <f t="shared" ref="H32" si="31">+H33-G33</f>
        <v>0</v>
      </c>
      <c r="I32" s="22">
        <f t="shared" ref="I32" si="32">+I33-H33</f>
        <v>271.39542317959103</v>
      </c>
      <c r="J32" s="22">
        <f t="shared" ref="J32" si="33">+J33-I33</f>
        <v>271.39542317959103</v>
      </c>
      <c r="K32" s="22">
        <f t="shared" ref="K32" si="34">+K33-J33</f>
        <v>0</v>
      </c>
      <c r="L32" s="22">
        <f t="shared" ref="L32" si="35">+L33-K33</f>
        <v>0</v>
      </c>
      <c r="M32" s="22">
        <f t="shared" ref="M32" si="36">+M33-L33</f>
        <v>0</v>
      </c>
      <c r="N32" s="22">
        <f t="shared" ref="N32" si="37">+N33-M33</f>
        <v>0</v>
      </c>
      <c r="O32" s="22">
        <f t="shared" ref="O32" si="38">+O33-N33</f>
        <v>0</v>
      </c>
      <c r="P32" s="22">
        <f t="shared" ref="P32" si="39">+P33-O33</f>
        <v>0</v>
      </c>
      <c r="Q32" s="22">
        <f t="shared" ref="Q32" si="40">+Q33-P33</f>
        <v>0</v>
      </c>
      <c r="R32" s="22">
        <f t="shared" ref="R32" si="41">+R33-Q33</f>
        <v>0</v>
      </c>
      <c r="S32" s="22">
        <f t="shared" ref="S32" si="42">+S33-R33</f>
        <v>0</v>
      </c>
      <c r="T32" s="22">
        <f t="shared" ref="T32" si="43">+T33-S33</f>
        <v>0</v>
      </c>
      <c r="U32" s="22">
        <f t="shared" ref="U32" si="44">+U33-T33</f>
        <v>0</v>
      </c>
      <c r="V32" s="22">
        <f t="shared" ref="V32" si="45">+V33-U33</f>
        <v>0</v>
      </c>
      <c r="W32" s="22">
        <f t="shared" ref="W32" si="46">+W33-V33</f>
        <v>0</v>
      </c>
      <c r="X32" s="22">
        <f t="shared" ref="X32" si="47">+X33-W33</f>
        <v>0</v>
      </c>
      <c r="Y32" s="22">
        <f t="shared" ref="Y32" si="48">+Y33-X33</f>
        <v>0</v>
      </c>
      <c r="Z32" s="22">
        <f t="shared" ref="Z32" si="49">+Z33-Y33</f>
        <v>0</v>
      </c>
    </row>
    <row r="33" spans="1:26">
      <c r="B33" s="15" t="s">
        <v>608</v>
      </c>
      <c r="C33" s="15"/>
      <c r="D33" s="22"/>
      <c r="E33" s="22"/>
      <c r="F33" s="22">
        <f>+F34*Assumptions!$G$84</f>
        <v>0</v>
      </c>
      <c r="G33" s="22">
        <f>+G34*Assumptions!$G$84</f>
        <v>0</v>
      </c>
      <c r="H33" s="22">
        <f>+H34*Assumptions!$G$84</f>
        <v>0</v>
      </c>
      <c r="I33" s="22">
        <f>+I34*Assumptions!$G$84</f>
        <v>271.39542317959103</v>
      </c>
      <c r="J33" s="22">
        <f>+J34*Assumptions!$G$84</f>
        <v>542.79084635918207</v>
      </c>
      <c r="K33" s="22">
        <f>+K34*Assumptions!$G$84</f>
        <v>542.79084635918207</v>
      </c>
      <c r="L33" s="22">
        <f>+L34*Assumptions!$G$84</f>
        <v>542.79084635918207</v>
      </c>
      <c r="M33" s="22">
        <f>+M34*Assumptions!$G$84</f>
        <v>542.79084635918207</v>
      </c>
      <c r="N33" s="22">
        <f>+N34*Assumptions!$G$84</f>
        <v>542.79084635918207</v>
      </c>
      <c r="O33" s="22">
        <f>+O34*Assumptions!$G$84</f>
        <v>542.79084635918207</v>
      </c>
      <c r="P33" s="22">
        <f>+P34*Assumptions!$G$84</f>
        <v>542.79084635918207</v>
      </c>
      <c r="Q33" s="22">
        <f>+Q34*Assumptions!$G$84</f>
        <v>542.79084635918207</v>
      </c>
      <c r="R33" s="22">
        <f>+R34*Assumptions!$G$84</f>
        <v>542.79084635918207</v>
      </c>
      <c r="S33" s="22">
        <f>+S34*Assumptions!$G$84</f>
        <v>542.79084635918207</v>
      </c>
      <c r="T33" s="22">
        <f>+T34*Assumptions!$G$84</f>
        <v>542.79084635918207</v>
      </c>
      <c r="U33" s="22">
        <f>+U34*Assumptions!$G$84</f>
        <v>542.79084635918207</v>
      </c>
      <c r="V33" s="22">
        <f>+V34*Assumptions!$G$84</f>
        <v>542.79084635918207</v>
      </c>
      <c r="W33" s="22">
        <f>+W34*Assumptions!$G$84</f>
        <v>542.79084635918207</v>
      </c>
      <c r="X33" s="22">
        <f>+X34*Assumptions!$G$84</f>
        <v>542.79084635918207</v>
      </c>
      <c r="Y33" s="22">
        <f>+Y34*Assumptions!$G$84</f>
        <v>542.79084635918207</v>
      </c>
      <c r="Z33" s="22">
        <f>+Z34*Assumptions!$G$84</f>
        <v>542.79084635918207</v>
      </c>
    </row>
    <row r="34" spans="1:26">
      <c r="B34" s="15" t="s">
        <v>609</v>
      </c>
      <c r="C34" s="15"/>
      <c r="D34" s="22"/>
      <c r="E34" s="22"/>
      <c r="F34" s="49">
        <f>+F31/SUM($F30:$Z30)</f>
        <v>0</v>
      </c>
      <c r="G34" s="49">
        <f t="shared" ref="G34:Z34" si="50">+G31/SUM($F30:$Z30)</f>
        <v>0</v>
      </c>
      <c r="H34" s="49">
        <f t="shared" si="50"/>
        <v>0</v>
      </c>
      <c r="I34" s="49">
        <f t="shared" si="50"/>
        <v>0.5</v>
      </c>
      <c r="J34" s="49">
        <f t="shared" si="50"/>
        <v>1</v>
      </c>
      <c r="K34" s="49">
        <f t="shared" si="50"/>
        <v>1</v>
      </c>
      <c r="L34" s="49">
        <f t="shared" si="50"/>
        <v>1</v>
      </c>
      <c r="M34" s="49">
        <f t="shared" si="50"/>
        <v>1</v>
      </c>
      <c r="N34" s="49">
        <f t="shared" si="50"/>
        <v>1</v>
      </c>
      <c r="O34" s="49">
        <f t="shared" si="50"/>
        <v>1</v>
      </c>
      <c r="P34" s="49">
        <f t="shared" si="50"/>
        <v>1</v>
      </c>
      <c r="Q34" s="49">
        <f t="shared" si="50"/>
        <v>1</v>
      </c>
      <c r="R34" s="49">
        <f t="shared" si="50"/>
        <v>1</v>
      </c>
      <c r="S34" s="49">
        <f t="shared" si="50"/>
        <v>1</v>
      </c>
      <c r="T34" s="49">
        <f t="shared" si="50"/>
        <v>1</v>
      </c>
      <c r="U34" s="49">
        <f t="shared" si="50"/>
        <v>1</v>
      </c>
      <c r="V34" s="49">
        <f t="shared" si="50"/>
        <v>1</v>
      </c>
      <c r="W34" s="49">
        <f t="shared" si="50"/>
        <v>1</v>
      </c>
      <c r="X34" s="49">
        <f t="shared" si="50"/>
        <v>1</v>
      </c>
      <c r="Y34" s="49">
        <f t="shared" si="50"/>
        <v>1</v>
      </c>
      <c r="Z34" s="49">
        <f t="shared" si="50"/>
        <v>1</v>
      </c>
    </row>
    <row r="35" spans="1:26">
      <c r="B35" s="15"/>
      <c r="C35" s="15"/>
      <c r="D35" s="20"/>
      <c r="E35" s="20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</row>
    <row r="36" spans="1:26">
      <c r="B36" s="15" t="s">
        <v>610</v>
      </c>
      <c r="C36" s="15"/>
      <c r="D36" s="22"/>
      <c r="E36" s="22"/>
      <c r="F36" s="49">
        <v>1</v>
      </c>
      <c r="G36" s="49">
        <f>+F36*(1+Assumptions!$O$64)</f>
        <v>1.03</v>
      </c>
      <c r="H36" s="49">
        <f>+G36*(1+Assumptions!$O$64)</f>
        <v>1.0609</v>
      </c>
      <c r="I36" s="49">
        <f>+H36*(1+Assumptions!$O$64)</f>
        <v>1.092727</v>
      </c>
      <c r="J36" s="49">
        <f>+I36*(1+Assumptions!$O$64)</f>
        <v>1.1255088100000001</v>
      </c>
      <c r="K36" s="49">
        <f>+J36*(1+Assumptions!$O$64)</f>
        <v>1.1592740743000001</v>
      </c>
      <c r="L36" s="49">
        <f>+K36*(1+Assumptions!$O$64)</f>
        <v>1.1940522965290001</v>
      </c>
      <c r="M36" s="49">
        <f>+L36*(1+Assumptions!$O$64)</f>
        <v>1.2298738654248702</v>
      </c>
      <c r="N36" s="49">
        <f>+M36*(1+Assumptions!$O$64)</f>
        <v>1.2667700813876164</v>
      </c>
      <c r="O36" s="49">
        <f>+N36*(1+Assumptions!$O$64)</f>
        <v>1.3047731838292449</v>
      </c>
      <c r="P36" s="49">
        <f>+O36*(1+Assumptions!$O$64)</f>
        <v>1.3439163793441222</v>
      </c>
      <c r="Q36" s="49">
        <f>+P36*(1+Assumptions!$O$64)</f>
        <v>1.3842338707244459</v>
      </c>
      <c r="R36" s="49">
        <f>+Q36*(1+Assumptions!$O$64)</f>
        <v>1.4257608868461793</v>
      </c>
      <c r="S36" s="49">
        <f>+R36*(1+Assumptions!$O$64)</f>
        <v>1.4685337134515648</v>
      </c>
      <c r="T36" s="49">
        <f>+S36*(1+Assumptions!$O$64)</f>
        <v>1.5125897248551119</v>
      </c>
      <c r="U36" s="49">
        <f>+T36*(1+Assumptions!$O$64)</f>
        <v>1.5579674166007653</v>
      </c>
      <c r="V36" s="49">
        <f>+U36*(1+Assumptions!$O$64)</f>
        <v>1.6047064390987884</v>
      </c>
      <c r="W36" s="49">
        <f>+V36*(1+Assumptions!$O$64)</f>
        <v>1.652847632271752</v>
      </c>
      <c r="X36" s="49">
        <f>+W36*(1+Assumptions!$O$64)</f>
        <v>1.7024330612399046</v>
      </c>
      <c r="Y36" s="49">
        <f>+X36*(1+Assumptions!$O$64)</f>
        <v>1.7535060530771018</v>
      </c>
      <c r="Z36" s="49">
        <f>+Y36*(1+Assumptions!$O$64)</f>
        <v>1.806111234669415</v>
      </c>
    </row>
    <row r="37" spans="1:26">
      <c r="B37" s="15" t="s">
        <v>611</v>
      </c>
      <c r="C37" s="15"/>
      <c r="D37" s="22"/>
      <c r="E37" s="22"/>
      <c r="F37" s="49">
        <v>1</v>
      </c>
      <c r="G37" s="49">
        <f>+F37*(1+Assumptions!$O$77)</f>
        <v>1.02</v>
      </c>
      <c r="H37" s="49">
        <f>+G37*(1+Assumptions!$O$77)</f>
        <v>1.0404</v>
      </c>
      <c r="I37" s="49">
        <f>+H37*(1+Assumptions!$O$77)</f>
        <v>1.0612079999999999</v>
      </c>
      <c r="J37" s="49">
        <f>+I37*(1+Assumptions!$O$77)</f>
        <v>1.08243216</v>
      </c>
      <c r="K37" s="49">
        <f>+J37*(1+Assumptions!$O$77)</f>
        <v>1.1040808032</v>
      </c>
      <c r="L37" s="49">
        <f>+K37*(1+Assumptions!$O$77)</f>
        <v>1.1261624192640001</v>
      </c>
      <c r="M37" s="49">
        <f>+L37*(1+Assumptions!$O$77)</f>
        <v>1.14868566764928</v>
      </c>
      <c r="N37" s="49">
        <f>+M37*(1+Assumptions!$O$77)</f>
        <v>1.1716593810022657</v>
      </c>
      <c r="O37" s="49">
        <f>+N37*(1+Assumptions!$O$77)</f>
        <v>1.1950925686223111</v>
      </c>
      <c r="P37" s="49">
        <f>+O37*(1+Assumptions!$O$77)</f>
        <v>1.2189944199947573</v>
      </c>
      <c r="Q37" s="49">
        <f>+P37*(1+Assumptions!$O$77)</f>
        <v>1.2433743083946525</v>
      </c>
      <c r="R37" s="49">
        <f>+Q37*(1+Assumptions!$O$77)</f>
        <v>1.2682417945625455</v>
      </c>
      <c r="S37" s="49">
        <f>+R37*(1+Assumptions!$O$77)</f>
        <v>1.2936066304537963</v>
      </c>
      <c r="T37" s="49">
        <f>+S37*(1+Assumptions!$O$77)</f>
        <v>1.3194787630628724</v>
      </c>
      <c r="U37" s="49">
        <f>+T37*(1+Assumptions!$O$77)</f>
        <v>1.3458683383241299</v>
      </c>
      <c r="V37" s="49">
        <f>+U37*(1+Assumptions!$O$77)</f>
        <v>1.3727857050906125</v>
      </c>
      <c r="W37" s="49">
        <f>+V37*(1+Assumptions!$O$77)</f>
        <v>1.4002414191924248</v>
      </c>
      <c r="X37" s="49">
        <f>+W37*(1+Assumptions!$O$77)</f>
        <v>1.4282462475762734</v>
      </c>
      <c r="Y37" s="49">
        <f>+X37*(1+Assumptions!$O$77)</f>
        <v>1.4568111725277988</v>
      </c>
      <c r="Z37" s="49">
        <f>+Y37*(1+Assumptions!$O$77)</f>
        <v>1.4859473959783549</v>
      </c>
    </row>
    <row r="38" spans="1:26">
      <c r="B38" s="15"/>
      <c r="C38" s="15"/>
      <c r="D38" s="20"/>
      <c r="E38" s="20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</row>
    <row r="39" spans="1:26">
      <c r="B39" s="15" t="s">
        <v>612</v>
      </c>
      <c r="C39" s="15"/>
      <c r="D39" s="20"/>
      <c r="E39" s="20"/>
      <c r="F39" s="16">
        <f>+F34*Assumptions!$G$82*F36</f>
        <v>0</v>
      </c>
      <c r="G39" s="16">
        <f>+G34*Assumptions!$G$82*G36</f>
        <v>0</v>
      </c>
      <c r="H39" s="16">
        <f>+H34*Assumptions!$G$82*H36</f>
        <v>0</v>
      </c>
      <c r="I39" s="16">
        <f>+I34*Assumptions!$G$82*I36</f>
        <v>7693958.6294274554</v>
      </c>
      <c r="J39" s="16">
        <f>+J34*Assumptions!$G$82*J36</f>
        <v>15849554.776620559</v>
      </c>
      <c r="K39" s="16">
        <f>+K34*Assumptions!$G$82*K36</f>
        <v>16325041.419919176</v>
      </c>
      <c r="L39" s="16">
        <f>+L34*Assumptions!$G$82*L36</f>
        <v>16814792.66251675</v>
      </c>
      <c r="M39" s="16">
        <f>+M34*Assumptions!$G$82*M36</f>
        <v>17319236.442392256</v>
      </c>
      <c r="N39" s="16">
        <f>+N34*Assumptions!$G$82*N36</f>
        <v>17838813.535664022</v>
      </c>
      <c r="O39" s="16">
        <f>+O34*Assumptions!$G$82*O36</f>
        <v>18373977.941733945</v>
      </c>
      <c r="P39" s="16">
        <f>+P34*Assumptions!$G$82*P36</f>
        <v>18925197.279985964</v>
      </c>
      <c r="Q39" s="16">
        <f>+Q34*Assumptions!$G$82*Q36</f>
        <v>19492953.19838554</v>
      </c>
      <c r="R39" s="16">
        <f>+R34*Assumptions!$G$82*R36</f>
        <v>20077741.794337109</v>
      </c>
      <c r="S39" s="16">
        <f>+S34*Assumptions!$G$82*S36</f>
        <v>20680074.048167225</v>
      </c>
      <c r="T39" s="16">
        <f>+T34*Assumptions!$G$82*T36</f>
        <v>21300476.269612242</v>
      </c>
      <c r="U39" s="16">
        <f>+U34*Assumptions!$G$82*U36</f>
        <v>21939490.557700612</v>
      </c>
      <c r="V39" s="16">
        <f>+V34*Assumptions!$G$82*V36</f>
        <v>22597675.274431631</v>
      </c>
      <c r="W39" s="16">
        <f>+W34*Assumptions!$G$82*W36</f>
        <v>23275605.532664578</v>
      </c>
      <c r="X39" s="16">
        <f>+X34*Assumptions!$G$82*X36</f>
        <v>23973873.698644515</v>
      </c>
      <c r="Y39" s="16">
        <f>+Y34*Assumptions!$G$82*Y36</f>
        <v>24693089.909603853</v>
      </c>
      <c r="Z39" s="16">
        <f>+Z34*Assumptions!$G$82*Z36</f>
        <v>25433882.606891971</v>
      </c>
    </row>
    <row r="40" spans="1:26">
      <c r="B40" s="15" t="s">
        <v>613</v>
      </c>
      <c r="C40" s="15"/>
      <c r="D40" s="20"/>
      <c r="E40" s="20"/>
      <c r="F40" s="22">
        <f>-F39*Assumptions!$O$55</f>
        <v>0</v>
      </c>
      <c r="G40" s="22">
        <f>-G39*Assumptions!$O$55</f>
        <v>0</v>
      </c>
      <c r="H40" s="22">
        <f>-H39*Assumptions!$O$55</f>
        <v>0</v>
      </c>
      <c r="I40" s="22">
        <f>-I39*Assumptions!$O$55</f>
        <v>-384697.93147137278</v>
      </c>
      <c r="J40" s="22">
        <f>-J39*Assumptions!$O$55</f>
        <v>-792477.73883102799</v>
      </c>
      <c r="K40" s="22">
        <f>-K39*Assumptions!$O$55</f>
        <v>-816252.07099595887</v>
      </c>
      <c r="L40" s="22">
        <f>-L39*Assumptions!$O$55</f>
        <v>-840739.63312583754</v>
      </c>
      <c r="M40" s="22">
        <f>-M39*Assumptions!$O$55</f>
        <v>-865961.82211961283</v>
      </c>
      <c r="N40" s="22">
        <f>-N39*Assumptions!$O$55</f>
        <v>-891940.67678320117</v>
      </c>
      <c r="O40" s="22">
        <f>-O39*Assumptions!$O$55</f>
        <v>-918698.89708669728</v>
      </c>
      <c r="P40" s="22">
        <f>-P39*Assumptions!$O$55</f>
        <v>-946259.86399929831</v>
      </c>
      <c r="Q40" s="22">
        <f>-Q39*Assumptions!$O$55</f>
        <v>-974647.65991927707</v>
      </c>
      <c r="R40" s="22">
        <f>-R39*Assumptions!$O$55</f>
        <v>-1003887.0897168554</v>
      </c>
      <c r="S40" s="22">
        <f>-S39*Assumptions!$O$55</f>
        <v>-1034003.7024083612</v>
      </c>
      <c r="T40" s="22">
        <f>-T39*Assumptions!$O$55</f>
        <v>-1065023.8134806121</v>
      </c>
      <c r="U40" s="22">
        <f>-U39*Assumptions!$O$55</f>
        <v>-1096974.5278850307</v>
      </c>
      <c r="V40" s="22">
        <f>-V39*Assumptions!$O$55</f>
        <v>-1129883.7637215815</v>
      </c>
      <c r="W40" s="22">
        <f>-W39*Assumptions!$O$55</f>
        <v>-1163780.2766332289</v>
      </c>
      <c r="X40" s="22">
        <f>-X39*Assumptions!$O$55</f>
        <v>-1198693.6849322258</v>
      </c>
      <c r="Y40" s="22">
        <f>-Y39*Assumptions!$O$55</f>
        <v>-1234654.4954801926</v>
      </c>
      <c r="Z40" s="22">
        <f>-Z39*Assumptions!$O$55</f>
        <v>-1271694.1303445986</v>
      </c>
    </row>
    <row r="41" spans="1:26">
      <c r="B41" s="15" t="s">
        <v>621</v>
      </c>
      <c r="C41" s="15"/>
      <c r="D41" s="20"/>
      <c r="E41" s="20"/>
      <c r="F41" s="76">
        <f>+F33*Assumptions!$G$90*(1-Assumptions!$O$55)*12</f>
        <v>0</v>
      </c>
      <c r="G41" s="76">
        <f>+G33*Assumptions!$G$90*(1-Assumptions!$O$55)*12</f>
        <v>0</v>
      </c>
      <c r="H41" s="76">
        <f>+H33*Assumptions!$G$90*(1-Assumptions!$O$55)*12</f>
        <v>0</v>
      </c>
      <c r="I41" s="76">
        <f>+I33*Assumptions!$G$90*(1-Assumptions!$O$55)*12</f>
        <v>170164.93033360358</v>
      </c>
      <c r="J41" s="76">
        <f>+J33*Assumptions!$G$90*(1-Assumptions!$O$55)*12</f>
        <v>340329.86066720716</v>
      </c>
      <c r="K41" s="76">
        <f>+K33*Assumptions!$G$90*(1-Assumptions!$O$55)*12</f>
        <v>340329.86066720716</v>
      </c>
      <c r="L41" s="76">
        <f>+L33*Assumptions!$G$90*(1-Assumptions!$O$55)*12</f>
        <v>340329.86066720716</v>
      </c>
      <c r="M41" s="76">
        <f>+M33*Assumptions!$G$90*(1-Assumptions!$O$55)*12</f>
        <v>340329.86066720716</v>
      </c>
      <c r="N41" s="76">
        <f>+N33*Assumptions!$G$90*(1-Assumptions!$O$55)*12</f>
        <v>340329.86066720716</v>
      </c>
      <c r="O41" s="76">
        <f>+O33*Assumptions!$G$90*(1-Assumptions!$O$55)*12</f>
        <v>340329.86066720716</v>
      </c>
      <c r="P41" s="76">
        <f>+P33*Assumptions!$G$90*(1-Assumptions!$O$55)*12</f>
        <v>340329.86066720716</v>
      </c>
      <c r="Q41" s="76">
        <f>+Q33*Assumptions!$G$90*(1-Assumptions!$O$55)*12</f>
        <v>340329.86066720716</v>
      </c>
      <c r="R41" s="76">
        <f>+R33*Assumptions!$G$90*(1-Assumptions!$O$55)*12</f>
        <v>340329.86066720716</v>
      </c>
      <c r="S41" s="76">
        <f>+S33*Assumptions!$G$90*(1-Assumptions!$O$55)*12</f>
        <v>340329.86066720716</v>
      </c>
      <c r="T41" s="76">
        <f>+T33*Assumptions!$G$90*(1-Assumptions!$O$55)*12</f>
        <v>340329.86066720716</v>
      </c>
      <c r="U41" s="76">
        <f>+U33*Assumptions!$G$90*(1-Assumptions!$O$55)*12</f>
        <v>340329.86066720716</v>
      </c>
      <c r="V41" s="76">
        <f>+V33*Assumptions!$G$90*(1-Assumptions!$O$55)*12</f>
        <v>340329.86066720716</v>
      </c>
      <c r="W41" s="76">
        <f>+W33*Assumptions!$G$90*(1-Assumptions!$O$55)*12</f>
        <v>340329.86066720716</v>
      </c>
      <c r="X41" s="76">
        <f>+X33*Assumptions!$G$90*(1-Assumptions!$O$55)*12</f>
        <v>340329.86066720716</v>
      </c>
      <c r="Y41" s="76">
        <f>+Y33*Assumptions!$G$90*(1-Assumptions!$O$55)*12</f>
        <v>340329.86066720716</v>
      </c>
      <c r="Z41" s="76">
        <f>+Z33*Assumptions!$G$90*(1-Assumptions!$O$55)*12</f>
        <v>340329.86066720716</v>
      </c>
    </row>
    <row r="42" spans="1:26">
      <c r="B42" s="62" t="s">
        <v>614</v>
      </c>
      <c r="C42" s="62"/>
      <c r="D42" s="62"/>
      <c r="E42" s="62"/>
      <c r="F42" s="58">
        <f t="shared" ref="F42:Z42" si="51">+SUM(F39:F41)</f>
        <v>0</v>
      </c>
      <c r="G42" s="58">
        <f t="shared" si="51"/>
        <v>0</v>
      </c>
      <c r="H42" s="58">
        <f t="shared" si="51"/>
        <v>0</v>
      </c>
      <c r="I42" s="58">
        <f t="shared" si="51"/>
        <v>7479425.6282896856</v>
      </c>
      <c r="J42" s="58">
        <f t="shared" si="51"/>
        <v>15397406.898456737</v>
      </c>
      <c r="K42" s="58">
        <f t="shared" si="51"/>
        <v>15849119.209590424</v>
      </c>
      <c r="L42" s="58">
        <f t="shared" si="51"/>
        <v>16314382.890058119</v>
      </c>
      <c r="M42" s="58">
        <f t="shared" si="51"/>
        <v>16793604.48093985</v>
      </c>
      <c r="N42" s="58">
        <f t="shared" si="51"/>
        <v>17287202.719548028</v>
      </c>
      <c r="O42" s="58">
        <f t="shared" si="51"/>
        <v>17795608.905314453</v>
      </c>
      <c r="P42" s="58">
        <f t="shared" si="51"/>
        <v>18319267.276653871</v>
      </c>
      <c r="Q42" s="58">
        <f t="shared" si="51"/>
        <v>18858635.39913347</v>
      </c>
      <c r="R42" s="58">
        <f t="shared" si="51"/>
        <v>19414184.56528746</v>
      </c>
      <c r="S42" s="58">
        <f t="shared" si="51"/>
        <v>19986400.206426069</v>
      </c>
      <c r="T42" s="58">
        <f t="shared" si="51"/>
        <v>20575782.316798836</v>
      </c>
      <c r="U42" s="58">
        <f t="shared" si="51"/>
        <v>21182845.890482787</v>
      </c>
      <c r="V42" s="58">
        <f t="shared" si="51"/>
        <v>21808121.371377256</v>
      </c>
      <c r="W42" s="58">
        <f t="shared" si="51"/>
        <v>22452155.116698556</v>
      </c>
      <c r="X42" s="58">
        <f t="shared" si="51"/>
        <v>23115509.874379497</v>
      </c>
      <c r="Y42" s="58">
        <f t="shared" si="51"/>
        <v>23798765.274790868</v>
      </c>
      <c r="Z42" s="58">
        <f t="shared" si="51"/>
        <v>24502518.337214578</v>
      </c>
    </row>
    <row r="44" spans="1:26">
      <c r="B44" s="15" t="s">
        <v>615</v>
      </c>
      <c r="F44" s="16">
        <f>+F33*Assumptions!$O$96*F37</f>
        <v>0</v>
      </c>
      <c r="G44" s="16">
        <f>+G33*Assumptions!$O$96*G37</f>
        <v>0</v>
      </c>
      <c r="H44" s="16">
        <f>+H33*Assumptions!$O$96*H37</f>
        <v>0</v>
      </c>
      <c r="I44" s="16">
        <f>+I33*Assumptions!$O$96*I37</f>
        <v>1797854.8608535603</v>
      </c>
      <c r="J44" s="16">
        <f>+J33*Assumptions!$O$96*J37</f>
        <v>3667623.9161412632</v>
      </c>
      <c r="K44" s="16">
        <f>+K33*Assumptions!$O$96*K37</f>
        <v>3740976.3944640886</v>
      </c>
      <c r="L44" s="16">
        <f>+L33*Assumptions!$O$96*L37</f>
        <v>3815795.9223533706</v>
      </c>
      <c r="M44" s="16">
        <f>+M33*Assumptions!$O$96*M37</f>
        <v>3892111.8408004381</v>
      </c>
      <c r="N44" s="16">
        <f>+N33*Assumptions!$O$96*N37</f>
        <v>3969954.0776164471</v>
      </c>
      <c r="O44" s="16">
        <f>+O33*Assumptions!$O$96*O37</f>
        <v>4049353.1591687761</v>
      </c>
      <c r="P44" s="16">
        <f>+P33*Assumptions!$O$96*P37</f>
        <v>4130340.2223521518</v>
      </c>
      <c r="Q44" s="16">
        <f>+Q33*Assumptions!$O$96*Q37</f>
        <v>4212947.0267991945</v>
      </c>
      <c r="R44" s="16">
        <f>+R33*Assumptions!$O$96*R37</f>
        <v>4297205.9673351785</v>
      </c>
      <c r="S44" s="16">
        <f>+S33*Assumptions!$O$96*S37</f>
        <v>4383150.0866818819</v>
      </c>
      <c r="T44" s="16">
        <f>+T33*Assumptions!$O$96*T37</f>
        <v>4470813.0884155193</v>
      </c>
      <c r="U44" s="16">
        <f>+U33*Assumptions!$O$96*U37</f>
        <v>4560229.3501838306</v>
      </c>
      <c r="V44" s="16">
        <f>+V33*Assumptions!$O$96*V37</f>
        <v>4651433.9371875068</v>
      </c>
      <c r="W44" s="16">
        <f>+W33*Assumptions!$O$96*W37</f>
        <v>4744462.6159312576</v>
      </c>
      <c r="X44" s="16">
        <f>+X33*Assumptions!$O$96*X37</f>
        <v>4839351.8682498829</v>
      </c>
      <c r="Y44" s="16">
        <f>+Y33*Assumptions!$O$96*Y37</f>
        <v>4936138.9056148799</v>
      </c>
      <c r="Z44" s="16">
        <f>+Z33*Assumptions!$O$96*Z37</f>
        <v>5034861.6837271787</v>
      </c>
    </row>
    <row r="45" spans="1:26" s="15" customFormat="1">
      <c r="B45" s="15" t="s">
        <v>616</v>
      </c>
      <c r="F45" s="717"/>
      <c r="G45" s="717">
        <v>0</v>
      </c>
      <c r="H45" s="717">
        <v>0</v>
      </c>
      <c r="I45" s="717">
        <f>('Parcel x Block Info'!$P$16*0.3)*I34</f>
        <v>440665.42235399998</v>
      </c>
      <c r="J45" s="717">
        <f>('Parcel x Block Info'!$P$16*0.3)</f>
        <v>881330.84470799996</v>
      </c>
      <c r="K45" s="717">
        <f t="shared" ref="K45:Z45" si="52">J45*1.02</f>
        <v>898957.46160216001</v>
      </c>
      <c r="L45" s="717">
        <f t="shared" si="52"/>
        <v>916936.61083420319</v>
      </c>
      <c r="M45" s="717">
        <f t="shared" si="52"/>
        <v>935275.34305088723</v>
      </c>
      <c r="N45" s="717">
        <f t="shared" si="52"/>
        <v>953980.84991190501</v>
      </c>
      <c r="O45" s="717">
        <f t="shared" si="52"/>
        <v>973060.46691014315</v>
      </c>
      <c r="P45" s="717">
        <f t="shared" si="52"/>
        <v>992521.67624834599</v>
      </c>
      <c r="Q45" s="717">
        <f t="shared" si="52"/>
        <v>1012372.1097733129</v>
      </c>
      <c r="R45" s="717">
        <f t="shared" si="52"/>
        <v>1032619.5519687792</v>
      </c>
      <c r="S45" s="717">
        <f t="shared" si="52"/>
        <v>1053271.9430081549</v>
      </c>
      <c r="T45" s="717">
        <f t="shared" si="52"/>
        <v>1074337.381868318</v>
      </c>
      <c r="U45" s="717">
        <f t="shared" si="52"/>
        <v>1095824.1295056844</v>
      </c>
      <c r="V45" s="717">
        <f t="shared" si="52"/>
        <v>1117740.6120957981</v>
      </c>
      <c r="W45" s="717">
        <f t="shared" si="52"/>
        <v>1140095.4243377142</v>
      </c>
      <c r="X45" s="717">
        <f t="shared" si="52"/>
        <v>1162897.3328244686</v>
      </c>
      <c r="Y45" s="717">
        <f t="shared" si="52"/>
        <v>1186155.2794809579</v>
      </c>
      <c r="Z45" s="717">
        <f t="shared" si="52"/>
        <v>1209878.385070577</v>
      </c>
    </row>
    <row r="46" spans="1:26" s="15" customFormat="1">
      <c r="B46" s="737" t="s">
        <v>617</v>
      </c>
      <c r="C46" s="737"/>
      <c r="D46" s="737"/>
      <c r="E46" s="737"/>
      <c r="F46" s="738">
        <v>0</v>
      </c>
      <c r="G46" s="738">
        <v>0</v>
      </c>
      <c r="H46" s="738">
        <f t="shared" ref="H46" si="53">+SUM(H44:H45)</f>
        <v>0</v>
      </c>
      <c r="I46" s="738">
        <f t="shared" ref="I46:Z46" si="54">+SUM(I44:I45)</f>
        <v>2238520.2832075604</v>
      </c>
      <c r="J46" s="738">
        <f t="shared" si="54"/>
        <v>4548954.7608492635</v>
      </c>
      <c r="K46" s="738">
        <f t="shared" si="54"/>
        <v>4639933.8560662484</v>
      </c>
      <c r="L46" s="738">
        <f t="shared" si="54"/>
        <v>4732732.5331875738</v>
      </c>
      <c r="M46" s="738">
        <f t="shared" si="54"/>
        <v>4827387.183851325</v>
      </c>
      <c r="N46" s="738">
        <f t="shared" si="54"/>
        <v>4923934.9275283525</v>
      </c>
      <c r="O46" s="738">
        <f t="shared" si="54"/>
        <v>5022413.6260789195</v>
      </c>
      <c r="P46" s="738">
        <f t="shared" si="54"/>
        <v>5122861.8986004982</v>
      </c>
      <c r="Q46" s="738">
        <f t="shared" si="54"/>
        <v>5225319.1365725072</v>
      </c>
      <c r="R46" s="738">
        <f t="shared" si="54"/>
        <v>5329825.5193039579</v>
      </c>
      <c r="S46" s="738">
        <f t="shared" si="54"/>
        <v>5436422.0296900366</v>
      </c>
      <c r="T46" s="738">
        <f t="shared" si="54"/>
        <v>5545150.4702838371</v>
      </c>
      <c r="U46" s="738">
        <f t="shared" si="54"/>
        <v>5656053.4796895152</v>
      </c>
      <c r="V46" s="738">
        <f t="shared" si="54"/>
        <v>5769174.5492833052</v>
      </c>
      <c r="W46" s="738">
        <f t="shared" si="54"/>
        <v>5884558.0402689716</v>
      </c>
      <c r="X46" s="738">
        <f t="shared" si="54"/>
        <v>6002249.2010743516</v>
      </c>
      <c r="Y46" s="738">
        <f t="shared" si="54"/>
        <v>6122294.1850958373</v>
      </c>
      <c r="Z46" s="738">
        <f t="shared" si="54"/>
        <v>6244740.068797756</v>
      </c>
    </row>
    <row r="47" spans="1:26">
      <c r="B47" s="15"/>
    </row>
    <row r="48" spans="1:26" ht="15.75">
      <c r="A48" s="49"/>
      <c r="B48" s="687" t="s">
        <v>618</v>
      </c>
      <c r="C48" s="687"/>
      <c r="D48" s="687"/>
      <c r="E48" s="687"/>
      <c r="F48" s="550">
        <v>0</v>
      </c>
      <c r="G48" s="550">
        <v>0</v>
      </c>
      <c r="H48" s="550">
        <f t="shared" ref="H48" si="55">+H42-H46</f>
        <v>0</v>
      </c>
      <c r="I48" s="550">
        <f t="shared" ref="I48:Z48" si="56">+I42-I46</f>
        <v>5240905.3450821247</v>
      </c>
      <c r="J48" s="550">
        <f t="shared" si="56"/>
        <v>10848452.137607474</v>
      </c>
      <c r="K48" s="550">
        <f t="shared" si="56"/>
        <v>11209185.353524175</v>
      </c>
      <c r="L48" s="550">
        <f t="shared" si="56"/>
        <v>11581650.356870545</v>
      </c>
      <c r="M48" s="550">
        <f t="shared" si="56"/>
        <v>11966217.297088526</v>
      </c>
      <c r="N48" s="550">
        <f t="shared" si="56"/>
        <v>12363267.792019676</v>
      </c>
      <c r="O48" s="550">
        <f t="shared" si="56"/>
        <v>12773195.279235534</v>
      </c>
      <c r="P48" s="550">
        <f t="shared" si="56"/>
        <v>13196405.378053373</v>
      </c>
      <c r="Q48" s="550">
        <f t="shared" si="56"/>
        <v>13633316.262560964</v>
      </c>
      <c r="R48" s="550">
        <f t="shared" si="56"/>
        <v>14084359.045983501</v>
      </c>
      <c r="S48" s="550">
        <f t="shared" si="56"/>
        <v>14549978.176736033</v>
      </c>
      <c r="T48" s="550">
        <f t="shared" si="56"/>
        <v>15030631.846515</v>
      </c>
      <c r="U48" s="550">
        <f t="shared" si="56"/>
        <v>15526792.410793271</v>
      </c>
      <c r="V48" s="550">
        <f t="shared" si="56"/>
        <v>16038946.822093951</v>
      </c>
      <c r="W48" s="550">
        <f t="shared" si="56"/>
        <v>16567597.076429583</v>
      </c>
      <c r="X48" s="550">
        <f t="shared" si="56"/>
        <v>17113260.673305146</v>
      </c>
      <c r="Y48" s="550">
        <f t="shared" si="56"/>
        <v>17676471.089695029</v>
      </c>
      <c r="Z48" s="550">
        <f t="shared" si="56"/>
        <v>18257778.268416822</v>
      </c>
    </row>
    <row r="49" spans="2:26" ht="15.75">
      <c r="B49" s="688" t="s">
        <v>619</v>
      </c>
      <c r="C49" s="689"/>
      <c r="D49" s="689"/>
      <c r="E49" s="689"/>
      <c r="F49" s="690" t="str">
        <f>+IFERROR(F48/F42,"")</f>
        <v/>
      </c>
      <c r="G49" s="690" t="str">
        <f t="shared" ref="G49:H49" si="57">+IFERROR(G48/G42,"")</f>
        <v/>
      </c>
      <c r="H49" s="690" t="str">
        <f t="shared" si="57"/>
        <v/>
      </c>
      <c r="I49" s="691">
        <f t="shared" ref="I49:Z49" si="58">+IFERROR(I48/I42,"")</f>
        <v>0.70070960064891485</v>
      </c>
      <c r="J49" s="691">
        <f t="shared" si="58"/>
        <v>0.70456358068284863</v>
      </c>
      <c r="K49" s="691">
        <f t="shared" si="58"/>
        <v>0.70724342503155702</v>
      </c>
      <c r="L49" s="691">
        <f t="shared" si="58"/>
        <v>0.70990428721201149</v>
      </c>
      <c r="M49" s="691">
        <f t="shared" si="58"/>
        <v>0.7125460951917596</v>
      </c>
      <c r="N49" s="691">
        <f t="shared" si="58"/>
        <v>0.71516878656368954</v>
      </c>
      <c r="O49" s="691">
        <f t="shared" si="58"/>
        <v>0.7177723081687285</v>
      </c>
      <c r="P49" s="691">
        <f t="shared" si="58"/>
        <v>0.72035661572943543</v>
      </c>
      <c r="Q49" s="691">
        <f t="shared" si="58"/>
        <v>0.72292167349432912</v>
      </c>
      <c r="R49" s="691">
        <f t="shared" si="58"/>
        <v>0.72546745389277478</v>
      </c>
      <c r="S49" s="691">
        <f t="shared" si="58"/>
        <v>0.72799393720025141</v>
      </c>
      <c r="T49" s="691">
        <f t="shared" si="58"/>
        <v>0.73050111121380945</v>
      </c>
      <c r="U49" s="691">
        <f t="shared" si="58"/>
        <v>0.73298897093753035</v>
      </c>
      <c r="V49" s="691">
        <f t="shared" si="58"/>
        <v>0.73545751827778993</v>
      </c>
      <c r="W49" s="691">
        <f t="shared" si="58"/>
        <v>0.73790676174812309</v>
      </c>
      <c r="X49" s="691">
        <f t="shared" si="58"/>
        <v>0.74033671618348962</v>
      </c>
      <c r="Y49" s="691">
        <f t="shared" si="58"/>
        <v>0.74274740246373394</v>
      </c>
      <c r="Z49" s="691">
        <f t="shared" si="58"/>
        <v>0.74513884724603163</v>
      </c>
    </row>
    <row r="50" spans="2:26" ht="15.75">
      <c r="B50" s="688" t="s">
        <v>568</v>
      </c>
      <c r="C50" s="689"/>
      <c r="D50" s="689"/>
      <c r="E50" s="689"/>
      <c r="F50" s="692">
        <v>0</v>
      </c>
      <c r="G50" s="692">
        <v>0</v>
      </c>
      <c r="H50" s="692">
        <f>+H48/Assumptions!$O$129</f>
        <v>0</v>
      </c>
      <c r="I50" s="692">
        <f>+I48/Assumptions!$O$129</f>
        <v>95289188.092402264</v>
      </c>
      <c r="J50" s="692">
        <f>+J48/Assumptions!$O$129</f>
        <v>197244584.32013589</v>
      </c>
      <c r="K50" s="692">
        <f>+K48/Assumptions!$O$129</f>
        <v>203803370.06407589</v>
      </c>
      <c r="L50" s="692">
        <f>+L48/Assumptions!$O$129</f>
        <v>210575461.0340099</v>
      </c>
      <c r="M50" s="692">
        <f>+M48/Assumptions!$O$129</f>
        <v>217567587.21979138</v>
      </c>
      <c r="N50" s="692">
        <f>+N48/Assumptions!$O$129</f>
        <v>224786687.12763047</v>
      </c>
      <c r="O50" s="692">
        <f>+O48/Assumptions!$O$129</f>
        <v>232239914.1679188</v>
      </c>
      <c r="P50" s="692">
        <f>+P48/Assumptions!$O$129</f>
        <v>239934643.23733404</v>
      </c>
      <c r="Q50" s="692">
        <f>+Q48/Assumptions!$O$129</f>
        <v>247878477.50110844</v>
      </c>
      <c r="R50" s="692">
        <f>+R48/Assumptions!$O$129</f>
        <v>256079255.38151819</v>
      </c>
      <c r="S50" s="692">
        <f>+S48/Assumptions!$O$129</f>
        <v>264545057.75883695</v>
      </c>
      <c r="T50" s="692">
        <f>+T48/Assumptions!$O$129</f>
        <v>273284215.39118183</v>
      </c>
      <c r="U50" s="692">
        <f>+U48/Assumptions!$O$129</f>
        <v>282305316.55987763</v>
      </c>
      <c r="V50" s="692">
        <f>+V48/Assumptions!$O$129</f>
        <v>291617214.94716275</v>
      </c>
      <c r="W50" s="692">
        <f>+W48/Assumptions!$O$129</f>
        <v>301229037.75326514</v>
      </c>
      <c r="X50" s="692">
        <f>+X48/Assumptions!$O$129</f>
        <v>311150194.06009358</v>
      </c>
      <c r="Y50" s="692">
        <f>+Y48/Assumptions!$O$129</f>
        <v>321390383.44900054</v>
      </c>
      <c r="Z50" s="692">
        <f>+Z48/Assumptions!$O$129</f>
        <v>331959604.88030583</v>
      </c>
    </row>
    <row r="52" spans="2:26" ht="15.75">
      <c r="B52" s="73" t="s">
        <v>14</v>
      </c>
      <c r="C52" s="74"/>
      <c r="D52" s="74"/>
      <c r="E52" s="74"/>
      <c r="F52" s="75">
        <f>+Assumptions!$G$22</f>
        <v>44926</v>
      </c>
      <c r="G52" s="75">
        <f>+EOMONTH(F52,12)</f>
        <v>45291</v>
      </c>
      <c r="H52" s="75">
        <f t="shared" ref="H52:Z52" si="59">+EOMONTH(G52,12)</f>
        <v>45657</v>
      </c>
      <c r="I52" s="75">
        <f t="shared" si="59"/>
        <v>46022</v>
      </c>
      <c r="J52" s="75">
        <f t="shared" si="59"/>
        <v>46387</v>
      </c>
      <c r="K52" s="75">
        <f t="shared" si="59"/>
        <v>46752</v>
      </c>
      <c r="L52" s="75">
        <f t="shared" si="59"/>
        <v>47118</v>
      </c>
      <c r="M52" s="75">
        <f t="shared" si="59"/>
        <v>47483</v>
      </c>
      <c r="N52" s="75">
        <f t="shared" si="59"/>
        <v>47848</v>
      </c>
      <c r="O52" s="75">
        <f t="shared" si="59"/>
        <v>48213</v>
      </c>
      <c r="P52" s="75">
        <f t="shared" si="59"/>
        <v>48579</v>
      </c>
      <c r="Q52" s="75">
        <f t="shared" si="59"/>
        <v>48944</v>
      </c>
      <c r="R52" s="75">
        <f t="shared" si="59"/>
        <v>49309</v>
      </c>
      <c r="S52" s="75">
        <f t="shared" si="59"/>
        <v>49674</v>
      </c>
      <c r="T52" s="75">
        <f t="shared" si="59"/>
        <v>50040</v>
      </c>
      <c r="U52" s="75">
        <f t="shared" si="59"/>
        <v>50405</v>
      </c>
      <c r="V52" s="75">
        <f t="shared" si="59"/>
        <v>50770</v>
      </c>
      <c r="W52" s="75">
        <f t="shared" si="59"/>
        <v>51135</v>
      </c>
      <c r="X52" s="75">
        <f t="shared" si="59"/>
        <v>51501</v>
      </c>
      <c r="Y52" s="75">
        <f t="shared" si="59"/>
        <v>51866</v>
      </c>
      <c r="Z52" s="75">
        <f t="shared" si="59"/>
        <v>52231</v>
      </c>
    </row>
    <row r="53" spans="2:26">
      <c r="B53" s="15" t="s">
        <v>605</v>
      </c>
      <c r="C53" s="15"/>
      <c r="D53" s="20"/>
      <c r="E53" s="20"/>
      <c r="F53" s="22">
        <f>+IF(AND(F52&gt;=Assumptions!$G$26,F52&lt;Assumptions!$G$28),Assumptions!$G$137/ROUNDUP((Assumptions!$G$27/12),0),0)</f>
        <v>0</v>
      </c>
      <c r="G53" s="22">
        <f>+IF(AND(G52&gt;=Assumptions!$G$26,G52&lt;Assumptions!$G$28),Assumptions!$G$137/ROUNDUP((Assumptions!$G$27/12),0),0)</f>
        <v>0</v>
      </c>
      <c r="H53" s="22">
        <f>+IF(AND(H52&gt;=Assumptions!$G$26,H52&lt;Assumptions!$G$28),Assumptions!$G$137/ROUNDUP((Assumptions!$G$27/12),0),0)</f>
        <v>0</v>
      </c>
      <c r="I53" s="22">
        <f>+IF(AND(I52&gt;=Assumptions!$G$26,I52&lt;Assumptions!$G$28),Assumptions!$G$137/ROUNDUP((Assumptions!$G$27/12),0),0)</f>
        <v>56666.25</v>
      </c>
      <c r="J53" s="22">
        <f>+IF(AND(J52&gt;=Assumptions!$G$26,J52&lt;Assumptions!$G$28),Assumptions!$G$137/ROUNDUP((Assumptions!$G$27/12),0),0)</f>
        <v>56666.25</v>
      </c>
      <c r="K53" s="22">
        <f>+IF(AND(K52&gt;=Assumptions!$G$26,K52&lt;Assumptions!$G$28),Assumptions!$G$137/ROUNDUP((Assumptions!$G$27/12),0),0)</f>
        <v>0</v>
      </c>
      <c r="L53" s="22">
        <f>+IF(AND(L52&gt;=Assumptions!$G$26,L52&lt;Assumptions!$G$28),Assumptions!$G$137/ROUNDUP((Assumptions!$G$27/12),0),0)</f>
        <v>0</v>
      </c>
      <c r="M53" s="22">
        <f>+IF(AND(M52&gt;=Assumptions!$G$26,M52&lt;Assumptions!$G$28),Assumptions!$G$137/ROUNDUP((Assumptions!$G$27/12),0),0)</f>
        <v>0</v>
      </c>
      <c r="N53" s="22">
        <f>+IF(AND(N52&gt;=Assumptions!$G$26,N52&lt;Assumptions!$G$28),Assumptions!$G$137/ROUNDUP((Assumptions!$G$27/12),0),0)</f>
        <v>0</v>
      </c>
      <c r="O53" s="22">
        <f>+IF(AND(O52&gt;=Assumptions!$G$26,O52&lt;Assumptions!$G$28),Assumptions!$G$137/ROUNDUP((Assumptions!$G$27/12),0),0)</f>
        <v>0</v>
      </c>
      <c r="P53" s="22">
        <f>+IF(AND(P52&gt;=Assumptions!$G$26,P52&lt;Assumptions!$G$28),Assumptions!$G$137/ROUNDUP((Assumptions!$G$27/12),0),0)</f>
        <v>0</v>
      </c>
      <c r="Q53" s="22">
        <f>+IF(AND(Q52&gt;=Assumptions!$G$26,Q52&lt;Assumptions!$G$28),Assumptions!$G$137/ROUNDUP((Assumptions!$G$27/12),0),0)</f>
        <v>0</v>
      </c>
      <c r="R53" s="22">
        <f>+IF(AND(R52&gt;=Assumptions!$G$26,R52&lt;Assumptions!$G$28),Assumptions!$G$137/ROUNDUP((Assumptions!$G$27/12),0),0)</f>
        <v>0</v>
      </c>
      <c r="S53" s="22">
        <f>+IF(AND(S52&gt;=Assumptions!$G$26,S52&lt;Assumptions!$G$28),Assumptions!$G$137/ROUNDUP((Assumptions!$G$27/12),0),0)</f>
        <v>0</v>
      </c>
      <c r="T53" s="22">
        <f>+IF(AND(T52&gt;=Assumptions!$G$26,T52&lt;Assumptions!$G$28),Assumptions!$G$137/ROUNDUP((Assumptions!$G$27/12),0),0)</f>
        <v>0</v>
      </c>
      <c r="U53" s="22">
        <f>+IF(AND(U52&gt;=Assumptions!$G$26,U52&lt;Assumptions!$G$28),Assumptions!$G$137/ROUNDUP((Assumptions!$G$27/12),0),0)</f>
        <v>0</v>
      </c>
      <c r="V53" s="22">
        <f>+IF(AND(V52&gt;=Assumptions!$G$26,V52&lt;Assumptions!$G$28),Assumptions!$G$137/ROUNDUP((Assumptions!$G$27/12),0),0)</f>
        <v>0</v>
      </c>
      <c r="W53" s="22">
        <f>+IF(AND(W52&gt;=Assumptions!$G$26,W52&lt;Assumptions!$G$28),Assumptions!$G$137/ROUNDUP((Assumptions!$G$27/12),0),0)</f>
        <v>0</v>
      </c>
      <c r="X53" s="22">
        <f>+IF(AND(X52&gt;=Assumptions!$G$26,X52&lt;Assumptions!$G$28),Assumptions!$G$137/ROUNDUP((Assumptions!$G$27/12),0),0)</f>
        <v>0</v>
      </c>
      <c r="Y53" s="22">
        <f>+IF(AND(Y52&gt;=Assumptions!$G$26,Y52&lt;Assumptions!$G$28),Assumptions!$G$137/ROUNDUP((Assumptions!$G$27/12),0),0)</f>
        <v>0</v>
      </c>
      <c r="Z53" s="22">
        <f>+IF(AND(Z52&gt;=Assumptions!$G$26,Z52&lt;Assumptions!$G$28),Assumptions!$G$137/ROUNDUP((Assumptions!$G$27/12),0),0)</f>
        <v>0</v>
      </c>
    </row>
    <row r="54" spans="2:26">
      <c r="B54" s="15" t="s">
        <v>606</v>
      </c>
      <c r="C54" s="15"/>
      <c r="D54" s="22">
        <v>0</v>
      </c>
      <c r="E54" s="22"/>
      <c r="F54" s="22">
        <f>+D54+F53</f>
        <v>0</v>
      </c>
      <c r="G54" s="22">
        <f t="shared" ref="G54:Z54" si="60">+F54+G53</f>
        <v>0</v>
      </c>
      <c r="H54" s="22">
        <f t="shared" si="60"/>
        <v>0</v>
      </c>
      <c r="I54" s="22">
        <f t="shared" si="60"/>
        <v>56666.25</v>
      </c>
      <c r="J54" s="22">
        <f t="shared" si="60"/>
        <v>113332.5</v>
      </c>
      <c r="K54" s="22">
        <f t="shared" si="60"/>
        <v>113332.5</v>
      </c>
      <c r="L54" s="22">
        <f t="shared" si="60"/>
        <v>113332.5</v>
      </c>
      <c r="M54" s="22">
        <f t="shared" si="60"/>
        <v>113332.5</v>
      </c>
      <c r="N54" s="22">
        <f t="shared" si="60"/>
        <v>113332.5</v>
      </c>
      <c r="O54" s="22">
        <f t="shared" si="60"/>
        <v>113332.5</v>
      </c>
      <c r="P54" s="22">
        <f t="shared" si="60"/>
        <v>113332.5</v>
      </c>
      <c r="Q54" s="22">
        <f t="shared" si="60"/>
        <v>113332.5</v>
      </c>
      <c r="R54" s="22">
        <f t="shared" si="60"/>
        <v>113332.5</v>
      </c>
      <c r="S54" s="22">
        <f t="shared" si="60"/>
        <v>113332.5</v>
      </c>
      <c r="T54" s="22">
        <f t="shared" si="60"/>
        <v>113332.5</v>
      </c>
      <c r="U54" s="22">
        <f t="shared" si="60"/>
        <v>113332.5</v>
      </c>
      <c r="V54" s="22">
        <f t="shared" si="60"/>
        <v>113332.5</v>
      </c>
      <c r="W54" s="22">
        <f t="shared" si="60"/>
        <v>113332.5</v>
      </c>
      <c r="X54" s="22">
        <f t="shared" si="60"/>
        <v>113332.5</v>
      </c>
      <c r="Y54" s="22">
        <f t="shared" si="60"/>
        <v>113332.5</v>
      </c>
      <c r="Z54" s="22">
        <f t="shared" si="60"/>
        <v>113332.5</v>
      </c>
    </row>
    <row r="55" spans="2:26">
      <c r="B55" s="15" t="s">
        <v>609</v>
      </c>
      <c r="C55" s="15"/>
      <c r="D55" s="22"/>
      <c r="E55" s="22"/>
      <c r="F55" s="49">
        <f t="shared" ref="F55:Z55" si="61">+F54/SUM($F53:$Z53)</f>
        <v>0</v>
      </c>
      <c r="G55" s="49">
        <f t="shared" si="61"/>
        <v>0</v>
      </c>
      <c r="H55" s="49">
        <f t="shared" si="61"/>
        <v>0</v>
      </c>
      <c r="I55" s="49">
        <f t="shared" si="61"/>
        <v>0.5</v>
      </c>
      <c r="J55" s="49">
        <f t="shared" si="61"/>
        <v>1</v>
      </c>
      <c r="K55" s="49">
        <f t="shared" si="61"/>
        <v>1</v>
      </c>
      <c r="L55" s="49">
        <f t="shared" si="61"/>
        <v>1</v>
      </c>
      <c r="M55" s="49">
        <f t="shared" si="61"/>
        <v>1</v>
      </c>
      <c r="N55" s="49">
        <f t="shared" si="61"/>
        <v>1</v>
      </c>
      <c r="O55" s="49">
        <f t="shared" si="61"/>
        <v>1</v>
      </c>
      <c r="P55" s="49">
        <f t="shared" si="61"/>
        <v>1</v>
      </c>
      <c r="Q55" s="49">
        <f t="shared" si="61"/>
        <v>1</v>
      </c>
      <c r="R55" s="49">
        <f t="shared" si="61"/>
        <v>1</v>
      </c>
      <c r="S55" s="49">
        <f t="shared" si="61"/>
        <v>1</v>
      </c>
      <c r="T55" s="49">
        <f t="shared" si="61"/>
        <v>1</v>
      </c>
      <c r="U55" s="49">
        <f t="shared" si="61"/>
        <v>1</v>
      </c>
      <c r="V55" s="49">
        <f t="shared" si="61"/>
        <v>1</v>
      </c>
      <c r="W55" s="49">
        <f t="shared" si="61"/>
        <v>1</v>
      </c>
      <c r="X55" s="49">
        <f t="shared" si="61"/>
        <v>1</v>
      </c>
      <c r="Y55" s="49">
        <f t="shared" si="61"/>
        <v>1</v>
      </c>
      <c r="Z55" s="49">
        <f t="shared" si="61"/>
        <v>1</v>
      </c>
    </row>
    <row r="56" spans="2:26">
      <c r="B56" s="15"/>
      <c r="C56" s="15"/>
      <c r="D56" s="20"/>
      <c r="E56" s="20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</row>
    <row r="57" spans="2:26">
      <c r="B57" s="15" t="s">
        <v>610</v>
      </c>
      <c r="C57" s="15"/>
      <c r="D57" s="22"/>
      <c r="E57" s="22"/>
      <c r="F57" s="49">
        <v>1</v>
      </c>
      <c r="G57" s="49">
        <f>+IF(MOD(G$1,Assumptions!$O$66)=(Assumptions!$O$66-1),F57*(1+Assumptions!$O$65),'Phase II Pro Forma'!F57)</f>
        <v>1</v>
      </c>
      <c r="H57" s="49">
        <f>+IF(MOD(H$1,Assumptions!$O$66)=(Assumptions!$O$66-1),G57*(1+Assumptions!$O$65),'Phase II Pro Forma'!G57)</f>
        <v>1</v>
      </c>
      <c r="I57" s="49">
        <f>+IF(MOD(I$1,Assumptions!$O$66)=(Assumptions!$O$66-1),H57*(1+Assumptions!$O$65),'Phase II Pro Forma'!H57)</f>
        <v>1</v>
      </c>
      <c r="J57" s="49">
        <f>+IF(MOD(J$1,Assumptions!$O$66)=(Assumptions!$O$66-1),I57*(1+Assumptions!$O$65),'Phase II Pro Forma'!I57)</f>
        <v>1</v>
      </c>
      <c r="K57" s="49">
        <f>+IF(MOD(K$1,Assumptions!$O$66)=(Assumptions!$O$66-1),J57*(1+Assumptions!$O$65),'Phase II Pro Forma'!J57)</f>
        <v>1</v>
      </c>
      <c r="L57" s="49">
        <f>+IF(MOD(L$1,Assumptions!$O$66)=(Assumptions!$O$66-1),K57*(1+Assumptions!$O$65),'Phase II Pro Forma'!K57)</f>
        <v>1.1000000000000001</v>
      </c>
      <c r="M57" s="49">
        <f>+IF(MOD(M$1,Assumptions!$O$66)=(Assumptions!$O$66-1),L57*(1+Assumptions!$O$65),'Phase II Pro Forma'!L57)</f>
        <v>1.1000000000000001</v>
      </c>
      <c r="N57" s="49">
        <f>+IF(MOD(N$1,Assumptions!$O$66)=(Assumptions!$O$66-1),M57*(1+Assumptions!$O$65),'Phase II Pro Forma'!M57)</f>
        <v>1.1000000000000001</v>
      </c>
      <c r="O57" s="49">
        <f>+IF(MOD(O$1,Assumptions!$O$66)=(Assumptions!$O$66-1),N57*(1+Assumptions!$O$65),'Phase II Pro Forma'!N57)</f>
        <v>1.1000000000000001</v>
      </c>
      <c r="P57" s="49">
        <f>+IF(MOD(P$1,Assumptions!$O$66)=(Assumptions!$O$66-1),O57*(1+Assumptions!$O$65),'Phase II Pro Forma'!O57)</f>
        <v>1.1000000000000001</v>
      </c>
      <c r="Q57" s="49">
        <f>+IF(MOD(Q$1,Assumptions!$O$66)=(Assumptions!$O$66-1),P57*(1+Assumptions!$O$65),'Phase II Pro Forma'!P57)</f>
        <v>1.2100000000000002</v>
      </c>
      <c r="R57" s="49">
        <f>+IF(MOD(R$1,Assumptions!$O$66)=(Assumptions!$O$66-1),Q57*(1+Assumptions!$O$65),'Phase II Pro Forma'!Q57)</f>
        <v>1.2100000000000002</v>
      </c>
      <c r="S57" s="49">
        <f>+IF(MOD(S$1,Assumptions!$O$66)=(Assumptions!$O$66-1),R57*(1+Assumptions!$O$65),'Phase II Pro Forma'!R57)</f>
        <v>1.2100000000000002</v>
      </c>
      <c r="T57" s="49">
        <f>+IF(MOD(T$1,Assumptions!$O$66)=(Assumptions!$O$66-1),S57*(1+Assumptions!$O$65),'Phase II Pro Forma'!S57)</f>
        <v>1.2100000000000002</v>
      </c>
      <c r="U57" s="49">
        <f>+IF(MOD(U$1,Assumptions!$O$66)=(Assumptions!$O$66-1),T57*(1+Assumptions!$O$65),'Phase II Pro Forma'!T57)</f>
        <v>1.2100000000000002</v>
      </c>
      <c r="V57" s="49">
        <f>+IF(MOD(V$1,Assumptions!$O$66)=(Assumptions!$O$66-1),U57*(1+Assumptions!$O$65),'Phase II Pro Forma'!U57)</f>
        <v>1.3310000000000004</v>
      </c>
      <c r="W57" s="49">
        <f>+IF(MOD(W$1,Assumptions!$O$66)=(Assumptions!$O$66-1),V57*(1+Assumptions!$O$65),'Phase II Pro Forma'!V57)</f>
        <v>1.3310000000000004</v>
      </c>
      <c r="X57" s="49">
        <f>+IF(MOD(X$1,Assumptions!$O$66)=(Assumptions!$O$66-1),W57*(1+Assumptions!$O$65),'Phase II Pro Forma'!W57)</f>
        <v>1.3310000000000004</v>
      </c>
      <c r="Y57" s="49">
        <f>+IF(MOD(Y$1,Assumptions!$O$66)=(Assumptions!$O$66-1),X57*(1+Assumptions!$O$65),'Phase II Pro Forma'!X57)</f>
        <v>1.3310000000000004</v>
      </c>
      <c r="Z57" s="49">
        <f>+IF(MOD(Z$1,Assumptions!$O$66)=(Assumptions!$O$66-1),Y57*(1+Assumptions!$O$65),'Phase II Pro Forma'!Y57)</f>
        <v>1.3310000000000004</v>
      </c>
    </row>
    <row r="58" spans="2:26">
      <c r="B58" s="15" t="s">
        <v>611</v>
      </c>
      <c r="C58" s="15"/>
      <c r="D58" s="22"/>
      <c r="E58" s="22"/>
      <c r="F58" s="49">
        <v>1</v>
      </c>
      <c r="G58" s="49">
        <f>+F58*(1+Assumptions!$O$78)</f>
        <v>1.02</v>
      </c>
      <c r="H58" s="49">
        <f>+G58*(1+Assumptions!$O$78)</f>
        <v>1.0404</v>
      </c>
      <c r="I58" s="49">
        <f>+H58*(1+Assumptions!$O$78)</f>
        <v>1.0612079999999999</v>
      </c>
      <c r="J58" s="49">
        <f>+I58*(1+Assumptions!$O$78)</f>
        <v>1.08243216</v>
      </c>
      <c r="K58" s="49">
        <f>+J58*(1+Assumptions!$O$78)</f>
        <v>1.1040808032</v>
      </c>
      <c r="L58" s="49">
        <f>+K58*(1+Assumptions!$O$78)</f>
        <v>1.1261624192640001</v>
      </c>
      <c r="M58" s="49">
        <f>+L58*(1+Assumptions!$O$78)</f>
        <v>1.14868566764928</v>
      </c>
      <c r="N58" s="49">
        <f>+M58*(1+Assumptions!$O$78)</f>
        <v>1.1716593810022657</v>
      </c>
      <c r="O58" s="49">
        <f>+N58*(1+Assumptions!$O$78)</f>
        <v>1.1950925686223111</v>
      </c>
      <c r="P58" s="49">
        <f>+O58*(1+Assumptions!$O$78)</f>
        <v>1.2189944199947573</v>
      </c>
      <c r="Q58" s="49">
        <f>+P58*(1+Assumptions!$O$78)</f>
        <v>1.2433743083946525</v>
      </c>
      <c r="R58" s="49">
        <f>+Q58*(1+Assumptions!$O$78)</f>
        <v>1.2682417945625455</v>
      </c>
      <c r="S58" s="49">
        <f>+R58*(1+Assumptions!$O$78)</f>
        <v>1.2936066304537963</v>
      </c>
      <c r="T58" s="49">
        <f>+S58*(1+Assumptions!$O$78)</f>
        <v>1.3194787630628724</v>
      </c>
      <c r="U58" s="49">
        <f>+T58*(1+Assumptions!$O$78)</f>
        <v>1.3458683383241299</v>
      </c>
      <c r="V58" s="49">
        <f>+U58*(1+Assumptions!$O$78)</f>
        <v>1.3727857050906125</v>
      </c>
      <c r="W58" s="49">
        <f>+V58*(1+Assumptions!$O$78)</f>
        <v>1.4002414191924248</v>
      </c>
      <c r="X58" s="49">
        <f>+W58*(1+Assumptions!$O$78)</f>
        <v>1.4282462475762734</v>
      </c>
      <c r="Y58" s="49">
        <f>+X58*(1+Assumptions!$O$78)</f>
        <v>1.4568111725277988</v>
      </c>
      <c r="Z58" s="49">
        <f>+Y58*(1+Assumptions!$O$78)</f>
        <v>1.4859473959783549</v>
      </c>
    </row>
    <row r="59" spans="2:26">
      <c r="B59" s="15"/>
      <c r="C59" s="15"/>
      <c r="D59" s="20"/>
      <c r="E59" s="20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</row>
    <row r="60" spans="2:26">
      <c r="B60" s="15" t="s">
        <v>612</v>
      </c>
      <c r="C60" s="15"/>
      <c r="D60" s="20"/>
      <c r="E60" s="20"/>
      <c r="F60" s="16">
        <f>+F55*Assumptions!$G$136*F57</f>
        <v>0</v>
      </c>
      <c r="G60" s="16">
        <f>+G55*Assumptions!$G$136*G57</f>
        <v>0</v>
      </c>
      <c r="H60" s="16">
        <f>+H55*Assumptions!$G$136*H57</f>
        <v>0</v>
      </c>
      <c r="I60" s="16">
        <f>+I55*Assumptions!$G$136*I57</f>
        <v>3950022.9555000002</v>
      </c>
      <c r="J60" s="16">
        <f>+J55*Assumptions!$G$136*J57</f>
        <v>7900045.9110000003</v>
      </c>
      <c r="K60" s="16">
        <f>+K55*Assumptions!$G$136*K57</f>
        <v>7900045.9110000003</v>
      </c>
      <c r="L60" s="16">
        <f>+L55*Assumptions!$G$136*L57</f>
        <v>8690050.5021000002</v>
      </c>
      <c r="M60" s="16">
        <f>+M55*Assumptions!$G$136*M57</f>
        <v>8690050.5021000002</v>
      </c>
      <c r="N60" s="16">
        <f>+N55*Assumptions!$G$136*N57</f>
        <v>8690050.5021000002</v>
      </c>
      <c r="O60" s="16">
        <f>+O55*Assumptions!$G$136*O57</f>
        <v>8690050.5021000002</v>
      </c>
      <c r="P60" s="16">
        <f>+P55*Assumptions!$G$136*P57</f>
        <v>8690050.5021000002</v>
      </c>
      <c r="Q60" s="16">
        <f>+Q55*Assumptions!$G$136*Q57</f>
        <v>9559055.5523100011</v>
      </c>
      <c r="R60" s="16">
        <f>+R55*Assumptions!$G$136*R57</f>
        <v>9559055.5523100011</v>
      </c>
      <c r="S60" s="16">
        <f>+S55*Assumptions!$G$136*S57</f>
        <v>9559055.5523100011</v>
      </c>
      <c r="T60" s="16">
        <f>+T55*Assumptions!$G$136*T57</f>
        <v>9559055.5523100011</v>
      </c>
      <c r="U60" s="16">
        <f>+U55*Assumptions!$G$136*U57</f>
        <v>9559055.5523100011</v>
      </c>
      <c r="V60" s="16">
        <f>+V55*Assumptions!$G$136*V57</f>
        <v>10514961.107541004</v>
      </c>
      <c r="W60" s="16">
        <f>+W55*Assumptions!$G$136*W57</f>
        <v>10514961.107541004</v>
      </c>
      <c r="X60" s="16">
        <f>+X55*Assumptions!$G$136*X57</f>
        <v>10514961.107541004</v>
      </c>
      <c r="Y60" s="16">
        <f>+Y55*Assumptions!$G$136*Y57</f>
        <v>10514961.107541004</v>
      </c>
      <c r="Z60" s="16">
        <f>+Z55*Assumptions!$G$136*Z57</f>
        <v>10514961.107541004</v>
      </c>
    </row>
    <row r="61" spans="2:26">
      <c r="B61" s="15" t="s">
        <v>613</v>
      </c>
      <c r="C61" s="15"/>
      <c r="D61" s="20"/>
      <c r="E61" s="20"/>
      <c r="F61" s="22">
        <f>-F60*Assumptions!$O$56</f>
        <v>0</v>
      </c>
      <c r="G61" s="22">
        <f>-G60*Assumptions!$O$56</f>
        <v>0</v>
      </c>
      <c r="H61" s="22">
        <f>-H60*Assumptions!$O$56</f>
        <v>0</v>
      </c>
      <c r="I61" s="22">
        <f>-I60*Assumptions!$O$56</f>
        <v>-197501.14777500002</v>
      </c>
      <c r="J61" s="22">
        <f>-J60*Assumptions!$O$56</f>
        <v>-395002.29555000004</v>
      </c>
      <c r="K61" s="22">
        <f>-K60*Assumptions!$O$56</f>
        <v>-395002.29555000004</v>
      </c>
      <c r="L61" s="22">
        <f>-L60*Assumptions!$O$56</f>
        <v>-434502.52510500001</v>
      </c>
      <c r="M61" s="22">
        <f>-M60*Assumptions!$O$56</f>
        <v>-434502.52510500001</v>
      </c>
      <c r="N61" s="22">
        <f>-N60*Assumptions!$O$56</f>
        <v>-434502.52510500001</v>
      </c>
      <c r="O61" s="22">
        <f>-O60*Assumptions!$O$56</f>
        <v>-434502.52510500001</v>
      </c>
      <c r="P61" s="22">
        <f>-P60*Assumptions!$O$56</f>
        <v>-434502.52510500001</v>
      </c>
      <c r="Q61" s="22">
        <f>-Q60*Assumptions!$O$56</f>
        <v>-477952.77761550009</v>
      </c>
      <c r="R61" s="22">
        <f>-R60*Assumptions!$O$56</f>
        <v>-477952.77761550009</v>
      </c>
      <c r="S61" s="22">
        <f>-S60*Assumptions!$O$56</f>
        <v>-477952.77761550009</v>
      </c>
      <c r="T61" s="22">
        <f>-T60*Assumptions!$O$56</f>
        <v>-477952.77761550009</v>
      </c>
      <c r="U61" s="22">
        <f>-U60*Assumptions!$O$56</f>
        <v>-477952.77761550009</v>
      </c>
      <c r="V61" s="22">
        <f>-V60*Assumptions!$O$56</f>
        <v>-525748.05537705019</v>
      </c>
      <c r="W61" s="22">
        <f>-W60*Assumptions!$O$56</f>
        <v>-525748.05537705019</v>
      </c>
      <c r="X61" s="22">
        <f>-X60*Assumptions!$O$56</f>
        <v>-525748.05537705019</v>
      </c>
      <c r="Y61" s="22">
        <f>-Y60*Assumptions!$O$56</f>
        <v>-525748.05537705019</v>
      </c>
      <c r="Z61" s="22">
        <f>-Z60*Assumptions!$O$56</f>
        <v>-525748.05537705019</v>
      </c>
    </row>
    <row r="62" spans="2:26">
      <c r="B62" s="15" t="s">
        <v>622</v>
      </c>
      <c r="C62" s="15"/>
      <c r="D62" s="20"/>
      <c r="E62" s="20"/>
      <c r="F62" s="76">
        <f>+F67*Assumptions!$O$89</f>
        <v>0</v>
      </c>
      <c r="G62" s="76">
        <f>+G67*Assumptions!$O$89</f>
        <v>0</v>
      </c>
      <c r="H62" s="76">
        <f>+H67*Assumptions!$O$89</f>
        <v>0</v>
      </c>
      <c r="I62" s="76">
        <f>+I67*Assumptions!$O$89</f>
        <v>513133.61256587156</v>
      </c>
      <c r="J62" s="76">
        <f>+J67*Assumptions!$O$89</f>
        <v>1042033.3830729547</v>
      </c>
      <c r="K62" s="76">
        <f>+K67*Assumptions!$O$89</f>
        <v>1062874.0507344138</v>
      </c>
      <c r="L62" s="76">
        <f>+L67*Assumptions!$O$89</f>
        <v>1084131.5317491023</v>
      </c>
      <c r="M62" s="76">
        <f>+M67*Assumptions!$O$89</f>
        <v>1105814.1623840844</v>
      </c>
      <c r="N62" s="76">
        <f>+N67*Assumptions!$O$89</f>
        <v>1127930.4456317662</v>
      </c>
      <c r="O62" s="76">
        <f>+O67*Assumptions!$O$89</f>
        <v>1150489.0545444014</v>
      </c>
      <c r="P62" s="76">
        <f>+P67*Assumptions!$O$89</f>
        <v>1173498.8356352893</v>
      </c>
      <c r="Q62" s="76">
        <f>+Q67*Assumptions!$O$89</f>
        <v>1196968.8123479954</v>
      </c>
      <c r="R62" s="76">
        <f>+R67*Assumptions!$O$89</f>
        <v>1220908.1885949553</v>
      </c>
      <c r="S62" s="76">
        <f>+S67*Assumptions!$O$89</f>
        <v>1245326.3523668542</v>
      </c>
      <c r="T62" s="76">
        <f>+T67*Assumptions!$O$89</f>
        <v>1270232.8794141915</v>
      </c>
      <c r="U62" s="76">
        <f>+U67*Assumptions!$O$89</f>
        <v>1295637.5370024752</v>
      </c>
      <c r="V62" s="76">
        <f>+V67*Assumptions!$O$89</f>
        <v>1321550.2877425246</v>
      </c>
      <c r="W62" s="76">
        <f>+W67*Assumptions!$O$89</f>
        <v>1347981.2934973752</v>
      </c>
      <c r="X62" s="76">
        <f>+X67*Assumptions!$O$89</f>
        <v>1374940.9193673232</v>
      </c>
      <c r="Y62" s="76">
        <f>+Y67*Assumptions!$O$89</f>
        <v>1402439.7377546693</v>
      </c>
      <c r="Z62" s="76">
        <f>+Z67*Assumptions!$O$89</f>
        <v>1430488.5325097628</v>
      </c>
    </row>
    <row r="63" spans="2:26">
      <c r="B63" s="62" t="s">
        <v>614</v>
      </c>
      <c r="C63" s="62"/>
      <c r="D63" s="62"/>
      <c r="E63" s="62"/>
      <c r="F63" s="58">
        <f t="shared" ref="F63:Z63" si="62">+SUM(F60:F62)</f>
        <v>0</v>
      </c>
      <c r="G63" s="58">
        <f t="shared" si="62"/>
        <v>0</v>
      </c>
      <c r="H63" s="58">
        <f t="shared" si="62"/>
        <v>0</v>
      </c>
      <c r="I63" s="58">
        <f t="shared" si="62"/>
        <v>4265655.4202908715</v>
      </c>
      <c r="J63" s="58">
        <f t="shared" si="62"/>
        <v>8547076.9985229559</v>
      </c>
      <c r="K63" s="58">
        <f t="shared" si="62"/>
        <v>8567917.6661844142</v>
      </c>
      <c r="L63" s="58">
        <f t="shared" si="62"/>
        <v>9339679.508744102</v>
      </c>
      <c r="M63" s="58">
        <f t="shared" si="62"/>
        <v>9361362.1393790841</v>
      </c>
      <c r="N63" s="58">
        <f t="shared" si="62"/>
        <v>9383478.4226267673</v>
      </c>
      <c r="O63" s="58">
        <f t="shared" si="62"/>
        <v>9406037.0315394029</v>
      </c>
      <c r="P63" s="58">
        <f t="shared" si="62"/>
        <v>9429046.8126302902</v>
      </c>
      <c r="Q63" s="58">
        <f t="shared" si="62"/>
        <v>10278071.587042496</v>
      </c>
      <c r="R63" s="58">
        <f t="shared" si="62"/>
        <v>10302010.963289456</v>
      </c>
      <c r="S63" s="58">
        <f t="shared" si="62"/>
        <v>10326429.127061354</v>
      </c>
      <c r="T63" s="58">
        <f t="shared" si="62"/>
        <v>10351335.654108692</v>
      </c>
      <c r="U63" s="58">
        <f t="shared" si="62"/>
        <v>10376740.311696976</v>
      </c>
      <c r="V63" s="58">
        <f t="shared" si="62"/>
        <v>11310763.33990648</v>
      </c>
      <c r="W63" s="58">
        <f t="shared" si="62"/>
        <v>11337194.345661331</v>
      </c>
      <c r="X63" s="58">
        <f t="shared" si="62"/>
        <v>11364153.971531278</v>
      </c>
      <c r="Y63" s="58">
        <f t="shared" si="62"/>
        <v>11391652.789918624</v>
      </c>
      <c r="Z63" s="58">
        <f t="shared" si="62"/>
        <v>11419701.584673718</v>
      </c>
    </row>
    <row r="65" spans="2:26">
      <c r="B65" s="15" t="s">
        <v>615</v>
      </c>
      <c r="F65" s="16">
        <f>+F54*Assumptions!$O$121*'Phase II Pro Forma'!F58</f>
        <v>0</v>
      </c>
      <c r="G65" s="16">
        <f>+G54*Assumptions!$O$121*'Phase II Pro Forma'!G58</f>
        <v>0</v>
      </c>
      <c r="H65" s="16">
        <f>+H54*Assumptions!$O$121*'Phase II Pro Forma'!H58</f>
        <v>0</v>
      </c>
      <c r="I65" s="16">
        <f>+I54*Assumptions!$O$121*'Phase II Pro Forma'!I58</f>
        <v>437948.83170032396</v>
      </c>
      <c r="J65" s="16">
        <f>+J54*Assumptions!$O$121*'Phase II Pro Forma'!J58</f>
        <v>893415.61666866089</v>
      </c>
      <c r="K65" s="16">
        <f>+K54*Assumptions!$O$121*'Phase II Pro Forma'!K58</f>
        <v>911283.92900203413</v>
      </c>
      <c r="L65" s="16">
        <f>+L54*Assumptions!$O$121*'Phase II Pro Forma'!L58</f>
        <v>929509.60758207494</v>
      </c>
      <c r="M65" s="16">
        <f>+M54*Assumptions!$O$121*'Phase II Pro Forma'!M58</f>
        <v>948099.79973371641</v>
      </c>
      <c r="N65" s="16">
        <f>+N54*Assumptions!$O$121*'Phase II Pro Forma'!N58</f>
        <v>967061.7957283908</v>
      </c>
      <c r="O65" s="16">
        <f>+O54*Assumptions!$O$121*'Phase II Pro Forma'!O58</f>
        <v>986403.03164295864</v>
      </c>
      <c r="P65" s="16">
        <f>+P54*Assumptions!$O$121*'Phase II Pro Forma'!P58</f>
        <v>1006131.0922758178</v>
      </c>
      <c r="Q65" s="16">
        <f>+Q54*Assumptions!$O$121*'Phase II Pro Forma'!Q58</f>
        <v>1026253.7141213341</v>
      </c>
      <c r="R65" s="16">
        <f>+R54*Assumptions!$O$121*'Phase II Pro Forma'!R58</f>
        <v>1046778.7884037609</v>
      </c>
      <c r="S65" s="16">
        <f>+S54*Assumptions!$O$121*'Phase II Pro Forma'!S58</f>
        <v>1067714.3641718361</v>
      </c>
      <c r="T65" s="16">
        <f>+T54*Assumptions!$O$121*'Phase II Pro Forma'!T58</f>
        <v>1089068.6514552727</v>
      </c>
      <c r="U65" s="16">
        <f>+U54*Assumptions!$O$121*'Phase II Pro Forma'!U58</f>
        <v>1110850.0244843783</v>
      </c>
      <c r="V65" s="16">
        <f>+V54*Assumptions!$O$121*'Phase II Pro Forma'!V58</f>
        <v>1133067.0249740658</v>
      </c>
      <c r="W65" s="16">
        <f>+W54*Assumptions!$O$121*'Phase II Pro Forma'!W58</f>
        <v>1155728.3654735473</v>
      </c>
      <c r="X65" s="16">
        <f>+X54*Assumptions!$O$121*'Phase II Pro Forma'!X58</f>
        <v>1178842.9327830183</v>
      </c>
      <c r="Y65" s="16">
        <f>+Y54*Assumptions!$O$121*'Phase II Pro Forma'!Y58</f>
        <v>1202419.7914386785</v>
      </c>
      <c r="Z65" s="16">
        <f>+Z54*Assumptions!$O$121*'Phase II Pro Forma'!Z58</f>
        <v>1226468.1872674522</v>
      </c>
    </row>
    <row r="66" spans="2:26" s="693" customFormat="1">
      <c r="B66" s="693" t="s">
        <v>616</v>
      </c>
      <c r="F66" s="734"/>
      <c r="G66" s="734">
        <v>0</v>
      </c>
      <c r="H66" s="734">
        <v>0</v>
      </c>
      <c r="I66" s="734">
        <f>('Parcel x Block Info'!$P$16*0.09)*I55</f>
        <v>132199.62670619998</v>
      </c>
      <c r="J66" s="734">
        <f>('Parcel x Block Info'!$P$16*0.09)</f>
        <v>264399.25341239996</v>
      </c>
      <c r="K66" s="734">
        <f t="shared" ref="K66:Z66" si="63">J66*1.02</f>
        <v>269687.23848064797</v>
      </c>
      <c r="L66" s="734">
        <f t="shared" si="63"/>
        <v>275080.98325026094</v>
      </c>
      <c r="M66" s="734">
        <f t="shared" si="63"/>
        <v>280582.60291526618</v>
      </c>
      <c r="N66" s="734">
        <f t="shared" si="63"/>
        <v>286194.25497357151</v>
      </c>
      <c r="O66" s="734">
        <f t="shared" si="63"/>
        <v>291918.14007304295</v>
      </c>
      <c r="P66" s="734">
        <f t="shared" si="63"/>
        <v>297756.50287450379</v>
      </c>
      <c r="Q66" s="734">
        <f t="shared" si="63"/>
        <v>303711.63293199387</v>
      </c>
      <c r="R66" s="734">
        <f t="shared" si="63"/>
        <v>309785.86559063377</v>
      </c>
      <c r="S66" s="734">
        <f t="shared" si="63"/>
        <v>315981.58290244645</v>
      </c>
      <c r="T66" s="734">
        <f t="shared" si="63"/>
        <v>322301.2145604954</v>
      </c>
      <c r="U66" s="734">
        <f t="shared" si="63"/>
        <v>328747.23885170533</v>
      </c>
      <c r="V66" s="734">
        <f t="shared" si="63"/>
        <v>335322.18362873944</v>
      </c>
      <c r="W66" s="734">
        <f t="shared" si="63"/>
        <v>342028.62730131426</v>
      </c>
      <c r="X66" s="734">
        <f t="shared" si="63"/>
        <v>348869.19984734058</v>
      </c>
      <c r="Y66" s="734">
        <f t="shared" si="63"/>
        <v>355846.58384428738</v>
      </c>
      <c r="Z66" s="734">
        <f t="shared" si="63"/>
        <v>362963.51552117313</v>
      </c>
    </row>
    <row r="67" spans="2:26">
      <c r="B67" s="62" t="s">
        <v>617</v>
      </c>
      <c r="C67" s="62"/>
      <c r="D67" s="62"/>
      <c r="E67" s="62"/>
      <c r="F67" s="58">
        <f>+SUM(F65:F66)</f>
        <v>0</v>
      </c>
      <c r="G67" s="58">
        <f t="shared" ref="G67" si="64">+SUM(G65:G66)</f>
        <v>0</v>
      </c>
      <c r="H67" s="58">
        <f t="shared" ref="H67" si="65">+SUM(H65:H66)</f>
        <v>0</v>
      </c>
      <c r="I67" s="58">
        <f t="shared" ref="I67:Z67" si="66">+SUM(I65:I66)</f>
        <v>570148.45840652392</v>
      </c>
      <c r="J67" s="58">
        <f t="shared" si="66"/>
        <v>1157814.8700810608</v>
      </c>
      <c r="K67" s="58">
        <f t="shared" si="66"/>
        <v>1180971.167482682</v>
      </c>
      <c r="L67" s="58">
        <f t="shared" si="66"/>
        <v>1204590.5908323359</v>
      </c>
      <c r="M67" s="58">
        <f t="shared" si="66"/>
        <v>1228682.4026489826</v>
      </c>
      <c r="N67" s="58">
        <f t="shared" si="66"/>
        <v>1253256.0507019623</v>
      </c>
      <c r="O67" s="58">
        <f t="shared" si="66"/>
        <v>1278321.1717160016</v>
      </c>
      <c r="P67" s="58">
        <f t="shared" si="66"/>
        <v>1303887.5951503215</v>
      </c>
      <c r="Q67" s="58">
        <f t="shared" si="66"/>
        <v>1329965.3470533281</v>
      </c>
      <c r="R67" s="58">
        <f t="shared" si="66"/>
        <v>1356564.6539943947</v>
      </c>
      <c r="S67" s="58">
        <f t="shared" si="66"/>
        <v>1383695.9470742824</v>
      </c>
      <c r="T67" s="58">
        <f t="shared" si="66"/>
        <v>1411369.8660157681</v>
      </c>
      <c r="U67" s="58">
        <f t="shared" si="66"/>
        <v>1439597.2633360836</v>
      </c>
      <c r="V67" s="58">
        <f t="shared" si="66"/>
        <v>1468389.2086028052</v>
      </c>
      <c r="W67" s="58">
        <f t="shared" si="66"/>
        <v>1497756.9927748614</v>
      </c>
      <c r="X67" s="58">
        <f t="shared" si="66"/>
        <v>1527712.1326303589</v>
      </c>
      <c r="Y67" s="58">
        <f t="shared" si="66"/>
        <v>1558266.3752829658</v>
      </c>
      <c r="Z67" s="58">
        <f t="shared" si="66"/>
        <v>1589431.7027886254</v>
      </c>
    </row>
    <row r="68" spans="2:26">
      <c r="B68" s="15"/>
    </row>
    <row r="69" spans="2:26" ht="15.75">
      <c r="B69" s="687" t="s">
        <v>618</v>
      </c>
      <c r="C69" s="687"/>
      <c r="D69" s="687"/>
      <c r="E69" s="687"/>
      <c r="F69" s="550">
        <f>+F63-F67</f>
        <v>0</v>
      </c>
      <c r="G69" s="550">
        <f t="shared" ref="G69:H69" si="67">+G63-G67</f>
        <v>0</v>
      </c>
      <c r="H69" s="550">
        <f t="shared" si="67"/>
        <v>0</v>
      </c>
      <c r="I69" s="550">
        <f t="shared" ref="I69:Z69" si="68">+I63-I67</f>
        <v>3695506.9618843477</v>
      </c>
      <c r="J69" s="550">
        <f t="shared" si="68"/>
        <v>7389262.1284418954</v>
      </c>
      <c r="K69" s="550">
        <f t="shared" si="68"/>
        <v>7386946.4987017326</v>
      </c>
      <c r="L69" s="550">
        <f t="shared" si="68"/>
        <v>8135088.9179117661</v>
      </c>
      <c r="M69" s="550">
        <f t="shared" si="68"/>
        <v>8132679.7367301015</v>
      </c>
      <c r="N69" s="550">
        <f t="shared" si="68"/>
        <v>8130222.3719248045</v>
      </c>
      <c r="O69" s="550">
        <f t="shared" si="68"/>
        <v>8127715.8598234011</v>
      </c>
      <c r="P69" s="550">
        <f t="shared" si="68"/>
        <v>8125159.2174799684</v>
      </c>
      <c r="Q69" s="550">
        <f t="shared" si="68"/>
        <v>8948106.2399891671</v>
      </c>
      <c r="R69" s="550">
        <f t="shared" si="68"/>
        <v>8945446.309295062</v>
      </c>
      <c r="S69" s="550">
        <f t="shared" si="68"/>
        <v>8942733.1799870711</v>
      </c>
      <c r="T69" s="550">
        <f t="shared" si="68"/>
        <v>8939965.7880929243</v>
      </c>
      <c r="U69" s="550">
        <f t="shared" si="68"/>
        <v>8937143.0483608935</v>
      </c>
      <c r="V69" s="550">
        <f t="shared" si="68"/>
        <v>9842374.1313036755</v>
      </c>
      <c r="W69" s="550">
        <f t="shared" si="68"/>
        <v>9839437.35288647</v>
      </c>
      <c r="X69" s="550">
        <f t="shared" si="68"/>
        <v>9836441.8389009181</v>
      </c>
      <c r="Y69" s="550">
        <f t="shared" si="68"/>
        <v>9833386.4146356583</v>
      </c>
      <c r="Z69" s="550">
        <f t="shared" si="68"/>
        <v>9830269.8818850927</v>
      </c>
    </row>
    <row r="70" spans="2:26" ht="15.75">
      <c r="B70" s="688" t="s">
        <v>619</v>
      </c>
      <c r="C70" s="689"/>
      <c r="D70" s="689"/>
      <c r="E70" s="689"/>
      <c r="F70" s="690" t="str">
        <f>+IFERROR(F69/F63,"")</f>
        <v/>
      </c>
      <c r="G70" s="690" t="str">
        <f t="shared" ref="G70:H70" si="69">+IFERROR(G69/G63,"")</f>
        <v/>
      </c>
      <c r="H70" s="690" t="str">
        <f t="shared" si="69"/>
        <v/>
      </c>
      <c r="I70" s="691">
        <f t="shared" ref="I70:Z70" si="70">+IFERROR(I69/I63,"")</f>
        <v>0.86633977613511837</v>
      </c>
      <c r="J70" s="691">
        <f t="shared" si="70"/>
        <v>0.86453674510231437</v>
      </c>
      <c r="K70" s="691">
        <f t="shared" si="70"/>
        <v>0.86216357188588533</v>
      </c>
      <c r="L70" s="691">
        <f t="shared" si="70"/>
        <v>0.87102441901731631</v>
      </c>
      <c r="M70" s="691">
        <f t="shared" si="70"/>
        <v>0.86874961310593224</v>
      </c>
      <c r="N70" s="691">
        <f t="shared" si="70"/>
        <v>0.86644014146396553</v>
      </c>
      <c r="O70" s="691">
        <f t="shared" si="70"/>
        <v>0.86409566883165989</v>
      </c>
      <c r="P70" s="691">
        <f t="shared" si="70"/>
        <v>0.86171586364342223</v>
      </c>
      <c r="Q70" s="691">
        <f t="shared" si="70"/>
        <v>0.87060166532309347</v>
      </c>
      <c r="R70" s="691">
        <f t="shared" si="70"/>
        <v>0.86832040280014999</v>
      </c>
      <c r="S70" s="691">
        <f t="shared" si="70"/>
        <v>0.86600441158810837</v>
      </c>
      <c r="T70" s="691">
        <f t="shared" si="70"/>
        <v>0.8636533570954622</v>
      </c>
      <c r="U70" s="691">
        <f t="shared" si="70"/>
        <v>0.86126690848056342</v>
      </c>
      <c r="V70" s="691">
        <f t="shared" si="70"/>
        <v>0.87017770910102465</v>
      </c>
      <c r="W70" s="691">
        <f t="shared" si="70"/>
        <v>0.8678899781454269</v>
      </c>
      <c r="X70" s="691">
        <f t="shared" si="70"/>
        <v>0.8655674556630012</v>
      </c>
      <c r="Y70" s="691">
        <f t="shared" si="70"/>
        <v>0.8632098077408048</v>
      </c>
      <c r="Z70" s="691">
        <f t="shared" si="70"/>
        <v>0.86081670427169588</v>
      </c>
    </row>
    <row r="71" spans="2:26" ht="15.75">
      <c r="B71" s="688" t="s">
        <v>568</v>
      </c>
      <c r="C71" s="689"/>
      <c r="D71" s="689"/>
      <c r="E71" s="689"/>
      <c r="F71" s="692">
        <f>+F69/Assumptions!$O$130</f>
        <v>0</v>
      </c>
      <c r="G71" s="692">
        <f>+G69/Assumptions!$O$130</f>
        <v>0</v>
      </c>
      <c r="H71" s="692">
        <f>+H69/Assumptions!$O$130</f>
        <v>0</v>
      </c>
      <c r="I71" s="692">
        <f>+I69/Assumptions!$O$130</f>
        <v>61591782.698072463</v>
      </c>
      <c r="J71" s="692">
        <f>+J69/Assumptions!$O$130</f>
        <v>123154368.80736493</v>
      </c>
      <c r="K71" s="692">
        <f>+K69/Assumptions!$O$130</f>
        <v>123115774.97836222</v>
      </c>
      <c r="L71" s="692">
        <f>+L69/Assumptions!$O$130</f>
        <v>135584815.29852945</v>
      </c>
      <c r="M71" s="692">
        <f>+M69/Assumptions!$O$130</f>
        <v>135544662.27883503</v>
      </c>
      <c r="N71" s="692">
        <f>+N69/Assumptions!$O$130</f>
        <v>135503706.19874674</v>
      </c>
      <c r="O71" s="692">
        <f>+O69/Assumptions!$O$130</f>
        <v>135461930.99705669</v>
      </c>
      <c r="P71" s="692">
        <f>+P69/Assumptions!$O$130</f>
        <v>135419320.29133281</v>
      </c>
      <c r="Q71" s="692">
        <f>+Q69/Assumptions!$O$130</f>
        <v>149135103.99981946</v>
      </c>
      <c r="R71" s="692">
        <f>+R69/Assumptions!$O$130</f>
        <v>149090771.82158437</v>
      </c>
      <c r="S71" s="692">
        <f>+S69/Assumptions!$O$130</f>
        <v>149045552.99978453</v>
      </c>
      <c r="T71" s="692">
        <f>+T69/Assumptions!$O$130</f>
        <v>148999429.80154875</v>
      </c>
      <c r="U71" s="692">
        <f>+U69/Assumptions!$O$130</f>
        <v>148952384.13934824</v>
      </c>
      <c r="V71" s="692">
        <f>+V69/Assumptions!$O$130</f>
        <v>164039568.85506126</v>
      </c>
      <c r="W71" s="692">
        <f>+W69/Assumptions!$O$130</f>
        <v>163990622.54810783</v>
      </c>
      <c r="X71" s="692">
        <f>+X69/Assumptions!$O$130</f>
        <v>163940697.31501532</v>
      </c>
      <c r="Y71" s="692">
        <f>+Y69/Assumptions!$O$130</f>
        <v>163889773.57726097</v>
      </c>
      <c r="Z71" s="692">
        <f>+Z69/Assumptions!$O$130</f>
        <v>163837831.36475155</v>
      </c>
    </row>
    <row r="73" spans="2:26" ht="15.75">
      <c r="B73" s="73" t="s">
        <v>769</v>
      </c>
      <c r="C73" s="74"/>
      <c r="D73" s="74"/>
      <c r="E73" s="74"/>
      <c r="F73" s="75">
        <f>+Assumptions!$G$22</f>
        <v>44926</v>
      </c>
      <c r="G73" s="75">
        <f>+EOMONTH(F73,12)</f>
        <v>45291</v>
      </c>
      <c r="H73" s="75">
        <f t="shared" ref="H73:Z73" si="71">+EOMONTH(G73,12)</f>
        <v>45657</v>
      </c>
      <c r="I73" s="75">
        <f t="shared" si="71"/>
        <v>46022</v>
      </c>
      <c r="J73" s="75">
        <f t="shared" si="71"/>
        <v>46387</v>
      </c>
      <c r="K73" s="75">
        <f t="shared" si="71"/>
        <v>46752</v>
      </c>
      <c r="L73" s="75">
        <f t="shared" si="71"/>
        <v>47118</v>
      </c>
      <c r="M73" s="75">
        <f t="shared" si="71"/>
        <v>47483</v>
      </c>
      <c r="N73" s="75">
        <f t="shared" si="71"/>
        <v>47848</v>
      </c>
      <c r="O73" s="75">
        <f t="shared" si="71"/>
        <v>48213</v>
      </c>
      <c r="P73" s="75">
        <f t="shared" si="71"/>
        <v>48579</v>
      </c>
      <c r="Q73" s="75">
        <f t="shared" si="71"/>
        <v>48944</v>
      </c>
      <c r="R73" s="75">
        <f t="shared" si="71"/>
        <v>49309</v>
      </c>
      <c r="S73" s="75">
        <f t="shared" si="71"/>
        <v>49674</v>
      </c>
      <c r="T73" s="75">
        <f t="shared" si="71"/>
        <v>50040</v>
      </c>
      <c r="U73" s="75">
        <f t="shared" si="71"/>
        <v>50405</v>
      </c>
      <c r="V73" s="75">
        <f t="shared" si="71"/>
        <v>50770</v>
      </c>
      <c r="W73" s="75">
        <f t="shared" si="71"/>
        <v>51135</v>
      </c>
      <c r="X73" s="75">
        <f t="shared" si="71"/>
        <v>51501</v>
      </c>
      <c r="Y73" s="75">
        <f t="shared" si="71"/>
        <v>51866</v>
      </c>
      <c r="Z73" s="75">
        <f t="shared" si="71"/>
        <v>52231</v>
      </c>
    </row>
    <row r="74" spans="2:26">
      <c r="B74" s="15" t="s">
        <v>605</v>
      </c>
      <c r="C74" s="15"/>
      <c r="D74" s="20"/>
      <c r="E74" s="20"/>
      <c r="F74" s="22">
        <f>+IF(AND(F73&gt;=Assumptions!$G$26,F73&lt;Assumptions!$G$28),Assumptions!$G$154/ROUNDUP((Assumptions!$G$27/12),0),0)</f>
        <v>0</v>
      </c>
      <c r="G74" s="22">
        <f>+IF(AND(G73&gt;=Assumptions!$G$26,G73&lt;Assumptions!$G$28),Assumptions!$G$154/ROUNDUP((Assumptions!$G$27/12),0),0)</f>
        <v>0</v>
      </c>
      <c r="H74" s="22">
        <f>+IF(AND(H73&gt;=Assumptions!$G$26,H73&lt;Assumptions!$G$28),Assumptions!$G$154/ROUNDUP((Assumptions!$G$27/12),0),0)</f>
        <v>0</v>
      </c>
      <c r="I74" s="22">
        <f>+IF(AND(I73&gt;=Assumptions!$G$26,I73&lt;Assumptions!$G$28),Assumptions!$G$154/ROUNDUP((Assumptions!$G$27/12),0),0)</f>
        <v>5.0000000000000002E-5</v>
      </c>
      <c r="J74" s="22">
        <f>+IF(AND(J73&gt;=Assumptions!$G$26,J73&lt;Assumptions!$G$28),Assumptions!$G$154/ROUNDUP((Assumptions!$G$27/12),0),0)</f>
        <v>5.0000000000000002E-5</v>
      </c>
      <c r="K74" s="22">
        <f>+IF(AND(K73&gt;=Assumptions!$G$26,K73&lt;Assumptions!$G$28),Assumptions!$G$154/ROUNDUP((Assumptions!$G$27/12),0),0)</f>
        <v>0</v>
      </c>
      <c r="L74" s="22">
        <f>+IF(AND(L73&gt;=Assumptions!$G$26,L73&lt;Assumptions!$G$28),Assumptions!$G$154/ROUNDUP((Assumptions!$G$27/12),0),0)</f>
        <v>0</v>
      </c>
      <c r="M74" s="22">
        <f>+IF(AND(M73&gt;=Assumptions!$G$26,M73&lt;Assumptions!$G$28),Assumptions!$G$154/ROUNDUP((Assumptions!$G$27/12),0),0)</f>
        <v>0</v>
      </c>
      <c r="N74" s="22">
        <f>+IF(AND(N73&gt;=Assumptions!$G$26,N73&lt;Assumptions!$G$28),Assumptions!$G$154/ROUNDUP((Assumptions!$G$27/12),0),0)</f>
        <v>0</v>
      </c>
      <c r="O74" s="22">
        <f>+IF(AND(O73&gt;=Assumptions!$G$26,O73&lt;Assumptions!$G$28),Assumptions!$G$154/ROUNDUP((Assumptions!$G$27/12),0),0)</f>
        <v>0</v>
      </c>
      <c r="P74" s="22">
        <f>+IF(AND(P73&gt;=Assumptions!$G$26,P73&lt;Assumptions!$G$28),Assumptions!$G$154/ROUNDUP((Assumptions!$G$27/12),0),0)</f>
        <v>0</v>
      </c>
      <c r="Q74" s="22">
        <f>+IF(AND(Q73&gt;=Assumptions!$G$26,Q73&lt;Assumptions!$G$28),Assumptions!$G$154/ROUNDUP((Assumptions!$G$27/12),0),0)</f>
        <v>0</v>
      </c>
      <c r="R74" s="22">
        <f>+IF(AND(R73&gt;=Assumptions!$G$26,R73&lt;Assumptions!$G$28),Assumptions!$G$154/ROUNDUP((Assumptions!$G$27/12),0),0)</f>
        <v>0</v>
      </c>
      <c r="S74" s="22">
        <f>+IF(AND(S73&gt;=Assumptions!$G$26,S73&lt;Assumptions!$G$28),Assumptions!$G$154/ROUNDUP((Assumptions!$G$27/12),0),0)</f>
        <v>0</v>
      </c>
      <c r="T74" s="22">
        <f>+IF(AND(T73&gt;=Assumptions!$G$26,T73&lt;Assumptions!$G$28),Assumptions!$G$154/ROUNDUP((Assumptions!$G$27/12),0),0)</f>
        <v>0</v>
      </c>
      <c r="U74" s="22">
        <f>+IF(AND(U73&gt;=Assumptions!$G$26,U73&lt;Assumptions!$G$28),Assumptions!$G$154/ROUNDUP((Assumptions!$G$27/12),0),0)</f>
        <v>0</v>
      </c>
      <c r="V74" s="22">
        <f>+IF(AND(V73&gt;=Assumptions!$G$26,V73&lt;Assumptions!$G$28),Assumptions!$G$154/ROUNDUP((Assumptions!$G$27/12),0),0)</f>
        <v>0</v>
      </c>
      <c r="W74" s="22">
        <f>+IF(AND(W73&gt;=Assumptions!$G$26,W73&lt;Assumptions!$G$28),Assumptions!$G$154/ROUNDUP((Assumptions!$G$27/12),0),0)</f>
        <v>0</v>
      </c>
      <c r="X74" s="22">
        <f>+IF(AND(X73&gt;=Assumptions!$G$26,X73&lt;Assumptions!$G$28),Assumptions!$G$154/ROUNDUP((Assumptions!$G$27/12),0),0)</f>
        <v>0</v>
      </c>
      <c r="Y74" s="22">
        <f>+IF(AND(Y73&gt;=Assumptions!$G$26,Y73&lt;Assumptions!$G$28),Assumptions!$G$154/ROUNDUP((Assumptions!$G$27/12),0),0)</f>
        <v>0</v>
      </c>
      <c r="Z74" s="22">
        <f>+IF(AND(Z73&gt;=Assumptions!$G$26,Z73&lt;Assumptions!$G$28),Assumptions!$G$154/ROUNDUP((Assumptions!$G$27/12),0),0)</f>
        <v>0</v>
      </c>
    </row>
    <row r="75" spans="2:26">
      <c r="B75" s="15" t="s">
        <v>606</v>
      </c>
      <c r="C75" s="15"/>
      <c r="D75" s="22">
        <v>0</v>
      </c>
      <c r="E75" s="22"/>
      <c r="F75" s="22">
        <f>+D75+F74</f>
        <v>0</v>
      </c>
      <c r="G75" s="22">
        <f t="shared" ref="G75:Z75" si="72">+F75+G74</f>
        <v>0</v>
      </c>
      <c r="H75" s="22">
        <f t="shared" si="72"/>
        <v>0</v>
      </c>
      <c r="I75" s="22">
        <f t="shared" si="72"/>
        <v>5.0000000000000002E-5</v>
      </c>
      <c r="J75" s="22">
        <f t="shared" si="72"/>
        <v>1E-4</v>
      </c>
      <c r="K75" s="22">
        <f t="shared" si="72"/>
        <v>1E-4</v>
      </c>
      <c r="L75" s="22">
        <f t="shared" si="72"/>
        <v>1E-4</v>
      </c>
      <c r="M75" s="22">
        <f t="shared" si="72"/>
        <v>1E-4</v>
      </c>
      <c r="N75" s="22">
        <f t="shared" si="72"/>
        <v>1E-4</v>
      </c>
      <c r="O75" s="22">
        <f t="shared" si="72"/>
        <v>1E-4</v>
      </c>
      <c r="P75" s="22">
        <f t="shared" si="72"/>
        <v>1E-4</v>
      </c>
      <c r="Q75" s="22">
        <f t="shared" si="72"/>
        <v>1E-4</v>
      </c>
      <c r="R75" s="22">
        <f t="shared" si="72"/>
        <v>1E-4</v>
      </c>
      <c r="S75" s="22">
        <f t="shared" si="72"/>
        <v>1E-4</v>
      </c>
      <c r="T75" s="22">
        <f t="shared" si="72"/>
        <v>1E-4</v>
      </c>
      <c r="U75" s="22">
        <f t="shared" si="72"/>
        <v>1E-4</v>
      </c>
      <c r="V75" s="22">
        <f t="shared" si="72"/>
        <v>1E-4</v>
      </c>
      <c r="W75" s="22">
        <f t="shared" si="72"/>
        <v>1E-4</v>
      </c>
      <c r="X75" s="22">
        <f t="shared" si="72"/>
        <v>1E-4</v>
      </c>
      <c r="Y75" s="22">
        <f t="shared" si="72"/>
        <v>1E-4</v>
      </c>
      <c r="Z75" s="22">
        <f t="shared" si="72"/>
        <v>1E-4</v>
      </c>
    </row>
    <row r="76" spans="2:26">
      <c r="B76" s="15" t="s">
        <v>609</v>
      </c>
      <c r="C76" s="15"/>
      <c r="D76" s="22"/>
      <c r="E76" s="22"/>
      <c r="F76" s="49">
        <f t="shared" ref="F76:Z76" si="73">+F75/SUM($F74:$Z74)</f>
        <v>0</v>
      </c>
      <c r="G76" s="49">
        <f t="shared" si="73"/>
        <v>0</v>
      </c>
      <c r="H76" s="49">
        <f t="shared" si="73"/>
        <v>0</v>
      </c>
      <c r="I76" s="49">
        <f t="shared" si="73"/>
        <v>0.5</v>
      </c>
      <c r="J76" s="49">
        <f t="shared" si="73"/>
        <v>1</v>
      </c>
      <c r="K76" s="49">
        <f t="shared" si="73"/>
        <v>1</v>
      </c>
      <c r="L76" s="49">
        <f t="shared" si="73"/>
        <v>1</v>
      </c>
      <c r="M76" s="49">
        <f t="shared" si="73"/>
        <v>1</v>
      </c>
      <c r="N76" s="49">
        <f t="shared" si="73"/>
        <v>1</v>
      </c>
      <c r="O76" s="49">
        <f t="shared" si="73"/>
        <v>1</v>
      </c>
      <c r="P76" s="49">
        <f t="shared" si="73"/>
        <v>1</v>
      </c>
      <c r="Q76" s="49">
        <f t="shared" si="73"/>
        <v>1</v>
      </c>
      <c r="R76" s="49">
        <f t="shared" si="73"/>
        <v>1</v>
      </c>
      <c r="S76" s="49">
        <f t="shared" si="73"/>
        <v>1</v>
      </c>
      <c r="T76" s="49">
        <f t="shared" si="73"/>
        <v>1</v>
      </c>
      <c r="U76" s="49">
        <f t="shared" si="73"/>
        <v>1</v>
      </c>
      <c r="V76" s="49">
        <f t="shared" si="73"/>
        <v>1</v>
      </c>
      <c r="W76" s="49">
        <f t="shared" si="73"/>
        <v>1</v>
      </c>
      <c r="X76" s="49">
        <f t="shared" si="73"/>
        <v>1</v>
      </c>
      <c r="Y76" s="49">
        <f t="shared" si="73"/>
        <v>1</v>
      </c>
      <c r="Z76" s="49">
        <f t="shared" si="73"/>
        <v>1</v>
      </c>
    </row>
    <row r="77" spans="2:26">
      <c r="B77" s="15"/>
      <c r="C77" s="15"/>
      <c r="D77" s="20"/>
      <c r="E77" s="20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</row>
    <row r="78" spans="2:26">
      <c r="B78" s="15" t="s">
        <v>610</v>
      </c>
      <c r="C78" s="15"/>
      <c r="D78" s="22"/>
      <c r="E78" s="22"/>
      <c r="F78" s="49">
        <v>1</v>
      </c>
      <c r="G78" s="49">
        <f>+IF(MOD(G$1,Assumptions!$O$69)=(Assumptions!$O$69-1),F78*(1+Assumptions!$O$68),'Phase II Pro Forma'!F78)</f>
        <v>1</v>
      </c>
      <c r="H78" s="49">
        <f>+IF(MOD(H$1,Assumptions!$O$69)=(Assumptions!$O$69-1),G78*(1+Assumptions!$O$68),'Phase II Pro Forma'!G78)</f>
        <v>1</v>
      </c>
      <c r="I78" s="49">
        <f>+IF(MOD(I$1,Assumptions!$O$69)=(Assumptions!$O$69-1),H78*(1+Assumptions!$O$68),'Phase II Pro Forma'!H78)</f>
        <v>1</v>
      </c>
      <c r="J78" s="49">
        <f>+IF(MOD(J$1,Assumptions!$O$69)=(Assumptions!$O$69-1),I78*(1+Assumptions!$O$68),'Phase II Pro Forma'!I78)</f>
        <v>1</v>
      </c>
      <c r="K78" s="49">
        <f>+IF(MOD(K$1,Assumptions!$O$69)=(Assumptions!$O$69-1),J78*(1+Assumptions!$O$68),'Phase II Pro Forma'!J78)</f>
        <v>1</v>
      </c>
      <c r="L78" s="49">
        <f>+IF(MOD(L$1,Assumptions!$O$69)=(Assumptions!$O$69-1),K78*(1+Assumptions!$O$68),'Phase II Pro Forma'!K78)</f>
        <v>1.05</v>
      </c>
      <c r="M78" s="49">
        <f>+IF(MOD(M$1,Assumptions!$O$69)=(Assumptions!$O$69-1),L78*(1+Assumptions!$O$68),'Phase II Pro Forma'!L78)</f>
        <v>1.05</v>
      </c>
      <c r="N78" s="49">
        <f>+IF(MOD(N$1,Assumptions!$O$69)=(Assumptions!$O$69-1),M78*(1+Assumptions!$O$68),'Phase II Pro Forma'!M78)</f>
        <v>1.05</v>
      </c>
      <c r="O78" s="49">
        <f>+IF(MOD(O$1,Assumptions!$O$69)=(Assumptions!$O$69-1),N78*(1+Assumptions!$O$68),'Phase II Pro Forma'!N78)</f>
        <v>1.05</v>
      </c>
      <c r="P78" s="49">
        <f>+IF(MOD(P$1,Assumptions!$O$69)=(Assumptions!$O$69-1),O78*(1+Assumptions!$O$68),'Phase II Pro Forma'!O78)</f>
        <v>1.05</v>
      </c>
      <c r="Q78" s="49">
        <f>+IF(MOD(Q$1,Assumptions!$O$69)=(Assumptions!$O$69-1),P78*(1+Assumptions!$O$68),'Phase II Pro Forma'!P78)</f>
        <v>1.1025</v>
      </c>
      <c r="R78" s="49">
        <f>+IF(MOD(R$1,Assumptions!$O$69)=(Assumptions!$O$69-1),Q78*(1+Assumptions!$O$68),'Phase II Pro Forma'!Q78)</f>
        <v>1.1025</v>
      </c>
      <c r="S78" s="49">
        <f>+IF(MOD(S$1,Assumptions!$O$69)=(Assumptions!$O$69-1),R78*(1+Assumptions!$O$68),'Phase II Pro Forma'!R78)</f>
        <v>1.1025</v>
      </c>
      <c r="T78" s="49">
        <f>+IF(MOD(T$1,Assumptions!$O$69)=(Assumptions!$O$69-1),S78*(1+Assumptions!$O$68),'Phase II Pro Forma'!S78)</f>
        <v>1.1025</v>
      </c>
      <c r="U78" s="49">
        <f>+IF(MOD(U$1,Assumptions!$O$69)=(Assumptions!$O$69-1),T78*(1+Assumptions!$O$68),'Phase II Pro Forma'!T78)</f>
        <v>1.1025</v>
      </c>
      <c r="V78" s="49">
        <f>+IF(MOD(V$1,Assumptions!$O$69)=(Assumptions!$O$69-1),U78*(1+Assumptions!$O$68),'Phase II Pro Forma'!U78)</f>
        <v>1.1576250000000001</v>
      </c>
      <c r="W78" s="49">
        <f>+IF(MOD(W$1,Assumptions!$O$69)=(Assumptions!$O$69-1),V78*(1+Assumptions!$O$68),'Phase II Pro Forma'!V78)</f>
        <v>1.1576250000000001</v>
      </c>
      <c r="X78" s="49">
        <f>+IF(MOD(X$1,Assumptions!$O$69)=(Assumptions!$O$69-1),W78*(1+Assumptions!$O$68),'Phase II Pro Forma'!W78)</f>
        <v>1.1576250000000001</v>
      </c>
      <c r="Y78" s="49">
        <f>+IF(MOD(Y$1,Assumptions!$O$69)=(Assumptions!$O$69-1),X78*(1+Assumptions!$O$68),'Phase II Pro Forma'!X78)</f>
        <v>1.1576250000000001</v>
      </c>
      <c r="Z78" s="49">
        <f>+IF(MOD(Z$1,Assumptions!$O$69)=(Assumptions!$O$69-1),Y78*(1+Assumptions!$O$68),'Phase II Pro Forma'!Y78)</f>
        <v>1.1576250000000001</v>
      </c>
    </row>
    <row r="79" spans="2:26">
      <c r="B79" s="15" t="s">
        <v>611</v>
      </c>
      <c r="C79" s="15"/>
      <c r="D79" s="22"/>
      <c r="E79" s="22"/>
      <c r="F79" s="49">
        <v>1</v>
      </c>
      <c r="G79" s="49">
        <f>+F79*(1+Assumptions!$O$79)</f>
        <v>1.02</v>
      </c>
      <c r="H79" s="49">
        <f>+G79*(1+Assumptions!$O$79)</f>
        <v>1.0404</v>
      </c>
      <c r="I79" s="49">
        <f>+H79*(1+Assumptions!$O$79)</f>
        <v>1.0612079999999999</v>
      </c>
      <c r="J79" s="49">
        <f>+I79*(1+Assumptions!$O$79)</f>
        <v>1.08243216</v>
      </c>
      <c r="K79" s="49">
        <f>+J79*(1+Assumptions!$O$79)</f>
        <v>1.1040808032</v>
      </c>
      <c r="L79" s="49">
        <f>+K79*(1+Assumptions!$O$79)</f>
        <v>1.1261624192640001</v>
      </c>
      <c r="M79" s="49">
        <f>+L79*(1+Assumptions!$O$79)</f>
        <v>1.14868566764928</v>
      </c>
      <c r="N79" s="49">
        <f>+M79*(1+Assumptions!$O$79)</f>
        <v>1.1716593810022657</v>
      </c>
      <c r="O79" s="49">
        <f>+N79*(1+Assumptions!$O$79)</f>
        <v>1.1950925686223111</v>
      </c>
      <c r="P79" s="49">
        <f>+O79*(1+Assumptions!$O$79)</f>
        <v>1.2189944199947573</v>
      </c>
      <c r="Q79" s="49">
        <f>+P79*(1+Assumptions!$O$79)</f>
        <v>1.2433743083946525</v>
      </c>
      <c r="R79" s="49">
        <f>+Q79*(1+Assumptions!$O$79)</f>
        <v>1.2682417945625455</v>
      </c>
      <c r="S79" s="49">
        <f>+R79*(1+Assumptions!$O$79)</f>
        <v>1.2936066304537963</v>
      </c>
      <c r="T79" s="49">
        <f>+S79*(1+Assumptions!$O$79)</f>
        <v>1.3194787630628724</v>
      </c>
      <c r="U79" s="49">
        <f>+T79*(1+Assumptions!$O$79)</f>
        <v>1.3458683383241299</v>
      </c>
      <c r="V79" s="49">
        <f>+U79*(1+Assumptions!$O$79)</f>
        <v>1.3727857050906125</v>
      </c>
      <c r="W79" s="49">
        <f>+V79*(1+Assumptions!$O$79)</f>
        <v>1.4002414191924248</v>
      </c>
      <c r="X79" s="49">
        <f>+W79*(1+Assumptions!$O$79)</f>
        <v>1.4282462475762734</v>
      </c>
      <c r="Y79" s="49">
        <f>+X79*(1+Assumptions!$O$79)</f>
        <v>1.4568111725277988</v>
      </c>
      <c r="Z79" s="49">
        <f>+Y79*(1+Assumptions!$O$79)</f>
        <v>1.4859473959783549</v>
      </c>
    </row>
    <row r="80" spans="2:26">
      <c r="B80" s="15"/>
      <c r="C80" s="15"/>
      <c r="D80" s="20"/>
      <c r="E80" s="20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</row>
    <row r="81" spans="2:26">
      <c r="B81" s="15" t="s">
        <v>612</v>
      </c>
      <c r="C81" s="15"/>
      <c r="D81" s="20"/>
      <c r="E81" s="20"/>
      <c r="F81" s="16">
        <f>+F76*Assumptions!$G$153*F78</f>
        <v>0</v>
      </c>
      <c r="G81" s="16">
        <f>+G76*Assumptions!$G$153*G78</f>
        <v>0</v>
      </c>
      <c r="H81" s="16">
        <f>+H76*Assumptions!$G$153*H78</f>
        <v>0</v>
      </c>
      <c r="I81" s="16">
        <f>+I76*Assumptions!$G$153*I78</f>
        <v>0</v>
      </c>
      <c r="J81" s="16">
        <f>+J76*Assumptions!$G$153*J78</f>
        <v>0</v>
      </c>
      <c r="K81" s="16">
        <f>+K76*Assumptions!$G$153*K78</f>
        <v>0</v>
      </c>
      <c r="L81" s="16">
        <f>+L76*Assumptions!$G$153*L78</f>
        <v>0</v>
      </c>
      <c r="M81" s="16">
        <f>+M76*Assumptions!$G$153*M78</f>
        <v>0</v>
      </c>
      <c r="N81" s="16">
        <f>+N76*Assumptions!$G$153*N78</f>
        <v>0</v>
      </c>
      <c r="O81" s="16">
        <f>+O76*Assumptions!$G$153*O78</f>
        <v>0</v>
      </c>
      <c r="P81" s="16">
        <f>+P76*Assumptions!$G$153*P78</f>
        <v>0</v>
      </c>
      <c r="Q81" s="16">
        <f>+Q76*Assumptions!$G$153*Q78</f>
        <v>0</v>
      </c>
      <c r="R81" s="16">
        <f>+R76*Assumptions!$G$153*R78</f>
        <v>0</v>
      </c>
      <c r="S81" s="16">
        <f>+S76*Assumptions!$G$153*S78</f>
        <v>0</v>
      </c>
      <c r="T81" s="16">
        <f>+T76*Assumptions!$G$153*T78</f>
        <v>0</v>
      </c>
      <c r="U81" s="16">
        <f>+U76*Assumptions!$G$153*U78</f>
        <v>0</v>
      </c>
      <c r="V81" s="16">
        <f>+V76*Assumptions!$G$153*V78</f>
        <v>0</v>
      </c>
      <c r="W81" s="16">
        <f>+W76*Assumptions!$G$153*W78</f>
        <v>0</v>
      </c>
      <c r="X81" s="16">
        <f>+X76*Assumptions!$G$153*X78</f>
        <v>0</v>
      </c>
      <c r="Y81" s="16">
        <f>+Y76*Assumptions!$G$153*Y78</f>
        <v>0</v>
      </c>
      <c r="Z81" s="16">
        <f>+Z76*Assumptions!$G$153*Z78</f>
        <v>0</v>
      </c>
    </row>
    <row r="82" spans="2:26">
      <c r="B82" s="15" t="s">
        <v>613</v>
      </c>
      <c r="C82" s="15"/>
      <c r="D82" s="20"/>
      <c r="E82" s="20"/>
      <c r="F82" s="22">
        <f>-F81*Assumptions!$O$57</f>
        <v>0</v>
      </c>
      <c r="G82" s="22">
        <f>-G81*Assumptions!$O$57</f>
        <v>0</v>
      </c>
      <c r="H82" s="22">
        <f>-H81*Assumptions!$O$57</f>
        <v>0</v>
      </c>
      <c r="I82" s="22">
        <f>-I81*Assumptions!$O$57</f>
        <v>0</v>
      </c>
      <c r="J82" s="22">
        <f>-J81*Assumptions!$O$57</f>
        <v>0</v>
      </c>
      <c r="K82" s="22">
        <f>-K81*Assumptions!$O$57</f>
        <v>0</v>
      </c>
      <c r="L82" s="22">
        <f>-L81*Assumptions!$O$57</f>
        <v>0</v>
      </c>
      <c r="M82" s="22">
        <f>-M81*Assumptions!$O$57</f>
        <v>0</v>
      </c>
      <c r="N82" s="22">
        <f>-N81*Assumptions!$O$57</f>
        <v>0</v>
      </c>
      <c r="O82" s="22">
        <f>-O81*Assumptions!$O$57</f>
        <v>0</v>
      </c>
      <c r="P82" s="22">
        <f>-P81*Assumptions!$O$57</f>
        <v>0</v>
      </c>
      <c r="Q82" s="22">
        <f>-Q81*Assumptions!$O$57</f>
        <v>0</v>
      </c>
      <c r="R82" s="22">
        <f>-R81*Assumptions!$O$57</f>
        <v>0</v>
      </c>
      <c r="S82" s="22">
        <f>-S81*Assumptions!$O$57</f>
        <v>0</v>
      </c>
      <c r="T82" s="22">
        <f>-T81*Assumptions!$O$57</f>
        <v>0</v>
      </c>
      <c r="U82" s="22">
        <f>-U81*Assumptions!$O$57</f>
        <v>0</v>
      </c>
      <c r="V82" s="22">
        <f>-V81*Assumptions!$O$57</f>
        <v>0</v>
      </c>
      <c r="W82" s="22">
        <f>-W81*Assumptions!$O$57</f>
        <v>0</v>
      </c>
      <c r="X82" s="22">
        <f>-X81*Assumptions!$O$57</f>
        <v>0</v>
      </c>
      <c r="Y82" s="22">
        <f>-Y81*Assumptions!$O$57</f>
        <v>0</v>
      </c>
      <c r="Z82" s="22">
        <f>-Z81*Assumptions!$O$57</f>
        <v>0</v>
      </c>
    </row>
    <row r="83" spans="2:26">
      <c r="B83" s="15" t="s">
        <v>622</v>
      </c>
      <c r="C83" s="15"/>
      <c r="D83" s="20"/>
      <c r="E83" s="20"/>
      <c r="F83" s="76">
        <f ca="1">+F88*Assumptions!$O$90</f>
        <v>0</v>
      </c>
      <c r="G83" s="76">
        <f ca="1">+G88*Assumptions!$O$90</f>
        <v>0</v>
      </c>
      <c r="H83" s="76">
        <f ca="1">+H88*Assumptions!$O$90</f>
        <v>0</v>
      </c>
      <c r="I83" s="76">
        <f ca="1">+I88*Assumptions!$O$90</f>
        <v>3.9790560977999998E-4</v>
      </c>
      <c r="J83" s="76">
        <f ca="1">+J88*Assumptions!$O$90</f>
        <v>8.1968555614680006E-4</v>
      </c>
      <c r="K83" s="76">
        <f ca="1">+K88*Assumptions!$O$90</f>
        <v>8.0407996735449596E-4</v>
      </c>
      <c r="L83" s="76">
        <f ca="1">+L88*Assumptions!$O$90</f>
        <v>8.2016156670158596E-4</v>
      </c>
      <c r="M83" s="76">
        <f ca="1">+M88*Assumptions!$O$90</f>
        <v>8.3656479803561766E-4</v>
      </c>
      <c r="N83" s="76">
        <f ca="1">+N88*Assumptions!$O$90</f>
        <v>8.5329609399633006E-4</v>
      </c>
      <c r="O83" s="76">
        <f ca="1">+O88*Assumptions!$O$90</f>
        <v>8.7036201587625665E-4</v>
      </c>
      <c r="P83" s="76">
        <f ca="1">+P88*Assumptions!$O$90</f>
        <v>8.8776925619378185E-4</v>
      </c>
      <c r="Q83" s="76">
        <f ca="1">+Q88*Assumptions!$O$90</f>
        <v>9.0552464131765751E-4</v>
      </c>
      <c r="R83" s="76">
        <f ca="1">+R88*Assumptions!$O$90</f>
        <v>1.0383531386723354E-3</v>
      </c>
      <c r="S83" s="76">
        <f ca="1">+S88*Assumptions!$O$90</f>
        <v>9.4210783682689074E-4</v>
      </c>
      <c r="T83" s="76">
        <f ca="1">+T88*Assumptions!$O$90</f>
        <v>1.1015888448174809E-3</v>
      </c>
      <c r="U83" s="76">
        <f ca="1">+U88*Assumptions!$O$90</f>
        <v>9.8016899343469736E-4</v>
      </c>
      <c r="V83" s="76">
        <f ca="1">+V88*Assumptions!$O$90</f>
        <v>9.9977237330339114E-4</v>
      </c>
      <c r="W83" s="76">
        <f ca="1">+W88*Assumptions!$O$90</f>
        <v>1.2037358736308715E-3</v>
      </c>
      <c r="X83" s="76">
        <f ca="1">+X88*Assumptions!$O$90</f>
        <v>1.2398479498397976E-3</v>
      </c>
      <c r="Y83" s="76">
        <f ca="1">+Y88*Assumptions!$O$90</f>
        <v>1.0609664407285452E-3</v>
      </c>
      <c r="Z83" s="76">
        <f ca="1">+Z88*Assumptions!$O$90</f>
        <v>1.0821857695431163E-3</v>
      </c>
    </row>
    <row r="84" spans="2:26">
      <c r="B84" s="62" t="s">
        <v>614</v>
      </c>
      <c r="C84" s="62"/>
      <c r="D84" s="62"/>
      <c r="E84" s="62"/>
      <c r="F84" s="58">
        <f t="shared" ref="F84:Z84" ca="1" si="74">+SUM(F81:F83)</f>
        <v>0</v>
      </c>
      <c r="G84" s="58">
        <f t="shared" ca="1" si="74"/>
        <v>0</v>
      </c>
      <c r="H84" s="58">
        <f t="shared" ca="1" si="74"/>
        <v>0</v>
      </c>
      <c r="I84" s="58">
        <f t="shared" ca="1" si="74"/>
        <v>3.9790560977999998E-4</v>
      </c>
      <c r="J84" s="58">
        <f t="shared" ca="1" si="74"/>
        <v>8.1968555614680006E-4</v>
      </c>
      <c r="K84" s="58">
        <f t="shared" ca="1" si="74"/>
        <v>8.4427612283120401E-4</v>
      </c>
      <c r="L84" s="58">
        <f t="shared" ca="1" si="74"/>
        <v>8.6960440651614025E-4</v>
      </c>
      <c r="M84" s="58">
        <f t="shared" ca="1" si="74"/>
        <v>8.9569253871162448E-4</v>
      </c>
      <c r="N84" s="58">
        <f t="shared" ca="1" si="74"/>
        <v>9.2256331487297323E-4</v>
      </c>
      <c r="O84" s="58">
        <f t="shared" ca="1" si="74"/>
        <v>9.5024021431916244E-4</v>
      </c>
      <c r="P84" s="58">
        <f t="shared" ca="1" si="74"/>
        <v>8.8776925619378185E-4</v>
      </c>
      <c r="Q84" s="58">
        <f t="shared" ca="1" si="74"/>
        <v>9.0552464131765751E-4</v>
      </c>
      <c r="R84" s="58">
        <f t="shared" ca="1" si="74"/>
        <v>1.0383531386723354E-3</v>
      </c>
      <c r="S84" s="58">
        <f t="shared" ca="1" si="74"/>
        <v>1.0695037328325057E-3</v>
      </c>
      <c r="T84" s="58">
        <f t="shared" ca="1" si="74"/>
        <v>1.1015888448174809E-3</v>
      </c>
      <c r="U84" s="58">
        <f t="shared" ca="1" si="74"/>
        <v>1.1346365101620054E-3</v>
      </c>
      <c r="V84" s="58">
        <f t="shared" ca="1" si="74"/>
        <v>9.9977237330339114E-4</v>
      </c>
      <c r="W84" s="58">
        <f t="shared" ca="1" si="74"/>
        <v>1.2037358736308715E-3</v>
      </c>
      <c r="X84" s="58">
        <f t="shared" ca="1" si="74"/>
        <v>1.2398479498397976E-3</v>
      </c>
      <c r="Y84" s="58">
        <f t="shared" ca="1" si="74"/>
        <v>1.0609664407285452E-3</v>
      </c>
      <c r="Z84" s="58">
        <f t="shared" ca="1" si="74"/>
        <v>1.3153546899850415E-3</v>
      </c>
    </row>
    <row r="86" spans="2:26">
      <c r="B86" s="15" t="s">
        <v>615</v>
      </c>
      <c r="F86" s="16">
        <f>+F75*Assumptions!$O$122*'Phase II Pro Forma'!F79</f>
        <v>0</v>
      </c>
      <c r="G86" s="16">
        <f>+G75*Assumptions!$O$122*'Phase II Pro Forma'!G79</f>
        <v>0</v>
      </c>
      <c r="H86" s="16">
        <f>+H75*Assumptions!$O$122*'Phase II Pro Forma'!H79</f>
        <v>0</v>
      </c>
      <c r="I86" s="16">
        <f>+I75*Assumptions!$O$122*'Phase II Pro Forma'!I79</f>
        <v>3.8642828111999997E-4</v>
      </c>
      <c r="J86" s="16">
        <f>+J75*Assumptions!$O$122*'Phase II Pro Forma'!J79</f>
        <v>7.8831369348479998E-4</v>
      </c>
      <c r="K86" s="16">
        <f>+K75*Assumptions!$O$122*'Phase II Pro Forma'!K79</f>
        <v>8.0407996735449596E-4</v>
      </c>
      <c r="L86" s="16">
        <f>+L75*Assumptions!$O$122*'Phase II Pro Forma'!L79</f>
        <v>8.2016156670158596E-4</v>
      </c>
      <c r="M86" s="16">
        <f>+M75*Assumptions!$O$122*'Phase II Pro Forma'!M79</f>
        <v>8.3656479803561766E-4</v>
      </c>
      <c r="N86" s="16">
        <f>+N75*Assumptions!$O$122*'Phase II Pro Forma'!N79</f>
        <v>8.5329609399633006E-4</v>
      </c>
      <c r="O86" s="16">
        <f>+O75*Assumptions!$O$122*'Phase II Pro Forma'!O79</f>
        <v>8.7036201587625665E-4</v>
      </c>
      <c r="P86" s="16">
        <f>+P75*Assumptions!$O$122*'Phase II Pro Forma'!P79</f>
        <v>8.8776925619378185E-4</v>
      </c>
      <c r="Q86" s="16">
        <f>+Q75*Assumptions!$O$122*'Phase II Pro Forma'!Q79</f>
        <v>9.0552464131765751E-4</v>
      </c>
      <c r="R86" s="16">
        <f>+R75*Assumptions!$O$122*'Phase II Pro Forma'!R79</f>
        <v>9.2363513414401059E-4</v>
      </c>
      <c r="S86" s="16">
        <f>+S75*Assumptions!$O$122*'Phase II Pro Forma'!S79</f>
        <v>9.4210783682689074E-4</v>
      </c>
      <c r="T86" s="16">
        <f>+T75*Assumptions!$O$122*'Phase II Pro Forma'!T79</f>
        <v>9.6094999356342869E-4</v>
      </c>
      <c r="U86" s="16">
        <f>+U75*Assumptions!$O$122*'Phase II Pro Forma'!U79</f>
        <v>9.8016899343469736E-4</v>
      </c>
      <c r="V86" s="16">
        <f>+V75*Assumptions!$O$122*'Phase II Pro Forma'!V79</f>
        <v>9.9977237330339114E-4</v>
      </c>
      <c r="W86" s="16">
        <f>+W75*Assumptions!$O$122*'Phase II Pro Forma'!W79</f>
        <v>1.0197678207694591E-3</v>
      </c>
      <c r="X86" s="16">
        <f>+X75*Assumptions!$O$122*'Phase II Pro Forma'!X79</f>
        <v>1.0401631771848484E-3</v>
      </c>
      <c r="Y86" s="16">
        <f>+Y75*Assumptions!$O$122*'Phase II Pro Forma'!Y79</f>
        <v>1.0609664407285452E-3</v>
      </c>
      <c r="Z86" s="16">
        <f>+Z75*Assumptions!$O$122*'Phase II Pro Forma'!Z79</f>
        <v>1.0821857695431163E-3</v>
      </c>
    </row>
    <row r="87" spans="2:26">
      <c r="B87" s="15" t="s">
        <v>616</v>
      </c>
      <c r="F87" s="76">
        <f ca="1">+IFERROR(INDEX(#REF!,MATCH('Phase II Pro Forma'!F$6,#REF!,0)),0)*'Loan Sizing'!$K$18*F76</f>
        <v>0</v>
      </c>
      <c r="G87" s="76">
        <f ca="1">+IFERROR(INDEX(#REF!,MATCH('Phase II Pro Forma'!G$6,#REF!,0)),0)*'Loan Sizing'!$K$18*G76</f>
        <v>0</v>
      </c>
      <c r="H87" s="76">
        <f ca="1">+IFERROR(INDEX(#REF!,MATCH('Phase II Pro Forma'!H$6,#REF!,0)),0)*'Loan Sizing'!$K$18*H76</f>
        <v>0</v>
      </c>
      <c r="I87" s="76">
        <f ca="1">+IFERROR(INDEX(#REF!,MATCH('Phase II Pro Forma'!I$6,#REF!,0)),0)*'Loan Sizing'!$K$18*I76</f>
        <v>0</v>
      </c>
      <c r="J87" s="76">
        <f ca="1">+IFERROR(INDEX(#REF!,MATCH('Phase II Pro Forma'!J$6,#REF!,0)),0)*'Loan Sizing'!$K$18*J76</f>
        <v>0</v>
      </c>
      <c r="K87" s="76">
        <f ca="1">+IFERROR(INDEX(#REF!,MATCH('Phase II Pro Forma'!K$6,#REF!,0)),0)*'Loan Sizing'!$K$18*K76</f>
        <v>0</v>
      </c>
      <c r="L87" s="76">
        <f ca="1">+IFERROR(INDEX(#REF!,MATCH('Phase II Pro Forma'!L$6,#REF!,0)),0)*'Loan Sizing'!$K$18*L76</f>
        <v>0</v>
      </c>
      <c r="M87" s="76">
        <f ca="1">+IFERROR(INDEX(#REF!,MATCH('Phase II Pro Forma'!M$6,#REF!,0)),0)*'Loan Sizing'!$K$18*M76</f>
        <v>0</v>
      </c>
      <c r="N87" s="76">
        <f ca="1">+IFERROR(INDEX(#REF!,MATCH('Phase II Pro Forma'!N$6,#REF!,0)),0)*'Loan Sizing'!$K$18*N76</f>
        <v>0</v>
      </c>
      <c r="O87" s="76">
        <f ca="1">+IFERROR(INDEX(#REF!,MATCH('Phase II Pro Forma'!O$6,#REF!,0)),0)*'Loan Sizing'!$K$18*O76</f>
        <v>0</v>
      </c>
      <c r="P87" s="76">
        <f ca="1">+IFERROR(INDEX(#REF!,MATCH('Phase II Pro Forma'!P$6,#REF!,0)),0)*'Loan Sizing'!$K$18*P76</f>
        <v>0</v>
      </c>
      <c r="Q87" s="76">
        <f ca="1">+IFERROR(INDEX(#REF!,MATCH('Phase II Pro Forma'!Q$6,#REF!,0)),0)*'Loan Sizing'!$K$18*Q76</f>
        <v>0</v>
      </c>
      <c r="R87" s="76">
        <f ca="1">+IFERROR(INDEX(#REF!,MATCH('Phase II Pro Forma'!R$6,#REF!,0)),0)*'Loan Sizing'!$K$18*R76</f>
        <v>0</v>
      </c>
      <c r="S87" s="76">
        <f ca="1">+IFERROR(INDEX(#REF!,MATCH('Phase II Pro Forma'!S$6,#REF!,0)),0)*'Loan Sizing'!$K$18*S76</f>
        <v>0</v>
      </c>
      <c r="T87" s="76">
        <f ca="1">+IFERROR(INDEX(#REF!,MATCH('Phase II Pro Forma'!T$6,#REF!,0)),0)*'Loan Sizing'!$K$18*T76</f>
        <v>0</v>
      </c>
      <c r="U87" s="76">
        <f ca="1">+IFERROR(INDEX(#REF!,MATCH('Phase II Pro Forma'!U$6,#REF!,0)),0)*'Loan Sizing'!$K$18*U76</f>
        <v>0</v>
      </c>
      <c r="V87" s="76">
        <f ca="1">+IFERROR(INDEX(#REF!,MATCH('Phase II Pro Forma'!V$6,#REF!,0)),0)*'Loan Sizing'!$K$18*V76</f>
        <v>0</v>
      </c>
      <c r="W87" s="76">
        <f ca="1">+IFERROR(INDEX(#REF!,MATCH('Phase II Pro Forma'!W$6,#REF!,0)),0)*'Loan Sizing'!$K$18*W76</f>
        <v>0</v>
      </c>
      <c r="X87" s="76">
        <f ca="1">+IFERROR(INDEX(#REF!,MATCH('Phase II Pro Forma'!X$6,#REF!,0)),0)*'Loan Sizing'!$K$18*X76</f>
        <v>0</v>
      </c>
      <c r="Y87" s="76">
        <f ca="1">+IFERROR(INDEX(#REF!,MATCH('Phase II Pro Forma'!Y$6,#REF!,0)),0)*'Loan Sizing'!$K$18*Y76</f>
        <v>0</v>
      </c>
      <c r="Z87" s="76">
        <f ca="1">+IFERROR(INDEX(#REF!,MATCH('Phase II Pro Forma'!Z$6,#REF!,0)),0)*'Loan Sizing'!$K$18*Z76</f>
        <v>0</v>
      </c>
    </row>
    <row r="88" spans="2:26">
      <c r="B88" s="62" t="s">
        <v>617</v>
      </c>
      <c r="C88" s="62"/>
      <c r="D88" s="62"/>
      <c r="E88" s="62"/>
      <c r="F88" s="58">
        <f ca="1">+SUM(F86:F87)</f>
        <v>0</v>
      </c>
      <c r="G88" s="58">
        <f t="shared" ref="G88" ca="1" si="75">+SUM(G86:G87)</f>
        <v>0</v>
      </c>
      <c r="H88" s="58">
        <f t="shared" ref="H88:Z88" ca="1" si="76">+SUM(H86:H87)</f>
        <v>0</v>
      </c>
      <c r="I88" s="58">
        <f t="shared" ca="1" si="76"/>
        <v>3.8642828111999997E-4</v>
      </c>
      <c r="J88" s="58">
        <f t="shared" ca="1" si="76"/>
        <v>7.8831369348479998E-4</v>
      </c>
      <c r="K88" s="58">
        <f t="shared" ca="1" si="76"/>
        <v>8.0407996735449596E-4</v>
      </c>
      <c r="L88" s="58">
        <f t="shared" ca="1" si="76"/>
        <v>8.2016156670158596E-4</v>
      </c>
      <c r="M88" s="58">
        <f t="shared" ca="1" si="76"/>
        <v>8.3656479803561766E-4</v>
      </c>
      <c r="N88" s="58">
        <f t="shared" ca="1" si="76"/>
        <v>8.5329609399633006E-4</v>
      </c>
      <c r="O88" s="58">
        <f t="shared" ca="1" si="76"/>
        <v>8.7036201587625665E-4</v>
      </c>
      <c r="P88" s="58">
        <f t="shared" ca="1" si="76"/>
        <v>8.8776925619378185E-4</v>
      </c>
      <c r="Q88" s="58">
        <f t="shared" ca="1" si="76"/>
        <v>9.0552464131765751E-4</v>
      </c>
      <c r="R88" s="58">
        <f t="shared" ca="1" si="76"/>
        <v>9.2363513414401059E-4</v>
      </c>
      <c r="S88" s="58">
        <f t="shared" ca="1" si="76"/>
        <v>9.4210783682689074E-4</v>
      </c>
      <c r="T88" s="58">
        <f t="shared" ca="1" si="76"/>
        <v>9.6094999356342869E-4</v>
      </c>
      <c r="U88" s="58">
        <f t="shared" ca="1" si="76"/>
        <v>9.8016899343469736E-4</v>
      </c>
      <c r="V88" s="58">
        <f t="shared" ca="1" si="76"/>
        <v>9.9977237330339114E-4</v>
      </c>
      <c r="W88" s="58">
        <f t="shared" ca="1" si="76"/>
        <v>1.0197678207694591E-3</v>
      </c>
      <c r="X88" s="58">
        <f t="shared" ca="1" si="76"/>
        <v>1.0401631771848484E-3</v>
      </c>
      <c r="Y88" s="58">
        <f t="shared" ca="1" si="76"/>
        <v>1.0609664407285452E-3</v>
      </c>
      <c r="Z88" s="58">
        <f t="shared" ca="1" si="76"/>
        <v>1.0821857695431163E-3</v>
      </c>
    </row>
    <row r="89" spans="2:26">
      <c r="B89" s="15"/>
    </row>
    <row r="90" spans="2:26" ht="15.75">
      <c r="B90" s="687" t="s">
        <v>618</v>
      </c>
      <c r="C90" s="687"/>
      <c r="D90" s="687"/>
      <c r="E90" s="687"/>
      <c r="F90" s="550">
        <f ca="1">+F84-F88</f>
        <v>0</v>
      </c>
      <c r="G90" s="550">
        <f t="shared" ref="G90:Z90" ca="1" si="77">+G84-G88</f>
        <v>0</v>
      </c>
      <c r="H90" s="550">
        <f t="shared" ca="1" si="77"/>
        <v>0</v>
      </c>
      <c r="I90" s="550">
        <f t="shared" ca="1" si="77"/>
        <v>0</v>
      </c>
      <c r="J90" s="550">
        <f t="shared" ca="1" si="77"/>
        <v>0</v>
      </c>
      <c r="K90" s="550">
        <f t="shared" ca="1" si="77"/>
        <v>0</v>
      </c>
      <c r="L90" s="550">
        <f t="shared" ca="1" si="77"/>
        <v>0</v>
      </c>
      <c r="M90" s="550">
        <f t="shared" ca="1" si="77"/>
        <v>0</v>
      </c>
      <c r="N90" s="550">
        <f t="shared" ca="1" si="77"/>
        <v>0</v>
      </c>
      <c r="O90" s="550">
        <f t="shared" ca="1" si="77"/>
        <v>0</v>
      </c>
      <c r="P90" s="550">
        <f t="shared" ca="1" si="77"/>
        <v>0</v>
      </c>
      <c r="Q90" s="550">
        <f t="shared" ca="1" si="77"/>
        <v>0</v>
      </c>
      <c r="R90" s="550">
        <f t="shared" ca="1" si="77"/>
        <v>0</v>
      </c>
      <c r="S90" s="550">
        <f t="shared" ca="1" si="77"/>
        <v>0</v>
      </c>
      <c r="T90" s="550">
        <f t="shared" ca="1" si="77"/>
        <v>0</v>
      </c>
      <c r="U90" s="550">
        <f t="shared" ca="1" si="77"/>
        <v>0</v>
      </c>
      <c r="V90" s="550">
        <f t="shared" ca="1" si="77"/>
        <v>0</v>
      </c>
      <c r="W90" s="550">
        <f t="shared" ca="1" si="77"/>
        <v>0</v>
      </c>
      <c r="X90" s="550">
        <f t="shared" ca="1" si="77"/>
        <v>0</v>
      </c>
      <c r="Y90" s="550">
        <f t="shared" ca="1" si="77"/>
        <v>0</v>
      </c>
      <c r="Z90" s="550">
        <f t="shared" ca="1" si="77"/>
        <v>0</v>
      </c>
    </row>
    <row r="91" spans="2:26" ht="15.75">
      <c r="B91" s="688" t="s">
        <v>619</v>
      </c>
      <c r="C91" s="689"/>
      <c r="D91" s="689"/>
      <c r="E91" s="689"/>
      <c r="F91" s="690" t="str">
        <f ca="1">+IFERROR(F90/F84,"")</f>
        <v/>
      </c>
      <c r="G91" s="690" t="str">
        <f t="shared" ref="G91:Z91" ca="1" si="78">+IFERROR(G90/G84,"")</f>
        <v/>
      </c>
      <c r="H91" s="690" t="str">
        <f t="shared" ca="1" si="78"/>
        <v/>
      </c>
      <c r="I91" s="691">
        <f t="shared" ca="1" si="78"/>
        <v>0</v>
      </c>
      <c r="J91" s="691">
        <f t="shared" ca="1" si="78"/>
        <v>0</v>
      </c>
      <c r="K91" s="691">
        <f t="shared" ca="1" si="78"/>
        <v>0</v>
      </c>
      <c r="L91" s="691">
        <f t="shared" ca="1" si="78"/>
        <v>0</v>
      </c>
      <c r="M91" s="691">
        <f t="shared" ca="1" si="78"/>
        <v>0</v>
      </c>
      <c r="N91" s="691">
        <f t="shared" ca="1" si="78"/>
        <v>0</v>
      </c>
      <c r="O91" s="691">
        <f t="shared" ca="1" si="78"/>
        <v>0</v>
      </c>
      <c r="P91" s="691">
        <f t="shared" ca="1" si="78"/>
        <v>0</v>
      </c>
      <c r="Q91" s="691">
        <f t="shared" ca="1" si="78"/>
        <v>0</v>
      </c>
      <c r="R91" s="691">
        <f t="shared" ca="1" si="78"/>
        <v>0</v>
      </c>
      <c r="S91" s="691">
        <f t="shared" ca="1" si="78"/>
        <v>0</v>
      </c>
      <c r="T91" s="691">
        <f t="shared" ca="1" si="78"/>
        <v>0</v>
      </c>
      <c r="U91" s="691">
        <f t="shared" ca="1" si="78"/>
        <v>0</v>
      </c>
      <c r="V91" s="691">
        <f t="shared" ca="1" si="78"/>
        <v>0</v>
      </c>
      <c r="W91" s="691">
        <f t="shared" ca="1" si="78"/>
        <v>0</v>
      </c>
      <c r="X91" s="691">
        <f t="shared" ca="1" si="78"/>
        <v>0</v>
      </c>
      <c r="Y91" s="691">
        <f t="shared" ca="1" si="78"/>
        <v>0</v>
      </c>
      <c r="Z91" s="691">
        <f t="shared" ca="1" si="78"/>
        <v>0</v>
      </c>
    </row>
    <row r="92" spans="2:26" ht="15.75">
      <c r="B92" s="688" t="s">
        <v>568</v>
      </c>
      <c r="C92" s="689"/>
      <c r="D92" s="689"/>
      <c r="E92" s="689"/>
      <c r="F92" s="692">
        <f ca="1">+F90/Assumptions!$O$132</f>
        <v>0</v>
      </c>
      <c r="G92" s="692">
        <f ca="1">+G90/Assumptions!$O$132</f>
        <v>0</v>
      </c>
      <c r="H92" s="692">
        <f ca="1">+H90/Assumptions!$O$132</f>
        <v>0</v>
      </c>
      <c r="I92" s="692">
        <f ca="1">+I90/Assumptions!$O$132</f>
        <v>0</v>
      </c>
      <c r="J92" s="692">
        <f ca="1">+J90/Assumptions!$O$132</f>
        <v>0</v>
      </c>
      <c r="K92" s="692">
        <f ca="1">+K90/Assumptions!$O$132</f>
        <v>0</v>
      </c>
      <c r="L92" s="692">
        <f ca="1">+L90/Assumptions!$O$132</f>
        <v>0</v>
      </c>
      <c r="M92" s="692">
        <f ca="1">+M90/Assumptions!$O$132</f>
        <v>0</v>
      </c>
      <c r="N92" s="692">
        <f ca="1">+N90/Assumptions!$O$132</f>
        <v>0</v>
      </c>
      <c r="O92" s="692">
        <f ca="1">+O90/Assumptions!$O$132</f>
        <v>0</v>
      </c>
      <c r="P92" s="692">
        <f ca="1">+P90/Assumptions!$O$132</f>
        <v>0</v>
      </c>
      <c r="Q92" s="692">
        <f ca="1">+Q90/Assumptions!$O$132</f>
        <v>0</v>
      </c>
      <c r="R92" s="692">
        <f ca="1">+R90/Assumptions!$O$132</f>
        <v>0</v>
      </c>
      <c r="S92" s="692">
        <f ca="1">+S90/Assumptions!$O$132</f>
        <v>0</v>
      </c>
      <c r="T92" s="692">
        <f ca="1">+T90/Assumptions!$O$132</f>
        <v>0</v>
      </c>
      <c r="U92" s="692">
        <f ca="1">+U90/Assumptions!$O$132</f>
        <v>0</v>
      </c>
      <c r="V92" s="692">
        <f ca="1">+V90/Assumptions!$O$132</f>
        <v>0</v>
      </c>
      <c r="W92" s="692">
        <f ca="1">+W90/Assumptions!$O$132</f>
        <v>0</v>
      </c>
      <c r="X92" s="692">
        <f ca="1">+X90/Assumptions!$O$132</f>
        <v>0</v>
      </c>
      <c r="Y92" s="692">
        <f ca="1">+Y90/Assumptions!$O$132</f>
        <v>0</v>
      </c>
      <c r="Z92" s="692">
        <f ca="1">+Z90/Assumptions!$O$132</f>
        <v>0</v>
      </c>
    </row>
    <row r="94" spans="2:26" ht="15.75">
      <c r="B94" s="73" t="s">
        <v>137</v>
      </c>
      <c r="C94" s="74"/>
      <c r="D94" s="74"/>
      <c r="E94" s="74"/>
      <c r="F94" s="75">
        <f>+Assumptions!$G$22</f>
        <v>44926</v>
      </c>
      <c r="G94" s="75">
        <f>+EOMONTH(F94,12)</f>
        <v>45291</v>
      </c>
      <c r="H94" s="75">
        <f t="shared" ref="H94:Z94" si="79">+EOMONTH(G94,12)</f>
        <v>45657</v>
      </c>
      <c r="I94" s="75">
        <f t="shared" si="79"/>
        <v>46022</v>
      </c>
      <c r="J94" s="75">
        <f t="shared" si="79"/>
        <v>46387</v>
      </c>
      <c r="K94" s="75">
        <f t="shared" si="79"/>
        <v>46752</v>
      </c>
      <c r="L94" s="75">
        <f t="shared" si="79"/>
        <v>47118</v>
      </c>
      <c r="M94" s="75">
        <f t="shared" si="79"/>
        <v>47483</v>
      </c>
      <c r="N94" s="75">
        <f t="shared" si="79"/>
        <v>47848</v>
      </c>
      <c r="O94" s="75">
        <f t="shared" si="79"/>
        <v>48213</v>
      </c>
      <c r="P94" s="75">
        <f t="shared" si="79"/>
        <v>48579</v>
      </c>
      <c r="Q94" s="75">
        <f t="shared" si="79"/>
        <v>48944</v>
      </c>
      <c r="R94" s="75">
        <f t="shared" si="79"/>
        <v>49309</v>
      </c>
      <c r="S94" s="75">
        <f t="shared" si="79"/>
        <v>49674</v>
      </c>
      <c r="T94" s="75">
        <f t="shared" si="79"/>
        <v>50040</v>
      </c>
      <c r="U94" s="75">
        <f t="shared" si="79"/>
        <v>50405</v>
      </c>
      <c r="V94" s="75">
        <f t="shared" si="79"/>
        <v>50770</v>
      </c>
      <c r="W94" s="75">
        <f t="shared" si="79"/>
        <v>51135</v>
      </c>
      <c r="X94" s="75">
        <f t="shared" si="79"/>
        <v>51501</v>
      </c>
      <c r="Y94" s="75">
        <f t="shared" si="79"/>
        <v>51866</v>
      </c>
      <c r="Z94" s="75">
        <f t="shared" si="79"/>
        <v>52231</v>
      </c>
    </row>
    <row r="95" spans="2:26">
      <c r="B95" s="15" t="s">
        <v>605</v>
      </c>
      <c r="C95" s="15"/>
      <c r="D95" s="20"/>
      <c r="E95" s="20"/>
      <c r="F95" s="22">
        <f>+IF(AND(F94&gt;=Assumptions!$G$26,F94&lt;Assumptions!$G$28),Assumptions!$G$172/ROUNDUP((Assumptions!$G$27/12),0),0)</f>
        <v>0</v>
      </c>
      <c r="G95" s="22">
        <f>+IF(AND(G94&gt;=Assumptions!$G$26,G94&lt;Assumptions!$G$28),Assumptions!$G$172/ROUNDUP((Assumptions!$G$27/12),0),0)</f>
        <v>0</v>
      </c>
      <c r="H95" s="22">
        <f>+IF(AND(H94&gt;=Assumptions!$G$26,H94&lt;Assumptions!$G$28),Assumptions!$G$172/ROUNDUP((Assumptions!$G$27/12),0),0)</f>
        <v>0</v>
      </c>
      <c r="I95" s="22">
        <f>+IF(AND(I94&gt;=Assumptions!$G$26,I94&lt;Assumptions!$G$28),Assumptions!$G$172/ROUNDUP((Assumptions!$G$27/12),0),0)</f>
        <v>138942</v>
      </c>
      <c r="J95" s="22">
        <f>+IF(AND(J94&gt;=Assumptions!$G$26,J94&lt;Assumptions!$G$28),Assumptions!$G$172/ROUNDUP((Assumptions!$G$27/12),0),0)</f>
        <v>138942</v>
      </c>
      <c r="K95" s="22">
        <f>+IF(AND(K94&gt;=Assumptions!$G$26,K94&lt;Assumptions!$G$28),Assumptions!$G$172/ROUNDUP((Assumptions!$G$27/12),0),0)</f>
        <v>0</v>
      </c>
      <c r="L95" s="22">
        <f>+IF(AND(L94&gt;=Assumptions!$G$26,L94&lt;Assumptions!$G$28),Assumptions!$G$172/ROUNDUP((Assumptions!$G$27/12),0),0)</f>
        <v>0</v>
      </c>
      <c r="M95" s="22">
        <f>+IF(AND(M94&gt;=Assumptions!$G$26,M94&lt;Assumptions!$G$28),Assumptions!$G$172/ROUNDUP((Assumptions!$G$27/12),0),0)</f>
        <v>0</v>
      </c>
      <c r="N95" s="22">
        <f>+IF(AND(N94&gt;=Assumptions!$G$26,N94&lt;Assumptions!$G$28),Assumptions!$G$172/ROUNDUP((Assumptions!$G$27/12),0),0)</f>
        <v>0</v>
      </c>
      <c r="O95" s="22">
        <f>+IF(AND(O94&gt;=Assumptions!$G$26,O94&lt;Assumptions!$G$28),Assumptions!$G$172/ROUNDUP((Assumptions!$G$27/12),0),0)</f>
        <v>0</v>
      </c>
      <c r="P95" s="22">
        <f>+IF(AND(P94&gt;=Assumptions!$G$26,P94&lt;Assumptions!$G$28),Assumptions!$G$172/ROUNDUP((Assumptions!$G$27/12),0),0)</f>
        <v>0</v>
      </c>
      <c r="Q95" s="22">
        <f>+IF(AND(Q94&gt;=Assumptions!$G$26,Q94&lt;Assumptions!$G$28),Assumptions!$G$172/ROUNDUP((Assumptions!$G$27/12),0),0)</f>
        <v>0</v>
      </c>
      <c r="R95" s="22">
        <f>+IF(AND(R94&gt;=Assumptions!$G$26,R94&lt;Assumptions!$G$28),Assumptions!$G$172/ROUNDUP((Assumptions!$G$27/12),0),0)</f>
        <v>0</v>
      </c>
      <c r="S95" s="22">
        <f>+IF(AND(S94&gt;=Assumptions!$G$26,S94&lt;Assumptions!$G$28),Assumptions!$G$172/ROUNDUP((Assumptions!$G$27/12),0),0)</f>
        <v>0</v>
      </c>
      <c r="T95" s="22">
        <f>+IF(AND(T94&gt;=Assumptions!$G$26,T94&lt;Assumptions!$G$28),Assumptions!$G$172/ROUNDUP((Assumptions!$G$27/12),0),0)</f>
        <v>0</v>
      </c>
      <c r="U95" s="22">
        <f>+IF(AND(U94&gt;=Assumptions!$G$26,U94&lt;Assumptions!$G$28),Assumptions!$G$172/ROUNDUP((Assumptions!$G$27/12),0),0)</f>
        <v>0</v>
      </c>
      <c r="V95" s="22">
        <f>+IF(AND(V94&gt;=Assumptions!$G$26,V94&lt;Assumptions!$G$28),Assumptions!$G$172/ROUNDUP((Assumptions!$G$27/12),0),0)</f>
        <v>0</v>
      </c>
      <c r="W95" s="22">
        <f>+IF(AND(W94&gt;=Assumptions!$G$26,W94&lt;Assumptions!$G$28),Assumptions!$G$172/ROUNDUP((Assumptions!$G$27/12),0),0)</f>
        <v>0</v>
      </c>
      <c r="X95" s="22">
        <f>+IF(AND(X94&gt;=Assumptions!$G$26,X94&lt;Assumptions!$G$28),Assumptions!$G$172/ROUNDUP((Assumptions!$G$27/12),0),0)</f>
        <v>0</v>
      </c>
      <c r="Y95" s="22">
        <f>+IF(AND(Y94&gt;=Assumptions!$G$26,Y94&lt;Assumptions!$G$28),Assumptions!$G$172/ROUNDUP((Assumptions!$G$27/12),0),0)</f>
        <v>0</v>
      </c>
      <c r="Z95" s="22">
        <f>+IF(AND(Z94&gt;=Assumptions!$G$26,Z94&lt;Assumptions!$G$28),Assumptions!$G$172/ROUNDUP((Assumptions!$G$27/12),0),0)</f>
        <v>0</v>
      </c>
    </row>
    <row r="96" spans="2:26">
      <c r="B96" s="15" t="s">
        <v>606</v>
      </c>
      <c r="C96" s="15"/>
      <c r="D96" s="22">
        <v>0</v>
      </c>
      <c r="E96" s="22"/>
      <c r="F96" s="22">
        <f>+D96+F95</f>
        <v>0</v>
      </c>
      <c r="G96" s="22">
        <f t="shared" ref="G96:Z96" si="80">+F96+G95</f>
        <v>0</v>
      </c>
      <c r="H96" s="22">
        <f t="shared" si="80"/>
        <v>0</v>
      </c>
      <c r="I96" s="22">
        <f t="shared" si="80"/>
        <v>138942</v>
      </c>
      <c r="J96" s="22">
        <f t="shared" si="80"/>
        <v>277884</v>
      </c>
      <c r="K96" s="22">
        <f t="shared" si="80"/>
        <v>277884</v>
      </c>
      <c r="L96" s="22">
        <f t="shared" si="80"/>
        <v>277884</v>
      </c>
      <c r="M96" s="22">
        <f t="shared" si="80"/>
        <v>277884</v>
      </c>
      <c r="N96" s="22">
        <f t="shared" si="80"/>
        <v>277884</v>
      </c>
      <c r="O96" s="22">
        <f t="shared" si="80"/>
        <v>277884</v>
      </c>
      <c r="P96" s="22">
        <f t="shared" si="80"/>
        <v>277884</v>
      </c>
      <c r="Q96" s="22">
        <f t="shared" si="80"/>
        <v>277884</v>
      </c>
      <c r="R96" s="22">
        <f t="shared" si="80"/>
        <v>277884</v>
      </c>
      <c r="S96" s="22">
        <f t="shared" si="80"/>
        <v>277884</v>
      </c>
      <c r="T96" s="22">
        <f t="shared" si="80"/>
        <v>277884</v>
      </c>
      <c r="U96" s="22">
        <f t="shared" si="80"/>
        <v>277884</v>
      </c>
      <c r="V96" s="22">
        <f t="shared" si="80"/>
        <v>277884</v>
      </c>
      <c r="W96" s="22">
        <f t="shared" si="80"/>
        <v>277884</v>
      </c>
      <c r="X96" s="22">
        <f t="shared" si="80"/>
        <v>277884</v>
      </c>
      <c r="Y96" s="22">
        <f t="shared" si="80"/>
        <v>277884</v>
      </c>
      <c r="Z96" s="22">
        <f t="shared" si="80"/>
        <v>277884</v>
      </c>
    </row>
    <row r="97" spans="2:26">
      <c r="B97" s="15" t="s">
        <v>609</v>
      </c>
      <c r="C97" s="15"/>
      <c r="D97" s="22"/>
      <c r="E97" s="22"/>
      <c r="F97" s="49">
        <f t="shared" ref="F97:Z97" si="81">+F96/SUM($F95:$Z95)</f>
        <v>0</v>
      </c>
      <c r="G97" s="49">
        <f t="shared" si="81"/>
        <v>0</v>
      </c>
      <c r="H97" s="49">
        <f t="shared" si="81"/>
        <v>0</v>
      </c>
      <c r="I97" s="49">
        <f t="shared" si="81"/>
        <v>0.5</v>
      </c>
      <c r="J97" s="49">
        <f t="shared" si="81"/>
        <v>1</v>
      </c>
      <c r="K97" s="49">
        <f t="shared" si="81"/>
        <v>1</v>
      </c>
      <c r="L97" s="49">
        <f t="shared" si="81"/>
        <v>1</v>
      </c>
      <c r="M97" s="49">
        <f t="shared" si="81"/>
        <v>1</v>
      </c>
      <c r="N97" s="49">
        <f t="shared" si="81"/>
        <v>1</v>
      </c>
      <c r="O97" s="49">
        <f t="shared" si="81"/>
        <v>1</v>
      </c>
      <c r="P97" s="49">
        <f t="shared" si="81"/>
        <v>1</v>
      </c>
      <c r="Q97" s="49">
        <f t="shared" si="81"/>
        <v>1</v>
      </c>
      <c r="R97" s="49">
        <f t="shared" si="81"/>
        <v>1</v>
      </c>
      <c r="S97" s="49">
        <f t="shared" si="81"/>
        <v>1</v>
      </c>
      <c r="T97" s="49">
        <f t="shared" si="81"/>
        <v>1</v>
      </c>
      <c r="U97" s="49">
        <f t="shared" si="81"/>
        <v>1</v>
      </c>
      <c r="V97" s="49">
        <f t="shared" si="81"/>
        <v>1</v>
      </c>
      <c r="W97" s="49">
        <f t="shared" si="81"/>
        <v>1</v>
      </c>
      <c r="X97" s="49">
        <f t="shared" si="81"/>
        <v>1</v>
      </c>
      <c r="Y97" s="49">
        <f t="shared" si="81"/>
        <v>1</v>
      </c>
      <c r="Z97" s="49">
        <f t="shared" si="81"/>
        <v>1</v>
      </c>
    </row>
    <row r="98" spans="2:26">
      <c r="B98" s="15"/>
      <c r="C98" s="15"/>
      <c r="D98" s="20"/>
      <c r="E98" s="20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</row>
    <row r="99" spans="2:26">
      <c r="B99" s="15" t="s">
        <v>610</v>
      </c>
      <c r="C99" s="15"/>
      <c r="D99" s="22"/>
      <c r="E99" s="22"/>
      <c r="F99" s="49">
        <v>1</v>
      </c>
      <c r="G99" s="49">
        <f>+IF(MOD(G$1,Assumptions!$O$71)=(Assumptions!$O$71-1),F99*(1+Assumptions!$O$70),'Phase II Pro Forma'!F99)</f>
        <v>1</v>
      </c>
      <c r="H99" s="49">
        <f>+IF(MOD(H$1,Assumptions!$O$71)=(Assumptions!$O$71-1),G99*(1+Assumptions!$O$70),'Phase II Pro Forma'!G99)</f>
        <v>1</v>
      </c>
      <c r="I99" s="49">
        <f>+IF(MOD(I$1,Assumptions!$O$71)=(Assumptions!$O$71-1),H99*(1+Assumptions!$O$70),'Phase II Pro Forma'!H99)</f>
        <v>1</v>
      </c>
      <c r="J99" s="49">
        <f>+IF(MOD(J$1,Assumptions!$O$71)=(Assumptions!$O$71-1),I99*(1+Assumptions!$O$70),'Phase II Pro Forma'!I99)</f>
        <v>1</v>
      </c>
      <c r="K99" s="49">
        <f>+IF(MOD(K$1,Assumptions!$O$71)=(Assumptions!$O$71-1),J99*(1+Assumptions!$O$70),'Phase II Pro Forma'!J99)</f>
        <v>1</v>
      </c>
      <c r="L99" s="49">
        <f>+IF(MOD(L$1,Assumptions!$O$71)=(Assumptions!$O$71-1),K99*(1+Assumptions!$O$70),'Phase II Pro Forma'!K99)</f>
        <v>1.1000000000000001</v>
      </c>
      <c r="M99" s="49">
        <f>+IF(MOD(M$1,Assumptions!$O$71)=(Assumptions!$O$71-1),L99*(1+Assumptions!$O$70),'Phase II Pro Forma'!L99)</f>
        <v>1.1000000000000001</v>
      </c>
      <c r="N99" s="49">
        <f>+IF(MOD(N$1,Assumptions!$O$71)=(Assumptions!$O$71-1),M99*(1+Assumptions!$O$70),'Phase II Pro Forma'!M99)</f>
        <v>1.1000000000000001</v>
      </c>
      <c r="O99" s="49">
        <f>+IF(MOD(O$1,Assumptions!$O$71)=(Assumptions!$O$71-1),N99*(1+Assumptions!$O$70),'Phase II Pro Forma'!N99)</f>
        <v>1.1000000000000001</v>
      </c>
      <c r="P99" s="49">
        <f>+IF(MOD(P$1,Assumptions!$O$71)=(Assumptions!$O$71-1),O99*(1+Assumptions!$O$70),'Phase II Pro Forma'!O99)</f>
        <v>1.1000000000000001</v>
      </c>
      <c r="Q99" s="49">
        <f>+IF(MOD(Q$1,Assumptions!$O$71)=(Assumptions!$O$71-1),P99*(1+Assumptions!$O$70),'Phase II Pro Forma'!P99)</f>
        <v>1.2100000000000002</v>
      </c>
      <c r="R99" s="49">
        <f>+IF(MOD(R$1,Assumptions!$O$71)=(Assumptions!$O$71-1),Q99*(1+Assumptions!$O$70),'Phase II Pro Forma'!Q99)</f>
        <v>1.2100000000000002</v>
      </c>
      <c r="S99" s="49">
        <f>+IF(MOD(S$1,Assumptions!$O$71)=(Assumptions!$O$71-1),R99*(1+Assumptions!$O$70),'Phase II Pro Forma'!R99)</f>
        <v>1.2100000000000002</v>
      </c>
      <c r="T99" s="49">
        <f>+IF(MOD(T$1,Assumptions!$O$71)=(Assumptions!$O$71-1),S99*(1+Assumptions!$O$70),'Phase II Pro Forma'!S99)</f>
        <v>1.2100000000000002</v>
      </c>
      <c r="U99" s="49">
        <f>+IF(MOD(U$1,Assumptions!$O$71)=(Assumptions!$O$71-1),T99*(1+Assumptions!$O$70),'Phase II Pro Forma'!T99)</f>
        <v>1.2100000000000002</v>
      </c>
      <c r="V99" s="49">
        <f>+IF(MOD(V$1,Assumptions!$O$71)=(Assumptions!$O$71-1),U99*(1+Assumptions!$O$70),'Phase II Pro Forma'!U99)</f>
        <v>1.3310000000000004</v>
      </c>
      <c r="W99" s="49">
        <f>+IF(MOD(W$1,Assumptions!$O$71)=(Assumptions!$O$71-1),V99*(1+Assumptions!$O$70),'Phase II Pro Forma'!V99)</f>
        <v>1.3310000000000004</v>
      </c>
      <c r="X99" s="49">
        <f>+IF(MOD(X$1,Assumptions!$O$71)=(Assumptions!$O$71-1),W99*(1+Assumptions!$O$70),'Phase II Pro Forma'!W99)</f>
        <v>1.3310000000000004</v>
      </c>
      <c r="Y99" s="49">
        <f>+IF(MOD(Y$1,Assumptions!$O$71)=(Assumptions!$O$71-1),X99*(1+Assumptions!$O$70),'Phase II Pro Forma'!X99)</f>
        <v>1.3310000000000004</v>
      </c>
      <c r="Z99" s="49">
        <f>+IF(MOD(Z$1,Assumptions!$O$71)=(Assumptions!$O$71-1),Y99*(1+Assumptions!$O$70),'Phase II Pro Forma'!Y99)</f>
        <v>1.3310000000000004</v>
      </c>
    </row>
    <row r="100" spans="2:26">
      <c r="B100" s="15" t="s">
        <v>611</v>
      </c>
      <c r="C100" s="15"/>
      <c r="D100" s="22"/>
      <c r="E100" s="22"/>
      <c r="F100" s="49">
        <v>1</v>
      </c>
      <c r="G100" s="49">
        <f>+F100*(1+Assumptions!$O$80)</f>
        <v>1.02</v>
      </c>
      <c r="H100" s="49">
        <f>+G100*(1+Assumptions!$O$80)</f>
        <v>1.0404</v>
      </c>
      <c r="I100" s="49">
        <f>+H100*(1+Assumptions!$O$80)</f>
        <v>1.0612079999999999</v>
      </c>
      <c r="J100" s="49">
        <f>+I100*(1+Assumptions!$O$80)</f>
        <v>1.08243216</v>
      </c>
      <c r="K100" s="49">
        <f>+J100*(1+Assumptions!$O$80)</f>
        <v>1.1040808032</v>
      </c>
      <c r="L100" s="49">
        <f>+K100*(1+Assumptions!$O$80)</f>
        <v>1.1261624192640001</v>
      </c>
      <c r="M100" s="49">
        <f>+L100*(1+Assumptions!$O$80)</f>
        <v>1.14868566764928</v>
      </c>
      <c r="N100" s="49">
        <f>+M100*(1+Assumptions!$O$80)</f>
        <v>1.1716593810022657</v>
      </c>
      <c r="O100" s="49">
        <f>+N100*(1+Assumptions!$O$80)</f>
        <v>1.1950925686223111</v>
      </c>
      <c r="P100" s="49">
        <f>+O100*(1+Assumptions!$O$80)</f>
        <v>1.2189944199947573</v>
      </c>
      <c r="Q100" s="49">
        <f>+P100*(1+Assumptions!$O$80)</f>
        <v>1.2433743083946525</v>
      </c>
      <c r="R100" s="49">
        <f>+Q100*(1+Assumptions!$O$80)</f>
        <v>1.2682417945625455</v>
      </c>
      <c r="S100" s="49">
        <f>+R100*(1+Assumptions!$O$80)</f>
        <v>1.2936066304537963</v>
      </c>
      <c r="T100" s="49">
        <f>+S100*(1+Assumptions!$O$80)</f>
        <v>1.3194787630628724</v>
      </c>
      <c r="U100" s="49">
        <f>+T100*(1+Assumptions!$O$80)</f>
        <v>1.3458683383241299</v>
      </c>
      <c r="V100" s="49">
        <f>+U100*(1+Assumptions!$O$80)</f>
        <v>1.3727857050906125</v>
      </c>
      <c r="W100" s="49">
        <f>+V100*(1+Assumptions!$O$80)</f>
        <v>1.4002414191924248</v>
      </c>
      <c r="X100" s="49">
        <f>+W100*(1+Assumptions!$O$80)</f>
        <v>1.4282462475762734</v>
      </c>
      <c r="Y100" s="49">
        <f>+X100*(1+Assumptions!$O$80)</f>
        <v>1.4568111725277988</v>
      </c>
      <c r="Z100" s="49">
        <f>+Y100*(1+Assumptions!$O$80)</f>
        <v>1.4859473959783549</v>
      </c>
    </row>
    <row r="101" spans="2:26">
      <c r="B101" s="15"/>
      <c r="C101" s="15"/>
      <c r="D101" s="20"/>
      <c r="E101" s="20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</row>
    <row r="102" spans="2:26">
      <c r="B102" s="15" t="s">
        <v>612</v>
      </c>
      <c r="C102" s="15"/>
      <c r="D102" s="20"/>
      <c r="E102" s="20"/>
      <c r="F102" s="16">
        <f>+F97*Assumptions!$G$171*F99</f>
        <v>0</v>
      </c>
      <c r="G102" s="16">
        <f>+G97*Assumptions!$G$171*G99</f>
        <v>0</v>
      </c>
      <c r="H102" s="16">
        <f>+H97*Assumptions!$G$171*H99</f>
        <v>0</v>
      </c>
      <c r="I102" s="16">
        <f>+I97*Assumptions!$G$171*I99</f>
        <v>6273698.1451199995</v>
      </c>
      <c r="J102" s="16">
        <f>+J97*Assumptions!$G$171*J99</f>
        <v>12547396.290239999</v>
      </c>
      <c r="K102" s="16">
        <f>+K97*Assumptions!$G$171*K99</f>
        <v>12547396.290239999</v>
      </c>
      <c r="L102" s="16">
        <f>+L97*Assumptions!$G$171*L99</f>
        <v>13802135.919264</v>
      </c>
      <c r="M102" s="16">
        <f>+M97*Assumptions!$G$171*M99</f>
        <v>13802135.919264</v>
      </c>
      <c r="N102" s="16">
        <f>+N97*Assumptions!$G$171*N99</f>
        <v>13802135.919264</v>
      </c>
      <c r="O102" s="16">
        <f>+O97*Assumptions!$G$171*O99</f>
        <v>13802135.919264</v>
      </c>
      <c r="P102" s="16">
        <f>+P97*Assumptions!$G$171*P99</f>
        <v>13802135.919264</v>
      </c>
      <c r="Q102" s="16">
        <f>+Q97*Assumptions!$G$171*Q99</f>
        <v>15182349.511190401</v>
      </c>
      <c r="R102" s="16">
        <f>+R97*Assumptions!$G$171*R99</f>
        <v>15182349.511190401</v>
      </c>
      <c r="S102" s="16">
        <f>+S97*Assumptions!$G$171*S99</f>
        <v>15182349.511190401</v>
      </c>
      <c r="T102" s="16">
        <f>+T97*Assumptions!$G$171*T99</f>
        <v>15182349.511190401</v>
      </c>
      <c r="U102" s="16">
        <f>+U97*Assumptions!$G$171*U99</f>
        <v>15182349.511190401</v>
      </c>
      <c r="V102" s="16">
        <f>+V97*Assumptions!$G$171*V99</f>
        <v>16700584.462309444</v>
      </c>
      <c r="W102" s="16">
        <f>+W97*Assumptions!$G$171*W99</f>
        <v>16700584.462309444</v>
      </c>
      <c r="X102" s="16">
        <f>+X97*Assumptions!$G$171*X99</f>
        <v>16700584.462309444</v>
      </c>
      <c r="Y102" s="16">
        <f>+Y97*Assumptions!$G$171*Y99</f>
        <v>16700584.462309444</v>
      </c>
      <c r="Z102" s="16">
        <f>+Z97*Assumptions!$G$171*Z99</f>
        <v>16700584.462309444</v>
      </c>
    </row>
    <row r="103" spans="2:26">
      <c r="B103" s="15" t="s">
        <v>613</v>
      </c>
      <c r="C103" s="15"/>
      <c r="D103" s="20"/>
      <c r="E103" s="20"/>
      <c r="F103" s="22">
        <f>-F102*Assumptions!$O$58</f>
        <v>0</v>
      </c>
      <c r="G103" s="22">
        <f>-G102*Assumptions!$O$58</f>
        <v>0</v>
      </c>
      <c r="H103" s="22">
        <f>-H102*Assumptions!$O$58</f>
        <v>0</v>
      </c>
      <c r="I103" s="22">
        <f>-I102*Assumptions!$O$58</f>
        <v>-313684.90725599998</v>
      </c>
      <c r="J103" s="22">
        <f>-J102*Assumptions!$O$58</f>
        <v>-627369.81451199995</v>
      </c>
      <c r="K103" s="22">
        <f>-K102*Assumptions!$O$58</f>
        <v>-627369.81451199995</v>
      </c>
      <c r="L103" s="22">
        <f>-L102*Assumptions!$O$58</f>
        <v>-690106.79596320004</v>
      </c>
      <c r="M103" s="22">
        <f>-M102*Assumptions!$O$58</f>
        <v>-690106.79596320004</v>
      </c>
      <c r="N103" s="22">
        <f>-N102*Assumptions!$O$58</f>
        <v>-690106.79596320004</v>
      </c>
      <c r="O103" s="22">
        <f>-O102*Assumptions!$O$58</f>
        <v>-690106.79596320004</v>
      </c>
      <c r="P103" s="22">
        <f>-P102*Assumptions!$O$58</f>
        <v>-690106.79596320004</v>
      </c>
      <c r="Q103" s="22">
        <f>-Q102*Assumptions!$O$58</f>
        <v>-759117.47555952007</v>
      </c>
      <c r="R103" s="22">
        <f>-R102*Assumptions!$O$58</f>
        <v>-759117.47555952007</v>
      </c>
      <c r="S103" s="22">
        <f>-S102*Assumptions!$O$58</f>
        <v>-759117.47555952007</v>
      </c>
      <c r="T103" s="22">
        <f>-T102*Assumptions!$O$58</f>
        <v>-759117.47555952007</v>
      </c>
      <c r="U103" s="22">
        <f>-U102*Assumptions!$O$58</f>
        <v>-759117.47555952007</v>
      </c>
      <c r="V103" s="22">
        <f>-V102*Assumptions!$O$58</f>
        <v>-835029.22311547224</v>
      </c>
      <c r="W103" s="22">
        <f>-W102*Assumptions!$O$58</f>
        <v>-835029.22311547224</v>
      </c>
      <c r="X103" s="22">
        <f>-X102*Assumptions!$O$58</f>
        <v>-835029.22311547224</v>
      </c>
      <c r="Y103" s="22">
        <f>-Y102*Assumptions!$O$58</f>
        <v>-835029.22311547224</v>
      </c>
      <c r="Z103" s="22">
        <f>-Z102*Assumptions!$O$58</f>
        <v>-835029.22311547224</v>
      </c>
    </row>
    <row r="104" spans="2:26" s="15" customFormat="1">
      <c r="B104" s="15" t="s">
        <v>622</v>
      </c>
      <c r="D104" s="7"/>
      <c r="E104" s="7"/>
      <c r="F104" s="736">
        <f>+F109*Assumptions!$O$91</f>
        <v>0</v>
      </c>
      <c r="G104" s="736">
        <f>+G109*Assumptions!$O$91</f>
        <v>0</v>
      </c>
      <c r="H104" s="736">
        <f>+H109*Assumptions!$O$91</f>
        <v>0</v>
      </c>
      <c r="I104" s="736">
        <f>+I109*Assumptions!$O$91</f>
        <v>1339530.7073922071</v>
      </c>
      <c r="J104" s="736">
        <f>+J109*Assumptions!$O$91</f>
        <v>2720480.2774231317</v>
      </c>
      <c r="K104" s="736">
        <f>+K109*Assumptions!$O$91</f>
        <v>2774889.8829715946</v>
      </c>
      <c r="L104" s="736">
        <f>+L109*Assumptions!$O$91</f>
        <v>2830387.6806310266</v>
      </c>
      <c r="M104" s="736">
        <f>+M109*Assumptions!$O$91</f>
        <v>2886995.4342436474</v>
      </c>
      <c r="N104" s="736">
        <f>+N109*Assumptions!$O$91</f>
        <v>2944735.3429285204</v>
      </c>
      <c r="O104" s="736">
        <f>+O109*Assumptions!$O$91</f>
        <v>3003630.0497870911</v>
      </c>
      <c r="P104" s="736">
        <f>+P109*Assumptions!$O$91</f>
        <v>3063702.6507828329</v>
      </c>
      <c r="Q104" s="736">
        <f>+Q109*Assumptions!$O$91</f>
        <v>3124976.7037984896</v>
      </c>
      <c r="R104" s="736">
        <f>+R109*Assumptions!$O$91</f>
        <v>3187476.237874459</v>
      </c>
      <c r="S104" s="736">
        <f>+S109*Assumptions!$O$91</f>
        <v>3251225.7626319486</v>
      </c>
      <c r="T104" s="736">
        <f>+T109*Assumptions!$O$91</f>
        <v>3316250.2778845876</v>
      </c>
      <c r="U104" s="736">
        <f>+U109*Assumptions!$O$91</f>
        <v>3382575.2834422798</v>
      </c>
      <c r="V104" s="736">
        <f>+V109*Assumptions!$O$91</f>
        <v>3450226.7891111253</v>
      </c>
      <c r="W104" s="736">
        <f>+W109*Assumptions!$O$91</f>
        <v>3519231.3248933479</v>
      </c>
      <c r="X104" s="736">
        <f>+X109*Assumptions!$O$91</f>
        <v>3589615.951391215</v>
      </c>
      <c r="Y104" s="736">
        <f>+Y109*Assumptions!$O$91</f>
        <v>3661408.2704190393</v>
      </c>
      <c r="Z104" s="736">
        <f>+Z109*Assumptions!$O$91</f>
        <v>3734636.4358274201</v>
      </c>
    </row>
    <row r="105" spans="2:26" s="15" customFormat="1">
      <c r="B105" s="737" t="s">
        <v>614</v>
      </c>
      <c r="C105" s="737"/>
      <c r="D105" s="737"/>
      <c r="E105" s="737"/>
      <c r="F105" s="738">
        <v>0</v>
      </c>
      <c r="G105" s="738">
        <v>0</v>
      </c>
      <c r="H105" s="738">
        <v>0</v>
      </c>
      <c r="I105" s="738">
        <f t="shared" ref="I105:Z105" si="82">+SUM(I102:I104)</f>
        <v>7299543.9452562071</v>
      </c>
      <c r="J105" s="738">
        <f t="shared" si="82"/>
        <v>14640506.753151132</v>
      </c>
      <c r="K105" s="738">
        <f t="shared" si="82"/>
        <v>14694916.358699594</v>
      </c>
      <c r="L105" s="738">
        <f t="shared" si="82"/>
        <v>15942416.803931827</v>
      </c>
      <c r="M105" s="738">
        <f t="shared" si="82"/>
        <v>15999024.557544447</v>
      </c>
      <c r="N105" s="738">
        <f t="shared" si="82"/>
        <v>16056764.46622932</v>
      </c>
      <c r="O105" s="738">
        <f t="shared" si="82"/>
        <v>16115659.173087891</v>
      </c>
      <c r="P105" s="738">
        <f t="shared" si="82"/>
        <v>16175731.774083633</v>
      </c>
      <c r="Q105" s="738">
        <f t="shared" si="82"/>
        <v>17548208.73942937</v>
      </c>
      <c r="R105" s="738">
        <f t="shared" si="82"/>
        <v>17610708.273505341</v>
      </c>
      <c r="S105" s="738">
        <f t="shared" si="82"/>
        <v>17674457.798262831</v>
      </c>
      <c r="T105" s="738">
        <f t="shared" si="82"/>
        <v>17739482.313515469</v>
      </c>
      <c r="U105" s="738">
        <f t="shared" si="82"/>
        <v>17805807.319073163</v>
      </c>
      <c r="V105" s="738">
        <f t="shared" si="82"/>
        <v>19315782.028305098</v>
      </c>
      <c r="W105" s="738">
        <f t="shared" si="82"/>
        <v>19384786.56408732</v>
      </c>
      <c r="X105" s="738">
        <f t="shared" si="82"/>
        <v>19455171.190585189</v>
      </c>
      <c r="Y105" s="738">
        <f t="shared" si="82"/>
        <v>19526963.509613011</v>
      </c>
      <c r="Z105" s="738">
        <f t="shared" si="82"/>
        <v>19600191.675021391</v>
      </c>
    </row>
    <row r="106" spans="2:26" s="15" customFormat="1"/>
    <row r="107" spans="2:26" s="15" customFormat="1">
      <c r="B107" s="15" t="s">
        <v>615</v>
      </c>
      <c r="F107" s="7">
        <f>+F96*Assumptions!$O$123*'Phase II Pro Forma'!F100</f>
        <v>0</v>
      </c>
      <c r="G107" s="7">
        <f>+G96*Assumptions!$O$123*'Phase II Pro Forma'!G100</f>
        <v>0</v>
      </c>
      <c r="H107" s="7">
        <f>+H96*Assumptions!$O$123*'Phase II Pro Forma'!H100</f>
        <v>0</v>
      </c>
      <c r="I107" s="7">
        <f>+I96*Assumptions!$O$123*'Phase II Pro Forma'!I100</f>
        <v>1150523.962186608</v>
      </c>
      <c r="J107" s="7">
        <f>+J96*Assumptions!$O$123*'Phase II Pro Forma'!J100</f>
        <v>2347068.8828606801</v>
      </c>
      <c r="K107" s="7">
        <f>+K96*Assumptions!$O$123*'Phase II Pro Forma'!K100</f>
        <v>2394010.2605178938</v>
      </c>
      <c r="L107" s="7">
        <f>+L96*Assumptions!$O$123*'Phase II Pro Forma'!L100</f>
        <v>2441890.4657282517</v>
      </c>
      <c r="M107" s="7">
        <f>+M96*Assumptions!$O$123*'Phase II Pro Forma'!M100</f>
        <v>2490728.275042817</v>
      </c>
      <c r="N107" s="7">
        <f>+N96*Assumptions!$O$123*'Phase II Pro Forma'!N100</f>
        <v>2540542.8405436734</v>
      </c>
      <c r="O107" s="7">
        <f>+O96*Assumptions!$O$123*'Phase II Pro Forma'!O100</f>
        <v>2591353.6973545467</v>
      </c>
      <c r="P107" s="7">
        <f>+P96*Assumptions!$O$123*'Phase II Pro Forma'!P100</f>
        <v>2643180.7713016379</v>
      </c>
      <c r="Q107" s="7">
        <f>+Q96*Assumptions!$O$123*'Phase II Pro Forma'!Q100</f>
        <v>2696044.3867276707</v>
      </c>
      <c r="R107" s="7">
        <f>+R96*Assumptions!$O$123*'Phase II Pro Forma'!R100</f>
        <v>2749965.274462224</v>
      </c>
      <c r="S107" s="7">
        <f>+S96*Assumptions!$O$123*'Phase II Pro Forma'!S100</f>
        <v>2804964.5799514684</v>
      </c>
      <c r="T107" s="7">
        <f>+T96*Assumptions!$O$123*'Phase II Pro Forma'!T100</f>
        <v>2861063.8715504981</v>
      </c>
      <c r="U107" s="7">
        <f>+U96*Assumptions!$O$123*'Phase II Pro Forma'!U100</f>
        <v>2918285.1489815083</v>
      </c>
      <c r="V107" s="7">
        <f>+V96*Assumptions!$O$123*'Phase II Pro Forma'!V100</f>
        <v>2976650.8519611382</v>
      </c>
      <c r="W107" s="7">
        <f>+W96*Assumptions!$O$123*'Phase II Pro Forma'!W100</f>
        <v>3036183.8690003613</v>
      </c>
      <c r="X107" s="7">
        <f>+X96*Assumptions!$O$123*'Phase II Pro Forma'!X100</f>
        <v>3096907.5463803685</v>
      </c>
      <c r="Y107" s="7">
        <f>+Y96*Assumptions!$O$123*'Phase II Pro Forma'!Y100</f>
        <v>3158845.697307976</v>
      </c>
      <c r="Z107" s="7">
        <f>+Z96*Assumptions!$O$123*'Phase II Pro Forma'!Z100</f>
        <v>3222022.6112541356</v>
      </c>
    </row>
    <row r="108" spans="2:26" s="693" customFormat="1">
      <c r="B108" s="693" t="s">
        <v>616</v>
      </c>
      <c r="F108" s="734"/>
      <c r="G108" s="734">
        <v>0</v>
      </c>
      <c r="H108" s="734">
        <v>0</v>
      </c>
      <c r="I108" s="734">
        <f>('Parcel x Block Info'!$P$16*0.23)*I97</f>
        <v>337843.49047139997</v>
      </c>
      <c r="J108" s="734">
        <f>('Parcel x Block Info'!$P$16*0.23)</f>
        <v>675686.98094279994</v>
      </c>
      <c r="K108" s="734">
        <f t="shared" ref="K108:Z108" si="83">J108*1.02</f>
        <v>689200.72056165594</v>
      </c>
      <c r="L108" s="734">
        <f t="shared" si="83"/>
        <v>702984.73497288907</v>
      </c>
      <c r="M108" s="734">
        <f t="shared" si="83"/>
        <v>717044.42967234692</v>
      </c>
      <c r="N108" s="734">
        <f t="shared" si="83"/>
        <v>731385.31826579385</v>
      </c>
      <c r="O108" s="734">
        <f t="shared" si="83"/>
        <v>746013.02463110979</v>
      </c>
      <c r="P108" s="734">
        <f t="shared" si="83"/>
        <v>760933.28512373194</v>
      </c>
      <c r="Q108" s="734">
        <f t="shared" si="83"/>
        <v>776151.95082620659</v>
      </c>
      <c r="R108" s="734">
        <f t="shared" si="83"/>
        <v>791674.98984273069</v>
      </c>
      <c r="S108" s="734">
        <f t="shared" si="83"/>
        <v>807508.48963958537</v>
      </c>
      <c r="T108" s="734">
        <f t="shared" si="83"/>
        <v>823658.65943237708</v>
      </c>
      <c r="U108" s="734">
        <f t="shared" si="83"/>
        <v>840131.83262102469</v>
      </c>
      <c r="V108" s="734">
        <f t="shared" si="83"/>
        <v>856934.4692734452</v>
      </c>
      <c r="W108" s="734">
        <f t="shared" si="83"/>
        <v>874073.15865891415</v>
      </c>
      <c r="X108" s="734">
        <f t="shared" si="83"/>
        <v>891554.62183209241</v>
      </c>
      <c r="Y108" s="734">
        <f t="shared" si="83"/>
        <v>909385.71426873433</v>
      </c>
      <c r="Z108" s="734">
        <f t="shared" si="83"/>
        <v>927573.42855410906</v>
      </c>
    </row>
    <row r="109" spans="2:26" s="15" customFormat="1">
      <c r="B109" s="737" t="s">
        <v>617</v>
      </c>
      <c r="C109" s="737"/>
      <c r="D109" s="737"/>
      <c r="E109" s="737"/>
      <c r="F109" s="738">
        <f>+SUM(F107:F108)</f>
        <v>0</v>
      </c>
      <c r="G109" s="738">
        <f t="shared" ref="G109" si="84">+SUM(G107:G108)</f>
        <v>0</v>
      </c>
      <c r="H109" s="738">
        <f t="shared" ref="H109" si="85">+SUM(H107:H108)</f>
        <v>0</v>
      </c>
      <c r="I109" s="738">
        <f t="shared" ref="I109:Z109" si="86">+SUM(I107:I108)</f>
        <v>1488367.4526580079</v>
      </c>
      <c r="J109" s="738">
        <f t="shared" si="86"/>
        <v>3022755.8638034798</v>
      </c>
      <c r="K109" s="738">
        <f t="shared" si="86"/>
        <v>3083210.9810795495</v>
      </c>
      <c r="L109" s="738">
        <f t="shared" si="86"/>
        <v>3144875.2007011408</v>
      </c>
      <c r="M109" s="738">
        <f t="shared" si="86"/>
        <v>3207772.7047151639</v>
      </c>
      <c r="N109" s="738">
        <f t="shared" si="86"/>
        <v>3271928.1588094672</v>
      </c>
      <c r="O109" s="738">
        <f t="shared" si="86"/>
        <v>3337366.7219856568</v>
      </c>
      <c r="P109" s="738">
        <f t="shared" si="86"/>
        <v>3404114.0564253698</v>
      </c>
      <c r="Q109" s="738">
        <f t="shared" si="86"/>
        <v>3472196.3375538774</v>
      </c>
      <c r="R109" s="738">
        <f t="shared" si="86"/>
        <v>3541640.2643049546</v>
      </c>
      <c r="S109" s="738">
        <f t="shared" si="86"/>
        <v>3612473.0695910538</v>
      </c>
      <c r="T109" s="738">
        <f t="shared" si="86"/>
        <v>3684722.5309828753</v>
      </c>
      <c r="U109" s="738">
        <f t="shared" si="86"/>
        <v>3758416.9816025328</v>
      </c>
      <c r="V109" s="738">
        <f t="shared" si="86"/>
        <v>3833585.3212345834</v>
      </c>
      <c r="W109" s="738">
        <f t="shared" si="86"/>
        <v>3910257.0276592756</v>
      </c>
      <c r="X109" s="738">
        <f t="shared" si="86"/>
        <v>3988462.1682124608</v>
      </c>
      <c r="Y109" s="738">
        <f t="shared" si="86"/>
        <v>4068231.4115767102</v>
      </c>
      <c r="Z109" s="738">
        <f t="shared" si="86"/>
        <v>4149596.0398082444</v>
      </c>
    </row>
    <row r="110" spans="2:26">
      <c r="B110" s="15"/>
    </row>
    <row r="111" spans="2:26" ht="15.75">
      <c r="B111" s="687" t="s">
        <v>618</v>
      </c>
      <c r="C111" s="687"/>
      <c r="D111" s="687"/>
      <c r="E111" s="687"/>
      <c r="F111" s="550">
        <f>+F105-F109</f>
        <v>0</v>
      </c>
      <c r="G111" s="550">
        <f t="shared" ref="G111:H111" si="87">+G105-G109</f>
        <v>0</v>
      </c>
      <c r="H111" s="550">
        <f t="shared" si="87"/>
        <v>0</v>
      </c>
      <c r="I111" s="550">
        <f t="shared" ref="I111:Z111" si="88">+I105-I109</f>
        <v>5811176.4925981993</v>
      </c>
      <c r="J111" s="550">
        <f t="shared" si="88"/>
        <v>11617750.889347652</v>
      </c>
      <c r="K111" s="550">
        <f t="shared" si="88"/>
        <v>11611705.377620045</v>
      </c>
      <c r="L111" s="550">
        <f t="shared" si="88"/>
        <v>12797541.603230685</v>
      </c>
      <c r="M111" s="550">
        <f t="shared" si="88"/>
        <v>12791251.852829283</v>
      </c>
      <c r="N111" s="550">
        <f t="shared" si="88"/>
        <v>12784836.307419851</v>
      </c>
      <c r="O111" s="550">
        <f t="shared" si="88"/>
        <v>12778292.451102234</v>
      </c>
      <c r="P111" s="550">
        <f t="shared" si="88"/>
        <v>12771617.717658263</v>
      </c>
      <c r="Q111" s="550">
        <f t="shared" si="88"/>
        <v>14076012.401875492</v>
      </c>
      <c r="R111" s="550">
        <f t="shared" si="88"/>
        <v>14069068.009200387</v>
      </c>
      <c r="S111" s="550">
        <f t="shared" si="88"/>
        <v>14061984.728671778</v>
      </c>
      <c r="T111" s="550">
        <f t="shared" si="88"/>
        <v>14054759.782532595</v>
      </c>
      <c r="U111" s="550">
        <f t="shared" si="88"/>
        <v>14047390.33747063</v>
      </c>
      <c r="V111" s="550">
        <f t="shared" si="88"/>
        <v>15482196.707070515</v>
      </c>
      <c r="W111" s="550">
        <f t="shared" si="88"/>
        <v>15474529.536428045</v>
      </c>
      <c r="X111" s="550">
        <f t="shared" si="88"/>
        <v>15466709.022372728</v>
      </c>
      <c r="Y111" s="550">
        <f t="shared" si="88"/>
        <v>15458732.0980363</v>
      </c>
      <c r="Z111" s="550">
        <f t="shared" si="88"/>
        <v>15450595.635213148</v>
      </c>
    </row>
    <row r="112" spans="2:26" ht="15.75">
      <c r="B112" s="688" t="s">
        <v>619</v>
      </c>
      <c r="C112" s="689"/>
      <c r="D112" s="689"/>
      <c r="E112" s="689"/>
      <c r="F112" s="690" t="str">
        <f>+IFERROR(F111/F105,"")</f>
        <v/>
      </c>
      <c r="G112" s="690" t="str">
        <f t="shared" ref="G112:H112" si="89">+IFERROR(G111/G105,"")</f>
        <v/>
      </c>
      <c r="H112" s="690" t="str">
        <f t="shared" si="89"/>
        <v/>
      </c>
      <c r="I112" s="691">
        <f t="shared" ref="I112:Z112" si="90">+IFERROR(I111/I105,"")</f>
        <v>0.79610130936669532</v>
      </c>
      <c r="J112" s="691">
        <f t="shared" si="90"/>
        <v>0.79353475157867193</v>
      </c>
      <c r="K112" s="691">
        <f t="shared" si="90"/>
        <v>0.79018519698791989</v>
      </c>
      <c r="L112" s="691">
        <f t="shared" si="90"/>
        <v>0.80273535440840238</v>
      </c>
      <c r="M112" s="691">
        <f t="shared" si="90"/>
        <v>0.79950198256289828</v>
      </c>
      <c r="N112" s="691">
        <f t="shared" si="90"/>
        <v>0.79622743014690123</v>
      </c>
      <c r="O112" s="691">
        <f t="shared" si="90"/>
        <v>0.7929115597357107</v>
      </c>
      <c r="P112" s="691">
        <f t="shared" si="90"/>
        <v>0.78955424682057607</v>
      </c>
      <c r="Q112" s="691">
        <f t="shared" si="90"/>
        <v>0.80213385940912929</v>
      </c>
      <c r="R112" s="691">
        <f t="shared" si="90"/>
        <v>0.79889279810323011</v>
      </c>
      <c r="S112" s="691">
        <f t="shared" si="90"/>
        <v>0.79561052956622458</v>
      </c>
      <c r="T112" s="691">
        <f t="shared" si="90"/>
        <v>0.79228691875773993</v>
      </c>
      <c r="U112" s="691">
        <f t="shared" si="90"/>
        <v>0.78892184362926332</v>
      </c>
      <c r="V112" s="691">
        <f t="shared" si="90"/>
        <v>0.80153092866667797</v>
      </c>
      <c r="W112" s="691">
        <f t="shared" si="90"/>
        <v>0.79828217273727931</v>
      </c>
      <c r="X112" s="691">
        <f t="shared" si="90"/>
        <v>0.79499218335623945</v>
      </c>
      <c r="Y112" s="691">
        <f t="shared" si="90"/>
        <v>0.79166082788171632</v>
      </c>
      <c r="Z112" s="691">
        <f t="shared" si="90"/>
        <v>0.78828798673961364</v>
      </c>
    </row>
    <row r="113" spans="2:26" ht="15.75">
      <c r="B113" s="688" t="s">
        <v>568</v>
      </c>
      <c r="C113" s="689"/>
      <c r="D113" s="689"/>
      <c r="E113" s="689"/>
      <c r="F113" s="692">
        <f>+F111/Assumptions!$O$133</f>
        <v>0</v>
      </c>
      <c r="G113" s="692">
        <f>+G111/Assumptions!$O$133</f>
        <v>0</v>
      </c>
      <c r="H113" s="692">
        <f>+H111/Assumptions!$O$133</f>
        <v>0</v>
      </c>
      <c r="I113" s="692">
        <f>+I111/Assumptions!$O$133</f>
        <v>89402715.270741522</v>
      </c>
      <c r="J113" s="692">
        <f>+J111/Assumptions!$O$133</f>
        <v>178734629.06688696</v>
      </c>
      <c r="K113" s="692">
        <f>+K111/Assumptions!$O$133</f>
        <v>178641621.19415453</v>
      </c>
      <c r="L113" s="692">
        <f>+L111/Assumptions!$O$133</f>
        <v>196885255.43431821</v>
      </c>
      <c r="M113" s="692">
        <f>+M111/Assumptions!$O$133</f>
        <v>196788490.04352742</v>
      </c>
      <c r="N113" s="692">
        <f>+N111/Assumptions!$O$133</f>
        <v>196689789.34492078</v>
      </c>
      <c r="O113" s="692">
        <f>+O111/Assumptions!$O$133</f>
        <v>196589114.63234207</v>
      </c>
      <c r="P113" s="692">
        <f>+P111/Assumptions!$O$133</f>
        <v>196486426.42551172</v>
      </c>
      <c r="Q113" s="692">
        <f>+Q111/Assumptions!$O$133</f>
        <v>216554036.95193064</v>
      </c>
      <c r="R113" s="692">
        <f>+R111/Assumptions!$O$133</f>
        <v>216447200.1415444</v>
      </c>
      <c r="S113" s="692">
        <f>+S111/Assumptions!$O$133</f>
        <v>216338226.59495044</v>
      </c>
      <c r="T113" s="692">
        <f>+T111/Assumptions!$O$133</f>
        <v>216227073.57742453</v>
      </c>
      <c r="U113" s="692">
        <f>+U111/Assumptions!$O$133</f>
        <v>216113697.49954814</v>
      </c>
      <c r="V113" s="692">
        <f>+V111/Assumptions!$O$133</f>
        <v>238187641.64723867</v>
      </c>
      <c r="W113" s="692">
        <f>+W111/Assumptions!$O$133</f>
        <v>238069685.17581609</v>
      </c>
      <c r="X113" s="692">
        <f>+X111/Assumptions!$O$133</f>
        <v>237949369.57496503</v>
      </c>
      <c r="Y113" s="692">
        <f>+Y111/Assumptions!$O$133</f>
        <v>237826647.66209692</v>
      </c>
      <c r="Z113" s="692">
        <f>+Z111/Assumptions!$O$133</f>
        <v>237701471.3109715</v>
      </c>
    </row>
    <row r="115" spans="2:26" ht="15.75">
      <c r="B115" s="73" t="s">
        <v>201</v>
      </c>
      <c r="C115" s="74"/>
      <c r="D115" s="74"/>
      <c r="E115" s="74"/>
      <c r="F115" s="75">
        <f>+Assumptions!$G$22</f>
        <v>44926</v>
      </c>
      <c r="G115" s="75">
        <f>+EOMONTH(F115,12)</f>
        <v>45291</v>
      </c>
      <c r="H115" s="75">
        <f t="shared" ref="H115:Z115" si="91">+EOMONTH(G115,12)</f>
        <v>45657</v>
      </c>
      <c r="I115" s="75">
        <f t="shared" si="91"/>
        <v>46022</v>
      </c>
      <c r="J115" s="75">
        <f t="shared" si="91"/>
        <v>46387</v>
      </c>
      <c r="K115" s="75">
        <f t="shared" si="91"/>
        <v>46752</v>
      </c>
      <c r="L115" s="75">
        <f t="shared" si="91"/>
        <v>47118</v>
      </c>
      <c r="M115" s="75">
        <f t="shared" si="91"/>
        <v>47483</v>
      </c>
      <c r="N115" s="75">
        <f t="shared" si="91"/>
        <v>47848</v>
      </c>
      <c r="O115" s="75">
        <f t="shared" si="91"/>
        <v>48213</v>
      </c>
      <c r="P115" s="75">
        <f t="shared" si="91"/>
        <v>48579</v>
      </c>
      <c r="Q115" s="75">
        <f t="shared" si="91"/>
        <v>48944</v>
      </c>
      <c r="R115" s="75">
        <f t="shared" si="91"/>
        <v>49309</v>
      </c>
      <c r="S115" s="75">
        <f t="shared" si="91"/>
        <v>49674</v>
      </c>
      <c r="T115" s="75">
        <f t="shared" si="91"/>
        <v>50040</v>
      </c>
      <c r="U115" s="75">
        <f t="shared" si="91"/>
        <v>50405</v>
      </c>
      <c r="V115" s="75">
        <f t="shared" si="91"/>
        <v>50770</v>
      </c>
      <c r="W115" s="75">
        <f t="shared" si="91"/>
        <v>51135</v>
      </c>
      <c r="X115" s="75">
        <f t="shared" si="91"/>
        <v>51501</v>
      </c>
      <c r="Y115" s="75">
        <f t="shared" si="91"/>
        <v>51866</v>
      </c>
      <c r="Z115" s="75">
        <f t="shared" si="91"/>
        <v>52231</v>
      </c>
    </row>
    <row r="116" spans="2:26">
      <c r="B116" s="15" t="s">
        <v>605</v>
      </c>
      <c r="C116" s="15"/>
      <c r="D116" s="20"/>
      <c r="E116" s="20"/>
      <c r="F116" s="22">
        <f>+IF(AND(F115&gt;=Assumptions!$G$26,F115&lt;Assumptions!$G$28),SUM(Assumptions!$G$204:$G$205)/ROUNDUP((Assumptions!$G$27/12),0),0)</f>
        <v>0</v>
      </c>
      <c r="G116" s="22">
        <f>+IF(AND(G115&gt;=Assumptions!$G$26,G115&lt;Assumptions!$G$28),SUM(Assumptions!$G$204:$G$205)/ROUNDUP((Assumptions!$G$27/12),0),0)</f>
        <v>0</v>
      </c>
      <c r="H116" s="22">
        <f>+IF(AND(H115&gt;=Assumptions!$G$26,H115&lt;Assumptions!$G$28),SUM(Assumptions!$G$204:$G$205)/ROUNDUP((Assumptions!$G$27/12),0),0)</f>
        <v>0</v>
      </c>
      <c r="I116" s="22">
        <f>+IF(AND(I115&gt;=Assumptions!$G$26,I115&lt;Assumptions!$G$28),SUM(Assumptions!$G$204:$G$205)/ROUNDUP((Assumptions!$G$27/12),0),0)</f>
        <v>71599</v>
      </c>
      <c r="J116" s="22">
        <f>+IF(AND(J115&gt;=Assumptions!$G$26,J115&lt;Assumptions!$G$28),SUM(Assumptions!$G$204:$G$205)/ROUNDUP((Assumptions!$G$27/12),0),0)</f>
        <v>71599</v>
      </c>
      <c r="K116" s="22">
        <f>+IF(AND(K115&gt;=Assumptions!$G$26,K115&lt;Assumptions!$G$28),SUM(Assumptions!$G$204:$G$205)/ROUNDUP((Assumptions!$G$27/12),0),0)</f>
        <v>0</v>
      </c>
      <c r="L116" s="22">
        <f>+IF(AND(L115&gt;=Assumptions!$G$26,L115&lt;Assumptions!$G$28),SUM(Assumptions!$G$204:$G$205)/ROUNDUP((Assumptions!$G$27/12),0),0)</f>
        <v>0</v>
      </c>
      <c r="M116" s="22">
        <f>+IF(AND(M115&gt;=Assumptions!$G$26,M115&lt;Assumptions!$G$28),SUM(Assumptions!$G$204:$G$205)/ROUNDUP((Assumptions!$G$27/12),0),0)</f>
        <v>0</v>
      </c>
      <c r="N116" s="22">
        <f>+IF(AND(N115&gt;=Assumptions!$G$26,N115&lt;Assumptions!$G$28),SUM(Assumptions!$G$204:$G$205)/ROUNDUP((Assumptions!$G$27/12),0),0)</f>
        <v>0</v>
      </c>
      <c r="O116" s="22">
        <f>+IF(AND(O115&gt;=Assumptions!$G$26,O115&lt;Assumptions!$G$28),SUM(Assumptions!$G$204:$G$205)/ROUNDUP((Assumptions!$G$27/12),0),0)</f>
        <v>0</v>
      </c>
      <c r="P116" s="22">
        <f>+IF(AND(P115&gt;=Assumptions!$G$26,P115&lt;Assumptions!$G$28),SUM(Assumptions!$G$204:$G$205)/ROUNDUP((Assumptions!$G$27/12),0),0)</f>
        <v>0</v>
      </c>
      <c r="Q116" s="22">
        <f>+IF(AND(Q115&gt;=Assumptions!$G$26,Q115&lt;Assumptions!$G$28),SUM(Assumptions!$G$204:$G$205)/ROUNDUP((Assumptions!$G$27/12),0),0)</f>
        <v>0</v>
      </c>
      <c r="R116" s="22">
        <f>+IF(AND(R115&gt;=Assumptions!$G$26,R115&lt;Assumptions!$G$28),SUM(Assumptions!$G$204:$G$205)/ROUNDUP((Assumptions!$G$27/12),0),0)</f>
        <v>0</v>
      </c>
      <c r="S116" s="22">
        <f>+IF(AND(S115&gt;=Assumptions!$G$26,S115&lt;Assumptions!$G$28),SUM(Assumptions!$G$204:$G$205)/ROUNDUP((Assumptions!$G$27/12),0),0)</f>
        <v>0</v>
      </c>
      <c r="T116" s="22">
        <f>+IF(AND(T115&gt;=Assumptions!$G$26,T115&lt;Assumptions!$G$28),SUM(Assumptions!$G$204:$G$205)/ROUNDUP((Assumptions!$G$27/12),0),0)</f>
        <v>0</v>
      </c>
      <c r="U116" s="22">
        <f>+IF(AND(U115&gt;=Assumptions!$G$26,U115&lt;Assumptions!$G$28),SUM(Assumptions!$G$204:$G$205)/ROUNDUP((Assumptions!$G$27/12),0),0)</f>
        <v>0</v>
      </c>
      <c r="V116" s="22">
        <f>+IF(AND(V115&gt;=Assumptions!$G$26,V115&lt;Assumptions!$G$28),SUM(Assumptions!$G$204:$G$205)/ROUNDUP((Assumptions!$G$27/12),0),0)</f>
        <v>0</v>
      </c>
      <c r="W116" s="22">
        <f>+IF(AND(W115&gt;=Assumptions!$G$26,W115&lt;Assumptions!$G$28),SUM(Assumptions!$G$204:$G$205)/ROUNDUP((Assumptions!$G$27/12),0),0)</f>
        <v>0</v>
      </c>
      <c r="X116" s="22">
        <f>+IF(AND(X115&gt;=Assumptions!$G$26,X115&lt;Assumptions!$G$28),SUM(Assumptions!$G$204:$G$205)/ROUNDUP((Assumptions!$G$27/12),0),0)</f>
        <v>0</v>
      </c>
      <c r="Y116" s="22">
        <f>+IF(AND(Y115&gt;=Assumptions!$G$26,Y115&lt;Assumptions!$G$28),SUM(Assumptions!$G$204:$G$205)/ROUNDUP((Assumptions!$G$27/12),0),0)</f>
        <v>0</v>
      </c>
      <c r="Z116" s="22">
        <f>+IF(AND(Z115&gt;=Assumptions!$G$26,Z115&lt;Assumptions!$G$28),SUM(Assumptions!$G$204:$G$205)/ROUNDUP((Assumptions!$G$27/12),0),0)</f>
        <v>0</v>
      </c>
    </row>
    <row r="117" spans="2:26">
      <c r="B117" s="15" t="s">
        <v>607</v>
      </c>
      <c r="C117" s="15"/>
      <c r="D117" s="22"/>
      <c r="E117" s="22"/>
      <c r="F117" s="22">
        <f>+F118-E118</f>
        <v>0</v>
      </c>
      <c r="G117" s="22">
        <f t="shared" ref="G117:Z117" si="92">+G118-F118</f>
        <v>0</v>
      </c>
      <c r="H117" s="22">
        <f t="shared" si="92"/>
        <v>0</v>
      </c>
      <c r="I117" s="22">
        <f t="shared" si="92"/>
        <v>286.39600000000002</v>
      </c>
      <c r="J117" s="22">
        <f t="shared" si="92"/>
        <v>286.39600000000002</v>
      </c>
      <c r="K117" s="22">
        <f t="shared" si="92"/>
        <v>0</v>
      </c>
      <c r="L117" s="22">
        <f t="shared" si="92"/>
        <v>0</v>
      </c>
      <c r="M117" s="22">
        <f t="shared" si="92"/>
        <v>0</v>
      </c>
      <c r="N117" s="22">
        <f t="shared" si="92"/>
        <v>0</v>
      </c>
      <c r="O117" s="22">
        <f t="shared" si="92"/>
        <v>0</v>
      </c>
      <c r="P117" s="22">
        <f t="shared" si="92"/>
        <v>0</v>
      </c>
      <c r="Q117" s="22">
        <f t="shared" si="92"/>
        <v>0</v>
      </c>
      <c r="R117" s="22">
        <f t="shared" si="92"/>
        <v>0</v>
      </c>
      <c r="S117" s="22">
        <f t="shared" si="92"/>
        <v>0</v>
      </c>
      <c r="T117" s="22">
        <f t="shared" si="92"/>
        <v>0</v>
      </c>
      <c r="U117" s="22">
        <f t="shared" si="92"/>
        <v>0</v>
      </c>
      <c r="V117" s="22">
        <f t="shared" si="92"/>
        <v>0</v>
      </c>
      <c r="W117" s="22">
        <f t="shared" si="92"/>
        <v>0</v>
      </c>
      <c r="X117" s="22">
        <f t="shared" si="92"/>
        <v>0</v>
      </c>
      <c r="Y117" s="22">
        <f t="shared" si="92"/>
        <v>0</v>
      </c>
      <c r="Z117" s="22">
        <f t="shared" si="92"/>
        <v>0</v>
      </c>
    </row>
    <row r="118" spans="2:26">
      <c r="B118" s="15" t="s">
        <v>608</v>
      </c>
      <c r="C118" s="15"/>
      <c r="D118" s="20"/>
      <c r="E118" s="20"/>
      <c r="F118" s="22">
        <f>+F120*SUM(Assumptions!$O$49:$O$50)</f>
        <v>0</v>
      </c>
      <c r="G118" s="22">
        <f>+G120*SUM(Assumptions!$O$49:$O$50)</f>
        <v>0</v>
      </c>
      <c r="H118" s="22">
        <f>+H120*SUM(Assumptions!$O$49:$O$50)</f>
        <v>0</v>
      </c>
      <c r="I118" s="22">
        <f>+I120*SUM(Assumptions!$O$49:$O$50)</f>
        <v>286.39600000000002</v>
      </c>
      <c r="J118" s="22">
        <f>+J120*SUM(Assumptions!$O$49:$O$50)</f>
        <v>572.79200000000003</v>
      </c>
      <c r="K118" s="22">
        <f>+K120*SUM(Assumptions!$O$49:$O$50)</f>
        <v>572.79200000000003</v>
      </c>
      <c r="L118" s="22">
        <f>+L120*SUM(Assumptions!$O$49:$O$50)</f>
        <v>572.79200000000003</v>
      </c>
      <c r="M118" s="22">
        <f>+M120*SUM(Assumptions!$O$49:$O$50)</f>
        <v>572.79200000000003</v>
      </c>
      <c r="N118" s="22">
        <f>+N120*SUM(Assumptions!$O$49:$O$50)</f>
        <v>572.79200000000003</v>
      </c>
      <c r="O118" s="22">
        <f>+O120*SUM(Assumptions!$O$49:$O$50)</f>
        <v>572.79200000000003</v>
      </c>
      <c r="P118" s="22">
        <f>+P120*SUM(Assumptions!$O$49:$O$50)</f>
        <v>572.79200000000003</v>
      </c>
      <c r="Q118" s="22">
        <f>+Q120*SUM(Assumptions!$O$49:$O$50)</f>
        <v>572.79200000000003</v>
      </c>
      <c r="R118" s="22">
        <f>+R120*SUM(Assumptions!$O$49:$O$50)</f>
        <v>572.79200000000003</v>
      </c>
      <c r="S118" s="22">
        <f>+S120*SUM(Assumptions!$O$49:$O$50)</f>
        <v>572.79200000000003</v>
      </c>
      <c r="T118" s="22">
        <f>+T120*SUM(Assumptions!$O$49:$O$50)</f>
        <v>572.79200000000003</v>
      </c>
      <c r="U118" s="22">
        <f>+U120*SUM(Assumptions!$O$49:$O$50)</f>
        <v>572.79200000000003</v>
      </c>
      <c r="V118" s="22">
        <f>+V120*SUM(Assumptions!$O$49:$O$50)</f>
        <v>572.79200000000003</v>
      </c>
      <c r="W118" s="22">
        <f>+W120*SUM(Assumptions!$O$49:$O$50)</f>
        <v>572.79200000000003</v>
      </c>
      <c r="X118" s="22">
        <f>+X120*SUM(Assumptions!$O$49:$O$50)</f>
        <v>572.79200000000003</v>
      </c>
      <c r="Y118" s="22">
        <f>+Y120*SUM(Assumptions!$O$49:$O$50)</f>
        <v>572.79200000000003</v>
      </c>
      <c r="Z118" s="22">
        <f>+Z120*SUM(Assumptions!$O$49:$O$50)</f>
        <v>572.79200000000003</v>
      </c>
    </row>
    <row r="119" spans="2:26">
      <c r="B119" s="15" t="s">
        <v>606</v>
      </c>
      <c r="C119" s="15"/>
      <c r="D119" s="22">
        <v>0</v>
      </c>
      <c r="E119" s="22"/>
      <c r="F119" s="22">
        <f>+D119+F116</f>
        <v>0</v>
      </c>
      <c r="G119" s="22">
        <f t="shared" ref="G119:Z119" si="93">+F119+G116</f>
        <v>0</v>
      </c>
      <c r="H119" s="22">
        <f t="shared" si="93"/>
        <v>0</v>
      </c>
      <c r="I119" s="22">
        <f t="shared" si="93"/>
        <v>71599</v>
      </c>
      <c r="J119" s="22">
        <f t="shared" si="93"/>
        <v>143198</v>
      </c>
      <c r="K119" s="22">
        <f t="shared" si="93"/>
        <v>143198</v>
      </c>
      <c r="L119" s="22">
        <f t="shared" si="93"/>
        <v>143198</v>
      </c>
      <c r="M119" s="22">
        <f t="shared" si="93"/>
        <v>143198</v>
      </c>
      <c r="N119" s="22">
        <f t="shared" si="93"/>
        <v>143198</v>
      </c>
      <c r="O119" s="22">
        <f t="shared" si="93"/>
        <v>143198</v>
      </c>
      <c r="P119" s="22">
        <f t="shared" si="93"/>
        <v>143198</v>
      </c>
      <c r="Q119" s="22">
        <f t="shared" si="93"/>
        <v>143198</v>
      </c>
      <c r="R119" s="22">
        <f t="shared" si="93"/>
        <v>143198</v>
      </c>
      <c r="S119" s="22">
        <f t="shared" si="93"/>
        <v>143198</v>
      </c>
      <c r="T119" s="22">
        <f t="shared" si="93"/>
        <v>143198</v>
      </c>
      <c r="U119" s="22">
        <f t="shared" si="93"/>
        <v>143198</v>
      </c>
      <c r="V119" s="22">
        <f t="shared" si="93"/>
        <v>143198</v>
      </c>
      <c r="W119" s="22">
        <f t="shared" si="93"/>
        <v>143198</v>
      </c>
      <c r="X119" s="22">
        <f t="shared" si="93"/>
        <v>143198</v>
      </c>
      <c r="Y119" s="22">
        <f t="shared" si="93"/>
        <v>143198</v>
      </c>
      <c r="Z119" s="22">
        <f t="shared" si="93"/>
        <v>143198</v>
      </c>
    </row>
    <row r="120" spans="2:26">
      <c r="B120" s="15" t="s">
        <v>609</v>
      </c>
      <c r="C120" s="15"/>
      <c r="D120" s="22"/>
      <c r="E120" s="22"/>
      <c r="F120" s="49">
        <f t="shared" ref="F120:Z120" si="94">+F119/SUM($F116:$Z116)</f>
        <v>0</v>
      </c>
      <c r="G120" s="49">
        <f t="shared" si="94"/>
        <v>0</v>
      </c>
      <c r="H120" s="49">
        <f t="shared" si="94"/>
        <v>0</v>
      </c>
      <c r="I120" s="49">
        <f t="shared" si="94"/>
        <v>0.5</v>
      </c>
      <c r="J120" s="49">
        <f t="shared" si="94"/>
        <v>1</v>
      </c>
      <c r="K120" s="49">
        <f t="shared" si="94"/>
        <v>1</v>
      </c>
      <c r="L120" s="49">
        <f t="shared" si="94"/>
        <v>1</v>
      </c>
      <c r="M120" s="49">
        <f t="shared" si="94"/>
        <v>1</v>
      </c>
      <c r="N120" s="49">
        <f t="shared" si="94"/>
        <v>1</v>
      </c>
      <c r="O120" s="49">
        <f t="shared" si="94"/>
        <v>1</v>
      </c>
      <c r="P120" s="49">
        <f t="shared" si="94"/>
        <v>1</v>
      </c>
      <c r="Q120" s="49">
        <f t="shared" si="94"/>
        <v>1</v>
      </c>
      <c r="R120" s="49">
        <f t="shared" si="94"/>
        <v>1</v>
      </c>
      <c r="S120" s="49">
        <f t="shared" si="94"/>
        <v>1</v>
      </c>
      <c r="T120" s="49">
        <f t="shared" si="94"/>
        <v>1</v>
      </c>
      <c r="U120" s="49">
        <f t="shared" si="94"/>
        <v>1</v>
      </c>
      <c r="V120" s="49">
        <f t="shared" si="94"/>
        <v>1</v>
      </c>
      <c r="W120" s="49">
        <f t="shared" si="94"/>
        <v>1</v>
      </c>
      <c r="X120" s="49">
        <f t="shared" si="94"/>
        <v>1</v>
      </c>
      <c r="Y120" s="49">
        <f t="shared" si="94"/>
        <v>1</v>
      </c>
      <c r="Z120" s="49">
        <f t="shared" si="94"/>
        <v>1</v>
      </c>
    </row>
    <row r="121" spans="2:26">
      <c r="B121" s="15"/>
      <c r="C121" s="15"/>
      <c r="D121" s="20"/>
      <c r="E121" s="20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</row>
    <row r="122" spans="2:26">
      <c r="B122" s="15" t="s">
        <v>610</v>
      </c>
      <c r="C122" s="15"/>
      <c r="D122" s="22"/>
      <c r="E122" s="22"/>
      <c r="F122" s="49">
        <v>1</v>
      </c>
      <c r="G122" s="49">
        <f>+F122*(1+Assumptions!$O$74)</f>
        <v>1.02</v>
      </c>
      <c r="H122" s="49">
        <f>+G122*(1+Assumptions!$O$74)</f>
        <v>1.0404</v>
      </c>
      <c r="I122" s="49">
        <f>+H122*(1+Assumptions!$O$74)</f>
        <v>1.0612079999999999</v>
      </c>
      <c r="J122" s="49">
        <f>+I122*(1+Assumptions!$O$74)</f>
        <v>1.08243216</v>
      </c>
      <c r="K122" s="49">
        <f>+J122*(1+Assumptions!$O$74)</f>
        <v>1.1040808032</v>
      </c>
      <c r="L122" s="49">
        <f>+K122*(1+Assumptions!$O$74)</f>
        <v>1.1261624192640001</v>
      </c>
      <c r="M122" s="49">
        <f>+L122*(1+Assumptions!$O$74)</f>
        <v>1.14868566764928</v>
      </c>
      <c r="N122" s="49">
        <f>+M122*(1+Assumptions!$O$74)</f>
        <v>1.1716593810022657</v>
      </c>
      <c r="O122" s="49">
        <f>+N122*(1+Assumptions!$O$74)</f>
        <v>1.1950925686223111</v>
      </c>
      <c r="P122" s="49">
        <f>+O122*(1+Assumptions!$O$74)</f>
        <v>1.2189944199947573</v>
      </c>
      <c r="Q122" s="49">
        <f>+P122*(1+Assumptions!$O$74)</f>
        <v>1.2433743083946525</v>
      </c>
      <c r="R122" s="49">
        <f>+Q122*(1+Assumptions!$O$74)</f>
        <v>1.2682417945625455</v>
      </c>
      <c r="S122" s="49">
        <f>+R122*(1+Assumptions!$O$74)</f>
        <v>1.2936066304537963</v>
      </c>
      <c r="T122" s="49">
        <f>+S122*(1+Assumptions!$O$74)</f>
        <v>1.3194787630628724</v>
      </c>
      <c r="U122" s="49">
        <f>+T122*(1+Assumptions!$O$74)</f>
        <v>1.3458683383241299</v>
      </c>
      <c r="V122" s="49">
        <f>+U122*(1+Assumptions!$O$74)</f>
        <v>1.3727857050906125</v>
      </c>
      <c r="W122" s="49">
        <f>+V122*(1+Assumptions!$O$74)</f>
        <v>1.4002414191924248</v>
      </c>
      <c r="X122" s="49">
        <f>+W122*(1+Assumptions!$O$74)</f>
        <v>1.4282462475762734</v>
      </c>
      <c r="Y122" s="49">
        <f>+X122*(1+Assumptions!$O$74)</f>
        <v>1.4568111725277988</v>
      </c>
      <c r="Z122" s="49">
        <f>+Y122*(1+Assumptions!$O$74)</f>
        <v>1.4859473959783549</v>
      </c>
    </row>
    <row r="123" spans="2:26">
      <c r="B123" s="15" t="s">
        <v>611</v>
      </c>
      <c r="C123" s="15"/>
      <c r="D123" s="22"/>
      <c r="E123" s="22"/>
      <c r="F123" s="49">
        <v>1</v>
      </c>
      <c r="G123" s="49">
        <f>+F123*(1+Assumptions!$O$82)</f>
        <v>1.02</v>
      </c>
      <c r="H123" s="49">
        <f>+G123*(1+Assumptions!$O$82)</f>
        <v>1.0404</v>
      </c>
      <c r="I123" s="49">
        <f>+H123*(1+Assumptions!$O$82)</f>
        <v>1.0612079999999999</v>
      </c>
      <c r="J123" s="49">
        <f>+I123*(1+Assumptions!$O$82)</f>
        <v>1.08243216</v>
      </c>
      <c r="K123" s="49">
        <f>+J123*(1+Assumptions!$O$82)</f>
        <v>1.1040808032</v>
      </c>
      <c r="L123" s="49">
        <f>+K123*(1+Assumptions!$O$82)</f>
        <v>1.1261624192640001</v>
      </c>
      <c r="M123" s="49">
        <f>+L123*(1+Assumptions!$O$82)</f>
        <v>1.14868566764928</v>
      </c>
      <c r="N123" s="49">
        <f>+M123*(1+Assumptions!$O$82)</f>
        <v>1.1716593810022657</v>
      </c>
      <c r="O123" s="49">
        <f>+N123*(1+Assumptions!$O$82)</f>
        <v>1.1950925686223111</v>
      </c>
      <c r="P123" s="49">
        <f>+O123*(1+Assumptions!$O$82)</f>
        <v>1.2189944199947573</v>
      </c>
      <c r="Q123" s="49">
        <f>+P123*(1+Assumptions!$O$82)</f>
        <v>1.2433743083946525</v>
      </c>
      <c r="R123" s="49">
        <f>+Q123*(1+Assumptions!$O$82)</f>
        <v>1.2682417945625455</v>
      </c>
      <c r="S123" s="49">
        <f>+R123*(1+Assumptions!$O$82)</f>
        <v>1.2936066304537963</v>
      </c>
      <c r="T123" s="49">
        <f>+S123*(1+Assumptions!$O$82)</f>
        <v>1.3194787630628724</v>
      </c>
      <c r="U123" s="49">
        <f>+T123*(1+Assumptions!$O$82)</f>
        <v>1.3458683383241299</v>
      </c>
      <c r="V123" s="49">
        <f>+U123*(1+Assumptions!$O$82)</f>
        <v>1.3727857050906125</v>
      </c>
      <c r="W123" s="49">
        <f>+V123*(1+Assumptions!$O$82)</f>
        <v>1.4002414191924248</v>
      </c>
      <c r="X123" s="49">
        <f>+W123*(1+Assumptions!$O$82)</f>
        <v>1.4282462475762734</v>
      </c>
      <c r="Y123" s="49">
        <f>+X123*(1+Assumptions!$O$82)</f>
        <v>1.4568111725277988</v>
      </c>
      <c r="Z123" s="49">
        <f>+Y123*(1+Assumptions!$O$82)</f>
        <v>1.4859473959783549</v>
      </c>
    </row>
    <row r="124" spans="2:26">
      <c r="B124" s="15"/>
      <c r="C124" s="15"/>
      <c r="D124" s="20"/>
      <c r="E124" s="20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</row>
    <row r="125" spans="2:26">
      <c r="B125" s="15" t="s">
        <v>612</v>
      </c>
      <c r="C125" s="15"/>
      <c r="D125" s="20"/>
      <c r="E125" s="20"/>
      <c r="F125" s="16">
        <f>+F120*Assumptions!$G$203*F122</f>
        <v>0</v>
      </c>
      <c r="G125" s="16">
        <f>+G120*Assumptions!$G$203*G122</f>
        <v>0</v>
      </c>
      <c r="H125" s="16">
        <f>+H120*Assumptions!$G$203*H122</f>
        <v>0</v>
      </c>
      <c r="I125" s="16">
        <f>+I120*Assumptions!$G$203*I122</f>
        <v>720945.8626262492</v>
      </c>
      <c r="J125" s="16">
        <f>+J120*Assumptions!$G$203*J122</f>
        <v>1470729.5597575484</v>
      </c>
      <c r="K125" s="16">
        <f>+K120*Assumptions!$G$203*K122</f>
        <v>1500144.1509526994</v>
      </c>
      <c r="L125" s="16">
        <f>+L120*Assumptions!$G$203*L122</f>
        <v>1530147.0339717534</v>
      </c>
      <c r="M125" s="16">
        <f>+M120*Assumptions!$G$203*M122</f>
        <v>1560749.9746511886</v>
      </c>
      <c r="N125" s="16">
        <f>+N120*Assumptions!$G$203*N122</f>
        <v>1591964.9741442124</v>
      </c>
      <c r="O125" s="16">
        <f>+O120*Assumptions!$G$203*O122</f>
        <v>1623804.2736270968</v>
      </c>
      <c r="P125" s="16">
        <f>+P120*Assumptions!$G$203*P122</f>
        <v>1656280.3590996386</v>
      </c>
      <c r="Q125" s="16">
        <f>+Q120*Assumptions!$G$203*Q122</f>
        <v>1689405.9662816315</v>
      </c>
      <c r="R125" s="16">
        <f>+R120*Assumptions!$G$203*R122</f>
        <v>1723194.0856072642</v>
      </c>
      <c r="S125" s="16">
        <f>+S120*Assumptions!$G$203*S122</f>
        <v>1757657.9673194094</v>
      </c>
      <c r="T125" s="16">
        <f>+T120*Assumptions!$G$203*T122</f>
        <v>1792811.1266657976</v>
      </c>
      <c r="U125" s="16">
        <f>+U120*Assumptions!$G$203*U122</f>
        <v>1828667.3491991137</v>
      </c>
      <c r="V125" s="16">
        <f>+V120*Assumptions!$G$203*V122</f>
        <v>1865240.6961830959</v>
      </c>
      <c r="W125" s="16">
        <f>+W120*Assumptions!$G$203*W122</f>
        <v>1902545.510106758</v>
      </c>
      <c r="X125" s="16">
        <f>+X120*Assumptions!$G$203*X122</f>
        <v>1940596.4203088933</v>
      </c>
      <c r="Y125" s="16">
        <f>+Y120*Assumptions!$G$203*Y122</f>
        <v>1979408.3487150711</v>
      </c>
      <c r="Z125" s="16">
        <f>+Z120*Assumptions!$G$203*Z122</f>
        <v>2018996.5156893726</v>
      </c>
    </row>
    <row r="126" spans="2:26">
      <c r="B126" s="15" t="s">
        <v>613</v>
      </c>
      <c r="C126" s="15"/>
      <c r="D126" s="20"/>
      <c r="E126" s="20"/>
      <c r="F126" s="22">
        <f>-F125*Assumptions!$O$60</f>
        <v>0</v>
      </c>
      <c r="G126" s="22">
        <f>-G125*Assumptions!$O$60</f>
        <v>0</v>
      </c>
      <c r="H126" s="22">
        <f>-H125*Assumptions!$O$60</f>
        <v>0</v>
      </c>
      <c r="I126" s="22">
        <f>-I125*Assumptions!$O$60</f>
        <v>-72094.586262624929</v>
      </c>
      <c r="J126" s="22">
        <f>-J125*Assumptions!$O$60</f>
        <v>-147072.95597575486</v>
      </c>
      <c r="K126" s="22">
        <f>-K125*Assumptions!$O$60</f>
        <v>-150014.41509526994</v>
      </c>
      <c r="L126" s="22">
        <f>-L125*Assumptions!$O$60</f>
        <v>-153014.70339717536</v>
      </c>
      <c r="M126" s="22">
        <f>-M125*Assumptions!$O$60</f>
        <v>-156074.99746511885</v>
      </c>
      <c r="N126" s="22">
        <f>-N125*Assumptions!$O$60</f>
        <v>-159196.49741442126</v>
      </c>
      <c r="O126" s="22">
        <f>-O125*Assumptions!$O$60</f>
        <v>-162380.42736270968</v>
      </c>
      <c r="P126" s="22">
        <f>-P125*Assumptions!$O$60</f>
        <v>-165628.03590996389</v>
      </c>
      <c r="Q126" s="22">
        <f>-Q125*Assumptions!$O$60</f>
        <v>-168940.59662816316</v>
      </c>
      <c r="R126" s="22">
        <f>-R125*Assumptions!$O$60</f>
        <v>-172319.40856072644</v>
      </c>
      <c r="S126" s="22">
        <f>-S125*Assumptions!$O$60</f>
        <v>-175765.79673194094</v>
      </c>
      <c r="T126" s="22">
        <f>-T125*Assumptions!$O$60</f>
        <v>-179281.11266657978</v>
      </c>
      <c r="U126" s="22">
        <f>-U125*Assumptions!$O$60</f>
        <v>-182866.73491991137</v>
      </c>
      <c r="V126" s="22">
        <f>-V125*Assumptions!$O$60</f>
        <v>-186524.06961830962</v>
      </c>
      <c r="W126" s="22">
        <f>-W125*Assumptions!$O$60</f>
        <v>-190254.55101067582</v>
      </c>
      <c r="X126" s="22">
        <f>-X125*Assumptions!$O$60</f>
        <v>-194059.64203088934</v>
      </c>
      <c r="Y126" s="22">
        <f>-Y125*Assumptions!$O$60</f>
        <v>-197940.83487150713</v>
      </c>
      <c r="Z126" s="22">
        <f>-Z125*Assumptions!$O$60</f>
        <v>-201899.65156893726</v>
      </c>
    </row>
    <row r="127" spans="2:26">
      <c r="B127" s="62" t="s">
        <v>614</v>
      </c>
      <c r="C127" s="62"/>
      <c r="D127" s="62"/>
      <c r="E127" s="62"/>
      <c r="F127" s="58">
        <f t="shared" ref="F127:Z127" si="95">+SUM(F125:F126)</f>
        <v>0</v>
      </c>
      <c r="G127" s="58">
        <f t="shared" si="95"/>
        <v>0</v>
      </c>
      <c r="H127" s="58">
        <f t="shared" si="95"/>
        <v>0</v>
      </c>
      <c r="I127" s="58">
        <f>+SUM(I125:I126)</f>
        <v>648851.27636362426</v>
      </c>
      <c r="J127" s="58">
        <f t="shared" si="95"/>
        <v>1323656.6037817935</v>
      </c>
      <c r="K127" s="58">
        <f t="shared" si="95"/>
        <v>1350129.7358574294</v>
      </c>
      <c r="L127" s="58">
        <f t="shared" si="95"/>
        <v>1377132.3305745781</v>
      </c>
      <c r="M127" s="58">
        <f t="shared" si="95"/>
        <v>1404674.9771860698</v>
      </c>
      <c r="N127" s="58">
        <f t="shared" si="95"/>
        <v>1432768.4767297911</v>
      </c>
      <c r="O127" s="58">
        <f t="shared" si="95"/>
        <v>1461423.846264387</v>
      </c>
      <c r="P127" s="58">
        <f t="shared" si="95"/>
        <v>1490652.3231896749</v>
      </c>
      <c r="Q127" s="58">
        <f t="shared" si="95"/>
        <v>1520465.3696534683</v>
      </c>
      <c r="R127" s="58">
        <f t="shared" si="95"/>
        <v>1550874.6770465379</v>
      </c>
      <c r="S127" s="58">
        <f t="shared" si="95"/>
        <v>1581892.1705874684</v>
      </c>
      <c r="T127" s="58">
        <f t="shared" si="95"/>
        <v>1613530.0139992177</v>
      </c>
      <c r="U127" s="58">
        <f t="shared" si="95"/>
        <v>1645800.6142792022</v>
      </c>
      <c r="V127" s="58">
        <f t="shared" si="95"/>
        <v>1678716.6265647863</v>
      </c>
      <c r="W127" s="58">
        <f t="shared" si="95"/>
        <v>1712290.9590960823</v>
      </c>
      <c r="X127" s="58">
        <f t="shared" si="95"/>
        <v>1746536.7782780039</v>
      </c>
      <c r="Y127" s="58">
        <f t="shared" si="95"/>
        <v>1781467.5138435639</v>
      </c>
      <c r="Z127" s="58">
        <f t="shared" si="95"/>
        <v>1817096.8641204352</v>
      </c>
    </row>
    <row r="129" spans="2:26">
      <c r="B129" s="15" t="s">
        <v>615</v>
      </c>
      <c r="F129" s="16">
        <f>+F118*Assumptions!$O$97*'Phase II Pro Forma'!F123</f>
        <v>0</v>
      </c>
      <c r="G129" s="16">
        <f>+G118*Assumptions!$O$97*'Phase II Pro Forma'!G123</f>
        <v>0</v>
      </c>
      <c r="H129" s="16">
        <f>+H118*Assumptions!$O$97*'Phase II Pro Forma'!H123</f>
        <v>0</v>
      </c>
      <c r="I129" s="16">
        <f>+I118*Assumptions!$O$97*'Phase II Pro Forma'!I123</f>
        <v>158102.16285663363</v>
      </c>
      <c r="J129" s="16">
        <f>+J118*Assumptions!$O$97*'Phase II Pro Forma'!J123</f>
        <v>322528.41222753259</v>
      </c>
      <c r="K129" s="16">
        <f>+K118*Assumptions!$O$97*'Phase II Pro Forma'!K123</f>
        <v>328978.98047208326</v>
      </c>
      <c r="L129" s="16">
        <f>+L118*Assumptions!$O$97*'Phase II Pro Forma'!L123</f>
        <v>335558.56008152495</v>
      </c>
      <c r="M129" s="16">
        <f>+M118*Assumptions!$O$97*'Phase II Pro Forma'!M123</f>
        <v>342269.73128315544</v>
      </c>
      <c r="N129" s="16">
        <f>+N118*Assumptions!$O$97*'Phase II Pro Forma'!N123</f>
        <v>349115.12590881856</v>
      </c>
      <c r="O129" s="16">
        <f>+O118*Assumptions!$O$97*'Phase II Pro Forma'!O123</f>
        <v>356097.42842699494</v>
      </c>
      <c r="P129" s="16">
        <f>+P118*Assumptions!$O$97*'Phase II Pro Forma'!P123</f>
        <v>363219.37699553487</v>
      </c>
      <c r="Q129" s="16">
        <f>+Q118*Assumptions!$O$97*'Phase II Pro Forma'!Q123</f>
        <v>370483.76453544555</v>
      </c>
      <c r="R129" s="16">
        <f>+R118*Assumptions!$O$97*'Phase II Pro Forma'!R123</f>
        <v>377893.43982615444</v>
      </c>
      <c r="S129" s="16">
        <f>+S118*Assumptions!$O$97*'Phase II Pro Forma'!S123</f>
        <v>385451.30862267752</v>
      </c>
      <c r="T129" s="16">
        <f>+T118*Assumptions!$O$97*'Phase II Pro Forma'!T123</f>
        <v>393160.33479513112</v>
      </c>
      <c r="U129" s="16">
        <f>+U118*Assumptions!$O$97*'Phase II Pro Forma'!U123</f>
        <v>401023.54149103374</v>
      </c>
      <c r="V129" s="16">
        <f>+V118*Assumptions!$O$97*'Phase II Pro Forma'!V123</f>
        <v>409044.01232085441</v>
      </c>
      <c r="W129" s="16">
        <f>+W118*Assumptions!$O$97*'Phase II Pro Forma'!W123</f>
        <v>417224.89256727154</v>
      </c>
      <c r="X129" s="16">
        <f>+X118*Assumptions!$O$97*'Phase II Pro Forma'!X123</f>
        <v>425569.390418617</v>
      </c>
      <c r="Y129" s="16">
        <f>+Y118*Assumptions!$O$97*'Phase II Pro Forma'!Y123</f>
        <v>434080.77822698932</v>
      </c>
      <c r="Z129" s="16">
        <f>+Z118*Assumptions!$O$97*'Phase II Pro Forma'!Z123</f>
        <v>442762.39379152918</v>
      </c>
    </row>
    <row r="130" spans="2:26" s="544" customFormat="1">
      <c r="B130" s="693" t="s">
        <v>616</v>
      </c>
      <c r="C130" s="693"/>
      <c r="D130" s="693"/>
      <c r="E130" s="693"/>
      <c r="F130" s="734"/>
      <c r="G130" s="734">
        <v>0</v>
      </c>
      <c r="H130" s="734">
        <v>0</v>
      </c>
      <c r="I130" s="734">
        <f>(('Parcel x Block Info'!$P$16*0.14)*I120)*0.5</f>
        <v>102821.93188260001</v>
      </c>
      <c r="J130" s="734">
        <f>I130*2</f>
        <v>205643.86376520002</v>
      </c>
      <c r="K130" s="734">
        <f>J130*1.02</f>
        <v>209756.74104050401</v>
      </c>
      <c r="L130" s="734">
        <f>K130*1.02</f>
        <v>213951.8758613141</v>
      </c>
      <c r="M130" s="734">
        <f>L130*1.02</f>
        <v>218230.91337854037</v>
      </c>
      <c r="N130" s="734">
        <f>M130*1.022</f>
        <v>223031.99347286826</v>
      </c>
      <c r="O130" s="734">
        <f t="shared" ref="O130:Z130" si="96">N130*1.02</f>
        <v>227492.63334232563</v>
      </c>
      <c r="P130" s="734">
        <f t="shared" si="96"/>
        <v>232042.48600917213</v>
      </c>
      <c r="Q130" s="734">
        <f t="shared" si="96"/>
        <v>236683.33572935557</v>
      </c>
      <c r="R130" s="734">
        <f t="shared" si="96"/>
        <v>241417.00244394268</v>
      </c>
      <c r="S130" s="734">
        <f t="shared" si="96"/>
        <v>246245.34249282154</v>
      </c>
      <c r="T130" s="734">
        <f t="shared" si="96"/>
        <v>251170.24934267797</v>
      </c>
      <c r="U130" s="734">
        <f t="shared" si="96"/>
        <v>256193.65432953154</v>
      </c>
      <c r="V130" s="734">
        <f t="shared" si="96"/>
        <v>261317.52741612218</v>
      </c>
      <c r="W130" s="734">
        <f t="shared" si="96"/>
        <v>266543.87796444463</v>
      </c>
      <c r="X130" s="734">
        <f t="shared" si="96"/>
        <v>271874.7555237335</v>
      </c>
      <c r="Y130" s="734">
        <f t="shared" si="96"/>
        <v>277312.25063420821</v>
      </c>
      <c r="Z130" s="734">
        <f t="shared" si="96"/>
        <v>282858.49564689235</v>
      </c>
    </row>
    <row r="131" spans="2:26">
      <c r="B131" s="62" t="s">
        <v>617</v>
      </c>
      <c r="C131" s="62"/>
      <c r="D131" s="62"/>
      <c r="E131" s="62"/>
      <c r="F131" s="58">
        <v>0</v>
      </c>
      <c r="G131" s="58">
        <v>0</v>
      </c>
      <c r="H131" s="58">
        <v>0</v>
      </c>
      <c r="I131" s="58">
        <f t="shared" ref="I131:Z131" si="97">+SUM(I129:I130)</f>
        <v>260924.09473923364</v>
      </c>
      <c r="J131" s="58">
        <f t="shared" si="97"/>
        <v>528172.27599273261</v>
      </c>
      <c r="K131" s="58">
        <f t="shared" si="97"/>
        <v>538735.72151258728</v>
      </c>
      <c r="L131" s="58">
        <f t="shared" si="97"/>
        <v>549510.43594283902</v>
      </c>
      <c r="M131" s="58">
        <f t="shared" si="97"/>
        <v>560500.64466169581</v>
      </c>
      <c r="N131" s="58">
        <f t="shared" si="97"/>
        <v>572147.11938168679</v>
      </c>
      <c r="O131" s="58">
        <f t="shared" si="97"/>
        <v>583590.06176932063</v>
      </c>
      <c r="P131" s="58">
        <f t="shared" si="97"/>
        <v>595261.86300470703</v>
      </c>
      <c r="Q131" s="58">
        <f t="shared" si="97"/>
        <v>607167.10026480118</v>
      </c>
      <c r="R131" s="58">
        <f t="shared" si="97"/>
        <v>619310.44227009709</v>
      </c>
      <c r="S131" s="58">
        <f t="shared" si="97"/>
        <v>631696.65111549909</v>
      </c>
      <c r="T131" s="58">
        <f t="shared" si="97"/>
        <v>644330.58413780911</v>
      </c>
      <c r="U131" s="58">
        <f t="shared" si="97"/>
        <v>657217.19582056534</v>
      </c>
      <c r="V131" s="58">
        <f t="shared" si="97"/>
        <v>670361.53973697661</v>
      </c>
      <c r="W131" s="58">
        <f t="shared" si="97"/>
        <v>683768.77053171617</v>
      </c>
      <c r="X131" s="58">
        <f t="shared" si="97"/>
        <v>697444.1459423505</v>
      </c>
      <c r="Y131" s="58">
        <f t="shared" si="97"/>
        <v>711393.02886119753</v>
      </c>
      <c r="Z131" s="58">
        <f t="shared" si="97"/>
        <v>725620.88943842147</v>
      </c>
    </row>
    <row r="132" spans="2:26">
      <c r="B132" s="15"/>
    </row>
    <row r="133" spans="2:26" ht="15.75">
      <c r="B133" s="687" t="s">
        <v>618</v>
      </c>
      <c r="C133" s="687"/>
      <c r="D133" s="687"/>
      <c r="E133" s="687"/>
      <c r="F133" s="550">
        <v>0</v>
      </c>
      <c r="G133" s="550">
        <v>0</v>
      </c>
      <c r="H133" s="550">
        <v>0</v>
      </c>
      <c r="I133" s="550">
        <f t="shared" ref="I133:Z133" si="98">+I127-I131</f>
        <v>387927.18162439065</v>
      </c>
      <c r="J133" s="550">
        <f t="shared" si="98"/>
        <v>795484.32778906089</v>
      </c>
      <c r="K133" s="550">
        <f t="shared" si="98"/>
        <v>811394.01434484217</v>
      </c>
      <c r="L133" s="550">
        <f t="shared" si="98"/>
        <v>827621.89463173912</v>
      </c>
      <c r="M133" s="550">
        <f t="shared" si="98"/>
        <v>844174.33252437401</v>
      </c>
      <c r="N133" s="550">
        <f t="shared" si="98"/>
        <v>860621.35734810436</v>
      </c>
      <c r="O133" s="550">
        <f t="shared" si="98"/>
        <v>877833.78449506639</v>
      </c>
      <c r="P133" s="550">
        <f t="shared" si="98"/>
        <v>895390.46018496784</v>
      </c>
      <c r="Q133" s="550">
        <f t="shared" si="98"/>
        <v>913298.26938866707</v>
      </c>
      <c r="R133" s="550">
        <f t="shared" si="98"/>
        <v>931564.23477644078</v>
      </c>
      <c r="S133" s="550">
        <f t="shared" si="98"/>
        <v>950195.51947196934</v>
      </c>
      <c r="T133" s="550">
        <f t="shared" si="98"/>
        <v>969199.42986140854</v>
      </c>
      <c r="U133" s="550">
        <f t="shared" si="98"/>
        <v>988583.41845863685</v>
      </c>
      <c r="V133" s="550">
        <f t="shared" si="98"/>
        <v>1008355.0868278097</v>
      </c>
      <c r="W133" s="550">
        <f t="shared" si="98"/>
        <v>1028522.1885643661</v>
      </c>
      <c r="X133" s="550">
        <f t="shared" si="98"/>
        <v>1049092.6323356535</v>
      </c>
      <c r="Y133" s="550">
        <f t="shared" si="98"/>
        <v>1070074.4849823662</v>
      </c>
      <c r="Z133" s="550">
        <f t="shared" si="98"/>
        <v>1091475.9746820137</v>
      </c>
    </row>
    <row r="134" spans="2:26" ht="15.75">
      <c r="B134" s="688" t="s">
        <v>619</v>
      </c>
      <c r="C134" s="689"/>
      <c r="D134" s="689"/>
      <c r="E134" s="689"/>
      <c r="F134" s="690" t="str">
        <f>+IFERROR(F133/F127,"")</f>
        <v/>
      </c>
      <c r="G134" s="690" t="str">
        <f t="shared" ref="G134:H134" si="99">+IFERROR(G133/G127,"")</f>
        <v/>
      </c>
      <c r="H134" s="690" t="str">
        <f t="shared" si="99"/>
        <v/>
      </c>
      <c r="I134" s="691">
        <f t="shared" ref="I134:Z134" si="100">+IFERROR(I133/I127,"")</f>
        <v>0.59786764048375163</v>
      </c>
      <c r="J134" s="691">
        <f t="shared" si="100"/>
        <v>0.60097484915369903</v>
      </c>
      <c r="K134" s="691">
        <f t="shared" si="100"/>
        <v>0.60097484915369903</v>
      </c>
      <c r="L134" s="691">
        <f t="shared" si="100"/>
        <v>0.60097484915369903</v>
      </c>
      <c r="M134" s="691">
        <f t="shared" si="100"/>
        <v>0.60097484915369903</v>
      </c>
      <c r="N134" s="691">
        <f t="shared" si="100"/>
        <v>0.60067022085272381</v>
      </c>
      <c r="O134" s="741">
        <f t="shared" si="100"/>
        <v>0.60067022085272381</v>
      </c>
      <c r="P134" s="691">
        <f t="shared" si="100"/>
        <v>0.60067022085272381</v>
      </c>
      <c r="Q134" s="691">
        <f t="shared" si="100"/>
        <v>0.60067022085272381</v>
      </c>
      <c r="R134" s="691">
        <f t="shared" si="100"/>
        <v>0.60067022085272392</v>
      </c>
      <c r="S134" s="691">
        <f t="shared" si="100"/>
        <v>0.60067022085272381</v>
      </c>
      <c r="T134" s="691">
        <f t="shared" si="100"/>
        <v>0.60067022085272381</v>
      </c>
      <c r="U134" s="691">
        <f t="shared" si="100"/>
        <v>0.60067022085272381</v>
      </c>
      <c r="V134" s="691">
        <f t="shared" si="100"/>
        <v>0.60067022085272381</v>
      </c>
      <c r="W134" s="691">
        <f t="shared" si="100"/>
        <v>0.60067022085272381</v>
      </c>
      <c r="X134" s="691">
        <f t="shared" si="100"/>
        <v>0.60067022085272392</v>
      </c>
      <c r="Y134" s="691">
        <f t="shared" si="100"/>
        <v>0.6006702208527237</v>
      </c>
      <c r="Z134" s="691">
        <f t="shared" si="100"/>
        <v>0.60067022085272381</v>
      </c>
    </row>
    <row r="135" spans="2:26" ht="15.75">
      <c r="B135" s="688" t="s">
        <v>568</v>
      </c>
      <c r="C135" s="689"/>
      <c r="D135" s="689"/>
      <c r="E135" s="689"/>
      <c r="F135" s="692">
        <v>0</v>
      </c>
      <c r="G135" s="692">
        <v>0</v>
      </c>
      <c r="H135" s="692">
        <v>0</v>
      </c>
      <c r="I135" s="697">
        <f>I133/0.065</f>
        <v>5968110.4865290867</v>
      </c>
      <c r="J135" s="697">
        <f>J133/0.065</f>
        <v>12238220.427524013</v>
      </c>
      <c r="K135" s="692">
        <f>K133/Assumptions!$O$135</f>
        <v>12482984.836074494</v>
      </c>
      <c r="L135" s="692">
        <f>L133/Assumptions!$O$135</f>
        <v>12732644.532795986</v>
      </c>
      <c r="M135" s="692">
        <f>M133/Assumptions!$O$135</f>
        <v>12987297.423451908</v>
      </c>
      <c r="N135" s="692">
        <f>N133/Assumptions!$O$135</f>
        <v>13240328.57458622</v>
      </c>
      <c r="O135" s="692">
        <f>O133/Assumptions!$O$135</f>
        <v>13505135.146077944</v>
      </c>
      <c r="P135" s="692">
        <f>P133/Assumptions!$O$135</f>
        <v>13775237.848999504</v>
      </c>
      <c r="Q135" s="692">
        <f>Q133/Assumptions!$O$135</f>
        <v>14050742.605979493</v>
      </c>
      <c r="R135" s="692">
        <f>R133/Assumptions!$O$135</f>
        <v>14331757.458099088</v>
      </c>
      <c r="S135" s="692">
        <f>S133/Assumptions!$O$135</f>
        <v>14618392.607261065</v>
      </c>
      <c r="T135" s="692">
        <f>T133/Assumptions!$O$135</f>
        <v>14910760.459406285</v>
      </c>
      <c r="U135" s="692">
        <f>U133/Assumptions!$O$135</f>
        <v>15208975.668594413</v>
      </c>
      <c r="V135" s="692">
        <f>V133/Assumptions!$O$135</f>
        <v>15513155.181966303</v>
      </c>
      <c r="W135" s="692">
        <f>W133/Assumptions!$O$135</f>
        <v>15823418.285605632</v>
      </c>
      <c r="X135" s="692">
        <f>X133/Assumptions!$O$135</f>
        <v>16139886.651317745</v>
      </c>
      <c r="Y135" s="692">
        <f>Y133/Assumptions!$O$135</f>
        <v>16462684.384344095</v>
      </c>
      <c r="Z135" s="692">
        <f>Z133/Assumptions!$O$135</f>
        <v>16791938.07203098</v>
      </c>
    </row>
    <row r="137" spans="2:26" ht="15.75">
      <c r="B137" s="687" t="s">
        <v>624</v>
      </c>
      <c r="C137" s="687"/>
      <c r="D137" s="687"/>
      <c r="E137" s="687"/>
      <c r="F137" s="550">
        <f t="shared" ref="F137:H137" ca="1" si="101">+F133+F111+F90+F69+F48+F25</f>
        <v>0</v>
      </c>
      <c r="G137" s="550">
        <f t="shared" ca="1" si="101"/>
        <v>0</v>
      </c>
      <c r="H137" s="550">
        <f t="shared" ca="1" si="101"/>
        <v>0</v>
      </c>
      <c r="I137" s="550">
        <f t="shared" ref="I137:Z137" ca="1" si="102">+I133+I111+I90+I69+I48+I25</f>
        <v>16258812.412538307</v>
      </c>
      <c r="J137" s="550">
        <f t="shared" ca="1" si="102"/>
        <v>32571889.70033763</v>
      </c>
      <c r="K137" s="550">
        <f t="shared" ca="1" si="102"/>
        <v>32978164.717661828</v>
      </c>
      <c r="L137" s="550">
        <f t="shared" ca="1" si="102"/>
        <v>35339589.367561653</v>
      </c>
      <c r="M137" s="550">
        <f t="shared" ca="1" si="102"/>
        <v>35771537.997963987</v>
      </c>
      <c r="N137" s="550">
        <f t="shared" ca="1" si="102"/>
        <v>36216481.355056435</v>
      </c>
      <c r="O137" s="550">
        <f t="shared" ca="1" si="102"/>
        <v>36675696.023503564</v>
      </c>
      <c r="P137" s="550">
        <f t="shared" ca="1" si="102"/>
        <v>37149179.0471773</v>
      </c>
      <c r="Q137" s="550">
        <f t="shared" ca="1" si="102"/>
        <v>39774126.025067486</v>
      </c>
      <c r="R137" s="550">
        <f t="shared" ca="1" si="102"/>
        <v>40277472.759510107</v>
      </c>
      <c r="S137" s="550">
        <f t="shared" ca="1" si="102"/>
        <v>40796441.920303121</v>
      </c>
      <c r="T137" s="550">
        <f t="shared" ca="1" si="102"/>
        <v>41331512.620723374</v>
      </c>
      <c r="U137" s="550">
        <f t="shared" ca="1" si="102"/>
        <v>41883178.556255758</v>
      </c>
      <c r="V137" s="550">
        <f t="shared" ca="1" si="102"/>
        <v>44802381.927268177</v>
      </c>
      <c r="W137" s="550">
        <f t="shared" ca="1" si="102"/>
        <v>45388779.96985659</v>
      </c>
      <c r="X137" s="550">
        <f t="shared" ca="1" si="102"/>
        <v>45993346.310749985</v>
      </c>
      <c r="Y137" s="550">
        <f t="shared" ca="1" si="102"/>
        <v>46616637.526038058</v>
      </c>
      <c r="Z137" s="550">
        <f t="shared" ca="1" si="102"/>
        <v>47259227.119636014</v>
      </c>
    </row>
    <row r="139" spans="2:26" ht="15.75">
      <c r="B139" s="735" t="s">
        <v>625</v>
      </c>
      <c r="F139" s="75">
        <f>+Assumptions!$G$22</f>
        <v>44926</v>
      </c>
      <c r="G139" s="75">
        <f>+EOMONTH(F139,12)</f>
        <v>45291</v>
      </c>
      <c r="H139" s="75">
        <f t="shared" ref="H139:Z139" si="103">+EOMONTH(G139,12)</f>
        <v>45657</v>
      </c>
      <c r="I139" s="75">
        <f t="shared" si="103"/>
        <v>46022</v>
      </c>
      <c r="J139" s="75">
        <f t="shared" si="103"/>
        <v>46387</v>
      </c>
      <c r="K139" s="75">
        <f t="shared" si="103"/>
        <v>46752</v>
      </c>
      <c r="L139" s="75">
        <f t="shared" si="103"/>
        <v>47118</v>
      </c>
      <c r="M139" s="75">
        <f t="shared" si="103"/>
        <v>47483</v>
      </c>
      <c r="N139" s="75">
        <f t="shared" si="103"/>
        <v>47848</v>
      </c>
      <c r="O139" s="75">
        <f t="shared" si="103"/>
        <v>48213</v>
      </c>
      <c r="P139" s="75">
        <f t="shared" si="103"/>
        <v>48579</v>
      </c>
      <c r="Q139" s="75">
        <f t="shared" si="103"/>
        <v>48944</v>
      </c>
      <c r="R139" s="75">
        <f t="shared" si="103"/>
        <v>49309</v>
      </c>
      <c r="S139" s="75">
        <f t="shared" si="103"/>
        <v>49674</v>
      </c>
      <c r="T139" s="75">
        <f t="shared" si="103"/>
        <v>50040</v>
      </c>
      <c r="U139" s="75">
        <f t="shared" si="103"/>
        <v>50405</v>
      </c>
      <c r="V139" s="75">
        <f t="shared" si="103"/>
        <v>50770</v>
      </c>
      <c r="W139" s="75">
        <f t="shared" si="103"/>
        <v>51135</v>
      </c>
      <c r="X139" s="75">
        <f t="shared" si="103"/>
        <v>51501</v>
      </c>
      <c r="Y139" s="75">
        <f t="shared" si="103"/>
        <v>51866</v>
      </c>
      <c r="Z139" s="75">
        <f t="shared" si="103"/>
        <v>52231</v>
      </c>
    </row>
    <row r="140" spans="2:26">
      <c r="B140" s="15" t="s">
        <v>626</v>
      </c>
      <c r="F140" s="16">
        <v>0</v>
      </c>
      <c r="G140" s="16">
        <f t="shared" ref="G140:T140" ca="1" si="104">+F143</f>
        <v>0</v>
      </c>
      <c r="H140" s="16">
        <f t="shared" ca="1" si="104"/>
        <v>0</v>
      </c>
      <c r="I140" s="16">
        <f t="shared" ca="1" si="104"/>
        <v>0</v>
      </c>
      <c r="J140" s="16">
        <f t="shared" ca="1" si="104"/>
        <v>216331229.55182171</v>
      </c>
      <c r="K140" s="16">
        <f t="shared" ca="1" si="104"/>
        <v>213632627.77898088</v>
      </c>
      <c r="L140" s="16">
        <f t="shared" ca="1" si="104"/>
        <v>210758616.89090541</v>
      </c>
      <c r="M140" s="16">
        <f t="shared" ca="1" si="104"/>
        <v>207697795.29510504</v>
      </c>
      <c r="N140" s="16">
        <f t="shared" ca="1" si="104"/>
        <v>204438020.29557765</v>
      </c>
      <c r="O140" s="16">
        <f t="shared" ca="1" si="104"/>
        <v>200966359.92108098</v>
      </c>
      <c r="P140" s="16">
        <f t="shared" ca="1" si="104"/>
        <v>197269041.622242</v>
      </c>
      <c r="Q140" s="16">
        <f t="shared" ca="1" si="104"/>
        <v>193331397.63397852</v>
      </c>
      <c r="R140" s="16">
        <f t="shared" ca="1" si="104"/>
        <v>189137806.78647789</v>
      </c>
      <c r="S140" s="16">
        <f t="shared" ca="1" si="104"/>
        <v>184671632.53388974</v>
      </c>
      <c r="T140" s="16">
        <f t="shared" ca="1" si="104"/>
        <v>179915156.95488334</v>
      </c>
      <c r="U140" s="16">
        <f t="shared" ref="U140:Z140" ca="1" si="105">+T143</f>
        <v>174849510.46324152</v>
      </c>
      <c r="V140" s="16">
        <f t="shared" ca="1" si="105"/>
        <v>169454596.94964299</v>
      </c>
      <c r="W140" s="16">
        <f t="shared" ca="1" si="105"/>
        <v>163709014.05766055</v>
      </c>
      <c r="X140" s="16">
        <f t="shared" ca="1" si="105"/>
        <v>157589968.27769926</v>
      </c>
      <c r="Y140" s="16">
        <f t="shared" ca="1" si="105"/>
        <v>151073184.52204049</v>
      </c>
      <c r="Z140" s="16">
        <f t="shared" ca="1" si="105"/>
        <v>144132809.8222639</v>
      </c>
    </row>
    <row r="141" spans="2:26">
      <c r="B141" s="15" t="s">
        <v>627</v>
      </c>
      <c r="F141" s="76">
        <f>+IF(YEAR(F$139)=YEAR(Assumptions!$G$26),'S&amp;U'!$S$17,0)</f>
        <v>0</v>
      </c>
      <c r="G141" s="76">
        <f>+IF(YEAR(G$139)=YEAR(Assumptions!$G$26),'S&amp;U'!$S$17,0)</f>
        <v>0</v>
      </c>
      <c r="H141" s="76">
        <f>+IF(YEAR(H$139)=YEAR(Assumptions!$G$26),'S&amp;U'!$S$17,0)</f>
        <v>0</v>
      </c>
      <c r="I141" s="76">
        <f ca="1">+IF(YEAR(I$139)=YEAR(Assumptions!$G$26),'S&amp;U'!$S$17,0)</f>
        <v>218865127.930076</v>
      </c>
      <c r="J141" s="76">
        <f>+IF(YEAR(J$139)=YEAR(Assumptions!$G$26),'S&amp;U'!$S$17,0)</f>
        <v>0</v>
      </c>
      <c r="K141" s="76">
        <f>+IF(YEAR(K$139)=YEAR(Assumptions!$G$26),'S&amp;U'!$S$17,0)</f>
        <v>0</v>
      </c>
      <c r="L141" s="76">
        <f>+IF(YEAR(L$139)=YEAR(Assumptions!$G$26),'S&amp;U'!$S$17,0)</f>
        <v>0</v>
      </c>
      <c r="M141" s="76">
        <f>+IF(YEAR(M$139)=YEAR(Assumptions!$G$26),'S&amp;U'!$S$17,0)</f>
        <v>0</v>
      </c>
      <c r="N141" s="76">
        <f>+IF(YEAR(N$139)=YEAR(Assumptions!$G$26),'S&amp;U'!$S$17,0)</f>
        <v>0</v>
      </c>
      <c r="O141" s="76">
        <f>+IF(YEAR(O$139)=YEAR(Assumptions!$G$26),'S&amp;U'!$S$17,0)</f>
        <v>0</v>
      </c>
      <c r="P141" s="76">
        <f>+IF(YEAR(P$139)=YEAR(Assumptions!$G$26),'S&amp;U'!$S$17,0)</f>
        <v>0</v>
      </c>
      <c r="Q141" s="76">
        <f>+IF(YEAR(Q$139)=YEAR(Assumptions!$G$26),'S&amp;U'!$S$17,0)</f>
        <v>0</v>
      </c>
      <c r="R141" s="76">
        <f>+IF(YEAR(R$139)=YEAR(Assumptions!$G$26),'S&amp;U'!$S$17,0)</f>
        <v>0</v>
      </c>
      <c r="S141" s="76">
        <f>+IF(YEAR(S$139)=YEAR(Assumptions!$G$26),'S&amp;U'!$S$17,0)</f>
        <v>0</v>
      </c>
      <c r="T141" s="76">
        <f>+IF(YEAR(T$139)=YEAR(Assumptions!$G$26),'S&amp;U'!$S$17,0)</f>
        <v>0</v>
      </c>
      <c r="U141" s="76">
        <f>+IF(YEAR(U$139)=YEAR(Assumptions!$G$26),'S&amp;U'!$S$17,0)</f>
        <v>0</v>
      </c>
      <c r="V141" s="76">
        <f>+IF(YEAR(V$139)=YEAR(Assumptions!$G$26),'S&amp;U'!$S$17,0)</f>
        <v>0</v>
      </c>
      <c r="W141" s="76">
        <f>+IF(YEAR(W$139)=YEAR(Assumptions!$G$26),'S&amp;U'!$S$17,0)</f>
        <v>0</v>
      </c>
      <c r="X141" s="76">
        <f>+IF(YEAR(X$139)=YEAR(Assumptions!$G$26),'S&amp;U'!$S$17,0)</f>
        <v>0</v>
      </c>
      <c r="Y141" s="76">
        <f>+IF(YEAR(Y$139)=YEAR(Assumptions!$G$26),'S&amp;U'!$S$17,0)</f>
        <v>0</v>
      </c>
      <c r="Z141" s="76">
        <f>+IF(YEAR(Z$139)=YEAR(Assumptions!$G$26),'S&amp;U'!$S$17,0)</f>
        <v>0</v>
      </c>
    </row>
    <row r="142" spans="2:26">
      <c r="B142" s="15" t="s">
        <v>261</v>
      </c>
      <c r="F142" s="76">
        <f ca="1">+IFERROR(PPMT(Assumptions!$O$151,F1,Assumptions!$O$153,'S&amp;U'!$S$17),0)</f>
        <v>0</v>
      </c>
      <c r="G142" s="76">
        <f ca="1">+IFERROR(PPMT(Assumptions!$O$151,G1,Assumptions!$O$153,'S&amp;U'!$S$17),0)</f>
        <v>0</v>
      </c>
      <c r="H142" s="76">
        <f ca="1">+IFERROR(PPMT(Assumptions!$O$151,H1,Assumptions!$O$153,'S&amp;U'!$S$17),0)</f>
        <v>0</v>
      </c>
      <c r="I142" s="76">
        <f ca="1">+IFERROR(PPMT(Assumptions!$O$151,I1,Assumptions!$O$153,'S&amp;U'!$S$17),0)</f>
        <v>-2533898.3782542874</v>
      </c>
      <c r="J142" s="76">
        <f ca="1">+IFERROR(PPMT(Assumptions!$O$151,J1,Assumptions!$O$153,'S&amp;U'!$S$17),0)</f>
        <v>-2698601.7728408156</v>
      </c>
      <c r="K142" s="76">
        <f ca="1">+IFERROR(PPMT(Assumptions!$O$151,K1,Assumptions!$O$153,'S&amp;U'!$S$17),0)</f>
        <v>-2874010.8880754691</v>
      </c>
      <c r="L142" s="76">
        <f ca="1">+IFERROR(PPMT(Assumptions!$O$151,L1,Assumptions!$O$153,'S&amp;U'!$S$17),0)</f>
        <v>-3060821.5958003742</v>
      </c>
      <c r="M142" s="76">
        <f ca="1">+IFERROR(PPMT(Assumptions!$O$151,M1,Assumptions!$O$153,'S&amp;U'!$S$17),0)</f>
        <v>-3259774.999527399</v>
      </c>
      <c r="N142" s="76">
        <f ca="1">+IFERROR(PPMT(Assumptions!$O$151,N1,Assumptions!$O$153,'S&amp;U'!$S$17),0)</f>
        <v>-3471660.3744966798</v>
      </c>
      <c r="O142" s="76">
        <f ca="1">+IFERROR(PPMT(Assumptions!$O$151,O1,Assumptions!$O$153,'S&amp;U'!$S$17),0)</f>
        <v>-3697318.2988389633</v>
      </c>
      <c r="P142" s="76">
        <f ca="1">+IFERROR(PPMT(Assumptions!$O$151,P1,Assumptions!$O$153,'S&amp;U'!$S$17),0)</f>
        <v>-3937643.9882634967</v>
      </c>
      <c r="Q142" s="76">
        <f ca="1">+IFERROR(PPMT(Assumptions!$O$151,Q1,Assumptions!$O$153,'S&amp;U'!$S$17),0)</f>
        <v>-4193590.8475006237</v>
      </c>
      <c r="R142" s="76">
        <f ca="1">+IFERROR(PPMT(Assumptions!$O$151,R1,Assumptions!$O$153,'S&amp;U'!$S$17),0)</f>
        <v>-4466174.2525881641</v>
      </c>
      <c r="S142" s="76">
        <f ca="1">+IFERROR(PPMT(Assumptions!$O$151,S1,Assumptions!$O$153,'S&amp;U'!$S$17),0)</f>
        <v>-4756475.5790063962</v>
      </c>
      <c r="T142" s="76">
        <f ca="1">+IFERROR(PPMT(Assumptions!$O$151,T1,Assumptions!$O$153,'S&amp;U'!$S$17),0)</f>
        <v>-5065646.4916418111</v>
      </c>
      <c r="U142" s="76">
        <f ca="1">+IFERROR(PPMT(Assumptions!$O$151,U1,Assumptions!$O$153,'S&amp;U'!$S$17),0)</f>
        <v>-5394913.5135985287</v>
      </c>
      <c r="V142" s="76">
        <f ca="1">+IFERROR(PPMT(Assumptions!$O$151,V1,Assumptions!$O$153,'S&amp;U'!$S$17),0)</f>
        <v>-5745582.8919824334</v>
      </c>
      <c r="W142" s="76">
        <f ca="1">+IFERROR(PPMT(Assumptions!$O$151,W1,Assumptions!$O$153,'S&amp;U'!$S$17),0)</f>
        <v>-6119045.7799612917</v>
      </c>
      <c r="X142" s="76">
        <f ca="1">+IFERROR(PPMT(Assumptions!$O$151,X1,Assumptions!$O$153,'S&amp;U'!$S$17),0)</f>
        <v>-6516783.7556587756</v>
      </c>
      <c r="Y142" s="76">
        <f ca="1">+IFERROR(PPMT(Assumptions!$O$151,Y1,Assumptions!$O$153,'S&amp;U'!$S$17),0)</f>
        <v>-6940374.6997765955</v>
      </c>
      <c r="Z142" s="76">
        <f ca="1">+IFERROR(PPMT(Assumptions!$O$151,Z1,Assumptions!$O$153,'S&amp;U'!$S$17),0)</f>
        <v>-7391499.0552620748</v>
      </c>
    </row>
    <row r="143" spans="2:26">
      <c r="B143" s="15" t="s">
        <v>628</v>
      </c>
      <c r="F143" s="76">
        <f t="shared" ref="F143:N143" ca="1" si="106">+SUM(F140:F142)</f>
        <v>0</v>
      </c>
      <c r="G143" s="76">
        <f t="shared" ca="1" si="106"/>
        <v>0</v>
      </c>
      <c r="H143" s="76">
        <f t="shared" ca="1" si="106"/>
        <v>0</v>
      </c>
      <c r="I143" s="76">
        <f t="shared" ca="1" si="106"/>
        <v>216331229.55182171</v>
      </c>
      <c r="J143" s="76">
        <f t="shared" ca="1" si="106"/>
        <v>213632627.77898088</v>
      </c>
      <c r="K143" s="76">
        <f t="shared" ca="1" si="106"/>
        <v>210758616.89090541</v>
      </c>
      <c r="L143" s="76">
        <f t="shared" ca="1" si="106"/>
        <v>207697795.29510504</v>
      </c>
      <c r="M143" s="76">
        <f t="shared" ca="1" si="106"/>
        <v>204438020.29557765</v>
      </c>
      <c r="N143" s="76">
        <f t="shared" ca="1" si="106"/>
        <v>200966359.92108098</v>
      </c>
      <c r="O143" s="76">
        <f t="shared" ref="O143:S143" ca="1" si="107">+SUM(O140:O142)</f>
        <v>197269041.622242</v>
      </c>
      <c r="P143" s="76">
        <f t="shared" ca="1" si="107"/>
        <v>193331397.63397852</v>
      </c>
      <c r="Q143" s="76">
        <f t="shared" ca="1" si="107"/>
        <v>189137806.78647789</v>
      </c>
      <c r="R143" s="76">
        <f t="shared" ca="1" si="107"/>
        <v>184671632.53388974</v>
      </c>
      <c r="S143" s="76">
        <f t="shared" ca="1" si="107"/>
        <v>179915156.95488334</v>
      </c>
      <c r="T143" s="76">
        <f t="shared" ref="T143:Z143" ca="1" si="108">+SUM(T140:T142)</f>
        <v>174849510.46324152</v>
      </c>
      <c r="U143" s="76">
        <f t="shared" ca="1" si="108"/>
        <v>169454596.94964299</v>
      </c>
      <c r="V143" s="76">
        <f t="shared" ca="1" si="108"/>
        <v>163709014.05766055</v>
      </c>
      <c r="W143" s="76">
        <f t="shared" ca="1" si="108"/>
        <v>157589968.27769926</v>
      </c>
      <c r="X143" s="76">
        <f t="shared" ca="1" si="108"/>
        <v>151073184.52204049</v>
      </c>
      <c r="Y143" s="76">
        <f t="shared" ca="1" si="108"/>
        <v>144132809.8222639</v>
      </c>
      <c r="Z143" s="76">
        <f t="shared" ca="1" si="108"/>
        <v>136741310.76700181</v>
      </c>
    </row>
    <row r="145" spans="2:26">
      <c r="B145" s="21" t="s">
        <v>629</v>
      </c>
      <c r="F145" s="16">
        <f ca="1">-IFERROR(IPMT(Assumptions!$O$151,F1,Assumptions!$O$153,'S&amp;U'!$S$17),0)</f>
        <v>0</v>
      </c>
      <c r="G145" s="16">
        <f ca="1">-IFERROR(IPMT(Assumptions!$O$151,G1,Assumptions!$O$153,'S&amp;U'!$S$17),0)</f>
        <v>0</v>
      </c>
      <c r="H145" s="16">
        <f ca="1">-IFERROR(IPMT(Assumptions!$O$151,H1,Assumptions!$O$153,'S&amp;U'!$S$17),0)</f>
        <v>0</v>
      </c>
      <c r="I145" s="16">
        <f ca="1">-IFERROR(IPMT(Assumptions!$O$151,I1,Assumptions!$O$153,'S&amp;U'!$S$17),0)</f>
        <v>14226233.315454941</v>
      </c>
      <c r="J145" s="16">
        <f ca="1">-IFERROR(IPMT(Assumptions!$O$151,J1,Assumptions!$O$153,'S&amp;U'!$S$17),0)</f>
        <v>14061529.920868414</v>
      </c>
      <c r="K145" s="16">
        <f ca="1">-IFERROR(IPMT(Assumptions!$O$151,K1,Assumptions!$O$153,'S&amp;U'!$S$17),0)</f>
        <v>13886120.805633759</v>
      </c>
      <c r="L145" s="16">
        <f ca="1">-IFERROR(IPMT(Assumptions!$O$151,L1,Assumptions!$O$153,'S&amp;U'!$S$17),0)</f>
        <v>13699310.097908854</v>
      </c>
      <c r="M145" s="16">
        <f ca="1">-IFERROR(IPMT(Assumptions!$O$151,M1,Assumptions!$O$153,'S&amp;U'!$S$17),0)</f>
        <v>13500356.694181828</v>
      </c>
      <c r="N145" s="16">
        <f ca="1">-IFERROR(IPMT(Assumptions!$O$151,N1,Assumptions!$O$153,'S&amp;U'!$S$17),0)</f>
        <v>13288471.319212547</v>
      </c>
      <c r="O145" s="16">
        <f ca="1">-IFERROR(IPMT(Assumptions!$O$151,O1,Assumptions!$O$153,'S&amp;U'!$S$17),0)</f>
        <v>13062813.394870266</v>
      </c>
      <c r="P145" s="16">
        <f ca="1">-IFERROR(IPMT(Assumptions!$O$151,P1,Assumptions!$O$153,'S&amp;U'!$S$17),0)</f>
        <v>12822487.705445733</v>
      </c>
      <c r="Q145" s="16">
        <f ca="1">-IFERROR(IPMT(Assumptions!$O$151,Q1,Assumptions!$O$153,'S&amp;U'!$S$17),0)</f>
        <v>12566540.846208604</v>
      </c>
      <c r="R145" s="16">
        <f ca="1">-IFERROR(IPMT(Assumptions!$O$151,R1,Assumptions!$O$153,'S&amp;U'!$S$17),0)</f>
        <v>12293957.441121064</v>
      </c>
      <c r="S145" s="16">
        <f ca="1">-IFERROR(IPMT(Assumptions!$O$151,S1,Assumptions!$O$153,'S&amp;U'!$S$17),0)</f>
        <v>12003656.114702834</v>
      </c>
      <c r="T145" s="16">
        <f ca="1">-IFERROR(IPMT(Assumptions!$O$151,T1,Assumptions!$O$153,'S&amp;U'!$S$17),0)</f>
        <v>11694485.202067418</v>
      </c>
      <c r="U145" s="16">
        <f ca="1">-IFERROR(IPMT(Assumptions!$O$151,U1,Assumptions!$O$153,'S&amp;U'!$S$17),0)</f>
        <v>11365218.180110699</v>
      </c>
      <c r="V145" s="16">
        <f ca="1">-IFERROR(IPMT(Assumptions!$O$151,V1,Assumptions!$O$153,'S&amp;U'!$S$17),0)</f>
        <v>11014548.801726796</v>
      </c>
      <c r="W145" s="16">
        <f ca="1">-IFERROR(IPMT(Assumptions!$O$151,W1,Assumptions!$O$153,'S&amp;U'!$S$17),0)</f>
        <v>10641085.913747936</v>
      </c>
      <c r="X145" s="16">
        <f ca="1">-IFERROR(IPMT(Assumptions!$O$151,X1,Assumptions!$O$153,'S&amp;U'!$S$17),0)</f>
        <v>10243347.938050453</v>
      </c>
      <c r="Y145" s="16">
        <f ca="1">-IFERROR(IPMT(Assumptions!$O$151,Y1,Assumptions!$O$153,'S&amp;U'!$S$17),0)</f>
        <v>9819756.9939326327</v>
      </c>
      <c r="Z145" s="16">
        <f ca="1">-IFERROR(IPMT(Assumptions!$O$151,Z1,Assumptions!$O$153,'S&amp;U'!$S$17),0)</f>
        <v>9368632.6384471543</v>
      </c>
    </row>
    <row r="146" spans="2:26">
      <c r="B146" s="62" t="s">
        <v>630</v>
      </c>
      <c r="C146" s="62"/>
      <c r="D146" s="62"/>
      <c r="E146" s="62"/>
      <c r="F146" s="58">
        <f t="shared" ref="F146:K146" ca="1" si="109">+F145-F142</f>
        <v>0</v>
      </c>
      <c r="G146" s="58">
        <f t="shared" ca="1" si="109"/>
        <v>0</v>
      </c>
      <c r="H146" s="58">
        <f t="shared" ca="1" si="109"/>
        <v>0</v>
      </c>
      <c r="I146" s="58">
        <f t="shared" ca="1" si="109"/>
        <v>16760131.693709228</v>
      </c>
      <c r="J146" s="58">
        <f t="shared" ca="1" si="109"/>
        <v>16760131.693709228</v>
      </c>
      <c r="K146" s="58">
        <f t="shared" ca="1" si="109"/>
        <v>16760131.693709228</v>
      </c>
      <c r="L146" s="58">
        <f ca="1">+L145-L142</f>
        <v>16760131.693709228</v>
      </c>
      <c r="M146" s="58">
        <f t="shared" ref="M146:Z146" ca="1" si="110">+M145-M142</f>
        <v>16760131.693709226</v>
      </c>
      <c r="N146" s="58">
        <f t="shared" ca="1" si="110"/>
        <v>16760131.693709226</v>
      </c>
      <c r="O146" s="58">
        <f t="shared" ca="1" si="110"/>
        <v>16760131.69370923</v>
      </c>
      <c r="P146" s="58">
        <f t="shared" ca="1" si="110"/>
        <v>16760131.69370923</v>
      </c>
      <c r="Q146" s="58">
        <f t="shared" ca="1" si="110"/>
        <v>16760131.693709228</v>
      </c>
      <c r="R146" s="58">
        <f t="shared" ca="1" si="110"/>
        <v>16760131.693709228</v>
      </c>
      <c r="S146" s="58">
        <f t="shared" ca="1" si="110"/>
        <v>16760131.69370923</v>
      </c>
      <c r="T146" s="58">
        <f t="shared" ca="1" si="110"/>
        <v>16760131.693709228</v>
      </c>
      <c r="U146" s="58">
        <f t="shared" ca="1" si="110"/>
        <v>16760131.693709228</v>
      </c>
      <c r="V146" s="58">
        <f t="shared" ca="1" si="110"/>
        <v>16760131.693709228</v>
      </c>
      <c r="W146" s="58">
        <f t="shared" ca="1" si="110"/>
        <v>16760131.693709228</v>
      </c>
      <c r="X146" s="58">
        <f t="shared" ca="1" si="110"/>
        <v>16760131.693709228</v>
      </c>
      <c r="Y146" s="58">
        <f t="shared" ca="1" si="110"/>
        <v>16760131.693709228</v>
      </c>
      <c r="Z146" s="58">
        <f t="shared" ca="1" si="110"/>
        <v>16760131.693709228</v>
      </c>
    </row>
    <row r="147" spans="2:26">
      <c r="B147" s="71" t="s">
        <v>259</v>
      </c>
      <c r="F147" s="90" t="str">
        <f ca="1">+IFERROR(F137/F146,"")</f>
        <v/>
      </c>
      <c r="G147" s="90" t="str">
        <f t="shared" ref="G147:Z147" ca="1" si="111">+IFERROR(G137/G146,"")</f>
        <v/>
      </c>
      <c r="H147" s="90" t="str">
        <f t="shared" ca="1" si="111"/>
        <v/>
      </c>
      <c r="I147" s="90" t="str">
        <f t="shared" ca="1" si="111"/>
        <v/>
      </c>
      <c r="J147" s="90">
        <f t="shared" ca="1" si="111"/>
        <v>1.6848900732454863</v>
      </c>
      <c r="K147" s="90" t="str">
        <f t="shared" ca="1" si="111"/>
        <v/>
      </c>
      <c r="L147" s="90">
        <f t="shared" ca="1" si="111"/>
        <v>1.8253817400369259</v>
      </c>
      <c r="M147" s="90" t="str">
        <f t="shared" ca="1" si="111"/>
        <v/>
      </c>
      <c r="N147" s="90" t="str">
        <f t="shared" ca="1" si="111"/>
        <v/>
      </c>
      <c r="O147" s="90" t="str">
        <f t="shared" ca="1" si="111"/>
        <v/>
      </c>
      <c r="P147" s="90" t="str">
        <f t="shared" ca="1" si="111"/>
        <v/>
      </c>
      <c r="Q147" s="90" t="str">
        <f t="shared" ca="1" si="111"/>
        <v/>
      </c>
      <c r="R147" s="90" t="str">
        <f t="shared" ca="1" si="111"/>
        <v/>
      </c>
      <c r="S147" s="90" t="str">
        <f t="shared" ca="1" si="111"/>
        <v/>
      </c>
      <c r="T147" s="90" t="str">
        <f t="shared" ca="1" si="111"/>
        <v/>
      </c>
      <c r="U147" s="90" t="str">
        <f t="shared" ca="1" si="111"/>
        <v/>
      </c>
      <c r="V147" s="90" t="str">
        <f t="shared" ca="1" si="111"/>
        <v/>
      </c>
      <c r="W147" s="90" t="str">
        <f t="shared" ca="1" si="111"/>
        <v/>
      </c>
      <c r="X147" s="90" t="str">
        <f t="shared" ca="1" si="111"/>
        <v/>
      </c>
      <c r="Y147" s="90" t="str">
        <f t="shared" ca="1" si="111"/>
        <v/>
      </c>
      <c r="Z147" s="90" t="str">
        <f t="shared" ca="1" si="111"/>
        <v/>
      </c>
    </row>
    <row r="149" spans="2:26">
      <c r="B149" s="21" t="s">
        <v>255</v>
      </c>
      <c r="F149" s="16">
        <f>+F141*Assumptions!$O$152</f>
        <v>0</v>
      </c>
      <c r="G149" s="16">
        <f>+G141*Assumptions!$O$152</f>
        <v>0</v>
      </c>
      <c r="H149" s="16">
        <f>+H141*Assumptions!$O$152</f>
        <v>0</v>
      </c>
      <c r="I149" s="16">
        <f ca="1">+I141*Assumptions!$O$152</f>
        <v>1641488.4594755699</v>
      </c>
      <c r="J149" s="16">
        <f>+J141*Assumptions!$O$152</f>
        <v>0</v>
      </c>
      <c r="K149" s="16">
        <f>+K141*Assumptions!$O$152</f>
        <v>0</v>
      </c>
      <c r="L149" s="16">
        <f>+L141*Assumptions!$O$152</f>
        <v>0</v>
      </c>
      <c r="M149" s="16">
        <f>+M141*Assumptions!$O$152</f>
        <v>0</v>
      </c>
      <c r="N149" s="16">
        <f>+N141*Assumptions!$O$152</f>
        <v>0</v>
      </c>
      <c r="O149" s="16">
        <f>+O141*Assumptions!$O$152</f>
        <v>0</v>
      </c>
      <c r="P149" s="16">
        <f>+P141*Assumptions!$O$152</f>
        <v>0</v>
      </c>
      <c r="Q149" s="16">
        <f>+Q141*Assumptions!$O$152</f>
        <v>0</v>
      </c>
      <c r="R149" s="16">
        <f>+R141*Assumptions!$O$152</f>
        <v>0</v>
      </c>
      <c r="S149" s="16">
        <f>+S141*Assumptions!$O$152</f>
        <v>0</v>
      </c>
      <c r="T149" s="16">
        <f>+T141*Assumptions!$O$152</f>
        <v>0</v>
      </c>
      <c r="U149" s="16">
        <f>+U141*Assumptions!$O$152</f>
        <v>0</v>
      </c>
      <c r="V149" s="16">
        <f>+V141*Assumptions!$O$152</f>
        <v>0</v>
      </c>
      <c r="W149" s="16">
        <f>+W141*Assumptions!$O$152</f>
        <v>0</v>
      </c>
      <c r="X149" s="16">
        <f>+X141*Assumptions!$O$152</f>
        <v>0</v>
      </c>
      <c r="Y149" s="16">
        <f>+Y141*Assumptions!$O$152</f>
        <v>0</v>
      </c>
      <c r="Z149" s="16">
        <f>+Z141*Assumptions!$O$152</f>
        <v>0</v>
      </c>
    </row>
    <row r="151" spans="2:26" s="82" customFormat="1">
      <c r="B151" s="62" t="s">
        <v>631</v>
      </c>
      <c r="C151" s="62"/>
      <c r="D151" s="62"/>
      <c r="E151" s="62"/>
      <c r="F151" s="58">
        <f ca="1">+F137-F146-F149</f>
        <v>0</v>
      </c>
      <c r="G151" s="58">
        <f t="shared" ref="G151:Z151" ca="1" si="112">+G137-G146-G149</f>
        <v>0</v>
      </c>
      <c r="H151" s="58">
        <f t="shared" ca="1" si="112"/>
        <v>0</v>
      </c>
      <c r="I151" s="58">
        <f ca="1">+I137-I146-I149</f>
        <v>-2142807.7406464913</v>
      </c>
      <c r="J151" s="58">
        <f t="shared" ca="1" si="112"/>
        <v>11478847.823308509</v>
      </c>
      <c r="K151" s="58">
        <f t="shared" ca="1" si="112"/>
        <v>28664405.42852173</v>
      </c>
      <c r="L151" s="58">
        <f t="shared" ca="1" si="112"/>
        <v>13833506.660601754</v>
      </c>
      <c r="M151" s="58">
        <f t="shared" ca="1" si="112"/>
        <v>31040220.330392834</v>
      </c>
      <c r="N151" s="58">
        <f t="shared" ca="1" si="112"/>
        <v>31506824.311002251</v>
      </c>
      <c r="O151" s="58">
        <f t="shared" ca="1" si="112"/>
        <v>31988008.74739961</v>
      </c>
      <c r="P151" s="58">
        <f t="shared" ca="1" si="112"/>
        <v>32478227.845830221</v>
      </c>
      <c r="Q151" s="58">
        <f t="shared" ca="1" si="112"/>
        <v>34629479.116963193</v>
      </c>
      <c r="R151" s="58">
        <f t="shared" ca="1" si="112"/>
        <v>35157154.517917924</v>
      </c>
      <c r="S151" s="58">
        <f t="shared" ca="1" si="112"/>
        <v>35695175.769276939</v>
      </c>
      <c r="T151" s="58">
        <f t="shared" ca="1" si="112"/>
        <v>36256278.798359439</v>
      </c>
      <c r="U151" s="58">
        <f t="shared" ca="1" si="112"/>
        <v>36834870.723649278</v>
      </c>
      <c r="V151" s="58">
        <f t="shared" ca="1" si="112"/>
        <v>39228751.822806872</v>
      </c>
      <c r="W151" s="58">
        <f t="shared" ca="1" si="112"/>
        <v>39843951.285302073</v>
      </c>
      <c r="X151" s="58">
        <f t="shared" ca="1" si="112"/>
        <v>40478302.67753993</v>
      </c>
      <c r="Y151" s="58">
        <f t="shared" ca="1" si="112"/>
        <v>41126032.689141229</v>
      </c>
      <c r="Z151" s="58">
        <f t="shared" ca="1" si="112"/>
        <v>41800471.303975955</v>
      </c>
    </row>
    <row r="153" spans="2:26" ht="15.75">
      <c r="B153" s="73" t="s">
        <v>632</v>
      </c>
    </row>
    <row r="154" spans="2:26">
      <c r="B154" s="15" t="s">
        <v>24</v>
      </c>
      <c r="F154" s="16">
        <f>+IF(YEAR(F$139)=YEAR(Assumptions!$G$30),F135+F113+F92+F71+F50+F27,0)</f>
        <v>0</v>
      </c>
      <c r="G154" s="16">
        <f>+IF(YEAR(G$139)=YEAR(Assumptions!$G$30),G135+G113+G92+G71+G50+G27,0)</f>
        <v>0</v>
      </c>
      <c r="H154" s="16">
        <f>+IF(YEAR(H$139)=YEAR(Assumptions!$G$30),H135+H113+H92+H71+H50+H27,0)</f>
        <v>0</v>
      </c>
      <c r="I154" s="16">
        <f>+IF(YEAR(I$139)=YEAR(Assumptions!$G$30),I135+I113+I92+I71+I50+I27,0)</f>
        <v>0</v>
      </c>
      <c r="J154" s="16">
        <f>+IF(YEAR(J$139)=YEAR(Assumptions!$G$30),J135+J113+J92+J71+J50+J27,0)</f>
        <v>0</v>
      </c>
      <c r="K154" s="16">
        <f>+IF(YEAR(K$139)=YEAR(Assumptions!$G$30),K135+K113+K92+K71+K50+K27,0)</f>
        <v>0</v>
      </c>
      <c r="L154" s="16">
        <f>+IF(YEAR(L$139)=YEAR(Assumptions!$G$30),L135+L113+L92+L71+L50+L27,0)</f>
        <v>0</v>
      </c>
      <c r="M154" s="16">
        <f>+IF(YEAR(M$139)=YEAR(Assumptions!$G$30),M135+M113+M92+M71+M50+M27,0)</f>
        <v>0</v>
      </c>
      <c r="N154" s="16">
        <f>+IF(YEAR(N$139)=YEAR(Assumptions!$G$30),N135+N113+N92+N71+N50+N27,0)</f>
        <v>0</v>
      </c>
      <c r="O154" s="16">
        <f ca="1">+IF(YEAR(O$139)=YEAR(Assumptions!$G$30),O135+O113+O92+O71+O50+O27,0)</f>
        <v>606987550.21892607</v>
      </c>
      <c r="P154" s="16">
        <f>+IF(YEAR(P$139)=YEAR(Assumptions!$G$30),P135+P113+P92+P71+P50+P27,0)</f>
        <v>0</v>
      </c>
      <c r="Q154" s="16">
        <f>+IF(YEAR(Q$139)=YEAR(Assumptions!$G$30),Q135+Q113+Q92+Q71+Q50+Q27,0)</f>
        <v>0</v>
      </c>
      <c r="R154" s="16">
        <f>+IF(YEAR(R$139)=YEAR(Assumptions!$G$30),R135+R113+R92+R71+R50+R27,0)</f>
        <v>0</v>
      </c>
      <c r="S154" s="16">
        <f>+IF(YEAR(S$139)=YEAR(Assumptions!$G$30),S135+S113+S92+S71+S50+S27,0)</f>
        <v>0</v>
      </c>
      <c r="T154" s="16">
        <f>+IF(YEAR(T$139)=YEAR(Assumptions!$G$30),T135+T113+T92+T71+T50+T27,0)</f>
        <v>0</v>
      </c>
      <c r="U154" s="16">
        <f>+IF(YEAR(U$139)=YEAR(Assumptions!$G$30),U135+U113+U92+U71+U50+U27,0)</f>
        <v>0</v>
      </c>
      <c r="V154" s="16">
        <f>+IF(YEAR(V$139)=YEAR(Assumptions!$G$30),V135+V113+V92+V71+V50+V27,0)</f>
        <v>0</v>
      </c>
      <c r="W154" s="16">
        <f>+IF(YEAR(W$139)=YEAR(Assumptions!$G$30),W135+W113+W92+W71+W50+W27,0)</f>
        <v>0</v>
      </c>
      <c r="X154" s="16">
        <f>+IF(YEAR(X$139)=YEAR(Assumptions!$G$30),X135+X113+X92+X71+X50+X27,0)</f>
        <v>0</v>
      </c>
      <c r="Y154" s="16">
        <f>+IF(YEAR(Y$139)=YEAR(Assumptions!$G$30),Y135+Y113+Y92+Y71+Y50+Y27,0)</f>
        <v>0</v>
      </c>
      <c r="Z154" s="16">
        <f>+IF(YEAR(Z$139)=YEAR(Assumptions!$G$30),Z135+Z113+Z92+Z71+Z50+Z27,0)</f>
        <v>0</v>
      </c>
    </row>
    <row r="155" spans="2:26" ht="18">
      <c r="B155" s="100" t="s">
        <v>633</v>
      </c>
      <c r="C155" s="100"/>
      <c r="D155" s="100"/>
      <c r="E155" s="100"/>
      <c r="F155" s="76">
        <f>+IF(YEAR(F$139)=YEAR(Assumptions!$G$26),('S&amp;U'!$I$23-'S&amp;U'!$S$25),0)</f>
        <v>0</v>
      </c>
      <c r="G155" s="76">
        <f>+IF(YEAR(G$139)=YEAR(Assumptions!$G$26),('S&amp;U'!$I$23-'S&amp;U'!$S$25),0)</f>
        <v>0</v>
      </c>
      <c r="H155" s="76">
        <f>+IF(YEAR(H$139)=YEAR(Assumptions!$G$26),('S&amp;U'!$I$23-'S&amp;U'!$S$25),0)</f>
        <v>0</v>
      </c>
      <c r="I155" s="76">
        <f ca="1">+IF(YEAR(I$139)=YEAR(Assumptions!$G$26),('S&amp;U'!$I$23-'S&amp;U'!$S$25),0)</f>
        <v>29280072.373549581</v>
      </c>
      <c r="J155" s="76">
        <f>+IF(YEAR(J$139)=YEAR(Assumptions!$G$26),('S&amp;U'!$I$23-'S&amp;U'!$S$25),0)</f>
        <v>0</v>
      </c>
      <c r="K155" s="76">
        <f>+IF(YEAR(K$139)=YEAR(Assumptions!$G$26),('S&amp;U'!$I$23-'S&amp;U'!$S$25),0)</f>
        <v>0</v>
      </c>
      <c r="L155" s="76">
        <f>+IF(YEAR(L$139)=YEAR(Assumptions!$G$26),('S&amp;U'!$I$23-'S&amp;U'!$S$25),0)</f>
        <v>0</v>
      </c>
      <c r="M155" s="76">
        <f>+IF(YEAR(M$139)=YEAR(Assumptions!$G$26),('S&amp;U'!$I$23-'S&amp;U'!$S$25),0)</f>
        <v>0</v>
      </c>
      <c r="N155" s="76">
        <f>+IF(YEAR(N$139)=YEAR(Assumptions!$G$26),('S&amp;U'!$I$23-'S&amp;U'!$S$25),0)</f>
        <v>0</v>
      </c>
      <c r="O155" s="76">
        <f>+IF(YEAR(O$139)=YEAR(Assumptions!$G$26),('S&amp;U'!$I$23-'S&amp;U'!$S$25),0)</f>
        <v>0</v>
      </c>
      <c r="P155" s="76">
        <f>+IF(YEAR(P$139)=YEAR(Assumptions!$G$26),('S&amp;U'!$I$23-'S&amp;U'!$S$25),0)</f>
        <v>0</v>
      </c>
      <c r="Q155" s="76">
        <f>+IF(YEAR(Q$139)=YEAR(Assumptions!$G$26),('S&amp;U'!$I$23-'S&amp;U'!$S$25),0)</f>
        <v>0</v>
      </c>
      <c r="R155" s="76">
        <f>+IF(YEAR(R$139)=YEAR(Assumptions!$G$26),('S&amp;U'!$I$23-'S&amp;U'!$S$25),0)</f>
        <v>0</v>
      </c>
      <c r="S155" s="76">
        <f>+IF(YEAR(S$139)=YEAR(Assumptions!$G$26),('S&amp;U'!$I$23-'S&amp;U'!$S$25),0)</f>
        <v>0</v>
      </c>
      <c r="T155" s="76">
        <f>+IF(YEAR(T$139)=YEAR(Assumptions!$G$26),('S&amp;U'!$I$23-'S&amp;U'!$S$25),0)</f>
        <v>0</v>
      </c>
      <c r="U155" s="76">
        <f>+IF(YEAR(U$139)=YEAR(Assumptions!$G$26),('S&amp;U'!$I$23-'S&amp;U'!$S$25),0)</f>
        <v>0</v>
      </c>
      <c r="V155" s="76">
        <f>+IF(YEAR(V$139)=YEAR(Assumptions!$G$26),('S&amp;U'!$I$23-'S&amp;U'!$S$25),0)</f>
        <v>0</v>
      </c>
      <c r="W155" s="76">
        <f>+IF(YEAR(W$139)=YEAR(Assumptions!$G$26),('S&amp;U'!$I$23-'S&amp;U'!$S$25),0)</f>
        <v>0</v>
      </c>
      <c r="X155" s="76">
        <f>+IF(YEAR(X$139)=YEAR(Assumptions!$G$26),('S&amp;U'!$I$23-'S&amp;U'!$S$25),0)</f>
        <v>0</v>
      </c>
      <c r="Y155" s="76">
        <f>+IF(YEAR(Y$139)=YEAR(Assumptions!$G$26),('S&amp;U'!$I$23-'S&amp;U'!$S$25),0)</f>
        <v>0</v>
      </c>
      <c r="Z155" s="76">
        <f>+IF(YEAR(Z$139)=YEAR(Assumptions!$G$26),('S&amp;U'!$I$23-'S&amp;U'!$S$25),0)</f>
        <v>0</v>
      </c>
    </row>
    <row r="156" spans="2:26">
      <c r="B156" s="15" t="s">
        <v>634</v>
      </c>
      <c r="F156" s="76">
        <f>-F154*Assumptions!$O$136</f>
        <v>0</v>
      </c>
      <c r="G156" s="76">
        <f>-G154*Assumptions!$O$136</f>
        <v>0</v>
      </c>
      <c r="H156" s="76">
        <f>-H154*Assumptions!$O$136</f>
        <v>0</v>
      </c>
      <c r="I156" s="76">
        <f>-I154*Assumptions!$O$136</f>
        <v>0</v>
      </c>
      <c r="J156" s="76">
        <f>-J154*Assumptions!$O$136</f>
        <v>0</v>
      </c>
      <c r="K156" s="76">
        <f>-K154*Assumptions!$O$136</f>
        <v>0</v>
      </c>
      <c r="L156" s="76">
        <f>-L154*Assumptions!$O$136</f>
        <v>0</v>
      </c>
      <c r="M156" s="76">
        <f>-M154*Assumptions!$O$136</f>
        <v>0</v>
      </c>
      <c r="N156" s="76">
        <f>-N154*Assumptions!$O$136</f>
        <v>0</v>
      </c>
      <c r="O156" s="76">
        <f ca="1">-O154*Assumptions!$O$136</f>
        <v>0</v>
      </c>
      <c r="P156" s="76">
        <f>-P154*Assumptions!$O$136</f>
        <v>0</v>
      </c>
      <c r="Q156" s="76">
        <f>-Q154*Assumptions!$O$136</f>
        <v>0</v>
      </c>
      <c r="R156" s="76">
        <f>-R154*Assumptions!$O$136</f>
        <v>0</v>
      </c>
      <c r="S156" s="76">
        <f>-S154*Assumptions!$O$136</f>
        <v>0</v>
      </c>
      <c r="T156" s="76">
        <f>-T154*Assumptions!$O$136</f>
        <v>0</v>
      </c>
      <c r="U156" s="76">
        <f>-U154*Assumptions!$O$136</f>
        <v>0</v>
      </c>
      <c r="V156" s="76">
        <f>-V154*Assumptions!$O$136</f>
        <v>0</v>
      </c>
      <c r="W156" s="76">
        <f>-W154*Assumptions!$O$136</f>
        <v>0</v>
      </c>
      <c r="X156" s="76">
        <f>-X154*Assumptions!$O$136</f>
        <v>0</v>
      </c>
      <c r="Y156" s="76">
        <f>-Y154*Assumptions!$O$136</f>
        <v>0</v>
      </c>
      <c r="Z156" s="76">
        <f>-Z154*Assumptions!$O$136</f>
        <v>0</v>
      </c>
    </row>
    <row r="157" spans="2:26">
      <c r="B157" s="15" t="s">
        <v>635</v>
      </c>
      <c r="F157" s="76">
        <f>+IF(YEAR(F$139)=YEAR(Assumptions!$G$30),-F143,0)</f>
        <v>0</v>
      </c>
      <c r="G157" s="76">
        <f>+IF(YEAR(G$139)=YEAR(Assumptions!$G$30),-G143,0)</f>
        <v>0</v>
      </c>
      <c r="H157" s="76">
        <f>+IF(YEAR(H$139)=YEAR(Assumptions!$G$30),-H143,0)</f>
        <v>0</v>
      </c>
      <c r="I157" s="76">
        <f>+IF(YEAR(I$139)=YEAR(Assumptions!$G$30),-I143,0)</f>
        <v>0</v>
      </c>
      <c r="J157" s="76">
        <f>+IF(YEAR(J$139)=YEAR(Assumptions!$G$30),-J143,0)</f>
        <v>0</v>
      </c>
      <c r="K157" s="76">
        <f>+IF(YEAR(K$139)=YEAR(Assumptions!$G$30),-K143,0)</f>
        <v>0</v>
      </c>
      <c r="L157" s="76">
        <f>+IF(YEAR(L$139)=YEAR(Assumptions!$G$30),-L143,0)</f>
        <v>0</v>
      </c>
      <c r="M157" s="76">
        <f>+IF(YEAR(M$139)=YEAR(Assumptions!$G$30),-M143,0)</f>
        <v>0</v>
      </c>
      <c r="N157" s="76">
        <f>+IF(YEAR(N$139)=YEAR(Assumptions!$G$30),-N143,0)</f>
        <v>0</v>
      </c>
      <c r="O157" s="76">
        <f ca="1">+IF(YEAR(O$139)=YEAR(Assumptions!$G$30),-O143,0)</f>
        <v>-197269041.622242</v>
      </c>
      <c r="P157" s="76">
        <f>+IF(YEAR(P$139)=YEAR(Assumptions!$G$30),-P143,0)</f>
        <v>0</v>
      </c>
      <c r="Q157" s="76">
        <f>+IF(YEAR(Q$139)=YEAR(Assumptions!$G$30),-Q143,0)</f>
        <v>0</v>
      </c>
      <c r="R157" s="76">
        <f>+IF(YEAR(R$139)=YEAR(Assumptions!$G$30),-R143,0)</f>
        <v>0</v>
      </c>
      <c r="S157" s="76">
        <f>+IF(YEAR(S$139)=YEAR(Assumptions!$G$30),-S143,0)</f>
        <v>0</v>
      </c>
      <c r="T157" s="76">
        <f>+IF(YEAR(T$139)=YEAR(Assumptions!$G$30),-T143,0)</f>
        <v>0</v>
      </c>
      <c r="U157" s="76">
        <f>+IF(YEAR(U$139)=YEAR(Assumptions!$G$30),-U143,0)</f>
        <v>0</v>
      </c>
      <c r="V157" s="76">
        <f>+IF(YEAR(V$139)=YEAR(Assumptions!$G$30),-V143,0)</f>
        <v>0</v>
      </c>
      <c r="W157" s="76">
        <f>+IF(YEAR(W$139)=YEAR(Assumptions!$G$30),-W143,0)</f>
        <v>0</v>
      </c>
      <c r="X157" s="76">
        <f>+IF(YEAR(X$139)=YEAR(Assumptions!$G$30),-X143,0)</f>
        <v>0</v>
      </c>
      <c r="Y157" s="76">
        <f>+IF(YEAR(Y$139)=YEAR(Assumptions!$G$30),-Y143,0)</f>
        <v>0</v>
      </c>
      <c r="Z157" s="76">
        <f>+IF(YEAR(Z$139)=YEAR(Assumptions!$G$30),-Z143,0)</f>
        <v>0</v>
      </c>
    </row>
    <row r="158" spans="2:26">
      <c r="B158" s="62" t="s">
        <v>636</v>
      </c>
      <c r="C158" s="62"/>
      <c r="D158" s="62"/>
      <c r="E158" s="62"/>
      <c r="F158" s="58">
        <f>+SUM(F154:F157)</f>
        <v>0</v>
      </c>
      <c r="G158" s="58">
        <f t="shared" ref="G158:Z158" si="113">+SUM(G154:G157)</f>
        <v>0</v>
      </c>
      <c r="H158" s="58">
        <f t="shared" si="113"/>
        <v>0</v>
      </c>
      <c r="I158" s="58">
        <f t="shared" ca="1" si="113"/>
        <v>29280072.373549581</v>
      </c>
      <c r="J158" s="58">
        <f t="shared" si="113"/>
        <v>0</v>
      </c>
      <c r="K158" s="58">
        <f t="shared" si="113"/>
        <v>0</v>
      </c>
      <c r="L158" s="58">
        <f t="shared" si="113"/>
        <v>0</v>
      </c>
      <c r="M158" s="58">
        <f t="shared" si="113"/>
        <v>0</v>
      </c>
      <c r="N158" s="58">
        <f t="shared" si="113"/>
        <v>0</v>
      </c>
      <c r="O158" s="58">
        <f ca="1">+SUM(O154:O157)</f>
        <v>409718508.5966841</v>
      </c>
      <c r="P158" s="58">
        <f t="shared" si="113"/>
        <v>0</v>
      </c>
      <c r="Q158" s="58">
        <f t="shared" si="113"/>
        <v>0</v>
      </c>
      <c r="R158" s="58">
        <f t="shared" si="113"/>
        <v>0</v>
      </c>
      <c r="S158" s="58">
        <f t="shared" si="113"/>
        <v>0</v>
      </c>
      <c r="T158" s="58">
        <f t="shared" si="113"/>
        <v>0</v>
      </c>
      <c r="U158" s="58">
        <f t="shared" si="113"/>
        <v>0</v>
      </c>
      <c r="V158" s="58">
        <f t="shared" si="113"/>
        <v>0</v>
      </c>
      <c r="W158" s="58">
        <f t="shared" si="113"/>
        <v>0</v>
      </c>
      <c r="X158" s="58">
        <f t="shared" si="113"/>
        <v>0</v>
      </c>
      <c r="Y158" s="58">
        <f t="shared" si="113"/>
        <v>0</v>
      </c>
      <c r="Z158" s="58">
        <f t="shared" si="113"/>
        <v>0</v>
      </c>
    </row>
    <row r="159" spans="2:26">
      <c r="B159" s="101" t="s">
        <v>637</v>
      </c>
    </row>
    <row r="161" spans="2:26" ht="15.75">
      <c r="B161" s="687" t="s">
        <v>638</v>
      </c>
      <c r="C161" s="687"/>
      <c r="D161" s="687"/>
      <c r="E161" s="687"/>
      <c r="F161" s="550">
        <f ca="1">+IF(YEAR(F$139)&lt;=YEAR(Assumptions!$G$30),'Phase II Pro Forma'!F158+'Phase II Pro Forma'!F151,0)</f>
        <v>0</v>
      </c>
      <c r="G161" s="550">
        <f ca="1">+IF(YEAR(G$139)&lt;=YEAR(Assumptions!$G$30),'Phase II Pro Forma'!G158+'Phase II Pro Forma'!G151,0)</f>
        <v>0</v>
      </c>
      <c r="H161" s="550">
        <f ca="1">+IF(YEAR(H$139)&lt;=YEAR(Assumptions!$G$30),'Phase II Pro Forma'!H158+'Phase II Pro Forma'!H151,0)</f>
        <v>0</v>
      </c>
      <c r="I161" s="550">
        <f ca="1">+IF(YEAR(I$139)&lt;=YEAR(Assumptions!$G$30),'Phase II Pro Forma'!I158+'Phase II Pro Forma'!I151,0)</f>
        <v>20187427.179496322</v>
      </c>
      <c r="J161" s="550">
        <f ca="1">+IF(YEAR(J$139)&lt;=YEAR(Assumptions!$G$30),'Phase II Pro Forma'!J158+'Phase II Pro Forma'!J151,0)</f>
        <v>11478847.823308509</v>
      </c>
      <c r="K161" s="550">
        <f ca="1">+IF(YEAR(K$139)&lt;=YEAR(Assumptions!$G$30),'Phase II Pro Forma'!K158+'Phase II Pro Forma'!K151,0)</f>
        <v>28664405.42852173</v>
      </c>
      <c r="L161" s="550">
        <f ca="1">+IF(YEAR(L$139)&lt;=YEAR(Assumptions!$G$30),'Phase II Pro Forma'!L158+'Phase II Pro Forma'!L151,0)</f>
        <v>13833506.660601754</v>
      </c>
      <c r="M161" s="550">
        <f ca="1">+IF(YEAR(M$139)&lt;=YEAR(Assumptions!$G$30),'Phase II Pro Forma'!M158+'Phase II Pro Forma'!M151,0)</f>
        <v>3256834.7175454814</v>
      </c>
      <c r="N161" s="550">
        <f ca="1">+IF(YEAR(N$139)&lt;=YEAR(Assumptions!$G$30),'Phase II Pro Forma'!N158+'Phase II Pro Forma'!N151,0)</f>
        <v>31506824.311002251</v>
      </c>
      <c r="O161" s="550" t="e">
        <f ca="1">+IF(YEAR(O$139)&lt;=YEAR(Assumptions!$G$30),'Phase II Pro Forma'!O158+'Phase II Pro Forma'!O151,0)</f>
        <v>#DIV/0!</v>
      </c>
      <c r="P161" s="550">
        <f>+IF(YEAR(P$139)&lt;=YEAR(Assumptions!$G$30),'Phase II Pro Forma'!P158+'Phase II Pro Forma'!P151,0)</f>
        <v>0</v>
      </c>
      <c r="Q161" s="550">
        <f>+IF(YEAR(Q$139)&lt;=YEAR(Assumptions!$G$30),'Phase II Pro Forma'!Q158+'Phase II Pro Forma'!Q151,0)</f>
        <v>0</v>
      </c>
      <c r="R161" s="550">
        <f>+IF(YEAR(R$139)&lt;=YEAR(Assumptions!$G$30),'Phase II Pro Forma'!R158+'Phase II Pro Forma'!R151,0)</f>
        <v>0</v>
      </c>
      <c r="S161" s="550">
        <f>+IF(YEAR(S$139)&lt;=YEAR(Assumptions!$G$30),'Phase II Pro Forma'!S158+'Phase II Pro Forma'!S151,0)</f>
        <v>0</v>
      </c>
      <c r="T161" s="550">
        <f>+IF(YEAR(T$139)&lt;=YEAR(Assumptions!$G$30),'Phase II Pro Forma'!T158+'Phase II Pro Forma'!T151,0)</f>
        <v>0</v>
      </c>
      <c r="U161" s="550">
        <f>+IF(YEAR(U$139)&lt;=YEAR(Assumptions!$G$30),'Phase II Pro Forma'!U158+'Phase II Pro Forma'!U151,0)</f>
        <v>0</v>
      </c>
      <c r="V161" s="550">
        <f>+IF(YEAR(V$139)&lt;=YEAR(Assumptions!$G$30),'Phase II Pro Forma'!V158+'Phase II Pro Forma'!V151,0)</f>
        <v>0</v>
      </c>
      <c r="W161" s="550">
        <f>+IF(YEAR(W$139)&lt;=YEAR(Assumptions!$G$30),'Phase II Pro Forma'!W158+'Phase II Pro Forma'!W151,0)</f>
        <v>0</v>
      </c>
      <c r="X161" s="550">
        <f>+IF(YEAR(X$139)&lt;=YEAR(Assumptions!$G$30),'Phase II Pro Forma'!X158+'Phase II Pro Forma'!X151,0)</f>
        <v>0</v>
      </c>
      <c r="Y161" s="550">
        <f>+IF(YEAR(Y$139)&lt;=YEAR(Assumptions!$G$30),'Phase II Pro Forma'!Y158+'Phase II Pro Forma'!Y151,0)</f>
        <v>0</v>
      </c>
      <c r="Z161" s="550">
        <f>+IF(YEAR(Z$139)&lt;=YEAR(Assumptions!$G$30),'Phase II Pro Forma'!Z158+'Phase II Pro Forma'!Z151,0)</f>
        <v>0</v>
      </c>
    </row>
    <row r="163" spans="2:26" hidden="1"/>
    <row r="164" spans="2:26" ht="15.75" hidden="1">
      <c r="B164" s="444" t="s">
        <v>655</v>
      </c>
      <c r="C164" s="445"/>
      <c r="D164" s="445"/>
      <c r="E164" s="445"/>
      <c r="F164" s="640"/>
      <c r="G164" s="640"/>
      <c r="H164" s="640"/>
      <c r="I164" s="640"/>
      <c r="J164" s="640"/>
      <c r="K164" s="640"/>
      <c r="L164" s="640"/>
      <c r="M164" s="640"/>
      <c r="N164" s="640"/>
      <c r="O164" s="640"/>
      <c r="P164" s="640"/>
      <c r="Q164" s="640"/>
      <c r="R164" s="640"/>
      <c r="S164" s="640"/>
      <c r="T164" s="640"/>
      <c r="U164" s="640"/>
      <c r="V164" s="640"/>
      <c r="W164" s="640"/>
      <c r="X164" s="640"/>
      <c r="Y164" s="640"/>
      <c r="Z164" s="640"/>
    </row>
    <row r="165" spans="2:26" hidden="1"/>
    <row r="166" spans="2:26" ht="15.75" hidden="1">
      <c r="B166" s="73" t="s">
        <v>18</v>
      </c>
      <c r="C166" s="74"/>
      <c r="D166" s="74"/>
      <c r="E166" s="74"/>
      <c r="F166" s="75">
        <f>+Assumptions!$G$22</f>
        <v>44926</v>
      </c>
      <c r="G166" s="75">
        <f>+EOMONTH(F166,12)</f>
        <v>45291</v>
      </c>
      <c r="H166" s="75">
        <f t="shared" ref="H166:Z166" si="114">+EOMONTH(G166,12)</f>
        <v>45657</v>
      </c>
      <c r="I166" s="75">
        <f t="shared" si="114"/>
        <v>46022</v>
      </c>
      <c r="J166" s="75">
        <f t="shared" si="114"/>
        <v>46387</v>
      </c>
      <c r="K166" s="75">
        <f t="shared" si="114"/>
        <v>46752</v>
      </c>
      <c r="L166" s="75">
        <f t="shared" si="114"/>
        <v>47118</v>
      </c>
      <c r="M166" s="75">
        <f t="shared" si="114"/>
        <v>47483</v>
      </c>
      <c r="N166" s="75">
        <f t="shared" si="114"/>
        <v>47848</v>
      </c>
      <c r="O166" s="75">
        <f t="shared" si="114"/>
        <v>48213</v>
      </c>
      <c r="P166" s="75">
        <f t="shared" si="114"/>
        <v>48579</v>
      </c>
      <c r="Q166" s="75">
        <f t="shared" si="114"/>
        <v>48944</v>
      </c>
      <c r="R166" s="75">
        <f t="shared" si="114"/>
        <v>49309</v>
      </c>
      <c r="S166" s="75">
        <f t="shared" si="114"/>
        <v>49674</v>
      </c>
      <c r="T166" s="75">
        <f t="shared" si="114"/>
        <v>50040</v>
      </c>
      <c r="U166" s="75">
        <f t="shared" si="114"/>
        <v>50405</v>
      </c>
      <c r="V166" s="75">
        <f t="shared" si="114"/>
        <v>50770</v>
      </c>
      <c r="W166" s="75">
        <f t="shared" si="114"/>
        <v>51135</v>
      </c>
      <c r="X166" s="75">
        <f t="shared" si="114"/>
        <v>51501</v>
      </c>
      <c r="Y166" s="75">
        <f t="shared" si="114"/>
        <v>51866</v>
      </c>
      <c r="Z166" s="75">
        <f t="shared" si="114"/>
        <v>52231</v>
      </c>
    </row>
    <row r="167" spans="2:26" hidden="1">
      <c r="B167" s="15" t="s">
        <v>605</v>
      </c>
      <c r="C167" s="15"/>
      <c r="D167" s="20"/>
      <c r="E167" s="20"/>
      <c r="F167" s="22">
        <f>+IF(AND(F166&gt;=Assumptions!$G$26,F166&lt;Assumptions!$G$28),Assumptions!$G$218/ROUNDUP((Assumptions!$G$27/12),0),0)</f>
        <v>0</v>
      </c>
      <c r="G167" s="22">
        <f>+IF(AND(G166&gt;=Assumptions!$G$26,G166&lt;Assumptions!$G$28),Assumptions!$G$218/ROUNDUP((Assumptions!$G$27/12),0),0)</f>
        <v>0</v>
      </c>
      <c r="H167" s="22">
        <f>+IF(AND(H166&gt;=Assumptions!$G$26,H166&lt;Assumptions!$G$28),Assumptions!$G$218/ROUNDUP((Assumptions!$G$27/12),0),0)</f>
        <v>0</v>
      </c>
      <c r="I167" s="22">
        <f>+IF(AND(I166&gt;=Assumptions!$G$26,I166&lt;Assumptions!$G$28),Assumptions!$G$218/ROUNDUP((Assumptions!$G$27/12),0),0)</f>
        <v>4.9999999999999998E-7</v>
      </c>
      <c r="J167" s="22">
        <f>+IF(AND(J166&gt;=Assumptions!$G$26,J166&lt;Assumptions!$G$28),Assumptions!$G$218/ROUNDUP((Assumptions!$G$27/12),0),0)</f>
        <v>4.9999999999999998E-7</v>
      </c>
      <c r="K167" s="22">
        <f>+IF(AND(K166&gt;=Assumptions!$G$26,K166&lt;Assumptions!$G$28),Assumptions!$G$218/ROUNDUP((Assumptions!$G$27/12),0),0)</f>
        <v>0</v>
      </c>
      <c r="L167" s="22">
        <f>+IF(AND(L166&gt;=Assumptions!$G$26,L166&lt;Assumptions!$G$28),Assumptions!$G$218/ROUNDUP((Assumptions!$G$27/12),0),0)</f>
        <v>0</v>
      </c>
      <c r="M167" s="22">
        <f>+IF(AND(M166&gt;=Assumptions!$G$26,M166&lt;Assumptions!$G$28),Assumptions!$G$218/ROUNDUP((Assumptions!$G$27/12),0),0)</f>
        <v>0</v>
      </c>
      <c r="N167" s="22">
        <f>+IF(AND(N166&gt;=Assumptions!$G$26,N166&lt;Assumptions!$G$28),Assumptions!$G$218/ROUNDUP((Assumptions!$G$27/12),0),0)</f>
        <v>0</v>
      </c>
      <c r="O167" s="22">
        <f>+IF(AND(O166&gt;=Assumptions!$G$26,O166&lt;Assumptions!$G$28),Assumptions!$G$218/ROUNDUP((Assumptions!$G$27/12),0),0)</f>
        <v>0</v>
      </c>
      <c r="P167" s="22">
        <f>+IF(AND(P166&gt;=Assumptions!$G$26,P166&lt;Assumptions!$G$28),Assumptions!$G$218/ROUNDUP((Assumptions!$G$27/12),0),0)</f>
        <v>0</v>
      </c>
      <c r="Q167" s="22">
        <f>+IF(AND(Q166&gt;=Assumptions!$G$26,Q166&lt;Assumptions!$G$28),Assumptions!$G$218/ROUNDUP((Assumptions!$G$27/12),0),0)</f>
        <v>0</v>
      </c>
      <c r="R167" s="22">
        <f>+IF(AND(R166&gt;=Assumptions!$G$26,R166&lt;Assumptions!$G$28),Assumptions!$G$218/ROUNDUP((Assumptions!$G$27/12),0),0)</f>
        <v>0</v>
      </c>
      <c r="S167" s="22">
        <f>+IF(AND(S166&gt;=Assumptions!$G$26,S166&lt;Assumptions!$G$28),Assumptions!$G$218/ROUNDUP((Assumptions!$G$27/12),0),0)</f>
        <v>0</v>
      </c>
      <c r="T167" s="22">
        <f>+IF(AND(T166&gt;=Assumptions!$G$26,T166&lt;Assumptions!$G$28),Assumptions!$G$218/ROUNDUP((Assumptions!$G$27/12),0),0)</f>
        <v>0</v>
      </c>
      <c r="U167" s="22">
        <f>+IF(AND(U166&gt;=Assumptions!$G$26,U166&lt;Assumptions!$G$28),Assumptions!$G$218/ROUNDUP((Assumptions!$G$27/12),0),0)</f>
        <v>0</v>
      </c>
      <c r="V167" s="22">
        <f>+IF(AND(V166&gt;=Assumptions!$G$26,V166&lt;Assumptions!$G$28),Assumptions!$G$218/ROUNDUP((Assumptions!$G$27/12),0),0)</f>
        <v>0</v>
      </c>
      <c r="W167" s="22">
        <f>+IF(AND(W166&gt;=Assumptions!$G$26,W166&lt;Assumptions!$G$28),Assumptions!$G$218/ROUNDUP((Assumptions!$G$27/12),0),0)</f>
        <v>0</v>
      </c>
      <c r="X167" s="22">
        <f>+IF(AND(X166&gt;=Assumptions!$G$26,X166&lt;Assumptions!$G$28),Assumptions!$G$218/ROUNDUP((Assumptions!$G$27/12),0),0)</f>
        <v>0</v>
      </c>
      <c r="Y167" s="22">
        <f>+IF(AND(Y166&gt;=Assumptions!$G$26,Y166&lt;Assumptions!$G$28),Assumptions!$G$218/ROUNDUP((Assumptions!$G$27/12),0),0)</f>
        <v>0</v>
      </c>
      <c r="Z167" s="22">
        <f>+IF(AND(Z166&gt;=Assumptions!$G$26,Z166&lt;Assumptions!$G$28),Assumptions!$G$218/ROUNDUP((Assumptions!$G$27/12),0),0)</f>
        <v>0</v>
      </c>
    </row>
    <row r="168" spans="2:26" hidden="1">
      <c r="B168" s="15" t="s">
        <v>606</v>
      </c>
      <c r="C168" s="15"/>
      <c r="E168" s="22">
        <v>0</v>
      </c>
      <c r="F168" s="22">
        <f>+E168+F167</f>
        <v>0</v>
      </c>
      <c r="G168" s="22">
        <f t="shared" ref="G168:Z168" si="115">+F168+G167</f>
        <v>0</v>
      </c>
      <c r="H168" s="22">
        <f t="shared" si="115"/>
        <v>0</v>
      </c>
      <c r="I168" s="22">
        <f t="shared" si="115"/>
        <v>4.9999999999999998E-7</v>
      </c>
      <c r="J168" s="22">
        <f t="shared" si="115"/>
        <v>9.9999999999999995E-7</v>
      </c>
      <c r="K168" s="22">
        <f t="shared" si="115"/>
        <v>9.9999999999999995E-7</v>
      </c>
      <c r="L168" s="22">
        <f t="shared" si="115"/>
        <v>9.9999999999999995E-7</v>
      </c>
      <c r="M168" s="22">
        <f t="shared" si="115"/>
        <v>9.9999999999999995E-7</v>
      </c>
      <c r="N168" s="22">
        <f t="shared" si="115"/>
        <v>9.9999999999999995E-7</v>
      </c>
      <c r="O168" s="22">
        <f t="shared" si="115"/>
        <v>9.9999999999999995E-7</v>
      </c>
      <c r="P168" s="22">
        <f t="shared" si="115"/>
        <v>9.9999999999999995E-7</v>
      </c>
      <c r="Q168" s="22">
        <f t="shared" si="115"/>
        <v>9.9999999999999995E-7</v>
      </c>
      <c r="R168" s="22">
        <f t="shared" si="115"/>
        <v>9.9999999999999995E-7</v>
      </c>
      <c r="S168" s="22">
        <f t="shared" si="115"/>
        <v>9.9999999999999995E-7</v>
      </c>
      <c r="T168" s="22">
        <f t="shared" si="115"/>
        <v>9.9999999999999995E-7</v>
      </c>
      <c r="U168" s="22">
        <f t="shared" si="115"/>
        <v>9.9999999999999995E-7</v>
      </c>
      <c r="V168" s="22">
        <f t="shared" si="115"/>
        <v>9.9999999999999995E-7</v>
      </c>
      <c r="W168" s="22">
        <f t="shared" si="115"/>
        <v>9.9999999999999995E-7</v>
      </c>
      <c r="X168" s="22">
        <f t="shared" si="115"/>
        <v>9.9999999999999995E-7</v>
      </c>
      <c r="Y168" s="22">
        <f t="shared" si="115"/>
        <v>9.9999999999999995E-7</v>
      </c>
      <c r="Z168" s="22">
        <f t="shared" si="115"/>
        <v>9.9999999999999995E-7</v>
      </c>
    </row>
    <row r="169" spans="2:26" hidden="1">
      <c r="B169" s="15" t="s">
        <v>609</v>
      </c>
      <c r="C169" s="15"/>
      <c r="D169" s="22"/>
      <c r="E169" s="22"/>
      <c r="F169" s="49">
        <f t="shared" ref="F169:Z169" si="116">+F168/SUM($F167:$Z167)</f>
        <v>0</v>
      </c>
      <c r="G169" s="49">
        <f t="shared" si="116"/>
        <v>0</v>
      </c>
      <c r="H169" s="49">
        <f t="shared" si="116"/>
        <v>0</v>
      </c>
      <c r="I169" s="49">
        <f t="shared" si="116"/>
        <v>0.5</v>
      </c>
      <c r="J169" s="49">
        <f t="shared" si="116"/>
        <v>1</v>
      </c>
      <c r="K169" s="49">
        <f t="shared" si="116"/>
        <v>1</v>
      </c>
      <c r="L169" s="49">
        <f t="shared" si="116"/>
        <v>1</v>
      </c>
      <c r="M169" s="49">
        <f t="shared" si="116"/>
        <v>1</v>
      </c>
      <c r="N169" s="49">
        <f t="shared" si="116"/>
        <v>1</v>
      </c>
      <c r="O169" s="49">
        <f t="shared" si="116"/>
        <v>1</v>
      </c>
      <c r="P169" s="49">
        <f t="shared" si="116"/>
        <v>1</v>
      </c>
      <c r="Q169" s="49">
        <f t="shared" si="116"/>
        <v>1</v>
      </c>
      <c r="R169" s="49">
        <f t="shared" si="116"/>
        <v>1</v>
      </c>
      <c r="S169" s="49">
        <f t="shared" si="116"/>
        <v>1</v>
      </c>
      <c r="T169" s="49">
        <f t="shared" si="116"/>
        <v>1</v>
      </c>
      <c r="U169" s="49">
        <f t="shared" si="116"/>
        <v>1</v>
      </c>
      <c r="V169" s="49">
        <f t="shared" si="116"/>
        <v>1</v>
      </c>
      <c r="W169" s="49">
        <f t="shared" si="116"/>
        <v>1</v>
      </c>
      <c r="X169" s="49">
        <f t="shared" si="116"/>
        <v>1</v>
      </c>
      <c r="Y169" s="49">
        <f t="shared" si="116"/>
        <v>1</v>
      </c>
      <c r="Z169" s="49">
        <f t="shared" si="116"/>
        <v>1</v>
      </c>
    </row>
    <row r="170" spans="2:26" hidden="1">
      <c r="B170" s="15"/>
      <c r="C170" s="15"/>
      <c r="D170" s="20"/>
      <c r="E170" s="20"/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  <c r="Z170" s="16"/>
    </row>
    <row r="171" spans="2:26" hidden="1">
      <c r="B171" s="15" t="s">
        <v>610</v>
      </c>
      <c r="C171" s="15"/>
      <c r="D171" s="22"/>
      <c r="E171" s="22"/>
      <c r="F171" s="49">
        <v>1</v>
      </c>
      <c r="G171" s="49">
        <f>+IF(MOD(G$1,Assumptions!$O$73)=(Assumptions!$O$73-1),F171*(1+Assumptions!$O$72),'Phase II Pro Forma'!F171)</f>
        <v>1</v>
      </c>
      <c r="H171" s="49">
        <f>+IF(MOD(H$1,Assumptions!$O$73)=(Assumptions!$O$73-1),G171*(1+Assumptions!$O$72),'Phase II Pro Forma'!G171)</f>
        <v>1</v>
      </c>
      <c r="I171" s="49">
        <f>+IF(MOD(I$1,Assumptions!$O$73)=(Assumptions!$O$73-1),H171*(1+Assumptions!$O$72),'Phase II Pro Forma'!H171)</f>
        <v>1</v>
      </c>
      <c r="J171" s="49">
        <f>+IF(MOD(J$1,Assumptions!$O$73)=(Assumptions!$O$73-1),I171*(1+Assumptions!$O$72),'Phase II Pro Forma'!I171)</f>
        <v>1</v>
      </c>
      <c r="K171" s="49">
        <f>+IF(MOD(K$1,Assumptions!$O$73)=(Assumptions!$O$73-1),J171*(1+Assumptions!$O$72),'Phase II Pro Forma'!J171)</f>
        <v>1</v>
      </c>
      <c r="L171" s="49">
        <f>+IF(MOD(L$1,Assumptions!$O$73)=(Assumptions!$O$73-1),K171*(1+Assumptions!$O$72),'Phase II Pro Forma'!K171)</f>
        <v>1.1000000000000001</v>
      </c>
      <c r="M171" s="49">
        <f>+IF(MOD(M$1,Assumptions!$O$73)=(Assumptions!$O$73-1),L171*(1+Assumptions!$O$72),'Phase II Pro Forma'!L171)</f>
        <v>1.1000000000000001</v>
      </c>
      <c r="N171" s="49">
        <f>+IF(MOD(N$1,Assumptions!$O$73)=(Assumptions!$O$73-1),M171*(1+Assumptions!$O$72),'Phase II Pro Forma'!M171)</f>
        <v>1.1000000000000001</v>
      </c>
      <c r="O171" s="49">
        <f>+IF(MOD(O$1,Assumptions!$O$73)=(Assumptions!$O$73-1),N171*(1+Assumptions!$O$72),'Phase II Pro Forma'!N171)</f>
        <v>1.1000000000000001</v>
      </c>
      <c r="P171" s="49">
        <f>+IF(MOD(P$1,Assumptions!$O$73)=(Assumptions!$O$73-1),O171*(1+Assumptions!$O$72),'Phase II Pro Forma'!O171)</f>
        <v>1.1000000000000001</v>
      </c>
      <c r="Q171" s="49">
        <f>+IF(MOD(Q$1,Assumptions!$O$73)=(Assumptions!$O$73-1),P171*(1+Assumptions!$O$72),'Phase II Pro Forma'!P171)</f>
        <v>1.2100000000000002</v>
      </c>
      <c r="R171" s="49">
        <f>+IF(MOD(R$1,Assumptions!$O$73)=(Assumptions!$O$73-1),Q171*(1+Assumptions!$O$72),'Phase II Pro Forma'!Q171)</f>
        <v>1.2100000000000002</v>
      </c>
      <c r="S171" s="49">
        <f>+IF(MOD(S$1,Assumptions!$O$73)=(Assumptions!$O$73-1),R171*(1+Assumptions!$O$72),'Phase II Pro Forma'!R171)</f>
        <v>1.2100000000000002</v>
      </c>
      <c r="T171" s="49">
        <f>+IF(MOD(T$1,Assumptions!$O$73)=(Assumptions!$O$73-1),S171*(1+Assumptions!$O$72),'Phase II Pro Forma'!S171)</f>
        <v>1.2100000000000002</v>
      </c>
      <c r="U171" s="49">
        <f>+IF(MOD(U$1,Assumptions!$O$73)=(Assumptions!$O$73-1),T171*(1+Assumptions!$O$72),'Phase II Pro Forma'!T171)</f>
        <v>1.2100000000000002</v>
      </c>
      <c r="V171" s="49">
        <f>+IF(MOD(V$1,Assumptions!$O$73)=(Assumptions!$O$73-1),U171*(1+Assumptions!$O$72),'Phase II Pro Forma'!U171)</f>
        <v>1.3310000000000004</v>
      </c>
      <c r="W171" s="49">
        <f>+IF(MOD(W$1,Assumptions!$O$73)=(Assumptions!$O$73-1),V171*(1+Assumptions!$O$72),'Phase II Pro Forma'!V171)</f>
        <v>1.3310000000000004</v>
      </c>
      <c r="X171" s="49">
        <f>+IF(MOD(X$1,Assumptions!$O$73)=(Assumptions!$O$73-1),W171*(1+Assumptions!$O$72),'Phase II Pro Forma'!W171)</f>
        <v>1.3310000000000004</v>
      </c>
      <c r="Y171" s="49">
        <f>+IF(MOD(Y$1,Assumptions!$O$73)=(Assumptions!$O$73-1),X171*(1+Assumptions!$O$72),'Phase II Pro Forma'!X171)</f>
        <v>1.3310000000000004</v>
      </c>
      <c r="Z171" s="49">
        <f>+IF(MOD(Z$1,Assumptions!$O$73)=(Assumptions!$O$73-1),Y171*(1+Assumptions!$O$72),'Phase II Pro Forma'!Y171)</f>
        <v>1.3310000000000004</v>
      </c>
    </row>
    <row r="172" spans="2:26" hidden="1">
      <c r="B172" s="15" t="s">
        <v>611</v>
      </c>
      <c r="C172" s="15"/>
      <c r="D172" s="22"/>
      <c r="E172" s="22"/>
      <c r="F172" s="49">
        <v>1</v>
      </c>
      <c r="G172" s="49">
        <f>+F172*(1+Assumptions!$O$81)</f>
        <v>1.02</v>
      </c>
      <c r="H172" s="49">
        <f>+G172*(1+Assumptions!$O$81)</f>
        <v>1.0404</v>
      </c>
      <c r="I172" s="49">
        <f>+H172*(1+Assumptions!$O$81)</f>
        <v>1.0612079999999999</v>
      </c>
      <c r="J172" s="49">
        <f>+I172*(1+Assumptions!$O$81)</f>
        <v>1.08243216</v>
      </c>
      <c r="K172" s="49">
        <f>+J172*(1+Assumptions!$O$81)</f>
        <v>1.1040808032</v>
      </c>
      <c r="L172" s="49">
        <f>+K172*(1+Assumptions!$O$81)</f>
        <v>1.1261624192640001</v>
      </c>
      <c r="M172" s="49">
        <f>+L172*(1+Assumptions!$O$81)</f>
        <v>1.14868566764928</v>
      </c>
      <c r="N172" s="49">
        <f>+M172*(1+Assumptions!$O$81)</f>
        <v>1.1716593810022657</v>
      </c>
      <c r="O172" s="49">
        <f>+N172*(1+Assumptions!$O$81)</f>
        <v>1.1950925686223111</v>
      </c>
      <c r="P172" s="49">
        <f>+O172*(1+Assumptions!$O$81)</f>
        <v>1.2189944199947573</v>
      </c>
      <c r="Q172" s="49">
        <f>+P172*(1+Assumptions!$O$81)</f>
        <v>1.2433743083946525</v>
      </c>
      <c r="R172" s="49">
        <f>+Q172*(1+Assumptions!$O$81)</f>
        <v>1.2682417945625455</v>
      </c>
      <c r="S172" s="49">
        <f>+R172*(1+Assumptions!$O$81)</f>
        <v>1.2936066304537963</v>
      </c>
      <c r="T172" s="49">
        <f>+S172*(1+Assumptions!$O$81)</f>
        <v>1.3194787630628724</v>
      </c>
      <c r="U172" s="49">
        <f>+T172*(1+Assumptions!$O$81)</f>
        <v>1.3458683383241299</v>
      </c>
      <c r="V172" s="49">
        <f>+U172*(1+Assumptions!$O$81)</f>
        <v>1.3727857050906125</v>
      </c>
      <c r="W172" s="49">
        <f>+V172*(1+Assumptions!$O$81)</f>
        <v>1.4002414191924248</v>
      </c>
      <c r="X172" s="49">
        <f>+W172*(1+Assumptions!$O$81)</f>
        <v>1.4282462475762734</v>
      </c>
      <c r="Y172" s="49">
        <f>+X172*(1+Assumptions!$O$81)</f>
        <v>1.4568111725277988</v>
      </c>
      <c r="Z172" s="49">
        <f>+Y172*(1+Assumptions!$O$81)</f>
        <v>1.4859473959783549</v>
      </c>
    </row>
    <row r="173" spans="2:26" hidden="1">
      <c r="B173" s="15"/>
      <c r="C173" s="15"/>
      <c r="D173" s="20"/>
      <c r="E173" s="20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</row>
    <row r="174" spans="2:26" hidden="1">
      <c r="B174" s="15" t="s">
        <v>612</v>
      </c>
      <c r="C174" s="15"/>
      <c r="D174" s="20"/>
      <c r="E174" s="20"/>
      <c r="F174" s="16">
        <f>+F169*Assumptions!$G$217*F171</f>
        <v>0</v>
      </c>
      <c r="G174" s="16">
        <f>+G169*Assumptions!$G$217*G171</f>
        <v>0</v>
      </c>
      <c r="H174" s="16">
        <f>+H169*Assumptions!$G$217*H171</f>
        <v>0</v>
      </c>
      <c r="I174" s="16">
        <f>+I169*Assumptions!$G$217*I171</f>
        <v>4.1249999999999995E-6</v>
      </c>
      <c r="J174" s="16">
        <f>+J169*Assumptions!$G$217*J171</f>
        <v>8.2499999999999989E-6</v>
      </c>
      <c r="K174" s="16">
        <f>+K169*Assumptions!$G$217*K171</f>
        <v>8.2499999999999989E-6</v>
      </c>
      <c r="L174" s="16">
        <f>+L169*Assumptions!$G$217*L171</f>
        <v>9.0750000000000004E-6</v>
      </c>
      <c r="M174" s="16">
        <f>+M169*Assumptions!$G$217*M171</f>
        <v>9.0750000000000004E-6</v>
      </c>
      <c r="N174" s="16">
        <f>+N169*Assumptions!$G$217*N171</f>
        <v>9.0750000000000004E-6</v>
      </c>
      <c r="O174" s="16">
        <f>+O169*Assumptions!$G$217*O171</f>
        <v>9.0750000000000004E-6</v>
      </c>
      <c r="P174" s="16">
        <f>+P169*Assumptions!$G$217*P171</f>
        <v>9.0750000000000004E-6</v>
      </c>
      <c r="Q174" s="16">
        <f>+Q169*Assumptions!$G$217*Q171</f>
        <v>9.9824999999999997E-6</v>
      </c>
      <c r="R174" s="16">
        <f>+R169*Assumptions!$G$217*R171</f>
        <v>9.9824999999999997E-6</v>
      </c>
      <c r="S174" s="16">
        <f>+S169*Assumptions!$G$217*S171</f>
        <v>9.9824999999999997E-6</v>
      </c>
      <c r="T174" s="16">
        <f>+T169*Assumptions!$G$217*T171</f>
        <v>9.9824999999999997E-6</v>
      </c>
      <c r="U174" s="16">
        <f>+U169*Assumptions!$G$217*U171</f>
        <v>9.9824999999999997E-6</v>
      </c>
      <c r="V174" s="16">
        <f>+V169*Assumptions!$G$217*V171</f>
        <v>1.0980750000000002E-5</v>
      </c>
      <c r="W174" s="16">
        <f>+W169*Assumptions!$G$217*W171</f>
        <v>1.0980750000000002E-5</v>
      </c>
      <c r="X174" s="16">
        <f>+X169*Assumptions!$G$217*X171</f>
        <v>1.0980750000000002E-5</v>
      </c>
      <c r="Y174" s="16">
        <f>+Y169*Assumptions!$G$217*Y171</f>
        <v>1.0980750000000002E-5</v>
      </c>
      <c r="Z174" s="16">
        <f>+Z169*Assumptions!$G$217*Z171</f>
        <v>1.0980750000000002E-5</v>
      </c>
    </row>
    <row r="175" spans="2:26" hidden="1">
      <c r="B175" s="15" t="s">
        <v>613</v>
      </c>
      <c r="C175" s="15"/>
      <c r="D175" s="20"/>
      <c r="E175" s="20"/>
      <c r="F175" s="22">
        <f>-F174*Assumptions!$O$59</f>
        <v>0</v>
      </c>
      <c r="G175" s="22">
        <f>-G174*Assumptions!$O$59</f>
        <v>0</v>
      </c>
      <c r="H175" s="22">
        <f>-H174*Assumptions!$O$59</f>
        <v>0</v>
      </c>
      <c r="I175" s="22">
        <f>-I174*Assumptions!$O$59</f>
        <v>-2.0624999999999998E-7</v>
      </c>
      <c r="J175" s="22">
        <f>-J174*Assumptions!$O$59</f>
        <v>-4.1249999999999997E-7</v>
      </c>
      <c r="K175" s="22">
        <f>-K174*Assumptions!$O$59</f>
        <v>-4.1249999999999997E-7</v>
      </c>
      <c r="L175" s="22">
        <f>-L174*Assumptions!$O$59</f>
        <v>-4.5375000000000005E-7</v>
      </c>
      <c r="M175" s="22">
        <f>-M174*Assumptions!$O$59</f>
        <v>-4.5375000000000005E-7</v>
      </c>
      <c r="N175" s="22">
        <f>-N174*Assumptions!$O$59</f>
        <v>-4.5375000000000005E-7</v>
      </c>
      <c r="O175" s="22">
        <f>-O174*Assumptions!$O$59</f>
        <v>-4.5375000000000005E-7</v>
      </c>
      <c r="P175" s="22">
        <f>-P174*Assumptions!$O$59</f>
        <v>-4.5375000000000005E-7</v>
      </c>
      <c r="Q175" s="22">
        <f>-Q174*Assumptions!$O$59</f>
        <v>-4.9912499999999996E-7</v>
      </c>
      <c r="R175" s="22">
        <f>-R174*Assumptions!$O$59</f>
        <v>-4.9912499999999996E-7</v>
      </c>
      <c r="S175" s="22">
        <f>-S174*Assumptions!$O$59</f>
        <v>-4.9912499999999996E-7</v>
      </c>
      <c r="T175" s="22">
        <f>-T174*Assumptions!$O$59</f>
        <v>-4.9912499999999996E-7</v>
      </c>
      <c r="U175" s="22">
        <f>-U174*Assumptions!$O$59</f>
        <v>-4.9912499999999996E-7</v>
      </c>
      <c r="V175" s="22">
        <f>-V174*Assumptions!$O$59</f>
        <v>-5.4903750000000014E-7</v>
      </c>
      <c r="W175" s="22">
        <f>-W174*Assumptions!$O$59</f>
        <v>-5.4903750000000014E-7</v>
      </c>
      <c r="X175" s="22">
        <f>-X174*Assumptions!$O$59</f>
        <v>-5.4903750000000014E-7</v>
      </c>
      <c r="Y175" s="22">
        <f>-Y174*Assumptions!$O$59</f>
        <v>-5.4903750000000014E-7</v>
      </c>
      <c r="Z175" s="22">
        <f>-Z174*Assumptions!$O$59</f>
        <v>-5.4903750000000014E-7</v>
      </c>
    </row>
    <row r="176" spans="2:26" hidden="1">
      <c r="B176" s="15" t="s">
        <v>622</v>
      </c>
      <c r="C176" s="15"/>
      <c r="D176" s="20"/>
      <c r="E176" s="20"/>
      <c r="F176" s="76">
        <f ca="1">+F181*Assumptions!$O$92</f>
        <v>0</v>
      </c>
      <c r="G176" s="76">
        <f ca="1">+G181*Assumptions!$O$92</f>
        <v>0</v>
      </c>
      <c r="H176" s="76">
        <f ca="1">+H181*Assumptions!$O$92</f>
        <v>0</v>
      </c>
      <c r="I176" s="76">
        <f ca="1">+I181*Assumptions!$O$92</f>
        <v>1.1040808032E-6</v>
      </c>
      <c r="J176" s="76">
        <f ca="1">+J181*Assumptions!$O$92</f>
        <v>2.2523248385279998E-6</v>
      </c>
      <c r="K176" s="76">
        <f ca="1">+K181*Assumptions!$O$92</f>
        <v>2.2973713352985602E-6</v>
      </c>
      <c r="L176" s="76">
        <f ca="1">+L181*Assumptions!$O$92</f>
        <v>2.3433187620045314E-6</v>
      </c>
      <c r="M176" s="76">
        <f ca="1">+M181*Assumptions!$O$92</f>
        <v>6.9007408536911828E-6</v>
      </c>
      <c r="N176" s="76">
        <f ca="1">+N181*Assumptions!$O$92</f>
        <v>6.9775144998664654E-6</v>
      </c>
      <c r="O176" s="76">
        <f ca="1">+O181*Assumptions!$O$92</f>
        <v>2.4867486167893047E-6</v>
      </c>
      <c r="P176" s="76">
        <f ca="1">+P181*Assumptions!$O$92</f>
        <v>7.2248729029446647E-6</v>
      </c>
      <c r="Q176" s="76">
        <f ca="1">+Q181*Assumptions!$O$92</f>
        <v>7.3087655390088429E-6</v>
      </c>
      <c r="R176" s="76">
        <f ca="1">+R181*Assumptions!$O$92</f>
        <v>7.3951749541549455E-6</v>
      </c>
      <c r="S176" s="76">
        <f ca="1">+S181*Assumptions!$O$92</f>
        <v>2.6917366766482594E-6</v>
      </c>
      <c r="T176" s="76">
        <f ca="1">+T181*Assumptions!$O$92</f>
        <v>7.6644174343000404E-6</v>
      </c>
      <c r="U176" s="76">
        <f ca="1">+U181*Assumptions!$O$92</f>
        <v>7.7588393352843966E-6</v>
      </c>
      <c r="V176" s="76">
        <f ca="1">+V181*Assumptions!$O$92</f>
        <v>7.9464343079947139E-6</v>
      </c>
      <c r="W176" s="76">
        <f ca="1">+W181*Assumptions!$O$92</f>
        <v>2.9136223450555975E-6</v>
      </c>
      <c r="X176" s="76">
        <f ca="1">+X181*Assumptions!$O$92</f>
        <v>2.9718947919567099E-6</v>
      </c>
      <c r="Y176" s="76">
        <f ca="1">+Y181*Assumptions!$O$92</f>
        <v>3.031332687795844E-6</v>
      </c>
      <c r="Z176" s="76">
        <f ca="1">+Z181*Assumptions!$O$92</f>
        <v>8.4576646296084329E-6</v>
      </c>
    </row>
    <row r="177" spans="2:35" hidden="1">
      <c r="B177" s="62" t="s">
        <v>614</v>
      </c>
      <c r="C177" s="62"/>
      <c r="D177" s="62"/>
      <c r="E177" s="62"/>
      <c r="F177" s="58">
        <f t="shared" ref="F177:Z177" ca="1" si="117">+SUM(F174:F176)</f>
        <v>0</v>
      </c>
      <c r="G177" s="58">
        <f t="shared" ca="1" si="117"/>
        <v>0</v>
      </c>
      <c r="H177" s="58">
        <f t="shared" ca="1" si="117"/>
        <v>0</v>
      </c>
      <c r="I177" s="58">
        <f t="shared" ca="1" si="117"/>
        <v>7.1421376433658946E-6</v>
      </c>
      <c r="J177" s="58">
        <f t="shared" ca="1" si="117"/>
        <v>1.4435948255882424E-5</v>
      </c>
      <c r="K177" s="58">
        <f t="shared" ca="1" si="117"/>
        <v>1.0134871335298559E-5</v>
      </c>
      <c r="L177" s="58">
        <f t="shared" ca="1" si="117"/>
        <v>1.5362323542651966E-5</v>
      </c>
      <c r="M177" s="58">
        <f t="shared" ca="1" si="117"/>
        <v>1.5521990853691186E-5</v>
      </c>
      <c r="N177" s="58">
        <f t="shared" ca="1" si="117"/>
        <v>1.5598764499866464E-5</v>
      </c>
      <c r="O177" s="58">
        <f t="shared" ca="1" si="117"/>
        <v>1.1107998616789305E-5</v>
      </c>
      <c r="P177" s="58">
        <f t="shared" ca="1" si="117"/>
        <v>1.5846122902944665E-5</v>
      </c>
      <c r="Q177" s="58">
        <f t="shared" ca="1" si="117"/>
        <v>1.6792140539008841E-5</v>
      </c>
      <c r="R177" s="58">
        <f t="shared" ca="1" si="117"/>
        <v>1.6878549954154946E-5</v>
      </c>
      <c r="S177" s="58">
        <f t="shared" ca="1" si="117"/>
        <v>1.217511167664826E-5</v>
      </c>
      <c r="T177" s="58">
        <f t="shared" ca="1" si="117"/>
        <v>1.714779243430004E-5</v>
      </c>
      <c r="U177" s="58">
        <f t="shared" ca="1" si="117"/>
        <v>1.7242214335284396E-5</v>
      </c>
      <c r="V177" s="58">
        <f t="shared" ca="1" si="117"/>
        <v>1.8378146807994715E-5</v>
      </c>
      <c r="W177" s="58">
        <f t="shared" ca="1" si="117"/>
        <v>1.3345334845055598E-5</v>
      </c>
      <c r="X177" s="58">
        <f t="shared" ca="1" si="117"/>
        <v>1.8581496363345951E-5</v>
      </c>
      <c r="Y177" s="58">
        <f t="shared" ca="1" si="117"/>
        <v>1.877991626775115E-5</v>
      </c>
      <c r="Z177" s="58">
        <f t="shared" ca="1" si="117"/>
        <v>1.8889377129608434E-5</v>
      </c>
    </row>
    <row r="178" spans="2:35" hidden="1"/>
    <row r="179" spans="2:35" hidden="1">
      <c r="B179" s="15" t="s">
        <v>615</v>
      </c>
      <c r="F179" s="16">
        <f>+F168*Assumptions!$O$124*'Phase II Pro Forma'!F172</f>
        <v>0</v>
      </c>
      <c r="G179" s="16">
        <f>+G168*Assumptions!$O$124*'Phase II Pro Forma'!G172</f>
        <v>0</v>
      </c>
      <c r="H179" s="16">
        <f>+H168*Assumptions!$O$124*'Phase II Pro Forma'!H172</f>
        <v>0</v>
      </c>
      <c r="I179" s="16">
        <f>+I168*Assumptions!$O$124*'Phase II Pro Forma'!I172</f>
        <v>1.1040808032E-6</v>
      </c>
      <c r="J179" s="16">
        <f>+J168*Assumptions!$O$124*'Phase II Pro Forma'!J172</f>
        <v>2.2523248385279998E-6</v>
      </c>
      <c r="K179" s="16">
        <f>+K168*Assumptions!$O$124*'Phase II Pro Forma'!K172</f>
        <v>2.2973713352985602E-6</v>
      </c>
      <c r="L179" s="16">
        <f>+L168*Assumptions!$O$124*'Phase II Pro Forma'!L172</f>
        <v>2.3433187620045314E-6</v>
      </c>
      <c r="M179" s="16">
        <f>+M168*Assumptions!$O$124*'Phase II Pro Forma'!M172</f>
        <v>2.390185137244622E-6</v>
      </c>
      <c r="N179" s="16">
        <f>+N168*Assumptions!$O$124*'Phase II Pro Forma'!N172</f>
        <v>2.4379888399895145E-6</v>
      </c>
      <c r="O179" s="16">
        <f>+O168*Assumptions!$O$124*'Phase II Pro Forma'!O172</f>
        <v>2.4867486167893047E-6</v>
      </c>
      <c r="P179" s="16">
        <f>+P168*Assumptions!$O$124*'Phase II Pro Forma'!P172</f>
        <v>2.5364835891250909E-6</v>
      </c>
      <c r="Q179" s="16">
        <f>+Q168*Assumptions!$O$124*'Phase II Pro Forma'!Q172</f>
        <v>2.5872132609075931E-6</v>
      </c>
      <c r="R179" s="16">
        <f>+R168*Assumptions!$O$124*'Phase II Pro Forma'!R172</f>
        <v>2.6389575261257445E-6</v>
      </c>
      <c r="S179" s="16">
        <f>+S168*Assumptions!$O$124*'Phase II Pro Forma'!S172</f>
        <v>2.6917366766482594E-6</v>
      </c>
      <c r="T179" s="16">
        <f>+T168*Assumptions!$O$124*'Phase II Pro Forma'!T172</f>
        <v>2.7455714101812251E-6</v>
      </c>
      <c r="U179" s="16">
        <f>+U168*Assumptions!$O$124*'Phase II Pro Forma'!U172</f>
        <v>2.8004828383848493E-6</v>
      </c>
      <c r="V179" s="16">
        <f>+V168*Assumptions!$O$124*'Phase II Pro Forma'!V172</f>
        <v>2.8564924951525465E-6</v>
      </c>
      <c r="W179" s="16">
        <f>+W168*Assumptions!$O$124*'Phase II Pro Forma'!W172</f>
        <v>2.9136223450555975E-6</v>
      </c>
      <c r="X179" s="16">
        <f>+X168*Assumptions!$O$124*'Phase II Pro Forma'!X172</f>
        <v>2.9718947919567099E-6</v>
      </c>
      <c r="Y179" s="16">
        <f>+Y168*Assumptions!$O$124*'Phase II Pro Forma'!Y172</f>
        <v>3.031332687795844E-6</v>
      </c>
      <c r="Z179" s="16">
        <f>+Z168*Assumptions!$O$124*'Phase II Pro Forma'!Z172</f>
        <v>3.0919593415517611E-6</v>
      </c>
    </row>
    <row r="180" spans="2:35" hidden="1">
      <c r="B180" s="15" t="s">
        <v>616</v>
      </c>
      <c r="F180" s="76">
        <f ca="1">+IFERROR(INDEX(#REF!,MATCH('Phase II Pro Forma'!F$6,#REF!,0)),0)*'Loan Sizing'!$K$52*F169</f>
        <v>0</v>
      </c>
      <c r="G180" s="76">
        <f ca="1">+IFERROR(INDEX(#REF!,MATCH('Phase II Pro Forma'!G$6,#REF!,0)),0)*'Loan Sizing'!$K$52*G169</f>
        <v>0</v>
      </c>
      <c r="H180" s="76">
        <f ca="1">+IFERROR(INDEX(#REF!,MATCH('Phase II Pro Forma'!H$6,#REF!,0)),0)*'Loan Sizing'!$K$52*H169</f>
        <v>0</v>
      </c>
      <c r="I180" s="76">
        <f ca="1">+IFERROR(INDEX(#REF!,MATCH('Phase II Pro Forma'!I$6,#REF!,0)),0)*'Loan Sizing'!$K$52*I169</f>
        <v>0</v>
      </c>
      <c r="J180" s="76">
        <f ca="1">+IFERROR(INDEX(#REF!,MATCH('Phase II Pro Forma'!J$6,#REF!,0)),0)*'Loan Sizing'!$K$52*J169</f>
        <v>0</v>
      </c>
      <c r="K180" s="76">
        <f ca="1">+IFERROR(INDEX(#REF!,MATCH('Phase II Pro Forma'!K$6,#REF!,0)),0)*'Loan Sizing'!$K$52*K169</f>
        <v>0</v>
      </c>
      <c r="L180" s="76">
        <f ca="1">+IFERROR(INDEX(#REF!,MATCH('Phase II Pro Forma'!L$6,#REF!,0)),0)*'Loan Sizing'!$K$52*L169</f>
        <v>0</v>
      </c>
      <c r="M180" s="76">
        <f ca="1">+IFERROR(INDEX(#REF!,MATCH('Phase II Pro Forma'!M$6,#REF!,0)),0)*'Loan Sizing'!$K$52*M169</f>
        <v>0</v>
      </c>
      <c r="N180" s="76">
        <f ca="1">+IFERROR(INDEX(#REF!,MATCH('Phase II Pro Forma'!N$6,#REF!,0)),0)*'Loan Sizing'!$K$52*N169</f>
        <v>0</v>
      </c>
      <c r="O180" s="76">
        <f ca="1">+IFERROR(INDEX(#REF!,MATCH('Phase II Pro Forma'!O$6,#REF!,0)),0)*'Loan Sizing'!$K$52*O169</f>
        <v>0</v>
      </c>
      <c r="P180" s="76">
        <f ca="1">+IFERROR(INDEX(#REF!,MATCH('Phase II Pro Forma'!P$6,#REF!,0)),0)*'Loan Sizing'!$K$52*P169</f>
        <v>0</v>
      </c>
      <c r="Q180" s="76">
        <f ca="1">+IFERROR(INDEX(#REF!,MATCH('Phase II Pro Forma'!Q$6,#REF!,0)),0)*'Loan Sizing'!$K$52*Q169</f>
        <v>0</v>
      </c>
      <c r="R180" s="76">
        <f ca="1">+IFERROR(INDEX(#REF!,MATCH('Phase II Pro Forma'!R$6,#REF!,0)),0)*'Loan Sizing'!$K$52*R169</f>
        <v>0</v>
      </c>
      <c r="S180" s="76">
        <f ca="1">+IFERROR(INDEX(#REF!,MATCH('Phase II Pro Forma'!S$6,#REF!,0)),0)*'Loan Sizing'!$K$52*S169</f>
        <v>0</v>
      </c>
      <c r="T180" s="76">
        <f ca="1">+IFERROR(INDEX(#REF!,MATCH('Phase II Pro Forma'!T$6,#REF!,0)),0)*'Loan Sizing'!$K$52*T169</f>
        <v>0</v>
      </c>
      <c r="U180" s="76">
        <f ca="1">+IFERROR(INDEX(#REF!,MATCH('Phase II Pro Forma'!U$6,#REF!,0)),0)*'Loan Sizing'!$K$52*U169</f>
        <v>0</v>
      </c>
      <c r="V180" s="76">
        <f ca="1">+IFERROR(INDEX(#REF!,MATCH('Phase II Pro Forma'!V$6,#REF!,0)),0)*'Loan Sizing'!$K$52*V169</f>
        <v>0</v>
      </c>
      <c r="W180" s="76">
        <f ca="1">+IFERROR(INDEX(#REF!,MATCH('Phase II Pro Forma'!W$6,#REF!,0)),0)*'Loan Sizing'!$K$52*W169</f>
        <v>0</v>
      </c>
      <c r="X180" s="76">
        <f ca="1">+IFERROR(INDEX(#REF!,MATCH('Phase II Pro Forma'!X$6,#REF!,0)),0)*'Loan Sizing'!$K$52*X169</f>
        <v>0</v>
      </c>
      <c r="Y180" s="76">
        <f ca="1">+IFERROR(INDEX(#REF!,MATCH('Phase II Pro Forma'!Y$6,#REF!,0)),0)*'Loan Sizing'!$K$52*Y169</f>
        <v>0</v>
      </c>
      <c r="Z180" s="76">
        <f ca="1">+IFERROR(INDEX(#REF!,MATCH('Phase II Pro Forma'!Z$6,#REF!,0)),0)*'Loan Sizing'!$K$52*Z169</f>
        <v>0</v>
      </c>
    </row>
    <row r="181" spans="2:35" hidden="1">
      <c r="B181" s="62" t="s">
        <v>617</v>
      </c>
      <c r="C181" s="62"/>
      <c r="D181" s="62"/>
      <c r="E181" s="62"/>
      <c r="F181" s="58">
        <f ca="1">+SUM(F179:F180)</f>
        <v>0</v>
      </c>
      <c r="G181" s="58">
        <f t="shared" ref="G181" ca="1" si="118">+SUM(G179:G180)</f>
        <v>0</v>
      </c>
      <c r="H181" s="58">
        <f t="shared" ref="H181:Z181" ca="1" si="119">+SUM(H179:H180)</f>
        <v>0</v>
      </c>
      <c r="I181" s="58">
        <f t="shared" ca="1" si="119"/>
        <v>1.1040808032E-6</v>
      </c>
      <c r="J181" s="58">
        <f t="shared" ca="1" si="119"/>
        <v>2.2523248385279998E-6</v>
      </c>
      <c r="K181" s="58">
        <f t="shared" ca="1" si="119"/>
        <v>2.2973713352985602E-6</v>
      </c>
      <c r="L181" s="58">
        <f t="shared" ca="1" si="119"/>
        <v>2.3433187620045314E-6</v>
      </c>
      <c r="M181" s="58">
        <f t="shared" ca="1" si="119"/>
        <v>2.390185137244622E-6</v>
      </c>
      <c r="N181" s="58">
        <f t="shared" ca="1" si="119"/>
        <v>2.4379888399895145E-6</v>
      </c>
      <c r="O181" s="58">
        <f t="shared" ca="1" si="119"/>
        <v>2.4867486167893047E-6</v>
      </c>
      <c r="P181" s="58">
        <f t="shared" ca="1" si="119"/>
        <v>2.5364835891250909E-6</v>
      </c>
      <c r="Q181" s="58">
        <f t="shared" ca="1" si="119"/>
        <v>2.5872132609075931E-6</v>
      </c>
      <c r="R181" s="58">
        <f t="shared" ca="1" si="119"/>
        <v>2.6389575261257445E-6</v>
      </c>
      <c r="S181" s="58">
        <f t="shared" ca="1" si="119"/>
        <v>2.6917366766482594E-6</v>
      </c>
      <c r="T181" s="58">
        <f t="shared" ca="1" si="119"/>
        <v>2.7455714101812251E-6</v>
      </c>
      <c r="U181" s="58">
        <f t="shared" ca="1" si="119"/>
        <v>2.8004828383848493E-6</v>
      </c>
      <c r="V181" s="58">
        <f t="shared" ca="1" si="119"/>
        <v>2.8564924951525465E-6</v>
      </c>
      <c r="W181" s="58">
        <f t="shared" ca="1" si="119"/>
        <v>2.9136223450555975E-6</v>
      </c>
      <c r="X181" s="58">
        <f t="shared" ca="1" si="119"/>
        <v>2.9718947919567099E-6</v>
      </c>
      <c r="Y181" s="58">
        <f t="shared" ca="1" si="119"/>
        <v>3.031332687795844E-6</v>
      </c>
      <c r="Z181" s="58">
        <f t="shared" ca="1" si="119"/>
        <v>3.0919593415517611E-6</v>
      </c>
    </row>
    <row r="182" spans="2:35" hidden="1">
      <c r="B182" s="15"/>
    </row>
    <row r="183" spans="2:35" ht="15.75" hidden="1">
      <c r="B183" s="63" t="s">
        <v>618</v>
      </c>
      <c r="C183" s="63"/>
      <c r="D183" s="63"/>
      <c r="E183" s="63"/>
      <c r="F183" s="64">
        <f ca="1">+F177-F181</f>
        <v>0</v>
      </c>
      <c r="G183" s="64">
        <f t="shared" ref="G183:Z183" ca="1" si="120">+G177-G181</f>
        <v>0</v>
      </c>
      <c r="H183" s="64">
        <f t="shared" ca="1" si="120"/>
        <v>0</v>
      </c>
      <c r="I183" s="64">
        <f t="shared" ca="1" si="120"/>
        <v>5.8678559999999998E-6</v>
      </c>
      <c r="J183" s="64">
        <f t="shared" ca="1" si="120"/>
        <v>7.8374999999999991E-6</v>
      </c>
      <c r="K183" s="64">
        <f t="shared" ca="1" si="120"/>
        <v>7.8374999999999991E-6</v>
      </c>
      <c r="L183" s="64">
        <f t="shared" ca="1" si="120"/>
        <v>8.6212499999999981E-6</v>
      </c>
      <c r="M183" s="64">
        <f t="shared" ca="1" si="120"/>
        <v>8.6212500000000032E-6</v>
      </c>
      <c r="N183" s="64">
        <f t="shared" ca="1" si="120"/>
        <v>8.6212499999999981E-6</v>
      </c>
      <c r="O183" s="64">
        <f t="shared" ca="1" si="120"/>
        <v>1.2909283200000002E-5</v>
      </c>
      <c r="P183" s="64">
        <f t="shared" ca="1" si="120"/>
        <v>1.29092832E-5</v>
      </c>
      <c r="Q183" s="64">
        <f t="shared" ca="1" si="120"/>
        <v>1.4200211520000003E-5</v>
      </c>
      <c r="R183" s="64">
        <f t="shared" ca="1" si="120"/>
        <v>1.4200211520000001E-5</v>
      </c>
      <c r="S183" s="64">
        <f t="shared" ca="1" si="120"/>
        <v>1.4200211520000003E-5</v>
      </c>
      <c r="T183" s="64">
        <f t="shared" ca="1" si="120"/>
        <v>1.4200211520000005E-5</v>
      </c>
      <c r="U183" s="64">
        <f t="shared" ca="1" si="120"/>
        <v>1.4200211520000001E-5</v>
      </c>
      <c r="V183" s="64">
        <f t="shared" ca="1" si="120"/>
        <v>1.5620232672000003E-5</v>
      </c>
      <c r="W183" s="64">
        <f t="shared" ca="1" si="120"/>
        <v>1.5620232672E-5</v>
      </c>
      <c r="X183" s="64">
        <f t="shared" ca="1" si="120"/>
        <v>1.5620232672000003E-5</v>
      </c>
      <c r="Y183" s="64">
        <f t="shared" ca="1" si="120"/>
        <v>1.0431712500000003E-5</v>
      </c>
      <c r="Z183" s="64">
        <f t="shared" ca="1" si="120"/>
        <v>1.5620232672000003E-5</v>
      </c>
    </row>
    <row r="184" spans="2:35" ht="15.75" hidden="1">
      <c r="B184" s="68" t="s">
        <v>619</v>
      </c>
      <c r="C184" s="66"/>
      <c r="D184" s="66"/>
      <c r="E184" s="66"/>
      <c r="F184" s="69" t="str">
        <f ca="1">+IFERROR(F183/F177,"")</f>
        <v/>
      </c>
      <c r="G184" s="69" t="str">
        <f t="shared" ref="G184:H184" ca="1" si="121">+IFERROR(G183/G177,"")</f>
        <v/>
      </c>
      <c r="H184" s="69" t="str">
        <f t="shared" ca="1" si="121"/>
        <v/>
      </c>
      <c r="I184" s="70" t="s">
        <v>464</v>
      </c>
      <c r="J184" s="70" t="s">
        <v>464</v>
      </c>
      <c r="K184" s="70" t="s">
        <v>464</v>
      </c>
      <c r="L184" s="70" t="s">
        <v>464</v>
      </c>
      <c r="M184" s="70" t="s">
        <v>464</v>
      </c>
      <c r="N184" s="70" t="s">
        <v>464</v>
      </c>
      <c r="O184" s="70" t="s">
        <v>464</v>
      </c>
      <c r="P184" s="70" t="s">
        <v>464</v>
      </c>
      <c r="Q184" s="70" t="s">
        <v>464</v>
      </c>
      <c r="R184" s="70" t="s">
        <v>464</v>
      </c>
      <c r="S184" s="70" t="s">
        <v>464</v>
      </c>
      <c r="T184" s="70" t="s">
        <v>464</v>
      </c>
      <c r="U184" s="70" t="s">
        <v>464</v>
      </c>
      <c r="V184" s="70" t="s">
        <v>464</v>
      </c>
      <c r="W184" s="70" t="s">
        <v>464</v>
      </c>
      <c r="X184" s="70" t="s">
        <v>464</v>
      </c>
      <c r="Y184" s="70" t="s">
        <v>464</v>
      </c>
      <c r="Z184" s="70" t="s">
        <v>464</v>
      </c>
      <c r="AA184" s="21" t="s">
        <v>464</v>
      </c>
      <c r="AB184" s="21" t="s">
        <v>464</v>
      </c>
      <c r="AC184" s="21" t="s">
        <v>464</v>
      </c>
      <c r="AD184" s="21" t="s">
        <v>464</v>
      </c>
      <c r="AE184" s="21" t="s">
        <v>464</v>
      </c>
      <c r="AF184" s="21" t="s">
        <v>464</v>
      </c>
      <c r="AG184" s="21" t="s">
        <v>464</v>
      </c>
      <c r="AH184" s="21" t="s">
        <v>464</v>
      </c>
      <c r="AI184" s="21" t="s">
        <v>464</v>
      </c>
    </row>
    <row r="185" spans="2:35" ht="15.75" hidden="1">
      <c r="B185" s="68" t="s">
        <v>568</v>
      </c>
      <c r="C185" s="66"/>
      <c r="D185" s="66"/>
      <c r="E185" s="66"/>
      <c r="F185" s="67">
        <f ca="1">+F183/Assumptions!$O$134</f>
        <v>0</v>
      </c>
      <c r="G185" s="67">
        <f ca="1">+G183/Assumptions!$O$134</f>
        <v>0</v>
      </c>
      <c r="H185" s="67">
        <f ca="1">+H183/Assumptions!$O$134</f>
        <v>0</v>
      </c>
      <c r="I185" s="67">
        <f ca="1">+I183/Assumptions!$O$134</f>
        <v>1.066882909090909E-4</v>
      </c>
      <c r="J185" s="67">
        <f ca="1">+J183/Assumptions!$O$134</f>
        <v>2.1337658181818181E-4</v>
      </c>
      <c r="K185" s="67">
        <f ca="1">+K183/Assumptions!$O$134</f>
        <v>2.1337658181818181E-4</v>
      </c>
      <c r="L185" s="67">
        <f ca="1">+L183/Assumptions!$O$134</f>
        <v>2.3471424000000003E-4</v>
      </c>
      <c r="M185" s="67">
        <f ca="1">+M183/Assumptions!$O$134</f>
        <v>2.3471424000000001E-4</v>
      </c>
      <c r="N185" s="67">
        <f ca="1">+N183/Assumptions!$O$134</f>
        <v>2.3471424000000003E-4</v>
      </c>
      <c r="O185" s="67">
        <f ca="1">+O183/Assumptions!$O$134</f>
        <v>2.3471424000000003E-4</v>
      </c>
      <c r="P185" s="67">
        <f ca="1">+P183/Assumptions!$O$134</f>
        <v>2.3471424000000001E-4</v>
      </c>
      <c r="Q185" s="67">
        <f ca="1">+Q183/Assumptions!$O$134</f>
        <v>2.5818566400000003E-4</v>
      </c>
      <c r="R185" s="67">
        <f ca="1">+R183/Assumptions!$O$134</f>
        <v>2.5818566400000003E-4</v>
      </c>
      <c r="S185" s="67">
        <f ca="1">+S183/Assumptions!$O$134</f>
        <v>2.5818566400000003E-4</v>
      </c>
      <c r="T185" s="67">
        <f ca="1">+T183/Assumptions!$O$134</f>
        <v>2.5818566400000008E-4</v>
      </c>
      <c r="U185" s="67">
        <f ca="1">+U183/Assumptions!$O$134</f>
        <v>2.5818566400000003E-4</v>
      </c>
      <c r="V185" s="67">
        <f ca="1">+V183/Assumptions!$O$134</f>
        <v>2.8400423040000005E-4</v>
      </c>
      <c r="W185" s="67">
        <f ca="1">+W183/Assumptions!$O$134</f>
        <v>2.840042304E-4</v>
      </c>
      <c r="X185" s="67">
        <f ca="1">+X183/Assumptions!$O$134</f>
        <v>2.8400423040000005E-4</v>
      </c>
      <c r="Y185" s="67">
        <f ca="1">+Y183/Assumptions!$O$134</f>
        <v>2.8400423040000005E-4</v>
      </c>
      <c r="Z185" s="67">
        <f ca="1">+Z183/Assumptions!$O$134</f>
        <v>2.8400423040000005E-4</v>
      </c>
    </row>
    <row r="186" spans="2:35" hidden="1"/>
    <row r="187" spans="2:35" ht="15.75">
      <c r="B187" s="73" t="s">
        <v>625</v>
      </c>
      <c r="F187" s="75">
        <f>+Assumptions!$G$22</f>
        <v>44926</v>
      </c>
      <c r="G187" s="75">
        <f>+EOMONTH(F187,12)</f>
        <v>45291</v>
      </c>
      <c r="H187" s="75">
        <f t="shared" ref="H187:Z187" si="122">+EOMONTH(G187,12)</f>
        <v>45657</v>
      </c>
      <c r="I187" s="75">
        <f t="shared" si="122"/>
        <v>46022</v>
      </c>
      <c r="J187" s="75">
        <f t="shared" si="122"/>
        <v>46387</v>
      </c>
      <c r="K187" s="75">
        <f t="shared" si="122"/>
        <v>46752</v>
      </c>
      <c r="L187" s="75">
        <f t="shared" si="122"/>
        <v>47118</v>
      </c>
      <c r="M187" s="75">
        <f t="shared" si="122"/>
        <v>47483</v>
      </c>
      <c r="N187" s="75">
        <f t="shared" si="122"/>
        <v>47848</v>
      </c>
      <c r="O187" s="75">
        <f t="shared" si="122"/>
        <v>48213</v>
      </c>
      <c r="P187" s="75">
        <f t="shared" si="122"/>
        <v>48579</v>
      </c>
      <c r="Q187" s="75">
        <f t="shared" si="122"/>
        <v>48944</v>
      </c>
      <c r="R187" s="75">
        <f t="shared" si="122"/>
        <v>49309</v>
      </c>
      <c r="S187" s="75">
        <f t="shared" si="122"/>
        <v>49674</v>
      </c>
      <c r="T187" s="75">
        <f t="shared" si="122"/>
        <v>50040</v>
      </c>
      <c r="U187" s="75">
        <f t="shared" si="122"/>
        <v>50405</v>
      </c>
      <c r="V187" s="75">
        <f t="shared" si="122"/>
        <v>50770</v>
      </c>
      <c r="W187" s="75">
        <f t="shared" si="122"/>
        <v>51135</v>
      </c>
      <c r="X187" s="75">
        <f t="shared" si="122"/>
        <v>51501</v>
      </c>
      <c r="Y187" s="75">
        <f t="shared" si="122"/>
        <v>51866</v>
      </c>
      <c r="Z187" s="75">
        <f t="shared" si="122"/>
        <v>52231</v>
      </c>
    </row>
    <row r="188" spans="2:35">
      <c r="B188" s="15" t="s">
        <v>626</v>
      </c>
      <c r="F188" s="16">
        <v>0</v>
      </c>
      <c r="G188" s="16">
        <f t="shared" ref="G188:Z188" si="123">+F191</f>
        <v>0</v>
      </c>
      <c r="H188" s="16">
        <f t="shared" si="123"/>
        <v>0</v>
      </c>
      <c r="I188" s="16">
        <f t="shared" si="123"/>
        <v>0</v>
      </c>
      <c r="J188" s="16">
        <f t="shared" ca="1" si="123"/>
        <v>1.096153846153846E-4</v>
      </c>
      <c r="K188" s="16">
        <f t="shared" ca="1" si="123"/>
        <v>1.096153846153846E-4</v>
      </c>
      <c r="L188" s="16">
        <f t="shared" ca="1" si="123"/>
        <v>1.6003243636363636E-4</v>
      </c>
      <c r="M188" s="16">
        <f t="shared" ca="1" si="123"/>
        <v>1.6003243636363636E-4</v>
      </c>
      <c r="N188" s="16">
        <f t="shared" ca="1" si="123"/>
        <v>1.6003243636363636E-4</v>
      </c>
      <c r="O188" s="16">
        <f t="shared" ca="1" si="123"/>
        <v>1.6003243636363636E-4</v>
      </c>
      <c r="P188" s="16">
        <f t="shared" ca="1" si="123"/>
        <v>1.6003243636363636E-4</v>
      </c>
      <c r="Q188" s="16">
        <f t="shared" ca="1" si="123"/>
        <v>1.6003243636363636E-4</v>
      </c>
      <c r="R188" s="16">
        <f t="shared" ca="1" si="123"/>
        <v>1.6003243636363636E-4</v>
      </c>
      <c r="S188" s="16">
        <f t="shared" ca="1" si="123"/>
        <v>1.6003243636363636E-4</v>
      </c>
      <c r="T188" s="16">
        <f t="shared" ca="1" si="123"/>
        <v>1.6003243636363636E-4</v>
      </c>
      <c r="U188" s="16">
        <f t="shared" ca="1" si="123"/>
        <v>1.6003243636363636E-4</v>
      </c>
      <c r="V188" s="16">
        <f t="shared" ca="1" si="123"/>
        <v>1.6003243636363636E-4</v>
      </c>
      <c r="W188" s="16">
        <f t="shared" ca="1" si="123"/>
        <v>1.6003243636363636E-4</v>
      </c>
      <c r="X188" s="16">
        <f t="shared" ca="1" si="123"/>
        <v>1.6003243636363636E-4</v>
      </c>
      <c r="Y188" s="16">
        <f t="shared" ca="1" si="123"/>
        <v>1.6003243636363636E-4</v>
      </c>
      <c r="Z188" s="16">
        <f t="shared" ca="1" si="123"/>
        <v>1.6003243636363636E-4</v>
      </c>
    </row>
    <row r="189" spans="2:35">
      <c r="B189" s="15" t="s">
        <v>627</v>
      </c>
      <c r="F189" s="76">
        <f>+IF(YEAR(F$139)=YEAR(Assumptions!$G$26),'S&amp;U'!$S$19,0)</f>
        <v>0</v>
      </c>
      <c r="G189" s="76">
        <f>+IF(YEAR(G$139)=YEAR(Assumptions!$G$26),'S&amp;U'!$S$19,0)</f>
        <v>0</v>
      </c>
      <c r="H189" s="76">
        <f>+IF(YEAR(H$139)=YEAR(Assumptions!$G$26),'S&amp;U'!$S$19,0)</f>
        <v>0</v>
      </c>
      <c r="I189" s="76">
        <f ca="1">+IF(YEAR(I$139)=YEAR(Assumptions!$G$26),'S&amp;U'!$S$19,0)</f>
        <v>1.096153846153846E-4</v>
      </c>
      <c r="J189" s="76">
        <f>+IF(YEAR(J$139)=YEAR(Assumptions!$G$26),'S&amp;U'!$S$19,0)</f>
        <v>0</v>
      </c>
      <c r="K189" s="76">
        <f>+IF(YEAR(K$139)=YEAR(Assumptions!$G$26),'S&amp;U'!$S$19,0)</f>
        <v>0</v>
      </c>
      <c r="L189" s="76">
        <f>+IF(YEAR(L$139)=YEAR(Assumptions!$G$26),'S&amp;U'!$S$19,0)</f>
        <v>0</v>
      </c>
      <c r="M189" s="76">
        <f>+IF(YEAR(M$139)=YEAR(Assumptions!$G$26),'S&amp;U'!$S$19,0)</f>
        <v>0</v>
      </c>
      <c r="N189" s="76">
        <f>+IF(YEAR(N$139)=YEAR(Assumptions!$G$26),'S&amp;U'!$S$19,0)</f>
        <v>0</v>
      </c>
      <c r="O189" s="76">
        <f>+IF(YEAR(O$139)=YEAR(Assumptions!$G$26),'S&amp;U'!$S$19,0)</f>
        <v>0</v>
      </c>
      <c r="P189" s="76">
        <f>+IF(YEAR(P$139)=YEAR(Assumptions!$G$26),'S&amp;U'!$S$19,0)</f>
        <v>0</v>
      </c>
      <c r="Q189" s="76">
        <f>+IF(YEAR(Q$139)=YEAR(Assumptions!$G$26),'S&amp;U'!$S$19,0)</f>
        <v>0</v>
      </c>
      <c r="R189" s="76">
        <f>+IF(YEAR(R$139)=YEAR(Assumptions!$G$26),'S&amp;U'!$S$19,0)</f>
        <v>0</v>
      </c>
      <c r="S189" s="76">
        <f>+IF(YEAR(S$139)=YEAR(Assumptions!$G$26),'S&amp;U'!$S$19,0)</f>
        <v>0</v>
      </c>
      <c r="T189" s="76">
        <f>+IF(YEAR(T$139)=YEAR(Assumptions!$G$26),'S&amp;U'!$S$19,0)</f>
        <v>0</v>
      </c>
      <c r="U189" s="76">
        <f>+IF(YEAR(U$139)=YEAR(Assumptions!$G$26),'S&amp;U'!$S$19,0)</f>
        <v>0</v>
      </c>
      <c r="V189" s="76">
        <f>+IF(YEAR(V$139)=YEAR(Assumptions!$G$26),'S&amp;U'!$S$19,0)</f>
        <v>0</v>
      </c>
      <c r="W189" s="76">
        <f>+IF(YEAR(W$139)=YEAR(Assumptions!$G$26),'S&amp;U'!$S$19,0)</f>
        <v>0</v>
      </c>
      <c r="X189" s="76">
        <f>+IF(YEAR(X$139)=YEAR(Assumptions!$G$26),'S&amp;U'!$S$19,0)</f>
        <v>0</v>
      </c>
      <c r="Y189" s="76">
        <f>+IF(YEAR(Y$139)=YEAR(Assumptions!$G$26),'S&amp;U'!$S$19,0)</f>
        <v>0</v>
      </c>
      <c r="Z189" s="76">
        <f>+IF(YEAR(Z$139)=YEAR(Assumptions!$G$26),'S&amp;U'!$S$19,0)</f>
        <v>0</v>
      </c>
    </row>
    <row r="190" spans="2:35">
      <c r="B190" s="15" t="s">
        <v>261</v>
      </c>
      <c r="F190" s="76">
        <v>0</v>
      </c>
      <c r="G190" s="76">
        <v>0</v>
      </c>
      <c r="H190" s="76">
        <v>0</v>
      </c>
      <c r="I190" s="76">
        <v>0</v>
      </c>
      <c r="J190" s="76">
        <v>0</v>
      </c>
      <c r="K190" s="76">
        <v>0</v>
      </c>
      <c r="L190" s="76">
        <v>0</v>
      </c>
      <c r="M190" s="76">
        <v>0</v>
      </c>
      <c r="N190" s="76">
        <v>0</v>
      </c>
      <c r="O190" s="76">
        <v>0</v>
      </c>
      <c r="P190" s="76">
        <v>0</v>
      </c>
      <c r="Q190" s="76">
        <v>0</v>
      </c>
      <c r="R190" s="76">
        <v>0</v>
      </c>
      <c r="S190" s="76">
        <v>0</v>
      </c>
      <c r="T190" s="76">
        <v>0</v>
      </c>
      <c r="U190" s="76">
        <v>0</v>
      </c>
      <c r="V190" s="76">
        <v>0</v>
      </c>
      <c r="W190" s="76">
        <v>0</v>
      </c>
      <c r="X190" s="76">
        <v>0</v>
      </c>
      <c r="Y190" s="76">
        <v>0</v>
      </c>
      <c r="Z190" s="76">
        <v>0</v>
      </c>
    </row>
    <row r="191" spans="2:35">
      <c r="B191" s="15" t="s">
        <v>628</v>
      </c>
      <c r="F191" s="76">
        <f t="shared" ref="F191:N191" si="124">+SUM(F188:F190)</f>
        <v>0</v>
      </c>
      <c r="G191" s="76">
        <f t="shared" si="124"/>
        <v>0</v>
      </c>
      <c r="H191" s="76">
        <f t="shared" si="124"/>
        <v>0</v>
      </c>
      <c r="I191" s="76">
        <f t="shared" ca="1" si="124"/>
        <v>1.096153846153846E-4</v>
      </c>
      <c r="J191" s="76">
        <f t="shared" ca="1" si="124"/>
        <v>1.096153846153846E-4</v>
      </c>
      <c r="K191" s="76">
        <f t="shared" ca="1" si="124"/>
        <v>1.096153846153846E-4</v>
      </c>
      <c r="L191" s="76">
        <f t="shared" ca="1" si="124"/>
        <v>1.6003243636363636E-4</v>
      </c>
      <c r="M191" s="76">
        <f t="shared" ca="1" si="124"/>
        <v>1.6003243636363636E-4</v>
      </c>
      <c r="N191" s="76">
        <f t="shared" ca="1" si="124"/>
        <v>1.6003243636363636E-4</v>
      </c>
      <c r="O191" s="76">
        <f t="shared" ref="O191" ca="1" si="125">+SUM(O188:O190)</f>
        <v>1.6003243636363636E-4</v>
      </c>
      <c r="P191" s="76">
        <f t="shared" ref="P191:Z191" ca="1" si="126">+SUM(P188:P190)</f>
        <v>1.6003243636363636E-4</v>
      </c>
      <c r="Q191" s="76">
        <f t="shared" ca="1" si="126"/>
        <v>1.6003243636363636E-4</v>
      </c>
      <c r="R191" s="76">
        <f t="shared" ca="1" si="126"/>
        <v>1.6003243636363636E-4</v>
      </c>
      <c r="S191" s="76">
        <f t="shared" ca="1" si="126"/>
        <v>1.6003243636363636E-4</v>
      </c>
      <c r="T191" s="76">
        <f t="shared" ca="1" si="126"/>
        <v>1.6003243636363636E-4</v>
      </c>
      <c r="U191" s="76">
        <f t="shared" ca="1" si="126"/>
        <v>1.6003243636363636E-4</v>
      </c>
      <c r="V191" s="76">
        <f t="shared" ca="1" si="126"/>
        <v>1.6003243636363636E-4</v>
      </c>
      <c r="W191" s="76">
        <f t="shared" ca="1" si="126"/>
        <v>1.6003243636363636E-4</v>
      </c>
      <c r="X191" s="76">
        <f t="shared" ca="1" si="126"/>
        <v>1.6003243636363636E-4</v>
      </c>
      <c r="Y191" s="76">
        <f t="shared" ca="1" si="126"/>
        <v>1.6003243636363636E-4</v>
      </c>
      <c r="Z191" s="76">
        <f t="shared" ca="1" si="126"/>
        <v>1.6003243636363636E-4</v>
      </c>
    </row>
    <row r="193" spans="2:26">
      <c r="B193" s="21" t="s">
        <v>629</v>
      </c>
      <c r="F193" s="16">
        <f>+F191*Assumptions!$O$163</f>
        <v>0</v>
      </c>
      <c r="G193" s="16">
        <f>+G191*Assumptions!$O$163</f>
        <v>0</v>
      </c>
      <c r="H193" s="16">
        <f>+H191*Assumptions!$O$163</f>
        <v>0</v>
      </c>
      <c r="I193" s="16">
        <f ca="1">+I191*Assumptions!$O$163</f>
        <v>8.8017840000000006E-6</v>
      </c>
      <c r="J193" s="16">
        <f ca="1">+J191*Assumptions!$O$163</f>
        <v>8.8017840000000006E-6</v>
      </c>
      <c r="K193" s="16">
        <f ca="1">+K191*Assumptions!$O$163</f>
        <v>6.0288461538461527E-6</v>
      </c>
      <c r="L193" s="16">
        <f ca="1">+L191*Assumptions!$O$163</f>
        <v>8.8017840000000006E-6</v>
      </c>
      <c r="M193" s="16">
        <f ca="1">+M191*Assumptions!$O$163</f>
        <v>8.8017840000000006E-6</v>
      </c>
      <c r="N193" s="16">
        <f ca="1">+N191*Assumptions!$O$163</f>
        <v>8.8017840000000006E-6</v>
      </c>
      <c r="O193" s="16">
        <f ca="1">+O191*Assumptions!$O$163</f>
        <v>8.8017840000000006E-6</v>
      </c>
      <c r="P193" s="16">
        <f ca="1">+P191*Assumptions!$O$163</f>
        <v>8.8017840000000006E-6</v>
      </c>
      <c r="Q193" s="16">
        <f ca="1">+Q191*Assumptions!$O$163</f>
        <v>8.8017840000000006E-6</v>
      </c>
      <c r="R193" s="16">
        <f ca="1">+R191*Assumptions!$O$163</f>
        <v>8.8017840000000006E-6</v>
      </c>
      <c r="S193" s="16">
        <f ca="1">+S191*Assumptions!$O$163</f>
        <v>8.8017840000000006E-6</v>
      </c>
      <c r="T193" s="16">
        <f ca="1">+T191*Assumptions!$O$163</f>
        <v>8.8017840000000006E-6</v>
      </c>
      <c r="U193" s="16">
        <f ca="1">+U191*Assumptions!$O$163</f>
        <v>8.8017840000000006E-6</v>
      </c>
      <c r="V193" s="16">
        <f ca="1">+V191*Assumptions!$O$163</f>
        <v>8.8017840000000006E-6</v>
      </c>
      <c r="W193" s="16">
        <f ca="1">+W191*Assumptions!$O$163</f>
        <v>8.8017840000000006E-6</v>
      </c>
      <c r="X193" s="16">
        <f ca="1">+X191*Assumptions!$O$163</f>
        <v>8.8017840000000006E-6</v>
      </c>
      <c r="Y193" s="16">
        <f ca="1">+Y191*Assumptions!$O$163</f>
        <v>8.8017840000000006E-6</v>
      </c>
      <c r="Z193" s="16">
        <f ca="1">+Z191*Assumptions!$O$163</f>
        <v>8.8017840000000006E-6</v>
      </c>
    </row>
    <row r="194" spans="2:26">
      <c r="B194" s="62" t="s">
        <v>630</v>
      </c>
      <c r="C194" s="62"/>
      <c r="D194" s="62"/>
      <c r="E194" s="62"/>
      <c r="F194" s="58">
        <f t="shared" ref="F194:K194" si="127">+F193-F190</f>
        <v>0</v>
      </c>
      <c r="G194" s="58">
        <f t="shared" si="127"/>
        <v>0</v>
      </c>
      <c r="H194" s="58">
        <f t="shared" si="127"/>
        <v>0</v>
      </c>
      <c r="I194" s="58">
        <f t="shared" ca="1" si="127"/>
        <v>8.8017840000000006E-6</v>
      </c>
      <c r="J194" s="58">
        <f t="shared" ca="1" si="127"/>
        <v>8.8017840000000006E-6</v>
      </c>
      <c r="K194" s="58">
        <f t="shared" ca="1" si="127"/>
        <v>6.0288461538461527E-6</v>
      </c>
      <c r="L194" s="58">
        <f ca="1">+L193-L190</f>
        <v>8.8017840000000006E-6</v>
      </c>
      <c r="M194" s="58">
        <f t="shared" ref="M194:Z194" ca="1" si="128">+M193-M190</f>
        <v>8.8017840000000006E-6</v>
      </c>
      <c r="N194" s="58">
        <f t="shared" ca="1" si="128"/>
        <v>8.8017840000000006E-6</v>
      </c>
      <c r="O194" s="58">
        <f t="shared" ca="1" si="128"/>
        <v>8.8017840000000006E-6</v>
      </c>
      <c r="P194" s="58">
        <f t="shared" ca="1" si="128"/>
        <v>8.8017840000000006E-6</v>
      </c>
      <c r="Q194" s="58">
        <f t="shared" ca="1" si="128"/>
        <v>8.8017840000000006E-6</v>
      </c>
      <c r="R194" s="58">
        <f t="shared" ca="1" si="128"/>
        <v>8.8017840000000006E-6</v>
      </c>
      <c r="S194" s="58">
        <f t="shared" ca="1" si="128"/>
        <v>8.8017840000000006E-6</v>
      </c>
      <c r="T194" s="58">
        <f t="shared" ca="1" si="128"/>
        <v>8.8017840000000006E-6</v>
      </c>
      <c r="U194" s="58">
        <f t="shared" ca="1" si="128"/>
        <v>8.8017840000000006E-6</v>
      </c>
      <c r="V194" s="58">
        <f t="shared" ca="1" si="128"/>
        <v>8.8017840000000006E-6</v>
      </c>
      <c r="W194" s="58">
        <f t="shared" ca="1" si="128"/>
        <v>8.8017840000000006E-6</v>
      </c>
      <c r="X194" s="58">
        <f t="shared" ca="1" si="128"/>
        <v>8.8017840000000006E-6</v>
      </c>
      <c r="Y194" s="58">
        <f t="shared" ca="1" si="128"/>
        <v>8.8017840000000006E-6</v>
      </c>
      <c r="Z194" s="58">
        <f t="shared" ca="1" si="128"/>
        <v>8.8017840000000006E-6</v>
      </c>
    </row>
    <row r="195" spans="2:26">
      <c r="B195" s="71" t="s">
        <v>259</v>
      </c>
      <c r="F195" s="90" t="str">
        <f t="shared" ref="F195:J195" ca="1" si="129">+IFERROR(F183/F194,"")</f>
        <v/>
      </c>
      <c r="G195" s="90" t="str">
        <f t="shared" ca="1" si="129"/>
        <v/>
      </c>
      <c r="H195" s="90" t="str">
        <f t="shared" ca="1" si="129"/>
        <v/>
      </c>
      <c r="I195" s="90">
        <f t="shared" ca="1" si="129"/>
        <v>0.66666666666666663</v>
      </c>
      <c r="J195" s="90">
        <f t="shared" ca="1" si="129"/>
        <v>1.3333333333333333</v>
      </c>
      <c r="K195" s="90">
        <f ca="1">+IFERROR(K183/K194,"")</f>
        <v>1.3333333333333333</v>
      </c>
      <c r="L195" s="90">
        <f t="shared" ref="L195:Z195" ca="1" si="130">+IFERROR(L183/L194,"")</f>
        <v>1.4666666666666668</v>
      </c>
      <c r="M195" s="90">
        <f t="shared" ca="1" si="130"/>
        <v>1.4666666666666666</v>
      </c>
      <c r="N195" s="90">
        <f t="shared" ca="1" si="130"/>
        <v>1.4666666666666668</v>
      </c>
      <c r="O195" s="90">
        <f t="shared" ca="1" si="130"/>
        <v>1.4666666666666668</v>
      </c>
      <c r="P195" s="90">
        <f t="shared" ca="1" si="130"/>
        <v>1.4666666666666666</v>
      </c>
      <c r="Q195" s="90">
        <f t="shared" ca="1" si="130"/>
        <v>1.6133333333333335</v>
      </c>
      <c r="R195" s="90">
        <f t="shared" ca="1" si="130"/>
        <v>1.6133333333333333</v>
      </c>
      <c r="S195" s="90">
        <f t="shared" ca="1" si="130"/>
        <v>1.6133333333333335</v>
      </c>
      <c r="T195" s="90">
        <f t="shared" ca="1" si="130"/>
        <v>1.6133333333333337</v>
      </c>
      <c r="U195" s="90">
        <f t="shared" ca="1" si="130"/>
        <v>1.6133333333333333</v>
      </c>
      <c r="V195" s="90">
        <f t="shared" ca="1" si="130"/>
        <v>1.7746666666666668</v>
      </c>
      <c r="W195" s="90">
        <f t="shared" ca="1" si="130"/>
        <v>1.7746666666666666</v>
      </c>
      <c r="X195" s="90">
        <f t="shared" ca="1" si="130"/>
        <v>1.7746666666666668</v>
      </c>
      <c r="Y195" s="90">
        <f t="shared" ca="1" si="130"/>
        <v>1.7746666666666668</v>
      </c>
      <c r="Z195" s="90">
        <f t="shared" ca="1" si="130"/>
        <v>1.7746666666666668</v>
      </c>
    </row>
    <row r="197" spans="2:26">
      <c r="B197" s="21" t="s">
        <v>255</v>
      </c>
      <c r="F197" s="16">
        <f>+F189*Assumptions!$O$164</f>
        <v>0</v>
      </c>
      <c r="G197" s="16">
        <f>+G189*Assumptions!$O$164</f>
        <v>0</v>
      </c>
      <c r="H197" s="16">
        <f>+H189*Assumptions!$O$164</f>
        <v>0</v>
      </c>
      <c r="I197" s="16">
        <f ca="1">+I189*Assumptions!$O$164</f>
        <v>1.2002432727272727E-6</v>
      </c>
      <c r="J197" s="16">
        <f>+J189*Assumptions!$O$164</f>
        <v>0</v>
      </c>
      <c r="K197" s="16">
        <f>+K189*Assumptions!$O$164</f>
        <v>0</v>
      </c>
      <c r="L197" s="16">
        <f>+L189*Assumptions!$O$164</f>
        <v>0</v>
      </c>
      <c r="M197" s="16">
        <f>+M189*Assumptions!$O$164</f>
        <v>0</v>
      </c>
      <c r="N197" s="16">
        <f>+N189*Assumptions!$O$164</f>
        <v>0</v>
      </c>
      <c r="O197" s="16">
        <f>+O189*Assumptions!$O$164</f>
        <v>0</v>
      </c>
      <c r="P197" s="16">
        <f>+P189*Assumptions!$O$164</f>
        <v>0</v>
      </c>
      <c r="Q197" s="16">
        <f>+Q189*Assumptions!$O$164</f>
        <v>0</v>
      </c>
      <c r="R197" s="16">
        <f>+R189*Assumptions!$O$164</f>
        <v>0</v>
      </c>
      <c r="S197" s="16">
        <f>+S189*Assumptions!$O$164</f>
        <v>0</v>
      </c>
      <c r="T197" s="16">
        <f>+T189*Assumptions!$O$164</f>
        <v>0</v>
      </c>
      <c r="U197" s="16">
        <f>+U189*Assumptions!$O$164</f>
        <v>0</v>
      </c>
      <c r="V197" s="16">
        <f>+V189*Assumptions!$O$164</f>
        <v>0</v>
      </c>
      <c r="W197" s="16">
        <f>+W189*Assumptions!$O$164</f>
        <v>0</v>
      </c>
      <c r="X197" s="16">
        <f>+X189*Assumptions!$O$164</f>
        <v>0</v>
      </c>
      <c r="Y197" s="16">
        <f>+Y189*Assumptions!$O$164</f>
        <v>0</v>
      </c>
      <c r="Z197" s="16">
        <f>+Z189*Assumptions!$O$164</f>
        <v>0</v>
      </c>
    </row>
    <row r="199" spans="2:26">
      <c r="B199" s="62" t="s">
        <v>631</v>
      </c>
      <c r="C199" s="62"/>
      <c r="D199" s="62"/>
      <c r="E199" s="62"/>
      <c r="F199" s="58">
        <f ca="1">+F183-F194-F197</f>
        <v>0</v>
      </c>
      <c r="G199" s="58">
        <f t="shared" ref="G199:Z199" ca="1" si="131">+G183-G194-G197</f>
        <v>0</v>
      </c>
      <c r="H199" s="58">
        <f t="shared" ca="1" si="131"/>
        <v>0</v>
      </c>
      <c r="I199" s="58">
        <f t="shared" ca="1" si="131"/>
        <v>-4.1341712727272736E-6</v>
      </c>
      <c r="J199" s="58">
        <f t="shared" ca="1" si="131"/>
        <v>-9.6428400000000149E-7</v>
      </c>
      <c r="K199" s="58">
        <f t="shared" ca="1" si="131"/>
        <v>2.9339279999999991E-6</v>
      </c>
      <c r="L199" s="58">
        <f t="shared" ca="1" si="131"/>
        <v>4.1074992000000014E-6</v>
      </c>
      <c r="M199" s="58">
        <f t="shared" ca="1" si="131"/>
        <v>4.1074991999999997E-6</v>
      </c>
      <c r="N199" s="58">
        <f t="shared" ca="1" si="131"/>
        <v>4.1074992000000014E-6</v>
      </c>
      <c r="O199" s="58">
        <f t="shared" ca="1" si="131"/>
        <v>4.1074992000000014E-6</v>
      </c>
      <c r="P199" s="58">
        <f t="shared" ca="1" si="131"/>
        <v>4.1074991999999997E-6</v>
      </c>
      <c r="Q199" s="58">
        <f t="shared" ca="1" si="131"/>
        <v>5.3984275200000023E-6</v>
      </c>
      <c r="R199" s="58">
        <f t="shared" ca="1" si="131"/>
        <v>5.3984275200000006E-6</v>
      </c>
      <c r="S199" s="58">
        <f t="shared" ca="1" si="131"/>
        <v>5.3984275200000023E-6</v>
      </c>
      <c r="T199" s="58">
        <f t="shared" ca="1" si="131"/>
        <v>5.398427520000004E-6</v>
      </c>
      <c r="U199" s="58">
        <f t="shared" ca="1" si="131"/>
        <v>5.3984275200000006E-6</v>
      </c>
      <c r="V199" s="58">
        <f t="shared" ca="1" si="131"/>
        <v>6.8184486720000027E-6</v>
      </c>
      <c r="W199" s="58">
        <f t="shared" ca="1" si="131"/>
        <v>6.8184486719999993E-6</v>
      </c>
      <c r="X199" s="58">
        <f t="shared" ca="1" si="131"/>
        <v>6.8184486720000027E-6</v>
      </c>
      <c r="Y199" s="58">
        <f t="shared" ca="1" si="131"/>
        <v>6.8184486720000027E-6</v>
      </c>
      <c r="Z199" s="58">
        <f t="shared" ca="1" si="131"/>
        <v>6.8184486720000027E-6</v>
      </c>
    </row>
    <row r="201" spans="2:26" ht="15.75">
      <c r="B201" s="73" t="s">
        <v>656</v>
      </c>
    </row>
    <row r="202" spans="2:26">
      <c r="B202" s="15" t="s">
        <v>24</v>
      </c>
      <c r="F202" s="16">
        <f>+IF(YEAR(F$139)=YEAR(Assumptions!$G$30),F185,0)</f>
        <v>0</v>
      </c>
      <c r="G202" s="16">
        <f>+IF(YEAR(G$139)=YEAR(Assumptions!$G$30),G185,0)</f>
        <v>0</v>
      </c>
      <c r="H202" s="16">
        <f>+IF(YEAR(H$139)=YEAR(Assumptions!$G$30),H185,0)</f>
        <v>0</v>
      </c>
      <c r="I202" s="16">
        <f>+IF(YEAR(I$139)=YEAR(Assumptions!$G$30),I185,0)</f>
        <v>0</v>
      </c>
      <c r="J202" s="16">
        <f>+IF(YEAR(J$139)=YEAR(Assumptions!$G$30),J185,0)</f>
        <v>0</v>
      </c>
      <c r="K202" s="16">
        <f>+IF(YEAR(K$139)=YEAR(Assumptions!$G$30),K185,0)</f>
        <v>0</v>
      </c>
      <c r="L202" s="16">
        <f>+IF(YEAR(L$139)=YEAR(Assumptions!$G$30),L185,0)</f>
        <v>0</v>
      </c>
      <c r="M202" s="16">
        <f>+IF(YEAR(M$139)=YEAR(Assumptions!$G$30),M185,0)</f>
        <v>0</v>
      </c>
      <c r="N202" s="16">
        <f>+IF(YEAR(N$139)=YEAR(Assumptions!$G$30),N185,0)</f>
        <v>0</v>
      </c>
      <c r="O202" s="16">
        <f ca="1">+IF(YEAR(O$139)=YEAR(Assumptions!$G$30),O185,0)</f>
        <v>2.3471424000000003E-4</v>
      </c>
      <c r="P202" s="16">
        <f>+IF(YEAR(P$139)=YEAR(Assumptions!$G$30),P185,0)</f>
        <v>0</v>
      </c>
      <c r="Q202" s="16">
        <f>+IF(YEAR(Q$139)=YEAR(Assumptions!$G$30),Q185,0)</f>
        <v>0</v>
      </c>
      <c r="R202" s="16">
        <f>+IF(YEAR(R$139)=YEAR(Assumptions!$G$30),R185,0)</f>
        <v>0</v>
      </c>
      <c r="S202" s="16">
        <f>+IF(YEAR(S$139)=YEAR(Assumptions!$G$30),S185,0)</f>
        <v>0</v>
      </c>
      <c r="T202" s="16">
        <f>+IF(YEAR(T$139)=YEAR(Assumptions!$G$30),T185,0)</f>
        <v>0</v>
      </c>
      <c r="U202" s="16">
        <f>+IF(YEAR(U$139)=YEAR(Assumptions!$G$30),U185,0)</f>
        <v>0</v>
      </c>
      <c r="V202" s="16">
        <f>+IF(YEAR(V$139)=YEAR(Assumptions!$G$30),V185,0)</f>
        <v>0</v>
      </c>
      <c r="W202" s="16">
        <f>+IF(YEAR(W$139)=YEAR(Assumptions!$G$30),W185,0)</f>
        <v>0</v>
      </c>
      <c r="X202" s="16">
        <f>+IF(YEAR(X$139)=YEAR(Assumptions!$G$30),X185,0)</f>
        <v>0</v>
      </c>
      <c r="Y202" s="16">
        <f>+IF(YEAR(Y$139)=YEAR(Assumptions!$G$30),Y185,0)</f>
        <v>0</v>
      </c>
      <c r="Z202" s="16">
        <f>+IF(YEAR(Z$139)=YEAR(Assumptions!$G$30),Z185,0)</f>
        <v>0</v>
      </c>
    </row>
    <row r="203" spans="2:26">
      <c r="B203" s="15" t="s">
        <v>634</v>
      </c>
      <c r="F203" s="76">
        <f>-F202*Assumptions!$O$136</f>
        <v>0</v>
      </c>
      <c r="G203" s="76">
        <f>-G202*Assumptions!$O$136</f>
        <v>0</v>
      </c>
      <c r="H203" s="76">
        <f>-H202*Assumptions!$O$136</f>
        <v>0</v>
      </c>
      <c r="I203" s="76">
        <f>-I202*Assumptions!$O$136</f>
        <v>0</v>
      </c>
      <c r="J203" s="76">
        <f>-J202*Assumptions!$O$136</f>
        <v>0</v>
      </c>
      <c r="K203" s="76">
        <f>-K202*Assumptions!$O$136</f>
        <v>0</v>
      </c>
      <c r="L203" s="76">
        <f>-L202*Assumptions!$O$136</f>
        <v>0</v>
      </c>
      <c r="M203" s="76">
        <f>-M202*Assumptions!$O$136</f>
        <v>0</v>
      </c>
      <c r="N203" s="76">
        <f>-N202*Assumptions!$O$136</f>
        <v>0</v>
      </c>
      <c r="O203" s="76">
        <f ca="1">-O202*Assumptions!$O$136</f>
        <v>0</v>
      </c>
      <c r="P203" s="76">
        <f>-P202*Assumptions!$O$136</f>
        <v>0</v>
      </c>
      <c r="Q203" s="76">
        <f>-Q202*Assumptions!$O$136</f>
        <v>0</v>
      </c>
      <c r="R203" s="76">
        <f>-R202*Assumptions!$O$136</f>
        <v>0</v>
      </c>
      <c r="S203" s="76">
        <f>-S202*Assumptions!$O$136</f>
        <v>0</v>
      </c>
      <c r="T203" s="76">
        <f>-T202*Assumptions!$O$136</f>
        <v>0</v>
      </c>
      <c r="U203" s="76">
        <f>-U202*Assumptions!$O$136</f>
        <v>0</v>
      </c>
      <c r="V203" s="76">
        <f>-V202*Assumptions!$O$136</f>
        <v>0</v>
      </c>
      <c r="W203" s="76">
        <f>-W202*Assumptions!$O$136</f>
        <v>0</v>
      </c>
      <c r="X203" s="76">
        <f>-X202*Assumptions!$O$136</f>
        <v>0</v>
      </c>
      <c r="Y203" s="76">
        <f>-Y202*Assumptions!$O$136</f>
        <v>0</v>
      </c>
      <c r="Z203" s="76">
        <f>-Z202*Assumptions!$O$136</f>
        <v>0</v>
      </c>
    </row>
    <row r="204" spans="2:26">
      <c r="B204" s="15" t="s">
        <v>635</v>
      </c>
      <c r="F204" s="76">
        <f>+IF(YEAR(F$139)=YEAR(Assumptions!$G$30),-F191,0)</f>
        <v>0</v>
      </c>
      <c r="G204" s="76">
        <f>+IF(YEAR(G$139)=YEAR(Assumptions!$G$30),-G191,0)</f>
        <v>0</v>
      </c>
      <c r="H204" s="76">
        <f>+IF(YEAR(H$139)=YEAR(Assumptions!$G$30),-H191,0)</f>
        <v>0</v>
      </c>
      <c r="I204" s="76">
        <f>+IF(YEAR(I$139)=YEAR(Assumptions!$G$30),-I191,0)</f>
        <v>0</v>
      </c>
      <c r="J204" s="76">
        <f>+IF(YEAR(J$139)=YEAR(Assumptions!$G$30),-J191,0)</f>
        <v>0</v>
      </c>
      <c r="K204" s="76">
        <f>+IF(YEAR(K$139)=YEAR(Assumptions!$G$30),-K191,0)</f>
        <v>0</v>
      </c>
      <c r="L204" s="76">
        <f>+IF(YEAR(L$139)=YEAR(Assumptions!$G$30),-L191,0)</f>
        <v>0</v>
      </c>
      <c r="M204" s="76">
        <f>+IF(YEAR(M$139)=YEAR(Assumptions!$G$30),-M191,0)</f>
        <v>0</v>
      </c>
      <c r="N204" s="76">
        <f>+IF(YEAR(N$139)=YEAR(Assumptions!$G$30),-N191,0)</f>
        <v>0</v>
      </c>
      <c r="O204" s="76">
        <f ca="1">+IF(YEAR(O$139)=YEAR(Assumptions!$G$30),-O191,0)</f>
        <v>-1.6003243636363636E-4</v>
      </c>
      <c r="P204" s="76">
        <f>+IF(YEAR(P$139)=YEAR(Assumptions!$G$30),-P191,0)</f>
        <v>0</v>
      </c>
      <c r="Q204" s="76">
        <f>+IF(YEAR(Q$139)=YEAR(Assumptions!$G$30),-Q191,0)</f>
        <v>0</v>
      </c>
      <c r="R204" s="76">
        <f>+IF(YEAR(R$139)=YEAR(Assumptions!$G$30),-R191,0)</f>
        <v>0</v>
      </c>
      <c r="S204" s="76">
        <f>+IF(YEAR(S$139)=YEAR(Assumptions!$G$30),-S191,0)</f>
        <v>0</v>
      </c>
      <c r="T204" s="76">
        <f>+IF(YEAR(T$139)=YEAR(Assumptions!$G$30),-T191,0)</f>
        <v>0</v>
      </c>
      <c r="U204" s="76">
        <f>+IF(YEAR(U$139)=YEAR(Assumptions!$G$30),-U191,0)</f>
        <v>0</v>
      </c>
      <c r="V204" s="76">
        <f>+IF(YEAR(V$139)=YEAR(Assumptions!$G$30),-V191,0)</f>
        <v>0</v>
      </c>
      <c r="W204" s="76">
        <f>+IF(YEAR(W$139)=YEAR(Assumptions!$G$30),-W191,0)</f>
        <v>0</v>
      </c>
      <c r="X204" s="76">
        <f>+IF(YEAR(X$139)=YEAR(Assumptions!$G$30),-X191,0)</f>
        <v>0</v>
      </c>
      <c r="Y204" s="76">
        <f>+IF(YEAR(Y$139)=YEAR(Assumptions!$G$30),-Y191,0)</f>
        <v>0</v>
      </c>
      <c r="Z204" s="76">
        <f>+IF(YEAR(Z$139)=YEAR(Assumptions!$G$30),-Z191,0)</f>
        <v>0</v>
      </c>
    </row>
    <row r="205" spans="2:26">
      <c r="B205" s="62" t="s">
        <v>636</v>
      </c>
      <c r="C205" s="62"/>
      <c r="D205" s="62"/>
      <c r="E205" s="62"/>
      <c r="F205" s="58">
        <f t="shared" ref="F205:Z205" si="132">+SUM(F202:F204)</f>
        <v>0</v>
      </c>
      <c r="G205" s="58">
        <f t="shared" si="132"/>
        <v>0</v>
      </c>
      <c r="H205" s="58">
        <f t="shared" si="132"/>
        <v>0</v>
      </c>
      <c r="I205" s="58">
        <f t="shared" si="132"/>
        <v>0</v>
      </c>
      <c r="J205" s="58">
        <f t="shared" si="132"/>
        <v>0</v>
      </c>
      <c r="K205" s="58">
        <f t="shared" si="132"/>
        <v>0</v>
      </c>
      <c r="L205" s="58">
        <f t="shared" si="132"/>
        <v>0</v>
      </c>
      <c r="M205" s="58">
        <f t="shared" si="132"/>
        <v>0</v>
      </c>
      <c r="N205" s="58">
        <f t="shared" si="132"/>
        <v>0</v>
      </c>
      <c r="O205" s="58">
        <f t="shared" ca="1" si="132"/>
        <v>0</v>
      </c>
      <c r="P205" s="58">
        <f t="shared" si="132"/>
        <v>0</v>
      </c>
      <c r="Q205" s="58">
        <f t="shared" si="132"/>
        <v>0</v>
      </c>
      <c r="R205" s="58">
        <f t="shared" si="132"/>
        <v>0</v>
      </c>
      <c r="S205" s="58">
        <f t="shared" si="132"/>
        <v>0</v>
      </c>
      <c r="T205" s="58">
        <f t="shared" si="132"/>
        <v>0</v>
      </c>
      <c r="U205" s="58">
        <f t="shared" si="132"/>
        <v>0</v>
      </c>
      <c r="V205" s="58">
        <f t="shared" si="132"/>
        <v>0</v>
      </c>
      <c r="W205" s="58">
        <f t="shared" si="132"/>
        <v>0</v>
      </c>
      <c r="X205" s="58">
        <f t="shared" si="132"/>
        <v>0</v>
      </c>
      <c r="Y205" s="58">
        <f t="shared" si="132"/>
        <v>0</v>
      </c>
      <c r="Z205" s="58">
        <f t="shared" si="132"/>
        <v>0</v>
      </c>
    </row>
    <row r="207" spans="2:26" ht="15.75">
      <c r="B207" s="687" t="s">
        <v>638</v>
      </c>
      <c r="C207" s="687"/>
      <c r="D207" s="687"/>
      <c r="E207" s="687"/>
      <c r="F207" s="550">
        <f ca="1">+IF(YEAR(F$139)&lt;=YEAR(Assumptions!$G$30),'Phase II Pro Forma'!F205+'Phase II Pro Forma'!F199,0)</f>
        <v>0</v>
      </c>
      <c r="G207" s="550">
        <f ca="1">+IF(YEAR(G$139)&lt;=YEAR(Assumptions!$G$30),'Phase II Pro Forma'!G205+'Phase II Pro Forma'!G199,0)</f>
        <v>0</v>
      </c>
      <c r="H207" s="550">
        <f ca="1">+IF(YEAR(H$139)&lt;=YEAR(Assumptions!$G$30),'Phase II Pro Forma'!H205+'Phase II Pro Forma'!H199,0)</f>
        <v>0</v>
      </c>
      <c r="I207" s="550">
        <f ca="1">+IF(YEAR(I$139)&lt;=YEAR(Assumptions!$G$30),'Phase II Pro Forma'!I205+'Phase II Pro Forma'!I199,0)</f>
        <v>-4.1341712727272736E-6</v>
      </c>
      <c r="J207" s="550">
        <f ca="1">+IF(YEAR(J$139)&lt;=YEAR(Assumptions!$G$30),'Phase II Pro Forma'!J205+'Phase II Pro Forma'!J199,0)</f>
        <v>-9.6428400000000149E-7</v>
      </c>
      <c r="K207" s="550">
        <f ca="1">+IF(YEAR(K$139)&lt;=YEAR(Assumptions!$G$30),'Phase II Pro Forma'!K205+'Phase II Pro Forma'!K199,0)</f>
        <v>2.9339279999999991E-6</v>
      </c>
      <c r="L207" s="550">
        <f ca="1">+IF(YEAR(L$139)&lt;=YEAR(Assumptions!$G$30),'Phase II Pro Forma'!L205+'Phase II Pro Forma'!L199,0)</f>
        <v>4.1074992000000014E-6</v>
      </c>
      <c r="M207" s="550">
        <f ca="1">+IF(YEAR(M$139)&lt;=YEAR(Assumptions!$G$30),'Phase II Pro Forma'!M205+'Phase II Pro Forma'!M199,0)</f>
        <v>4.1074991999999997E-6</v>
      </c>
      <c r="N207" s="550">
        <f ca="1">+IF(YEAR(N$139)&lt;=YEAR(Assumptions!$G$30),'Phase II Pro Forma'!N205+'Phase II Pro Forma'!N199,0)</f>
        <v>4.1074992000000014E-6</v>
      </c>
      <c r="O207" s="550">
        <f ca="1">+IF(YEAR(O$139)&lt;=YEAR(Assumptions!$G$30),'Phase II Pro Forma'!O205+'Phase II Pro Forma'!O199,0)</f>
        <v>4.1074992000000014E-6</v>
      </c>
      <c r="P207" s="550">
        <f>+IF(YEAR(P$139)&lt;=YEAR(Assumptions!$G$30),'Phase II Pro Forma'!P205+'Phase II Pro Forma'!P199,0)</f>
        <v>0</v>
      </c>
      <c r="Q207" s="550">
        <f>+IF(YEAR(Q$139)&lt;=YEAR(Assumptions!$G$30),'Phase II Pro Forma'!Q205+'Phase II Pro Forma'!Q199,0)</f>
        <v>0</v>
      </c>
      <c r="R207" s="550">
        <f>+IF(YEAR(R$139)&lt;=YEAR(Assumptions!$G$30),'Phase II Pro Forma'!R205+'Phase II Pro Forma'!R199,0)</f>
        <v>0</v>
      </c>
      <c r="S207" s="550">
        <f>+IF(YEAR(S$139)&lt;=YEAR(Assumptions!$G$30),'Phase II Pro Forma'!S205+'Phase II Pro Forma'!S199,0)</f>
        <v>0</v>
      </c>
      <c r="T207" s="550">
        <f>+IF(YEAR(T$139)&lt;=YEAR(Assumptions!$G$30),'Phase II Pro Forma'!T205+'Phase II Pro Forma'!T199,0)</f>
        <v>0</v>
      </c>
      <c r="U207" s="550">
        <f>+IF(YEAR(U$139)&lt;=YEAR(Assumptions!$G$30),'Phase II Pro Forma'!U205+'Phase II Pro Forma'!U199,0)</f>
        <v>0</v>
      </c>
      <c r="V207" s="550">
        <f>+IF(YEAR(V$139)&lt;=YEAR(Assumptions!$G$30),'Phase II Pro Forma'!V205+'Phase II Pro Forma'!V199,0)</f>
        <v>0</v>
      </c>
      <c r="W207" s="550">
        <f>+IF(YEAR(W$139)&lt;=YEAR(Assumptions!$G$30),'Phase II Pro Forma'!W205+'Phase II Pro Forma'!W199,0)</f>
        <v>0</v>
      </c>
      <c r="X207" s="550">
        <f>+IF(YEAR(X$139)&lt;=YEAR(Assumptions!$G$30),'Phase II Pro Forma'!X205+'Phase II Pro Forma'!X199,0)</f>
        <v>0</v>
      </c>
      <c r="Y207" s="550">
        <f>+IF(YEAR(Y$139)&lt;=YEAR(Assumptions!$G$30),'Phase II Pro Forma'!Y205+'Phase II Pro Forma'!Y199,0)</f>
        <v>0</v>
      </c>
      <c r="Z207" s="550">
        <f>+IF(YEAR(Z$139)&lt;=YEAR(Assumptions!$G$30),'Phase II Pro Forma'!Z205+'Phase II Pro Forma'!Z199,0)</f>
        <v>0</v>
      </c>
    </row>
    <row r="209" spans="2:26" s="544" customFormat="1" ht="15.75">
      <c r="B209" s="687" t="s">
        <v>657</v>
      </c>
      <c r="C209" s="687"/>
      <c r="D209" s="687"/>
      <c r="E209" s="687"/>
      <c r="F209" s="550">
        <f ca="1">+F207+F161</f>
        <v>0</v>
      </c>
      <c r="G209" s="550">
        <v>0</v>
      </c>
      <c r="H209" s="550">
        <v>0</v>
      </c>
      <c r="I209" s="550">
        <v>0</v>
      </c>
      <c r="J209" s="550">
        <v>0</v>
      </c>
      <c r="K209" s="550">
        <v>0</v>
      </c>
      <c r="L209" s="550">
        <v>0</v>
      </c>
      <c r="M209" s="550">
        <v>0</v>
      </c>
      <c r="N209" s="550">
        <v>0</v>
      </c>
      <c r="O209" s="550">
        <v>0</v>
      </c>
      <c r="P209" s="550">
        <v>0</v>
      </c>
      <c r="Q209" s="550">
        <v>0</v>
      </c>
      <c r="R209" s="550">
        <v>0</v>
      </c>
      <c r="S209" s="550">
        <f t="shared" ref="S209:Y209" si="133">+S207+S161</f>
        <v>0</v>
      </c>
      <c r="T209" s="550">
        <f t="shared" si="133"/>
        <v>0</v>
      </c>
      <c r="U209" s="550">
        <f t="shared" si="133"/>
        <v>0</v>
      </c>
      <c r="V209" s="550">
        <f t="shared" si="133"/>
        <v>0</v>
      </c>
      <c r="W209" s="550">
        <f t="shared" si="133"/>
        <v>0</v>
      </c>
      <c r="X209" s="550">
        <f t="shared" si="133"/>
        <v>0</v>
      </c>
      <c r="Y209" s="550">
        <f t="shared" si="133"/>
        <v>0</v>
      </c>
      <c r="Z209" s="550">
        <f>+Z207+Z161</f>
        <v>0</v>
      </c>
    </row>
    <row r="211" spans="2:26">
      <c r="B211" s="21" t="s">
        <v>658</v>
      </c>
      <c r="F211" s="16">
        <f t="shared" ref="F211:Z211" ca="1" si="134">+F155+F232</f>
        <v>0</v>
      </c>
      <c r="G211" s="16">
        <f t="shared" ca="1" si="134"/>
        <v>74936703.300821692</v>
      </c>
      <c r="H211" s="16">
        <f t="shared" ca="1" si="134"/>
        <v>59461237.342041433</v>
      </c>
      <c r="I211" s="16">
        <f t="shared" ca="1" si="134"/>
        <v>24678113.534651399</v>
      </c>
      <c r="J211" s="16">
        <f t="shared" ca="1" si="134"/>
        <v>0</v>
      </c>
      <c r="K211" s="16">
        <f t="shared" ca="1" si="134"/>
        <v>0</v>
      </c>
      <c r="L211" s="16">
        <f t="shared" ca="1" si="134"/>
        <v>0</v>
      </c>
      <c r="M211" s="16">
        <f t="shared" ca="1" si="134"/>
        <v>-36992712.75411582</v>
      </c>
      <c r="N211" s="16">
        <f t="shared" ca="1" si="134"/>
        <v>-36992712.75411582</v>
      </c>
      <c r="O211" s="16">
        <f t="shared" ca="1" si="134"/>
        <v>-36992712.75411582</v>
      </c>
      <c r="P211" s="16">
        <f t="shared" ca="1" si="134"/>
        <v>0</v>
      </c>
      <c r="Q211" s="16">
        <f t="shared" ca="1" si="134"/>
        <v>-36992712.75411582</v>
      </c>
      <c r="R211" s="16">
        <f t="shared" ca="1" si="134"/>
        <v>0</v>
      </c>
      <c r="S211" s="16">
        <f t="shared" ca="1" si="134"/>
        <v>0</v>
      </c>
      <c r="T211" s="16">
        <f t="shared" ca="1" si="134"/>
        <v>0</v>
      </c>
      <c r="U211" s="16">
        <f t="shared" ca="1" si="134"/>
        <v>-36992712.75411582</v>
      </c>
      <c r="V211" s="16">
        <f t="shared" ca="1" si="134"/>
        <v>0</v>
      </c>
      <c r="W211" s="16">
        <f t="shared" ca="1" si="134"/>
        <v>0</v>
      </c>
      <c r="X211" s="16">
        <f t="shared" ca="1" si="134"/>
        <v>0</v>
      </c>
      <c r="Y211" s="16">
        <f t="shared" ca="1" si="134"/>
        <v>2.9802322387695313E-8</v>
      </c>
      <c r="Z211" s="16">
        <f t="shared" ca="1" si="134"/>
        <v>0</v>
      </c>
    </row>
    <row r="212" spans="2:26">
      <c r="B212" s="21" t="s">
        <v>630</v>
      </c>
      <c r="F212" s="16">
        <v>0</v>
      </c>
      <c r="G212" s="16">
        <v>0</v>
      </c>
      <c r="H212" s="16">
        <v>0</v>
      </c>
      <c r="I212" s="16">
        <v>0</v>
      </c>
      <c r="J212" s="16">
        <v>0</v>
      </c>
      <c r="K212" s="16">
        <v>0</v>
      </c>
      <c r="L212" s="16">
        <v>0</v>
      </c>
      <c r="M212" s="16">
        <v>0</v>
      </c>
      <c r="N212" s="16">
        <v>0</v>
      </c>
      <c r="O212" s="16">
        <v>0</v>
      </c>
      <c r="P212" s="16">
        <v>0</v>
      </c>
      <c r="Q212" s="16">
        <v>0</v>
      </c>
      <c r="R212" s="16">
        <v>0</v>
      </c>
      <c r="S212" s="16">
        <v>0</v>
      </c>
      <c r="T212" s="16">
        <v>0</v>
      </c>
      <c r="U212" s="742">
        <v>0</v>
      </c>
      <c r="V212" s="742">
        <v>0</v>
      </c>
      <c r="W212" s="742">
        <v>0</v>
      </c>
      <c r="X212" s="742">
        <v>0</v>
      </c>
      <c r="Y212" s="742">
        <v>0</v>
      </c>
      <c r="Z212" s="742">
        <v>0</v>
      </c>
    </row>
    <row r="214" spans="2:26" ht="15.75">
      <c r="B214" s="444" t="s">
        <v>660</v>
      </c>
      <c r="C214" s="445"/>
      <c r="D214" s="445"/>
      <c r="E214" s="445"/>
      <c r="F214" s="640"/>
      <c r="G214" s="640"/>
      <c r="H214" s="640"/>
      <c r="I214" s="640"/>
      <c r="J214" s="640"/>
      <c r="K214" s="640"/>
      <c r="L214" s="640"/>
      <c r="M214" s="640"/>
      <c r="N214" s="640"/>
      <c r="O214" s="640"/>
      <c r="P214" s="640"/>
      <c r="Q214" s="640"/>
      <c r="R214" s="640"/>
      <c r="S214" s="640"/>
      <c r="T214" s="640"/>
      <c r="U214" s="640"/>
      <c r="V214" s="640"/>
      <c r="W214" s="640"/>
      <c r="X214" s="640"/>
      <c r="Y214" s="640"/>
      <c r="Z214" s="640"/>
    </row>
    <row r="216" spans="2:26" ht="15.75">
      <c r="B216" s="73" t="s">
        <v>661</v>
      </c>
      <c r="F216" s="75">
        <f>+Assumptions!$G$22</f>
        <v>44926</v>
      </c>
      <c r="G216" s="75">
        <f>+EOMONTH(F216,12)</f>
        <v>45291</v>
      </c>
      <c r="H216" s="75">
        <f t="shared" ref="H216:Z216" si="135">+EOMONTH(G216,12)</f>
        <v>45657</v>
      </c>
      <c r="I216" s="75">
        <f t="shared" si="135"/>
        <v>46022</v>
      </c>
      <c r="J216" s="75">
        <f t="shared" si="135"/>
        <v>46387</v>
      </c>
      <c r="K216" s="75">
        <f t="shared" si="135"/>
        <v>46752</v>
      </c>
      <c r="L216" s="75">
        <f t="shared" si="135"/>
        <v>47118</v>
      </c>
      <c r="M216" s="75">
        <f t="shared" si="135"/>
        <v>47483</v>
      </c>
      <c r="N216" s="75">
        <f t="shared" si="135"/>
        <v>47848</v>
      </c>
      <c r="O216" s="75">
        <f t="shared" si="135"/>
        <v>48213</v>
      </c>
      <c r="P216" s="75">
        <f t="shared" si="135"/>
        <v>48579</v>
      </c>
      <c r="Q216" s="75">
        <f t="shared" si="135"/>
        <v>48944</v>
      </c>
      <c r="R216" s="75">
        <f t="shared" si="135"/>
        <v>49309</v>
      </c>
      <c r="S216" s="75">
        <f t="shared" si="135"/>
        <v>49674</v>
      </c>
      <c r="T216" s="75">
        <f t="shared" si="135"/>
        <v>50040</v>
      </c>
      <c r="U216" s="75">
        <f t="shared" si="135"/>
        <v>50405</v>
      </c>
      <c r="V216" s="75">
        <f t="shared" si="135"/>
        <v>50770</v>
      </c>
      <c r="W216" s="75">
        <f t="shared" si="135"/>
        <v>51135</v>
      </c>
      <c r="X216" s="75">
        <f t="shared" si="135"/>
        <v>51501</v>
      </c>
      <c r="Y216" s="75">
        <f t="shared" si="135"/>
        <v>51866</v>
      </c>
      <c r="Z216" s="75">
        <f t="shared" si="135"/>
        <v>52231</v>
      </c>
    </row>
    <row r="217" spans="2:26" ht="15.75">
      <c r="B217" s="15" t="s">
        <v>342</v>
      </c>
      <c r="D217" s="26">
        <f>+SUM(F217:Z217)</f>
        <v>0</v>
      </c>
      <c r="E217" s="26"/>
      <c r="F217" s="16">
        <f>+IF(AND(F$216&gt;=Assumptions!$G$22,F$216&lt;Assumptions!$G$24),'S&amp;U'!$I7/ROUNDUP(Assumptions!$G$23/12,0),IF(AND(F$216&gt;=Assumptions!$G$24,F$216&lt;Assumptions!$G$26),'S&amp;U'!$I39/ROUNDUP(Assumptions!$G$25/12,0),0))</f>
        <v>0</v>
      </c>
      <c r="G217" s="16">
        <f>+IF(AND(G$216&gt;=Assumptions!$G$22,G$216&lt;Assumptions!$G$24),'S&amp;U'!$I7/ROUNDUP(Assumptions!$G$23/12,0),IF(AND(G$216&gt;=Assumptions!$G$24,G$216&lt;Assumptions!$G$26),'S&amp;U'!$I39/ROUNDUP(Assumptions!$G$25/12,0),0))</f>
        <v>0</v>
      </c>
      <c r="H217" s="16">
        <f>+IF(AND(H$216&gt;=Assumptions!$G$22,H$216&lt;Assumptions!$G$24),'S&amp;U'!$I7/ROUNDUP(Assumptions!$G$23/12,0),IF(AND(H$216&gt;=Assumptions!$G$24,H$216&lt;Assumptions!$G$26),'S&amp;U'!$I39/ROUNDUP(Assumptions!$G$25/12,0),0))</f>
        <v>0</v>
      </c>
      <c r="I217" s="16">
        <f>+IF(AND(I$216&gt;=Assumptions!$G$22,I$216&lt;Assumptions!$G$24),'S&amp;U'!$I7/ROUNDUP(Assumptions!$G$23/12,0),IF(AND(I$216&gt;=Assumptions!$G$24,I$216&lt;Assumptions!$G$26),'S&amp;U'!$I39/ROUNDUP(Assumptions!$G$25/12,0),0))</f>
        <v>0</v>
      </c>
      <c r="J217" s="16">
        <f>+IF(AND(J$216&gt;=Assumptions!$G$22,J$216&lt;Assumptions!$G$24),'S&amp;U'!$I7/ROUNDUP(Assumptions!$G$23/12,0),IF(AND(J$216&gt;=Assumptions!$G$24,J$216&lt;Assumptions!$G$26),'S&amp;U'!$I39/ROUNDUP(Assumptions!$G$25/12,0),0))</f>
        <v>0</v>
      </c>
      <c r="K217" s="16">
        <f>+IF(AND(K$216&gt;=Assumptions!$G$22,K$216&lt;Assumptions!$G$24),'S&amp;U'!$I7/ROUNDUP(Assumptions!$G$23/12,0),IF(AND(K$216&gt;=Assumptions!$G$24,K$216&lt;Assumptions!$G$26),'S&amp;U'!$I39/ROUNDUP(Assumptions!$G$25/12,0),0))</f>
        <v>0</v>
      </c>
      <c r="L217" s="16">
        <f>+IF(AND(L$216&gt;=Assumptions!$G$22,L$216&lt;Assumptions!$G$24),'S&amp;U'!$I7/ROUNDUP(Assumptions!$G$23/12,0),IF(AND(L$216&gt;=Assumptions!$G$24,L$216&lt;Assumptions!$G$26),'S&amp;U'!$I39/ROUNDUP(Assumptions!$G$25/12,0),0))</f>
        <v>0</v>
      </c>
      <c r="M217" s="16">
        <f>+IF(AND(M$216&gt;=Assumptions!$G$22,M$216&lt;Assumptions!$G$24),'S&amp;U'!$I7/ROUNDUP(Assumptions!$G$23/12,0),IF(AND(M$216&gt;=Assumptions!$G$24,M$216&lt;Assumptions!$G$26),'S&amp;U'!$I39/ROUNDUP(Assumptions!$G$25/12,0),0))</f>
        <v>0</v>
      </c>
      <c r="N217" s="16">
        <f>+IF(AND(N$216&gt;=Assumptions!$G$22,N$216&lt;Assumptions!$G$24),'S&amp;U'!$I7/ROUNDUP(Assumptions!$G$23/12,0),IF(AND(N$216&gt;=Assumptions!$G$24,N$216&lt;Assumptions!$G$26),'S&amp;U'!$I39/ROUNDUP(Assumptions!$G$25/12,0),0))</f>
        <v>0</v>
      </c>
      <c r="O217" s="16">
        <f>+IF(AND(O$216&gt;=Assumptions!$G$22,O$216&lt;Assumptions!$G$24),'S&amp;U'!$I7/ROUNDUP(Assumptions!$G$23/12,0),IF(AND(O$216&gt;=Assumptions!$G$24,O$216&lt;Assumptions!$G$26),'S&amp;U'!$I39/ROUNDUP(Assumptions!$G$25/12,0),0))</f>
        <v>0</v>
      </c>
      <c r="P217" s="16">
        <f>+IF(AND(P$216&gt;=Assumptions!$G$22,P$216&lt;Assumptions!$G$24),'S&amp;U'!$I7/ROUNDUP(Assumptions!$G$23/12,0),IF(AND(P$216&gt;=Assumptions!$G$24,P$216&lt;Assumptions!$G$26),'S&amp;U'!$I39/ROUNDUP(Assumptions!$G$25/12,0),0))</f>
        <v>0</v>
      </c>
      <c r="Q217" s="16">
        <f>+IF(AND(Q$216&gt;=Assumptions!$G$22,Q$216&lt;Assumptions!$G$24),'S&amp;U'!$I7/ROUNDUP(Assumptions!$G$23/12,0),IF(AND(Q$216&gt;=Assumptions!$G$24,Q$216&lt;Assumptions!$G$26),'S&amp;U'!$I39/ROUNDUP(Assumptions!$G$25/12,0),0))</f>
        <v>0</v>
      </c>
      <c r="R217" s="16">
        <f>+IF(AND(R$216&gt;=Assumptions!$G$22,R$216&lt;Assumptions!$G$24),'S&amp;U'!$I7/ROUNDUP(Assumptions!$G$23/12,0),IF(AND(R$216&gt;=Assumptions!$G$24,R$216&lt;Assumptions!$G$26),'S&amp;U'!$I39/ROUNDUP(Assumptions!$G$25/12,0),0))</f>
        <v>0</v>
      </c>
      <c r="S217" s="16">
        <f>+IF(AND(S$216&gt;=Assumptions!$G$22,S$216&lt;Assumptions!$G$24),'S&amp;U'!$I7/ROUNDUP(Assumptions!$G$23/12,0),IF(AND(S$216&gt;=Assumptions!$G$24,S$216&lt;Assumptions!$G$26),'S&amp;U'!$I39/ROUNDUP(Assumptions!$G$25/12,0),0))</f>
        <v>0</v>
      </c>
      <c r="T217" s="16">
        <f>+IF(AND(T$216&gt;=Assumptions!$G$22,T$216&lt;Assumptions!$G$24),'S&amp;U'!$I7/ROUNDUP(Assumptions!$G$23/12,0),IF(AND(T$216&gt;=Assumptions!$G$24,T$216&lt;Assumptions!$G$26),'S&amp;U'!$I39/ROUNDUP(Assumptions!$G$25/12,0),0))</f>
        <v>0</v>
      </c>
      <c r="U217" s="16">
        <f>+IF(AND(U$216&gt;=Assumptions!$G$22,U$216&lt;Assumptions!$G$24),'S&amp;U'!$I7/ROUNDUP(Assumptions!$G$23/12,0),IF(AND(U$216&gt;=Assumptions!$G$24,U$216&lt;Assumptions!$G$26),'S&amp;U'!$I39/ROUNDUP(Assumptions!$G$25/12,0),0))</f>
        <v>0</v>
      </c>
      <c r="V217" s="16">
        <f>+IF(AND(V$216&gt;=Assumptions!$G$22,V$216&lt;Assumptions!$G$24),'S&amp;U'!$I7/ROUNDUP(Assumptions!$G$23/12,0),IF(AND(V$216&gt;=Assumptions!$G$24,V$216&lt;Assumptions!$G$26),'S&amp;U'!$I39/ROUNDUP(Assumptions!$G$25/12,0),0))</f>
        <v>0</v>
      </c>
      <c r="W217" s="16">
        <f>+IF(AND(W$216&gt;=Assumptions!$G$22,W$216&lt;Assumptions!$G$24),'S&amp;U'!$I7/ROUNDUP(Assumptions!$G$23/12,0),IF(AND(W$216&gt;=Assumptions!$G$24,W$216&lt;Assumptions!$G$26),'S&amp;U'!$I39/ROUNDUP(Assumptions!$G$25/12,0),0))</f>
        <v>0</v>
      </c>
      <c r="X217" s="16">
        <f>+IF(AND(X$216&gt;=Assumptions!$G$22,X$216&lt;Assumptions!$G$24),'S&amp;U'!$I7/ROUNDUP(Assumptions!$G$23/12,0),IF(AND(X$216&gt;=Assumptions!$G$24,X$216&lt;Assumptions!$G$26),'S&amp;U'!$I39/ROUNDUP(Assumptions!$G$25/12,0),0))</f>
        <v>0</v>
      </c>
      <c r="Y217" s="16">
        <f>+IF(AND(Y$216&gt;=Assumptions!$G$22,Y$216&lt;Assumptions!$G$24),'S&amp;U'!$I7/ROUNDUP(Assumptions!$G$23/12,0),IF(AND(Y$216&gt;=Assumptions!$G$24,Y$216&lt;Assumptions!$G$26),'S&amp;U'!$I39/ROUNDUP(Assumptions!$G$25/12,0),0))</f>
        <v>0</v>
      </c>
      <c r="Z217" s="16">
        <f>+IF(AND(Z$216&gt;=Assumptions!$G$22,Z$216&lt;Assumptions!$G$24),'S&amp;U'!$I7/ROUNDUP(Assumptions!$G$23/12,0),IF(AND(Z$216&gt;=Assumptions!$G$24,Z$216&lt;Assumptions!$G$26),'S&amp;U'!$I39/ROUNDUP(Assumptions!$G$25/12,0),0))</f>
        <v>0</v>
      </c>
    </row>
    <row r="218" spans="2:26" ht="15.75">
      <c r="B218" s="15" t="s">
        <v>90</v>
      </c>
      <c r="D218" s="26">
        <f t="shared" ref="D218:D223" si="136">+SUM(F218:Z218)</f>
        <v>372000</v>
      </c>
      <c r="E218" s="26"/>
      <c r="F218" s="76">
        <f>+IF(AND(F$216&gt;=Assumptions!$G$22,F$216&lt;Assumptions!$G$24),'S&amp;U'!$I8/ROUNDUP(Assumptions!$G$23/12,0),IF(AND(F$216&gt;=Assumptions!$G$24,F$216&lt;Assumptions!$G$26),'S&amp;U'!$I40/ROUNDUP(Assumptions!$G$25/12,0),0))</f>
        <v>372000</v>
      </c>
      <c r="G218" s="76">
        <f>+IF(AND(G$216&gt;=Assumptions!$G$22,G$216&lt;Assumptions!$G$24),'S&amp;U'!$I8/ROUNDUP(Assumptions!$G$23/12,0),IF(AND(G$216&gt;=Assumptions!$G$24,G$216&lt;Assumptions!$G$26),'S&amp;U'!$I40/ROUNDUP(Assumptions!$G$25/12,0),0))</f>
        <v>0</v>
      </c>
      <c r="H218" s="76">
        <f>+IF(AND(H$216&gt;=Assumptions!$G$22,H$216&lt;Assumptions!$G$24),'S&amp;U'!$I8/ROUNDUP(Assumptions!$G$23/12,0),IF(AND(H$216&gt;=Assumptions!$G$24,H$216&lt;Assumptions!$G$26),'S&amp;U'!$I40/ROUNDUP(Assumptions!$G$25/12,0),0))</f>
        <v>0</v>
      </c>
      <c r="I218" s="76">
        <f>+IF(AND(I$216&gt;=Assumptions!$G$22,I$216&lt;Assumptions!$G$24),'S&amp;U'!$I8/ROUNDUP(Assumptions!$G$23/12,0),IF(AND(I$216&gt;=Assumptions!$G$24,I$216&lt;Assumptions!$G$26),'S&amp;U'!$I40/ROUNDUP(Assumptions!$G$25/12,0),0))</f>
        <v>0</v>
      </c>
      <c r="J218" s="76">
        <f>+IF(AND(J$216&gt;=Assumptions!$G$22,J$216&lt;Assumptions!$G$24),'S&amp;U'!$I8/ROUNDUP(Assumptions!$G$23/12,0),IF(AND(J$216&gt;=Assumptions!$G$24,J$216&lt;Assumptions!$G$26),'S&amp;U'!$I40/ROUNDUP(Assumptions!$G$25/12,0),0))</f>
        <v>0</v>
      </c>
      <c r="K218" s="76">
        <f>+IF(AND(K$216&gt;=Assumptions!$G$22,K$216&lt;Assumptions!$G$24),'S&amp;U'!$I8/ROUNDUP(Assumptions!$G$23/12,0),IF(AND(K$216&gt;=Assumptions!$G$24,K$216&lt;Assumptions!$G$26),'S&amp;U'!$I40/ROUNDUP(Assumptions!$G$25/12,0),0))</f>
        <v>0</v>
      </c>
      <c r="L218" s="76">
        <f>+IF(AND(L$216&gt;=Assumptions!$G$22,L$216&lt;Assumptions!$G$24),'S&amp;U'!$I8/ROUNDUP(Assumptions!$G$23/12,0),IF(AND(L$216&gt;=Assumptions!$G$24,L$216&lt;Assumptions!$G$26),'S&amp;U'!$I40/ROUNDUP(Assumptions!$G$25/12,0),0))</f>
        <v>0</v>
      </c>
      <c r="M218" s="76">
        <f>+IF(AND(M$216&gt;=Assumptions!$G$22,M$216&lt;Assumptions!$G$24),'S&amp;U'!$I8/ROUNDUP(Assumptions!$G$23/12,0),IF(AND(M$216&gt;=Assumptions!$G$24,M$216&lt;Assumptions!$G$26),'S&amp;U'!$I40/ROUNDUP(Assumptions!$G$25/12,0),0))</f>
        <v>0</v>
      </c>
      <c r="N218" s="76">
        <f>+IF(AND(N$216&gt;=Assumptions!$G$22,N$216&lt;Assumptions!$G$24),'S&amp;U'!$I8/ROUNDUP(Assumptions!$G$23/12,0),IF(AND(N$216&gt;=Assumptions!$G$24,N$216&lt;Assumptions!$G$26),'S&amp;U'!$I40/ROUNDUP(Assumptions!$G$25/12,0),0))</f>
        <v>0</v>
      </c>
      <c r="O218" s="76">
        <f>+IF(AND(O$216&gt;=Assumptions!$G$22,O$216&lt;Assumptions!$G$24),'S&amp;U'!$I8/ROUNDUP(Assumptions!$G$23/12,0),IF(AND(O$216&gt;=Assumptions!$G$24,O$216&lt;Assumptions!$G$26),'S&amp;U'!$I40/ROUNDUP(Assumptions!$G$25/12,0),0))</f>
        <v>0</v>
      </c>
      <c r="P218" s="76">
        <f>+IF(AND(P$216&gt;=Assumptions!$G$22,P$216&lt;Assumptions!$G$24),'S&amp;U'!$I8/ROUNDUP(Assumptions!$G$23/12,0),IF(AND(P$216&gt;=Assumptions!$G$24,P$216&lt;Assumptions!$G$26),'S&amp;U'!$I40/ROUNDUP(Assumptions!$G$25/12,0),0))</f>
        <v>0</v>
      </c>
      <c r="Q218" s="76">
        <f>+IF(AND(Q$216&gt;=Assumptions!$G$22,Q$216&lt;Assumptions!$G$24),'S&amp;U'!$I8/ROUNDUP(Assumptions!$G$23/12,0),IF(AND(Q$216&gt;=Assumptions!$G$24,Q$216&lt;Assumptions!$G$26),'S&amp;U'!$I40/ROUNDUP(Assumptions!$G$25/12,0),0))</f>
        <v>0</v>
      </c>
      <c r="R218" s="76">
        <f>+IF(AND(R$216&gt;=Assumptions!$G$22,R$216&lt;Assumptions!$G$24),'S&amp;U'!$I8/ROUNDUP(Assumptions!$G$23/12,0),IF(AND(R$216&gt;=Assumptions!$G$24,R$216&lt;Assumptions!$G$26),'S&amp;U'!$I40/ROUNDUP(Assumptions!$G$25/12,0),0))</f>
        <v>0</v>
      </c>
      <c r="S218" s="76">
        <f>+IF(AND(S$216&gt;=Assumptions!$G$22,S$216&lt;Assumptions!$G$24),'S&amp;U'!$I8/ROUNDUP(Assumptions!$G$23/12,0),IF(AND(S$216&gt;=Assumptions!$G$24,S$216&lt;Assumptions!$G$26),'S&amp;U'!$I40/ROUNDUP(Assumptions!$G$25/12,0),0))</f>
        <v>0</v>
      </c>
      <c r="T218" s="76">
        <f>+IF(AND(T$216&gt;=Assumptions!$G$22,T$216&lt;Assumptions!$G$24),'S&amp;U'!$I8/ROUNDUP(Assumptions!$G$23/12,0),IF(AND(T$216&gt;=Assumptions!$G$24,T$216&lt;Assumptions!$G$26),'S&amp;U'!$I40/ROUNDUP(Assumptions!$G$25/12,0),0))</f>
        <v>0</v>
      </c>
      <c r="U218" s="76">
        <f>+IF(AND(U$216&gt;=Assumptions!$G$22,U$216&lt;Assumptions!$G$24),'S&amp;U'!$I8/ROUNDUP(Assumptions!$G$23/12,0),IF(AND(U$216&gt;=Assumptions!$G$24,U$216&lt;Assumptions!$G$26),'S&amp;U'!$I40/ROUNDUP(Assumptions!$G$25/12,0),0))</f>
        <v>0</v>
      </c>
      <c r="V218" s="76">
        <f>+IF(AND(V$216&gt;=Assumptions!$G$22,V$216&lt;Assumptions!$G$24),'S&amp;U'!$I8/ROUNDUP(Assumptions!$G$23/12,0),IF(AND(V$216&gt;=Assumptions!$G$24,V$216&lt;Assumptions!$G$26),'S&amp;U'!$I40/ROUNDUP(Assumptions!$G$25/12,0),0))</f>
        <v>0</v>
      </c>
      <c r="W218" s="76">
        <f>+IF(AND(W$216&gt;=Assumptions!$G$22,W$216&lt;Assumptions!$G$24),'S&amp;U'!$I8/ROUNDUP(Assumptions!$G$23/12,0),IF(AND(W$216&gt;=Assumptions!$G$24,W$216&lt;Assumptions!$G$26),'S&amp;U'!$I40/ROUNDUP(Assumptions!$G$25/12,0),0))</f>
        <v>0</v>
      </c>
      <c r="X218" s="76">
        <f>+IF(AND(X$216&gt;=Assumptions!$G$22,X$216&lt;Assumptions!$G$24),'S&amp;U'!$I8/ROUNDUP(Assumptions!$G$23/12,0),IF(AND(X$216&gt;=Assumptions!$G$24,X$216&lt;Assumptions!$G$26),'S&amp;U'!$I40/ROUNDUP(Assumptions!$G$25/12,0),0))</f>
        <v>0</v>
      </c>
      <c r="Y218" s="76">
        <f>+IF(AND(Y$216&gt;=Assumptions!$G$22,Y$216&lt;Assumptions!$G$24),'S&amp;U'!$I8/ROUNDUP(Assumptions!$G$23/12,0),IF(AND(Y$216&gt;=Assumptions!$G$24,Y$216&lt;Assumptions!$G$26),'S&amp;U'!$I40/ROUNDUP(Assumptions!$G$25/12,0),0))</f>
        <v>0</v>
      </c>
      <c r="Z218" s="76">
        <f>+IF(AND(Z$216&gt;=Assumptions!$G$22,Z$216&lt;Assumptions!$G$24),'S&amp;U'!$I8/ROUNDUP(Assumptions!$G$23/12,0),IF(AND(Z$216&gt;=Assumptions!$G$24,Z$216&lt;Assumptions!$G$26),'S&amp;U'!$I40/ROUNDUP(Assumptions!$G$25/12,0),0))</f>
        <v>0</v>
      </c>
    </row>
    <row r="219" spans="2:26" ht="15.75">
      <c r="B219" s="15" t="s">
        <v>28</v>
      </c>
      <c r="D219" s="26">
        <f t="shared" ca="1" si="136"/>
        <v>243706572.54089999</v>
      </c>
      <c r="E219" s="26"/>
      <c r="F219" s="76">
        <f>+IF(AND(F$216&gt;=Assumptions!$G$22,F$216&lt;Assumptions!$G$24),'S&amp;U'!$I9/ROUNDUP(Assumptions!$G$23/12,0),IF(AND(F$216&gt;=Assumptions!$G$24,F$216&lt;Assumptions!$G$26),'S&amp;U'!$I41/ROUNDUP(Assumptions!$G$25/12,0),0))</f>
        <v>0</v>
      </c>
      <c r="G219" s="76">
        <f ca="1">+IF(AND(G$216&gt;=Assumptions!$G$22,G$216&lt;Assumptions!$G$24),'S&amp;U'!$I9/ROUNDUP(Assumptions!$G$23/12,0),IF(AND(G$216&gt;=Assumptions!$G$24,G$216&lt;Assumptions!$G$26),'S&amp;U'!$I41/ROUNDUP(Assumptions!$G$25/12,0),0))</f>
        <v>121853286.27045</v>
      </c>
      <c r="H219" s="76">
        <f ca="1">+IF(AND(H$216&gt;=Assumptions!$G$22,H$216&lt;Assumptions!$G$24),'S&amp;U'!$I9/ROUNDUP(Assumptions!$G$23/12,0),IF(AND(H$216&gt;=Assumptions!$G$24,H$216&lt;Assumptions!$G$26),'S&amp;U'!$I41/ROUNDUP(Assumptions!$G$25/12,0),0))</f>
        <v>121853286.27045</v>
      </c>
      <c r="I219" s="76">
        <f>+IF(AND(I$216&gt;=Assumptions!$G$22,I$216&lt;Assumptions!$G$24),'S&amp;U'!$I9/ROUNDUP(Assumptions!$G$23/12,0),IF(AND(I$216&gt;=Assumptions!$G$24,I$216&lt;Assumptions!$G$26),'S&amp;U'!$I41/ROUNDUP(Assumptions!$G$25/12,0),0))</f>
        <v>0</v>
      </c>
      <c r="J219" s="76">
        <f>+IF(AND(J$216&gt;=Assumptions!$G$22,J$216&lt;Assumptions!$G$24),'S&amp;U'!$I9/ROUNDUP(Assumptions!$G$23/12,0),IF(AND(J$216&gt;=Assumptions!$G$24,J$216&lt;Assumptions!$G$26),'S&amp;U'!$I41/ROUNDUP(Assumptions!$G$25/12,0),0))</f>
        <v>0</v>
      </c>
      <c r="K219" s="76">
        <f>+IF(AND(K$216&gt;=Assumptions!$G$22,K$216&lt;Assumptions!$G$24),'S&amp;U'!$I9/ROUNDUP(Assumptions!$G$23/12,0),IF(AND(K$216&gt;=Assumptions!$G$24,K$216&lt;Assumptions!$G$26),'S&amp;U'!$I41/ROUNDUP(Assumptions!$G$25/12,0),0))</f>
        <v>0</v>
      </c>
      <c r="L219" s="76">
        <f>+IF(AND(L$216&gt;=Assumptions!$G$22,L$216&lt;Assumptions!$G$24),'S&amp;U'!$I9/ROUNDUP(Assumptions!$G$23/12,0),IF(AND(L$216&gt;=Assumptions!$G$24,L$216&lt;Assumptions!$G$26),'S&amp;U'!$I41/ROUNDUP(Assumptions!$G$25/12,0),0))</f>
        <v>0</v>
      </c>
      <c r="M219" s="76">
        <f>+IF(AND(M$216&gt;=Assumptions!$G$22,M$216&lt;Assumptions!$G$24),'S&amp;U'!$I9/ROUNDUP(Assumptions!$G$23/12,0),IF(AND(M$216&gt;=Assumptions!$G$24,M$216&lt;Assumptions!$G$26),'S&amp;U'!$I41/ROUNDUP(Assumptions!$G$25/12,0),0))</f>
        <v>0</v>
      </c>
      <c r="N219" s="76">
        <f>+IF(AND(N$216&gt;=Assumptions!$G$22,N$216&lt;Assumptions!$G$24),'S&amp;U'!$I9/ROUNDUP(Assumptions!$G$23/12,0),IF(AND(N$216&gt;=Assumptions!$G$24,N$216&lt;Assumptions!$G$26),'S&amp;U'!$I41/ROUNDUP(Assumptions!$G$25/12,0),0))</f>
        <v>0</v>
      </c>
      <c r="O219" s="76">
        <f>+IF(AND(O$216&gt;=Assumptions!$G$22,O$216&lt;Assumptions!$G$24),'S&amp;U'!$I9/ROUNDUP(Assumptions!$G$23/12,0),IF(AND(O$216&gt;=Assumptions!$G$24,O$216&lt;Assumptions!$G$26),'S&amp;U'!$I41/ROUNDUP(Assumptions!$G$25/12,0),0))</f>
        <v>0</v>
      </c>
      <c r="P219" s="76">
        <f>+IF(AND(P$216&gt;=Assumptions!$G$22,P$216&lt;Assumptions!$G$24),'S&amp;U'!$I9/ROUNDUP(Assumptions!$G$23/12,0),IF(AND(P$216&gt;=Assumptions!$G$24,P$216&lt;Assumptions!$G$26),'S&amp;U'!$I41/ROUNDUP(Assumptions!$G$25/12,0),0))</f>
        <v>0</v>
      </c>
      <c r="Q219" s="76">
        <f>+IF(AND(Q$216&gt;=Assumptions!$G$22,Q$216&lt;Assumptions!$G$24),'S&amp;U'!$I9/ROUNDUP(Assumptions!$G$23/12,0),IF(AND(Q$216&gt;=Assumptions!$G$24,Q$216&lt;Assumptions!$G$26),'S&amp;U'!$I41/ROUNDUP(Assumptions!$G$25/12,0),0))</f>
        <v>0</v>
      </c>
      <c r="R219" s="76">
        <f>+IF(AND(R$216&gt;=Assumptions!$G$22,R$216&lt;Assumptions!$G$24),'S&amp;U'!$I9/ROUNDUP(Assumptions!$G$23/12,0),IF(AND(R$216&gt;=Assumptions!$G$24,R$216&lt;Assumptions!$G$26),'S&amp;U'!$I41/ROUNDUP(Assumptions!$G$25/12,0),0))</f>
        <v>0</v>
      </c>
      <c r="S219" s="76">
        <f>+IF(AND(S$216&gt;=Assumptions!$G$22,S$216&lt;Assumptions!$G$24),'S&amp;U'!$I9/ROUNDUP(Assumptions!$G$23/12,0),IF(AND(S$216&gt;=Assumptions!$G$24,S$216&lt;Assumptions!$G$26),'S&amp;U'!$I41/ROUNDUP(Assumptions!$G$25/12,0),0))</f>
        <v>0</v>
      </c>
      <c r="T219" s="76">
        <f>+IF(AND(T$216&gt;=Assumptions!$G$22,T$216&lt;Assumptions!$G$24),'S&amp;U'!$I9/ROUNDUP(Assumptions!$G$23/12,0),IF(AND(T$216&gt;=Assumptions!$G$24,T$216&lt;Assumptions!$G$26),'S&amp;U'!$I41/ROUNDUP(Assumptions!$G$25/12,0),0))</f>
        <v>0</v>
      </c>
      <c r="U219" s="76">
        <f>+IF(AND(U$216&gt;=Assumptions!$G$22,U$216&lt;Assumptions!$G$24),'S&amp;U'!$I9/ROUNDUP(Assumptions!$G$23/12,0),IF(AND(U$216&gt;=Assumptions!$G$24,U$216&lt;Assumptions!$G$26),'S&amp;U'!$I41/ROUNDUP(Assumptions!$G$25/12,0),0))</f>
        <v>0</v>
      </c>
      <c r="V219" s="76">
        <f>+IF(AND(V$216&gt;=Assumptions!$G$22,V$216&lt;Assumptions!$G$24),'S&amp;U'!$I9/ROUNDUP(Assumptions!$G$23/12,0),IF(AND(V$216&gt;=Assumptions!$G$24,V$216&lt;Assumptions!$G$26),'S&amp;U'!$I41/ROUNDUP(Assumptions!$G$25/12,0),0))</f>
        <v>0</v>
      </c>
      <c r="W219" s="76">
        <f>+IF(AND(W$216&gt;=Assumptions!$G$22,W$216&lt;Assumptions!$G$24),'S&amp;U'!$I9/ROUNDUP(Assumptions!$G$23/12,0),IF(AND(W$216&gt;=Assumptions!$G$24,W$216&lt;Assumptions!$G$26),'S&amp;U'!$I41/ROUNDUP(Assumptions!$G$25/12,0),0))</f>
        <v>0</v>
      </c>
      <c r="X219" s="76">
        <f>+IF(AND(X$216&gt;=Assumptions!$G$22,X$216&lt;Assumptions!$G$24),'S&amp;U'!$I9/ROUNDUP(Assumptions!$G$23/12,0),IF(AND(X$216&gt;=Assumptions!$G$24,X$216&lt;Assumptions!$G$26),'S&amp;U'!$I41/ROUNDUP(Assumptions!$G$25/12,0),0))</f>
        <v>0</v>
      </c>
      <c r="Y219" s="76">
        <f>+IF(AND(Y$216&gt;=Assumptions!$G$22,Y$216&lt;Assumptions!$G$24),'S&amp;U'!$I9/ROUNDUP(Assumptions!$G$23/12,0),IF(AND(Y$216&gt;=Assumptions!$G$24,Y$216&lt;Assumptions!$G$26),'S&amp;U'!$I41/ROUNDUP(Assumptions!$G$25/12,0),0))</f>
        <v>0</v>
      </c>
      <c r="Z219" s="76">
        <f>+IF(AND(Z$216&gt;=Assumptions!$G$22,Z$216&lt;Assumptions!$G$24),'S&amp;U'!$I9/ROUNDUP(Assumptions!$G$23/12,0),IF(AND(Z$216&gt;=Assumptions!$G$24,Z$216&lt;Assumptions!$G$26),'S&amp;U'!$I41/ROUNDUP(Assumptions!$G$25/12,0),0))</f>
        <v>0</v>
      </c>
    </row>
    <row r="220" spans="2:26" ht="15.75">
      <c r="B220" s="693" t="s">
        <v>349</v>
      </c>
      <c r="D220" s="26">
        <f ca="1">+SUM(F220:Z220)</f>
        <v>22596407.692998927</v>
      </c>
      <c r="E220" s="26"/>
      <c r="F220" s="76">
        <v>0</v>
      </c>
      <c r="G220" s="76">
        <f ca="1">+IF(AND(G$216&gt;=Assumptions!$G$22,G$216&lt;Assumptions!$G$24),'S&amp;U'!$I10/ROUNDUP(Assumptions!$G$23/12,0),IF(AND(G$216&gt;=Assumptions!$G$24,G$216&lt;Assumptions!$G$26),'S&amp;U'!$I42/ROUNDUP(Assumptions!$G$25/12,0),0))</f>
        <v>11298203.846499464</v>
      </c>
      <c r="H220" s="76">
        <f ca="1">+IF(AND(H$216&gt;=Assumptions!$G$22,H$216&lt;Assumptions!$G$24),'S&amp;U'!$I10/ROUNDUP(Assumptions!$G$23/12,0),IF(AND(H$216&gt;=Assumptions!$G$24,H$216&lt;Assumptions!$G$26),'S&amp;U'!$I42/ROUNDUP(Assumptions!$G$25/12,0),0))</f>
        <v>411655765.50750917</v>
      </c>
      <c r="I220" s="76">
        <f>+IF(AND(I$216&gt;=Assumptions!$G$22,I$216&lt;Assumptions!$G$24),'S&amp;U'!$I10/ROUNDUP(Assumptions!$G$23/12,0),IF(AND(I$216&gt;=Assumptions!$G$24,I$216&lt;Assumptions!$G$26),'S&amp;U'!$I42/ROUNDUP(Assumptions!$G$25/12,0),0))</f>
        <v>0</v>
      </c>
      <c r="J220" s="76">
        <f>+IF(AND(J$216&gt;=Assumptions!$G$22,J$216&lt;Assumptions!$G$24),'S&amp;U'!$I10/ROUNDUP(Assumptions!$G$23/12,0),IF(AND(J$216&gt;=Assumptions!$G$24,J$216&lt;Assumptions!$G$26),'S&amp;U'!$I42/ROUNDUP(Assumptions!$G$25/12,0),0))</f>
        <v>0</v>
      </c>
      <c r="K220" s="76">
        <f>+IF(AND(K$216&gt;=Assumptions!$G$22,K$216&lt;Assumptions!$G$24),'S&amp;U'!$I10/ROUNDUP(Assumptions!$G$23/12,0),IF(AND(K$216&gt;=Assumptions!$G$24,K$216&lt;Assumptions!$G$26),'S&amp;U'!$I42/ROUNDUP(Assumptions!$G$25/12,0),0))</f>
        <v>0</v>
      </c>
      <c r="L220" s="76">
        <f>+IF(AND(L$216&gt;=Assumptions!$G$22,L$216&lt;Assumptions!$G$24),'S&amp;U'!$I10/ROUNDUP(Assumptions!$G$23/12,0),IF(AND(L$216&gt;=Assumptions!$G$24,L$216&lt;Assumptions!$G$26),'S&amp;U'!$I42/ROUNDUP(Assumptions!$G$25/12,0),0))</f>
        <v>0</v>
      </c>
      <c r="M220" s="76">
        <f>+IF(AND(M$216&gt;=Assumptions!$G$22,M$216&lt;Assumptions!$G$24),'S&amp;U'!$I10/ROUNDUP(Assumptions!$G$23/12,0),IF(AND(M$216&gt;=Assumptions!$G$24,M$216&lt;Assumptions!$G$26),'S&amp;U'!$I42/ROUNDUP(Assumptions!$G$25/12,0),0))</f>
        <v>0</v>
      </c>
      <c r="N220" s="76">
        <f>+IF(AND(N$216&gt;=Assumptions!$G$22,N$216&lt;Assumptions!$G$24),'S&amp;U'!$I10/ROUNDUP(Assumptions!$G$23/12,0),IF(AND(N$216&gt;=Assumptions!$G$24,N$216&lt;Assumptions!$G$26),'S&amp;U'!$I42/ROUNDUP(Assumptions!$G$25/12,0),0))</f>
        <v>0</v>
      </c>
      <c r="O220" s="76">
        <f>+IF(AND(O$216&gt;=Assumptions!$G$22,O$216&lt;Assumptions!$G$24),'S&amp;U'!$I10/ROUNDUP(Assumptions!$G$23/12,0),IF(AND(O$216&gt;=Assumptions!$G$24,O$216&lt;Assumptions!$G$26),'S&amp;U'!$I42/ROUNDUP(Assumptions!$G$25/12,0),0))</f>
        <v>0</v>
      </c>
      <c r="P220" s="76">
        <f>+IF(AND(P$216&gt;=Assumptions!$G$22,P$216&lt;Assumptions!$G$24),'S&amp;U'!$I10/ROUNDUP(Assumptions!$G$23/12,0),IF(AND(P$216&gt;=Assumptions!$G$24,P$216&lt;Assumptions!$G$26),'S&amp;U'!$I42/ROUNDUP(Assumptions!$G$25/12,0),0))</f>
        <v>0</v>
      </c>
      <c r="Q220" s="76">
        <f>+IF(AND(Q$216&gt;=Assumptions!$G$22,Q$216&lt;Assumptions!$G$24),'S&amp;U'!$I10/ROUNDUP(Assumptions!$G$23/12,0),IF(AND(Q$216&gt;=Assumptions!$G$24,Q$216&lt;Assumptions!$G$26),'S&amp;U'!$I42/ROUNDUP(Assumptions!$G$25/12,0),0))</f>
        <v>0</v>
      </c>
      <c r="R220" s="76">
        <f>+IF(AND(R$216&gt;=Assumptions!$G$22,R$216&lt;Assumptions!$G$24),'S&amp;U'!$I10/ROUNDUP(Assumptions!$G$23/12,0),IF(AND(R$216&gt;=Assumptions!$G$24,R$216&lt;Assumptions!$G$26),'S&amp;U'!$I42/ROUNDUP(Assumptions!$G$25/12,0),0))</f>
        <v>0</v>
      </c>
      <c r="S220" s="76">
        <f>+IF(AND(S$216&gt;=Assumptions!$G$22,S$216&lt;Assumptions!$G$24),'S&amp;U'!$I10/ROUNDUP(Assumptions!$G$23/12,0),IF(AND(S$216&gt;=Assumptions!$G$24,S$216&lt;Assumptions!$G$26),'S&amp;U'!$I42/ROUNDUP(Assumptions!$G$25/12,0),0))</f>
        <v>0</v>
      </c>
      <c r="T220" s="76">
        <f>+IF(AND(T$216&gt;=Assumptions!$G$22,T$216&lt;Assumptions!$G$24),'S&amp;U'!$I10/ROUNDUP(Assumptions!$G$23/12,0),IF(AND(T$216&gt;=Assumptions!$G$24,T$216&lt;Assumptions!$G$26),'S&amp;U'!$I42/ROUNDUP(Assumptions!$G$25/12,0),0))</f>
        <v>0</v>
      </c>
      <c r="U220" s="76">
        <f>+IF(AND(U$216&gt;=Assumptions!$G$22,U$216&lt;Assumptions!$G$24),'S&amp;U'!$I10/ROUNDUP(Assumptions!$G$23/12,0),IF(AND(U$216&gt;=Assumptions!$G$24,U$216&lt;Assumptions!$G$26),'S&amp;U'!$I42/ROUNDUP(Assumptions!$G$25/12,0),0))</f>
        <v>0</v>
      </c>
      <c r="V220" s="76">
        <f>+IF(AND(V$216&gt;=Assumptions!$G$22,V$216&lt;Assumptions!$G$24),'S&amp;U'!$I10/ROUNDUP(Assumptions!$G$23/12,0),IF(AND(V$216&gt;=Assumptions!$G$24,V$216&lt;Assumptions!$G$26),'S&amp;U'!$I42/ROUNDUP(Assumptions!$G$25/12,0),0))</f>
        <v>0</v>
      </c>
      <c r="W220" s="76">
        <f>+IF(AND(W$216&gt;=Assumptions!$G$22,W$216&lt;Assumptions!$G$24),'S&amp;U'!$I10/ROUNDUP(Assumptions!$G$23/12,0),IF(AND(W$216&gt;=Assumptions!$G$24,W$216&lt;Assumptions!$G$26),'S&amp;U'!$I42/ROUNDUP(Assumptions!$G$25/12,0),0))</f>
        <v>0</v>
      </c>
      <c r="X220" s="76">
        <f>+IF(AND(X$216&gt;=Assumptions!$G$22,X$216&lt;Assumptions!$G$24),'S&amp;U'!$I10/ROUNDUP(Assumptions!$G$23/12,0),IF(AND(X$216&gt;=Assumptions!$G$24,X$216&lt;Assumptions!$G$26),'S&amp;U'!$I42/ROUNDUP(Assumptions!$G$25/12,0),0))</f>
        <v>0</v>
      </c>
      <c r="Y220" s="76">
        <f>+IF(AND(Y$216&gt;=Assumptions!$G$22,Y$216&lt;Assumptions!$G$24),'S&amp;U'!$I10/ROUNDUP(Assumptions!$G$23/12,0),IF(AND(Y$216&gt;=Assumptions!$G$24,Y$216&lt;Assumptions!$G$26),'S&amp;U'!$I42/ROUNDUP(Assumptions!$G$25/12,0),0))</f>
        <v>0</v>
      </c>
      <c r="Z220" s="76">
        <f>+IF(AND(Z$216&gt;=Assumptions!$G$22,Z$216&lt;Assumptions!$G$24),'S&amp;U'!$I10/ROUNDUP(Assumptions!$G$23/12,0),IF(AND(Z$216&gt;=Assumptions!$G$24,Z$216&lt;Assumptions!$G$26),'S&amp;U'!$I42/ROUNDUP(Assumptions!$G$25/12,0),0))</f>
        <v>0</v>
      </c>
    </row>
    <row r="221" spans="2:26" ht="15.75">
      <c r="B221" s="15" t="s">
        <v>37</v>
      </c>
      <c r="D221" s="26">
        <f t="shared" ca="1" si="136"/>
        <v>16056189.021147538</v>
      </c>
      <c r="E221" s="26"/>
      <c r="F221" s="76">
        <f>+IF(AND(F$216&gt;=Assumptions!$G$22,F$216&lt;Assumptions!$G$24),'S&amp;U'!$I11/ROUNDUP(Assumptions!$G$23/12,0),IF(AND(F$216&gt;=Assumptions!$G$24,F$216&lt;Assumptions!$G$26),'S&amp;U'!$I43/ROUNDUP(Assumptions!$G$25/12,0),0))</f>
        <v>0</v>
      </c>
      <c r="G221" s="76">
        <f ca="1">+IF(AND(G$216&gt;=Assumptions!$G$22,G$216&lt;Assumptions!$G$24),'S&amp;U'!$I11/ROUNDUP(Assumptions!$G$23/12,0),IF(AND(G$216&gt;=Assumptions!$G$24,G$216&lt;Assumptions!$G$26),'S&amp;U'!$I43/ROUNDUP(Assumptions!$G$25/12,0),0))</f>
        <v>8028094.510573769</v>
      </c>
      <c r="H221" s="76">
        <f ca="1">+IF(AND(H$216&gt;=Assumptions!$G$22,H$216&lt;Assumptions!$G$24),'S&amp;U'!$I11/ROUNDUP(Assumptions!$G$23/12,0),IF(AND(H$216&gt;=Assumptions!$G$24,H$216&lt;Assumptions!$G$26),'S&amp;U'!$I43/ROUNDUP(Assumptions!$G$25/12,0),0))</f>
        <v>8028094.510573769</v>
      </c>
      <c r="I221" s="76">
        <f>+IF(AND(I$216&gt;=Assumptions!$G$22,I$216&lt;Assumptions!$G$24),'S&amp;U'!$I11/ROUNDUP(Assumptions!$G$23/12,0),IF(AND(I$216&gt;=Assumptions!$G$24,I$216&lt;Assumptions!$G$26),'S&amp;U'!$I43/ROUNDUP(Assumptions!$G$25/12,0),0))</f>
        <v>0</v>
      </c>
      <c r="J221" s="76">
        <f>+IF(AND(J$216&gt;=Assumptions!$G$22,J$216&lt;Assumptions!$G$24),'S&amp;U'!$I11/ROUNDUP(Assumptions!$G$23/12,0),IF(AND(J$216&gt;=Assumptions!$G$24,J$216&lt;Assumptions!$G$26),'S&amp;U'!$I43/ROUNDUP(Assumptions!$G$25/12,0),0))</f>
        <v>0</v>
      </c>
      <c r="K221" s="76">
        <f>+IF(AND(K$216&gt;=Assumptions!$G$22,K$216&lt;Assumptions!$G$24),'S&amp;U'!$I11/ROUNDUP(Assumptions!$G$23/12,0),IF(AND(K$216&gt;=Assumptions!$G$24,K$216&lt;Assumptions!$G$26),'S&amp;U'!$I43/ROUNDUP(Assumptions!$G$25/12,0),0))</f>
        <v>0</v>
      </c>
      <c r="L221" s="76">
        <f>+IF(AND(L$216&gt;=Assumptions!$G$22,L$216&lt;Assumptions!$G$24),'S&amp;U'!$I11/ROUNDUP(Assumptions!$G$23/12,0),IF(AND(L$216&gt;=Assumptions!$G$24,L$216&lt;Assumptions!$G$26),'S&amp;U'!$I43/ROUNDUP(Assumptions!$G$25/12,0),0))</f>
        <v>0</v>
      </c>
      <c r="M221" s="76">
        <f>+IF(AND(M$216&gt;=Assumptions!$G$22,M$216&lt;Assumptions!$G$24),'S&amp;U'!$I11/ROUNDUP(Assumptions!$G$23/12,0),IF(AND(M$216&gt;=Assumptions!$G$24,M$216&lt;Assumptions!$G$26),'S&amp;U'!$I43/ROUNDUP(Assumptions!$G$25/12,0),0))</f>
        <v>0</v>
      </c>
      <c r="N221" s="76">
        <f>+IF(AND(N$216&gt;=Assumptions!$G$22,N$216&lt;Assumptions!$G$24),'S&amp;U'!$I11/ROUNDUP(Assumptions!$G$23/12,0),IF(AND(N$216&gt;=Assumptions!$G$24,N$216&lt;Assumptions!$G$26),'S&amp;U'!$I43/ROUNDUP(Assumptions!$G$25/12,0),0))</f>
        <v>0</v>
      </c>
      <c r="O221" s="76">
        <f>+IF(AND(O$216&gt;=Assumptions!$G$22,O$216&lt;Assumptions!$G$24),'S&amp;U'!$I11/ROUNDUP(Assumptions!$G$23/12,0),IF(AND(O$216&gt;=Assumptions!$G$24,O$216&lt;Assumptions!$G$26),'S&amp;U'!$I43/ROUNDUP(Assumptions!$G$25/12,0),0))</f>
        <v>0</v>
      </c>
      <c r="P221" s="76">
        <f>+IF(AND(P$216&gt;=Assumptions!$G$22,P$216&lt;Assumptions!$G$24),'S&amp;U'!$I11/ROUNDUP(Assumptions!$G$23/12,0),IF(AND(P$216&gt;=Assumptions!$G$24,P$216&lt;Assumptions!$G$26),'S&amp;U'!$I43/ROUNDUP(Assumptions!$G$25/12,0),0))</f>
        <v>0</v>
      </c>
      <c r="Q221" s="76">
        <f>+IF(AND(Q$216&gt;=Assumptions!$G$22,Q$216&lt;Assumptions!$G$24),'S&amp;U'!$I11/ROUNDUP(Assumptions!$G$23/12,0),IF(AND(Q$216&gt;=Assumptions!$G$24,Q$216&lt;Assumptions!$G$26),'S&amp;U'!$I43/ROUNDUP(Assumptions!$G$25/12,0),0))</f>
        <v>0</v>
      </c>
      <c r="R221" s="76">
        <f>+IF(AND(R$216&gt;=Assumptions!$G$22,R$216&lt;Assumptions!$G$24),'S&amp;U'!$I11/ROUNDUP(Assumptions!$G$23/12,0),IF(AND(R$216&gt;=Assumptions!$G$24,R$216&lt;Assumptions!$G$26),'S&amp;U'!$I43/ROUNDUP(Assumptions!$G$25/12,0),0))</f>
        <v>0</v>
      </c>
      <c r="S221" s="76">
        <f>+IF(AND(S$216&gt;=Assumptions!$G$22,S$216&lt;Assumptions!$G$24),'S&amp;U'!$I11/ROUNDUP(Assumptions!$G$23/12,0),IF(AND(S$216&gt;=Assumptions!$G$24,S$216&lt;Assumptions!$G$26),'S&amp;U'!$I43/ROUNDUP(Assumptions!$G$25/12,0),0))</f>
        <v>0</v>
      </c>
      <c r="T221" s="76">
        <f>+IF(AND(T$216&gt;=Assumptions!$G$22,T$216&lt;Assumptions!$G$24),'S&amp;U'!$I11/ROUNDUP(Assumptions!$G$23/12,0),IF(AND(T$216&gt;=Assumptions!$G$24,T$216&lt;Assumptions!$G$26),'S&amp;U'!$I43/ROUNDUP(Assumptions!$G$25/12,0),0))</f>
        <v>0</v>
      </c>
      <c r="U221" s="76">
        <f>+IF(AND(U$216&gt;=Assumptions!$G$22,U$216&lt;Assumptions!$G$24),'S&amp;U'!$I11/ROUNDUP(Assumptions!$G$23/12,0),IF(AND(U$216&gt;=Assumptions!$G$24,U$216&lt;Assumptions!$G$26),'S&amp;U'!$I43/ROUNDUP(Assumptions!$G$25/12,0),0))</f>
        <v>0</v>
      </c>
      <c r="V221" s="76">
        <f>+IF(AND(V$216&gt;=Assumptions!$G$22,V$216&lt;Assumptions!$G$24),'S&amp;U'!$I11/ROUNDUP(Assumptions!$G$23/12,0),IF(AND(V$216&gt;=Assumptions!$G$24,V$216&lt;Assumptions!$G$26),'S&amp;U'!$I43/ROUNDUP(Assumptions!$G$25/12,0),0))</f>
        <v>0</v>
      </c>
      <c r="W221" s="76">
        <f>+IF(AND(W$216&gt;=Assumptions!$G$22,W$216&lt;Assumptions!$G$24),'S&amp;U'!$I11/ROUNDUP(Assumptions!$G$23/12,0),IF(AND(W$216&gt;=Assumptions!$G$24,W$216&lt;Assumptions!$G$26),'S&amp;U'!$I43/ROUNDUP(Assumptions!$G$25/12,0),0))</f>
        <v>0</v>
      </c>
      <c r="X221" s="76">
        <f>+IF(AND(X$216&gt;=Assumptions!$G$22,X$216&lt;Assumptions!$G$24),'S&amp;U'!$I11/ROUNDUP(Assumptions!$G$23/12,0),IF(AND(X$216&gt;=Assumptions!$G$24,X$216&lt;Assumptions!$G$26),'S&amp;U'!$I43/ROUNDUP(Assumptions!$G$25/12,0),0))</f>
        <v>0</v>
      </c>
      <c r="Y221" s="76">
        <f>+IF(AND(Y$216&gt;=Assumptions!$G$22,Y$216&lt;Assumptions!$G$24),'S&amp;U'!$I11/ROUNDUP(Assumptions!$G$23/12,0),IF(AND(Y$216&gt;=Assumptions!$G$24,Y$216&lt;Assumptions!$G$26),'S&amp;U'!$I43/ROUNDUP(Assumptions!$G$25/12,0),0))</f>
        <v>0</v>
      </c>
      <c r="Z221" s="76">
        <f>+IF(AND(Z$216&gt;=Assumptions!$G$22,Z$216&lt;Assumptions!$G$24),'S&amp;U'!$I11/ROUNDUP(Assumptions!$G$23/12,0),IF(AND(Z$216&gt;=Assumptions!$G$24,Z$216&lt;Assumptions!$G$26),'S&amp;U'!$I43/ROUNDUP(Assumptions!$G$25/12,0),0))</f>
        <v>0</v>
      </c>
    </row>
    <row r="222" spans="2:26" ht="15.75">
      <c r="B222" s="15" t="s">
        <v>350</v>
      </c>
      <c r="D222" s="26">
        <f t="shared" ca="1" si="136"/>
        <v>636620.53881198773</v>
      </c>
      <c r="E222" s="26"/>
      <c r="F222" s="76">
        <f>+IF(AND(F$216&gt;=Assumptions!$G$22,F$216&lt;Assumptions!$G$24),'S&amp;U'!$I12/ROUNDUP(Assumptions!$G$23/12,0),IF(AND(F$216&gt;=Assumptions!$G$24,F$216&lt;Assumptions!$G$26),'S&amp;U'!$I44/ROUNDUP(Assumptions!$G$25/12,0),0))</f>
        <v>0</v>
      </c>
      <c r="G222" s="76">
        <f ca="1">+IF(AND(G$216&gt;=Assumptions!$G$22,G$216&lt;Assumptions!$G$24),'S&amp;U'!$I12/ROUNDUP(Assumptions!$G$23/12,0),IF(AND(G$216&gt;=Assumptions!$G$24,G$216&lt;Assumptions!$G$26),'S&amp;U'!$I44/ROUNDUP(Assumptions!$G$25/12,0),0))</f>
        <v>318310.26940599387</v>
      </c>
      <c r="H222" s="76">
        <f ca="1">+IF(AND(H$216&gt;=Assumptions!$G$22,H$216&lt;Assumptions!$G$24),'S&amp;U'!$I12/ROUNDUP(Assumptions!$G$23/12,0),IF(AND(H$216&gt;=Assumptions!$G$24,H$216&lt;Assumptions!$G$26),'S&amp;U'!$I44/ROUNDUP(Assumptions!$G$25/12,0),0))</f>
        <v>318310.26940599387</v>
      </c>
      <c r="I222" s="76">
        <f>+IF(AND(I$216&gt;=Assumptions!$G$22,I$216&lt;Assumptions!$G$24),'S&amp;U'!$I12/ROUNDUP(Assumptions!$G$23/12,0),IF(AND(I$216&gt;=Assumptions!$G$24,I$216&lt;Assumptions!$G$26),'S&amp;U'!$I44/ROUNDUP(Assumptions!$G$25/12,0),0))</f>
        <v>0</v>
      </c>
      <c r="J222" s="76">
        <f>+IF(AND(J$216&gt;=Assumptions!$G$22,J$216&lt;Assumptions!$G$24),'S&amp;U'!$I12/ROUNDUP(Assumptions!$G$23/12,0),IF(AND(J$216&gt;=Assumptions!$G$24,J$216&lt;Assumptions!$G$26),'S&amp;U'!$I44/ROUNDUP(Assumptions!$G$25/12,0),0))</f>
        <v>0</v>
      </c>
      <c r="K222" s="76">
        <f>+IF(AND(K$216&gt;=Assumptions!$G$22,K$216&lt;Assumptions!$G$24),'S&amp;U'!$I12/ROUNDUP(Assumptions!$G$23/12,0),IF(AND(K$216&gt;=Assumptions!$G$24,K$216&lt;Assumptions!$G$26),'S&amp;U'!$I44/ROUNDUP(Assumptions!$G$25/12,0),0))</f>
        <v>0</v>
      </c>
      <c r="L222" s="76">
        <f>+IF(AND(L$216&gt;=Assumptions!$G$22,L$216&lt;Assumptions!$G$24),'S&amp;U'!$I12/ROUNDUP(Assumptions!$G$23/12,0),IF(AND(L$216&gt;=Assumptions!$G$24,L$216&lt;Assumptions!$G$26),'S&amp;U'!$I44/ROUNDUP(Assumptions!$G$25/12,0),0))</f>
        <v>0</v>
      </c>
      <c r="M222" s="76">
        <f>+IF(AND(M$216&gt;=Assumptions!$G$22,M$216&lt;Assumptions!$G$24),'S&amp;U'!$I12/ROUNDUP(Assumptions!$G$23/12,0),IF(AND(M$216&gt;=Assumptions!$G$24,M$216&lt;Assumptions!$G$26),'S&amp;U'!$I44/ROUNDUP(Assumptions!$G$25/12,0),0))</f>
        <v>0</v>
      </c>
      <c r="N222" s="76">
        <f>+IF(AND(N$216&gt;=Assumptions!$G$22,N$216&lt;Assumptions!$G$24),'S&amp;U'!$I12/ROUNDUP(Assumptions!$G$23/12,0),IF(AND(N$216&gt;=Assumptions!$G$24,N$216&lt;Assumptions!$G$26),'S&amp;U'!$I44/ROUNDUP(Assumptions!$G$25/12,0),0))</f>
        <v>0</v>
      </c>
      <c r="O222" s="76">
        <f>+IF(AND(O$216&gt;=Assumptions!$G$22,O$216&lt;Assumptions!$G$24),'S&amp;U'!$I12/ROUNDUP(Assumptions!$G$23/12,0),IF(AND(O$216&gt;=Assumptions!$G$24,O$216&lt;Assumptions!$G$26),'S&amp;U'!$I44/ROUNDUP(Assumptions!$G$25/12,0),0))</f>
        <v>0</v>
      </c>
      <c r="P222" s="76">
        <f>+IF(AND(P$216&gt;=Assumptions!$G$22,P$216&lt;Assumptions!$G$24),'S&amp;U'!$I12/ROUNDUP(Assumptions!$G$23/12,0),IF(AND(P$216&gt;=Assumptions!$G$24,P$216&lt;Assumptions!$G$26),'S&amp;U'!$I44/ROUNDUP(Assumptions!$G$25/12,0),0))</f>
        <v>0</v>
      </c>
      <c r="Q222" s="76">
        <f>+IF(AND(Q$216&gt;=Assumptions!$G$22,Q$216&lt;Assumptions!$G$24),'S&amp;U'!$I12/ROUNDUP(Assumptions!$G$23/12,0),IF(AND(Q$216&gt;=Assumptions!$G$24,Q$216&lt;Assumptions!$G$26),'S&amp;U'!$I44/ROUNDUP(Assumptions!$G$25/12,0),0))</f>
        <v>0</v>
      </c>
      <c r="R222" s="76">
        <f>+IF(AND(R$216&gt;=Assumptions!$G$22,R$216&lt;Assumptions!$G$24),'S&amp;U'!$I12/ROUNDUP(Assumptions!$G$23/12,0),IF(AND(R$216&gt;=Assumptions!$G$24,R$216&lt;Assumptions!$G$26),'S&amp;U'!$I44/ROUNDUP(Assumptions!$G$25/12,0),0))</f>
        <v>0</v>
      </c>
      <c r="S222" s="76">
        <f>+IF(AND(S$216&gt;=Assumptions!$G$22,S$216&lt;Assumptions!$G$24),'S&amp;U'!$I12/ROUNDUP(Assumptions!$G$23/12,0),IF(AND(S$216&gt;=Assumptions!$G$24,S$216&lt;Assumptions!$G$26),'S&amp;U'!$I44/ROUNDUP(Assumptions!$G$25/12,0),0))</f>
        <v>0</v>
      </c>
      <c r="T222" s="76">
        <f>+IF(AND(T$216&gt;=Assumptions!$G$22,T$216&lt;Assumptions!$G$24),'S&amp;U'!$I12/ROUNDUP(Assumptions!$G$23/12,0),IF(AND(T$216&gt;=Assumptions!$G$24,T$216&lt;Assumptions!$G$26),'S&amp;U'!$I44/ROUNDUP(Assumptions!$G$25/12,0),0))</f>
        <v>0</v>
      </c>
      <c r="U222" s="76">
        <f>+IF(AND(U$216&gt;=Assumptions!$G$22,U$216&lt;Assumptions!$G$24),'S&amp;U'!$I12/ROUNDUP(Assumptions!$G$23/12,0),IF(AND(U$216&gt;=Assumptions!$G$24,U$216&lt;Assumptions!$G$26),'S&amp;U'!$I44/ROUNDUP(Assumptions!$G$25/12,0),0))</f>
        <v>0</v>
      </c>
      <c r="V222" s="76">
        <f>+IF(AND(V$216&gt;=Assumptions!$G$22,V$216&lt;Assumptions!$G$24),'S&amp;U'!$I12/ROUNDUP(Assumptions!$G$23/12,0),IF(AND(V$216&gt;=Assumptions!$G$24,V$216&lt;Assumptions!$G$26),'S&amp;U'!$I44/ROUNDUP(Assumptions!$G$25/12,0),0))</f>
        <v>0</v>
      </c>
      <c r="W222" s="76">
        <f>+IF(AND(W$216&gt;=Assumptions!$G$22,W$216&lt;Assumptions!$G$24),'S&amp;U'!$I12/ROUNDUP(Assumptions!$G$23/12,0),IF(AND(W$216&gt;=Assumptions!$G$24,W$216&lt;Assumptions!$G$26),'S&amp;U'!$I44/ROUNDUP(Assumptions!$G$25/12,0),0))</f>
        <v>0</v>
      </c>
      <c r="X222" s="76">
        <f>+IF(AND(X$216&gt;=Assumptions!$G$22,X$216&lt;Assumptions!$G$24),'S&amp;U'!$I12/ROUNDUP(Assumptions!$G$23/12,0),IF(AND(X$216&gt;=Assumptions!$G$24,X$216&lt;Assumptions!$G$26),'S&amp;U'!$I44/ROUNDUP(Assumptions!$G$25/12,0),0))</f>
        <v>0</v>
      </c>
      <c r="Y222" s="76">
        <f>+IF(AND(Y$216&gt;=Assumptions!$G$22,Y$216&lt;Assumptions!$G$24),'S&amp;U'!$I12/ROUNDUP(Assumptions!$G$23/12,0),IF(AND(Y$216&gt;=Assumptions!$G$24,Y$216&lt;Assumptions!$G$26),'S&amp;U'!$I44/ROUNDUP(Assumptions!$G$25/12,0),0))</f>
        <v>0</v>
      </c>
      <c r="Z222" s="76">
        <f>+IF(AND(Z$216&gt;=Assumptions!$G$22,Z$216&lt;Assumptions!$G$24),'S&amp;U'!$I12/ROUNDUP(Assumptions!$G$23/12,0),IF(AND(Z$216&gt;=Assumptions!$G$24,Z$216&lt;Assumptions!$G$26),'S&amp;U'!$I44/ROUNDUP(Assumptions!$G$25/12,0),0))</f>
        <v>0</v>
      </c>
    </row>
    <row r="223" spans="2:26" ht="15.75">
      <c r="B223" s="15" t="s">
        <v>351</v>
      </c>
      <c r="D223" s="26">
        <f t="shared" ca="1" si="136"/>
        <v>6434689.4432007801</v>
      </c>
      <c r="E223" s="26"/>
      <c r="F223" s="76">
        <f ca="1">+IF(AND(F$216&gt;=Assumptions!$G$22,F$216&lt;Assumptions!$G$24),'S&amp;U'!$I13/ROUNDUP(Assumptions!$G$23/12,0),IF(AND(F$216&gt;=Assumptions!$G$24,F$216&lt;Assumptions!$G$28),'S&amp;U'!$I45/ROUNDUP((Assumptions!$G$25+Assumptions!$G$27)/12,0),0))</f>
        <v>0</v>
      </c>
      <c r="G223" s="76">
        <f ca="1">+IF(AND(G$216&gt;=Assumptions!$G$22,G$216&lt;Assumptions!$G$24),'S&amp;U'!$I13/ROUNDUP(Assumptions!$G$23/12,0),IF(AND(G$216&gt;=Assumptions!$G$24,G$216&lt;Assumptions!$G$28),'S&amp;U'!$I45/ROUNDUP((Assumptions!$G$25+Assumptions!$G$27)/12,0),0))</f>
        <v>1608672.360800195</v>
      </c>
      <c r="H223" s="76">
        <f ca="1">+IF(AND(H$216&gt;=Assumptions!$G$22,H$216&lt;Assumptions!$G$24),'S&amp;U'!$I13/ROUNDUP(Assumptions!$G$23/12,0),IF(AND(H$216&gt;=Assumptions!$G$24,H$216&lt;Assumptions!$G$28),'S&amp;U'!$I45/ROUNDUP((Assumptions!$G$25+Assumptions!$G$27)/12,0),0))</f>
        <v>1608672.360800195</v>
      </c>
      <c r="I223" s="76">
        <f ca="1">+IF(AND(I$216&gt;=Assumptions!$G$22,I$216&lt;Assumptions!$G$24),'S&amp;U'!$I13/ROUNDUP(Assumptions!$G$23/12,0),IF(AND(I$216&gt;=Assumptions!$G$24,I$216&lt;Assumptions!$G$28),'S&amp;U'!$I45/ROUNDUP((Assumptions!$G$25+Assumptions!$G$27)/12,0),0))</f>
        <v>1608672.360800195</v>
      </c>
      <c r="J223" s="76">
        <f ca="1">+IF(AND(J$216&gt;=Assumptions!$G$22,J$216&lt;Assumptions!$G$24),'S&amp;U'!$I13/ROUNDUP(Assumptions!$G$23/12,0),IF(AND(J$216&gt;=Assumptions!$G$24,J$216&lt;Assumptions!$G$28),'S&amp;U'!$I45/ROUNDUP((Assumptions!$G$25+Assumptions!$G$27)/12,0),0))</f>
        <v>1608672.360800195</v>
      </c>
      <c r="K223" s="76">
        <f>+IF(AND(K$216&gt;=Assumptions!$G$22,K$216&lt;Assumptions!$G$24),'S&amp;U'!$I13/ROUNDUP(Assumptions!$G$23/12,0),IF(AND(K$216&gt;=Assumptions!$G$24,K$216&lt;Assumptions!$G$28),'S&amp;U'!$I45/ROUNDUP((Assumptions!$G$25+Assumptions!$G$27)/12,0),0))</f>
        <v>0</v>
      </c>
      <c r="L223" s="76">
        <f>+IF(AND(L$216&gt;=Assumptions!$G$22,L$216&lt;Assumptions!$G$24),'S&amp;U'!$I13/ROUNDUP(Assumptions!$G$23/12,0),IF(AND(L$216&gt;=Assumptions!$G$24,L$216&lt;Assumptions!$G$28),'S&amp;U'!$I45/ROUNDUP((Assumptions!$G$25+Assumptions!$G$27)/12,0),0))</f>
        <v>0</v>
      </c>
      <c r="M223" s="76">
        <f>+IF(AND(M$216&gt;=Assumptions!$G$22,M$216&lt;Assumptions!$G$24),'S&amp;U'!$I13/ROUNDUP(Assumptions!$G$23/12,0),IF(AND(M$216&gt;=Assumptions!$G$24,M$216&lt;Assumptions!$G$28),'S&amp;U'!$I45/ROUNDUP((Assumptions!$G$25+Assumptions!$G$27)/12,0),0))</f>
        <v>0</v>
      </c>
      <c r="N223" s="76">
        <f>+IF(AND(N$216&gt;=Assumptions!$G$22,N$216&lt;Assumptions!$G$24),'S&amp;U'!$I13/ROUNDUP(Assumptions!$G$23/12,0),IF(AND(N$216&gt;=Assumptions!$G$24,N$216&lt;Assumptions!$G$28),'S&amp;U'!$I45/ROUNDUP((Assumptions!$G$25+Assumptions!$G$27)/12,0),0))</f>
        <v>0</v>
      </c>
      <c r="O223" s="76">
        <f>+IF(AND(O$216&gt;=Assumptions!$G$22,O$216&lt;Assumptions!$G$24),'S&amp;U'!$I13/ROUNDUP(Assumptions!$G$23/12,0),IF(AND(O$216&gt;=Assumptions!$G$24,O$216&lt;Assumptions!$G$28),'S&amp;U'!$I45/ROUNDUP((Assumptions!$G$25+Assumptions!$G$27)/12,0),0))</f>
        <v>0</v>
      </c>
      <c r="P223" s="76">
        <f>+IF(AND(P$216&gt;=Assumptions!$G$22,P$216&lt;Assumptions!$G$24),'S&amp;U'!$I13/ROUNDUP(Assumptions!$G$23/12,0),IF(AND(P$216&gt;=Assumptions!$G$24,P$216&lt;Assumptions!$G$28),'S&amp;U'!$I45/ROUNDUP((Assumptions!$G$25+Assumptions!$G$27)/12,0),0))</f>
        <v>0</v>
      </c>
      <c r="Q223" s="76">
        <f>+IF(AND(Q$216&gt;=Assumptions!$G$22,Q$216&lt;Assumptions!$G$24),'S&amp;U'!$I13/ROUNDUP(Assumptions!$G$23/12,0),IF(AND(Q$216&gt;=Assumptions!$G$24,Q$216&lt;Assumptions!$G$28),'S&amp;U'!$I45/ROUNDUP((Assumptions!$G$25+Assumptions!$G$27)/12,0),0))</f>
        <v>0</v>
      </c>
      <c r="R223" s="76">
        <f>+IF(AND(R$216&gt;=Assumptions!$G$22,R$216&lt;Assumptions!$G$24),'S&amp;U'!$I13/ROUNDUP(Assumptions!$G$23/12,0),IF(AND(R$216&gt;=Assumptions!$G$24,R$216&lt;Assumptions!$G$28),'S&amp;U'!$I45/ROUNDUP((Assumptions!$G$25+Assumptions!$G$27)/12,0),0))</f>
        <v>0</v>
      </c>
      <c r="S223" s="76">
        <f>+IF(AND(S$216&gt;=Assumptions!$G$22,S$216&lt;Assumptions!$G$24),'S&amp;U'!$I13/ROUNDUP(Assumptions!$G$23/12,0),IF(AND(S$216&gt;=Assumptions!$G$24,S$216&lt;Assumptions!$G$28),'S&amp;U'!$I45/ROUNDUP((Assumptions!$G$25+Assumptions!$G$27)/12,0),0))</f>
        <v>0</v>
      </c>
      <c r="T223" s="76">
        <f>+IF(AND(T$216&gt;=Assumptions!$G$22,T$216&lt;Assumptions!$G$24),'S&amp;U'!$I13/ROUNDUP(Assumptions!$G$23/12,0),IF(AND(T$216&gt;=Assumptions!$G$24,T$216&lt;Assumptions!$G$28),'S&amp;U'!$I45/ROUNDUP((Assumptions!$G$25+Assumptions!$G$27)/12,0),0))</f>
        <v>0</v>
      </c>
      <c r="U223" s="76">
        <f>+IF(AND(U$216&gt;=Assumptions!$G$22,U$216&lt;Assumptions!$G$24),'S&amp;U'!$I13/ROUNDUP(Assumptions!$G$23/12,0),IF(AND(U$216&gt;=Assumptions!$G$24,U$216&lt;Assumptions!$G$28),'S&amp;U'!$I45/ROUNDUP((Assumptions!$G$25+Assumptions!$G$27)/12,0),0))</f>
        <v>0</v>
      </c>
      <c r="V223" s="76">
        <f>+IF(AND(V$216&gt;=Assumptions!$G$22,V$216&lt;Assumptions!$G$24),'S&amp;U'!$I13/ROUNDUP(Assumptions!$G$23/12,0),IF(AND(V$216&gt;=Assumptions!$G$24,V$216&lt;Assumptions!$G$28),'S&amp;U'!$I45/ROUNDUP((Assumptions!$G$25+Assumptions!$G$27)/12,0),0))</f>
        <v>0</v>
      </c>
      <c r="W223" s="76">
        <f>+IF(AND(W$216&gt;=Assumptions!$G$22,W$216&lt;Assumptions!$G$24),'S&amp;U'!$I13/ROUNDUP(Assumptions!$G$23/12,0),IF(AND(W$216&gt;=Assumptions!$G$24,W$216&lt;Assumptions!$G$28),'S&amp;U'!$I45/ROUNDUP((Assumptions!$G$25+Assumptions!$G$27)/12,0),0))</f>
        <v>0</v>
      </c>
      <c r="X223" s="76">
        <f>+IF(AND(X$216&gt;=Assumptions!$G$22,X$216&lt;Assumptions!$G$24),'S&amp;U'!$I13/ROUNDUP(Assumptions!$G$23/12,0),IF(AND(X$216&gt;=Assumptions!$G$24,X$216&lt;Assumptions!$G$28),'S&amp;U'!$I45/ROUNDUP((Assumptions!$G$25+Assumptions!$G$27)/12,0),0))</f>
        <v>0</v>
      </c>
      <c r="Y223" s="76">
        <f>+IF(AND(Y$216&gt;=Assumptions!$G$22,Y$216&lt;Assumptions!$G$24),'S&amp;U'!$I13/ROUNDUP(Assumptions!$G$23/12,0),IF(AND(Y$216&gt;=Assumptions!$G$24,Y$216&lt;Assumptions!$G$28),'S&amp;U'!$I45/ROUNDUP((Assumptions!$G$25+Assumptions!$G$27)/12,0),0))</f>
        <v>0</v>
      </c>
      <c r="Z223" s="76">
        <f>+IF(AND(Z$216&gt;=Assumptions!$G$22,Z$216&lt;Assumptions!$G$24),'S&amp;U'!$I13/ROUNDUP(Assumptions!$G$23/12,0),IF(AND(Z$216&gt;=Assumptions!$G$24,Z$216&lt;Assumptions!$G$28),'S&amp;U'!$I45/ROUNDUP((Assumptions!$G$25+Assumptions!$G$27)/12,0),0))</f>
        <v>0</v>
      </c>
    </row>
    <row r="224" spans="2:26" ht="15.75">
      <c r="B224" s="687" t="s">
        <v>662</v>
      </c>
      <c r="C224" s="687"/>
      <c r="D224" s="550">
        <f ca="1">+SUM(F224:Z224)</f>
        <v>289802479.23705924</v>
      </c>
      <c r="E224" s="550"/>
      <c r="F224" s="550">
        <f ca="1">+SUM(F217:F223)</f>
        <v>372000</v>
      </c>
      <c r="G224" s="550">
        <f ca="1">+SUM(G217:G223)</f>
        <v>143106567.25772941</v>
      </c>
      <c r="H224" s="550">
        <f ca="1">+SUM(H217:H223)</f>
        <v>143106567.25772941</v>
      </c>
      <c r="I224" s="550">
        <f t="shared" ref="I224:Z224" ca="1" si="137">+SUM(I217:I223)</f>
        <v>1608672.360800195</v>
      </c>
      <c r="J224" s="550">
        <f t="shared" ca="1" si="137"/>
        <v>1608672.360800195</v>
      </c>
      <c r="K224" s="550">
        <f t="shared" si="137"/>
        <v>0</v>
      </c>
      <c r="L224" s="550">
        <f t="shared" si="137"/>
        <v>0</v>
      </c>
      <c r="M224" s="550">
        <f t="shared" si="137"/>
        <v>0</v>
      </c>
      <c r="N224" s="550">
        <f t="shared" si="137"/>
        <v>0</v>
      </c>
      <c r="O224" s="550">
        <f t="shared" si="137"/>
        <v>0</v>
      </c>
      <c r="P224" s="550">
        <f t="shared" si="137"/>
        <v>0</v>
      </c>
      <c r="Q224" s="550">
        <f t="shared" si="137"/>
        <v>0</v>
      </c>
      <c r="R224" s="550">
        <f t="shared" si="137"/>
        <v>0</v>
      </c>
      <c r="S224" s="550">
        <f t="shared" si="137"/>
        <v>0</v>
      </c>
      <c r="T224" s="550">
        <f t="shared" si="137"/>
        <v>0</v>
      </c>
      <c r="U224" s="550">
        <f t="shared" si="137"/>
        <v>0</v>
      </c>
      <c r="V224" s="550">
        <f t="shared" si="137"/>
        <v>0</v>
      </c>
      <c r="W224" s="550">
        <f t="shared" si="137"/>
        <v>0</v>
      </c>
      <c r="X224" s="550">
        <f t="shared" si="137"/>
        <v>0</v>
      </c>
      <c r="Y224" s="550">
        <f t="shared" si="137"/>
        <v>0</v>
      </c>
      <c r="Z224" s="550">
        <f t="shared" si="137"/>
        <v>0</v>
      </c>
    </row>
    <row r="226" spans="1:26" ht="15.75">
      <c r="B226" s="73" t="s">
        <v>663</v>
      </c>
      <c r="F226" s="75">
        <f>+Assumptions!$G$22</f>
        <v>44926</v>
      </c>
      <c r="G226" s="75">
        <f>+EOMONTH(F226,12)</f>
        <v>45291</v>
      </c>
      <c r="H226" s="75">
        <f t="shared" ref="H226:Z226" si="138">+EOMONTH(G226,12)</f>
        <v>45657</v>
      </c>
      <c r="I226" s="75">
        <f t="shared" si="138"/>
        <v>46022</v>
      </c>
      <c r="J226" s="75">
        <f t="shared" si="138"/>
        <v>46387</v>
      </c>
      <c r="K226" s="75">
        <f t="shared" si="138"/>
        <v>46752</v>
      </c>
      <c r="L226" s="75">
        <f t="shared" si="138"/>
        <v>47118</v>
      </c>
      <c r="M226" s="75">
        <f t="shared" si="138"/>
        <v>47483</v>
      </c>
      <c r="N226" s="75">
        <f t="shared" si="138"/>
        <v>47848</v>
      </c>
      <c r="O226" s="75">
        <f t="shared" si="138"/>
        <v>48213</v>
      </c>
      <c r="P226" s="75">
        <f t="shared" si="138"/>
        <v>48579</v>
      </c>
      <c r="Q226" s="75">
        <f t="shared" si="138"/>
        <v>48944</v>
      </c>
      <c r="R226" s="75">
        <f t="shared" si="138"/>
        <v>49309</v>
      </c>
      <c r="S226" s="75">
        <f t="shared" si="138"/>
        <v>49674</v>
      </c>
      <c r="T226" s="75">
        <f t="shared" si="138"/>
        <v>50040</v>
      </c>
      <c r="U226" s="75">
        <f t="shared" si="138"/>
        <v>50405</v>
      </c>
      <c r="V226" s="75">
        <f t="shared" si="138"/>
        <v>50770</v>
      </c>
      <c r="W226" s="75">
        <f t="shared" si="138"/>
        <v>51135</v>
      </c>
      <c r="X226" s="75">
        <f t="shared" si="138"/>
        <v>51501</v>
      </c>
      <c r="Y226" s="75">
        <f t="shared" si="138"/>
        <v>51866</v>
      </c>
      <c r="Z226" s="75">
        <f t="shared" si="138"/>
        <v>52231</v>
      </c>
    </row>
    <row r="227" spans="1:26" ht="15.75">
      <c r="A227" s="49"/>
      <c r="B227" s="15" t="s">
        <v>664</v>
      </c>
      <c r="D227" s="26">
        <f t="shared" ref="D227:D234" ca="1" si="139">+SUM(F227:Z227)</f>
        <v>36280072.373549521</v>
      </c>
      <c r="E227" s="26"/>
      <c r="F227" s="16">
        <f ca="1">D227-G227</f>
        <v>18868356.37705785</v>
      </c>
      <c r="G227" s="16">
        <f ca="1">+MIN('S&amp;U'!$I23-SUM('Phase II Pro Forma'!$E227:F227),'Phase II Pro Forma'!G$224)</f>
        <v>17411715.996491671</v>
      </c>
      <c r="H227" s="16">
        <f ca="1">+MIN('S&amp;U'!$I23-SUM('Phase II Pro Forma'!$E227:G227),'Phase II Pro Forma'!H$224)</f>
        <v>-2.9802322387695313E-8</v>
      </c>
      <c r="I227" s="16">
        <f ca="1">+MIN('S&amp;U'!$I23-SUM('Phase II Pro Forma'!$E227:H227),'Phase II Pro Forma'!I$224)</f>
        <v>2.9802322387695313E-8</v>
      </c>
      <c r="J227" s="16">
        <f ca="1">+MIN('S&amp;U'!$I23-SUM('Phase II Pro Forma'!$E227:I227),'Phase II Pro Forma'!J$224)</f>
        <v>2.9802322387695313E-8</v>
      </c>
      <c r="K227" s="16">
        <f ca="1">+MIN('S&amp;U'!$I23-SUM('Phase II Pro Forma'!$E227:J227),'Phase II Pro Forma'!K$224)</f>
        <v>0</v>
      </c>
      <c r="L227" s="16">
        <f ca="1">+MIN('S&amp;U'!$I23-SUM('Phase II Pro Forma'!$E227:K227),'Phase II Pro Forma'!L$224)</f>
        <v>-2.9802322387695313E-8</v>
      </c>
      <c r="M227" s="16">
        <f ca="1">+MIN('S&amp;U'!$I23-SUM('Phase II Pro Forma'!$E227:L227),'Phase II Pro Forma'!M$224)</f>
        <v>0</v>
      </c>
      <c r="N227" s="16">
        <f ca="1">+MIN('S&amp;U'!$I23-SUM('Phase II Pro Forma'!$E227:M227),'Phase II Pro Forma'!N$224)</f>
        <v>0</v>
      </c>
      <c r="O227" s="16">
        <f ca="1">+MIN('S&amp;U'!$I23-SUM('Phase II Pro Forma'!$E227:N227),'Phase II Pro Forma'!O$224)</f>
        <v>0</v>
      </c>
      <c r="P227" s="16">
        <f ca="1">+MIN('S&amp;U'!$I23-SUM('Phase II Pro Forma'!$E227:O227),'Phase II Pro Forma'!P$224)</f>
        <v>0</v>
      </c>
      <c r="Q227" s="16">
        <f ca="1">+MIN('S&amp;U'!$I23-SUM('Phase II Pro Forma'!$E227:P227),'Phase II Pro Forma'!Q$224)</f>
        <v>0</v>
      </c>
      <c r="R227" s="16">
        <f ca="1">+MIN('S&amp;U'!$I23-SUM('Phase II Pro Forma'!$E227:Q227),'Phase II Pro Forma'!R$224)</f>
        <v>0</v>
      </c>
      <c r="S227" s="16">
        <f ca="1">+MIN('S&amp;U'!$I23-SUM('Phase II Pro Forma'!$E227:R227),'Phase II Pro Forma'!S$224)</f>
        <v>0</v>
      </c>
      <c r="T227" s="16">
        <f ca="1">+MIN('S&amp;U'!$I23-SUM('Phase II Pro Forma'!$E227:S227),'Phase II Pro Forma'!T$224)</f>
        <v>0</v>
      </c>
      <c r="U227" s="16">
        <f ca="1">+MIN('S&amp;U'!$I23-SUM('Phase II Pro Forma'!$E227:T227),'Phase II Pro Forma'!U$224)</f>
        <v>0</v>
      </c>
      <c r="V227" s="16">
        <f ca="1">+MIN('S&amp;U'!$I23-SUM('Phase II Pro Forma'!$E227:U227),'Phase II Pro Forma'!V$224)</f>
        <v>0</v>
      </c>
      <c r="W227" s="16">
        <f ca="1">+MIN('S&amp;U'!$I23-SUM('Phase II Pro Forma'!$E227:V227),'Phase II Pro Forma'!W$224)</f>
        <v>0</v>
      </c>
      <c r="X227" s="16">
        <f ca="1">+MIN('S&amp;U'!$I23-SUM('Phase II Pro Forma'!$E227:W227),'Phase II Pro Forma'!X$224)</f>
        <v>0</v>
      </c>
      <c r="Y227" s="16">
        <f ca="1">+MIN('S&amp;U'!$I23-SUM('Phase II Pro Forma'!$E227:X227),'Phase II Pro Forma'!Y$224)</f>
        <v>-2.9802322387695313E-8</v>
      </c>
      <c r="Z227" s="16">
        <f ca="1">+MIN('S&amp;U'!$I23-SUM('Phase II Pro Forma'!$E227:Y227),'Phase II Pro Forma'!Z$224)</f>
        <v>-2.9802322387695313E-8</v>
      </c>
    </row>
    <row r="228" spans="1:26" ht="15.75">
      <c r="B228" s="15" t="s">
        <v>97</v>
      </c>
      <c r="D228" s="26">
        <v>10000000</v>
      </c>
      <c r="E228" s="26"/>
      <c r="F228" s="76">
        <f ca="1">+MIN('S&amp;U'!$I19-SUM('Phase II Pro Forma'!$E228:E228),'Phase II Pro Forma'!F$224-SUM(F$227:F227))</f>
        <v>-18496356.37705791</v>
      </c>
      <c r="G228" s="76">
        <f ca="1">+MIN('S&amp;U'!$I19-SUM('Phase II Pro Forma'!$E228:F228),'Phase II Pro Forma'!G$224-SUM(G$227:G227))</f>
        <v>10000000</v>
      </c>
      <c r="H228" s="76">
        <f ca="1">+MIN('S&amp;U'!$I19-SUM('Phase II Pro Forma'!$E228:G228),'Phase II Pro Forma'!H$224-SUM(H$227:H227))</f>
        <v>0</v>
      </c>
      <c r="I228" s="76">
        <f ca="1">+MIN('S&amp;U'!$I19-SUM('Phase II Pro Forma'!$E228:H228),'Phase II Pro Forma'!I$224-SUM(I$227:I227))</f>
        <v>1608672.360800195</v>
      </c>
      <c r="J228" s="76">
        <f ca="1">+MIN('S&amp;U'!$I19-SUM('Phase II Pro Forma'!$E228:I228),'Phase II Pro Forma'!J$224-SUM(J$227:J227))</f>
        <v>-1608672.3608001955</v>
      </c>
      <c r="K228" s="76">
        <f ca="1">+MIN('S&amp;U'!$I19-SUM('Phase II Pro Forma'!$E228:J228),'Phase II Pro Forma'!K$224-SUM(K$227:K227))</f>
        <v>0</v>
      </c>
      <c r="L228" s="76">
        <f ca="1">+MIN('S&amp;U'!$I19-SUM('Phase II Pro Forma'!$E228:K228),'Phase II Pro Forma'!L$224-SUM(L$227:L227))</f>
        <v>0</v>
      </c>
      <c r="M228" s="76">
        <f ca="1">+MIN('S&amp;U'!$I19-SUM('Phase II Pro Forma'!$E228:L228),'Phase II Pro Forma'!M$224-SUM(M$227:M227))</f>
        <v>0</v>
      </c>
      <c r="N228" s="76">
        <f ca="1">+MIN('S&amp;U'!$I19-SUM('Phase II Pro Forma'!$E228:M228),'Phase II Pro Forma'!N$224-SUM(N$227:N227))</f>
        <v>0</v>
      </c>
      <c r="O228" s="76">
        <f ca="1">+MIN('S&amp;U'!$I19-SUM('Phase II Pro Forma'!$E228:N228),'Phase II Pro Forma'!O$224-SUM(O$227:O227))</f>
        <v>0</v>
      </c>
      <c r="P228" s="76">
        <f ca="1">+MIN('S&amp;U'!$I19-SUM('Phase II Pro Forma'!$E228:O228),'Phase II Pro Forma'!P$224-SUM(P$227:P227))</f>
        <v>0</v>
      </c>
      <c r="Q228" s="76">
        <f ca="1">+MIN('S&amp;U'!$I19-SUM('Phase II Pro Forma'!$E228:P228),'Phase II Pro Forma'!Q$224-SUM(Q$227:Q227))</f>
        <v>0</v>
      </c>
      <c r="R228" s="76">
        <f ca="1">+MIN('S&amp;U'!$I19-SUM('Phase II Pro Forma'!$E228:Q228),'Phase II Pro Forma'!R$224-SUM(R$227:R227))</f>
        <v>0</v>
      </c>
      <c r="S228" s="76">
        <f ca="1">+MIN('S&amp;U'!$I19-SUM('Phase II Pro Forma'!$E228:R228),'Phase II Pro Forma'!S$224-SUM(S$227:S227))</f>
        <v>0</v>
      </c>
      <c r="T228" s="76">
        <f ca="1">+MIN('S&amp;U'!$I19-SUM('Phase II Pro Forma'!$E228:S228),'Phase II Pro Forma'!T$224-SUM(T$227:T227))</f>
        <v>0</v>
      </c>
      <c r="U228" s="76">
        <f ca="1">+MIN('S&amp;U'!$I19-SUM('Phase II Pro Forma'!$E228:T228),'Phase II Pro Forma'!U$224-SUM(U$227:U227))</f>
        <v>0</v>
      </c>
      <c r="V228" s="76">
        <f ca="1">+MIN('S&amp;U'!$I19-SUM('Phase II Pro Forma'!$E228:U228),'Phase II Pro Forma'!V$224-SUM(V$227:V227))</f>
        <v>0</v>
      </c>
      <c r="W228" s="76">
        <f ca="1">+MIN('S&amp;U'!$I19-SUM('Phase II Pro Forma'!$E228:V228),'Phase II Pro Forma'!W$224-SUM(W$227:W227))</f>
        <v>0</v>
      </c>
      <c r="X228" s="76">
        <f ca="1">+MIN('S&amp;U'!$I19-SUM('Phase II Pro Forma'!$E228:W228),'Phase II Pro Forma'!X$224-SUM(X$227:X227))</f>
        <v>0</v>
      </c>
      <c r="Y228" s="76">
        <f ca="1">+MIN('S&amp;U'!$I19-SUM('Phase II Pro Forma'!$E228:X228),'Phase II Pro Forma'!Y$224-SUM(Y$227:Y227))</f>
        <v>0</v>
      </c>
      <c r="Z228" s="76">
        <f ca="1">+MIN('S&amp;U'!$I19-SUM('Phase II Pro Forma'!$E228:Y228),'Phase II Pro Forma'!Z$224-SUM(Z$227:Z227))</f>
        <v>2.9802322387695313E-8</v>
      </c>
    </row>
    <row r="229" spans="1:26" ht="15.75">
      <c r="B229" s="15" t="s">
        <v>392</v>
      </c>
      <c r="D229" s="26">
        <f t="shared" ca="1" si="139"/>
        <v>8832339.7304545473</v>
      </c>
      <c r="E229" s="26"/>
      <c r="F229" s="76">
        <f ca="1">+MIN('S&amp;U'!$I20-SUM('Phase II Pro Forma'!$E229:E229),'Phase II Pro Forma'!F$224-SUM(F$227:F228))</f>
        <v>-18496356.37705791</v>
      </c>
      <c r="G229" s="76">
        <f ca="1">+MIN('S&amp;U'!$I20-SUM('Phase II Pro Forma'!$E229:F229),'Phase II Pro Forma'!G$224-SUM(G$227:G228))</f>
        <v>30758147.960353643</v>
      </c>
      <c r="H229" s="76">
        <f ca="1">+MIN('S&amp;U'!$I20-SUM('Phase II Pro Forma'!$E229:G229),'Phase II Pro Forma'!H$224-SUM(H$227:H228))</f>
        <v>21925808.229899094</v>
      </c>
      <c r="I229" s="76">
        <f ca="1">+MIN('S&amp;U'!$I20-SUM('Phase II Pro Forma'!$E229:H229),'Phase II Pro Forma'!I$224-SUM(I$227:I228))</f>
        <v>1608672.360800195</v>
      </c>
      <c r="J229" s="76">
        <f ca="1">+MIN('S&amp;U'!$I20-SUM('Phase II Pro Forma'!$E229:I229),'Phase II Pro Forma'!J$224-SUM(J$227:J228))</f>
        <v>1608672.360800195</v>
      </c>
      <c r="K229" s="76">
        <f ca="1">+MIN('S&amp;U'!$I20-SUM('Phase II Pro Forma'!$E229:J229),'Phase II Pro Forma'!K$224-SUM(K$227:K228))</f>
        <v>0</v>
      </c>
      <c r="L229" s="76">
        <f ca="1">+MIN('S&amp;U'!$I20-SUM('Phase II Pro Forma'!$E229:K229),'Phase II Pro Forma'!L$224-SUM(L$227:L228))</f>
        <v>0</v>
      </c>
      <c r="M229" s="76">
        <f ca="1">+MIN('S&amp;U'!$I20-SUM('Phase II Pro Forma'!$E229:L229),'Phase II Pro Forma'!M$224-SUM(M$227:M228))</f>
        <v>0</v>
      </c>
      <c r="N229" s="76">
        <f ca="1">+MIN('S&amp;U'!$I20-SUM('Phase II Pro Forma'!$E229:M229),'Phase II Pro Forma'!N$224-SUM(N$227:N228))</f>
        <v>0</v>
      </c>
      <c r="O229" s="76">
        <f ca="1">+MIN('S&amp;U'!$I20-SUM('Phase II Pro Forma'!$E229:N229),'Phase II Pro Forma'!O$224-SUM(O$227:O228))</f>
        <v>0</v>
      </c>
      <c r="P229" s="76">
        <f ca="1">+MIN('S&amp;U'!$I20-SUM('Phase II Pro Forma'!$E229:O229),'Phase II Pro Forma'!P$224-SUM(P$227:P228))</f>
        <v>0</v>
      </c>
      <c r="Q229" s="76">
        <f ca="1">+MIN('S&amp;U'!$I20-SUM('Phase II Pro Forma'!$E229:P229),'Phase II Pro Forma'!Q$224-SUM(Q$227:Q228))</f>
        <v>0</v>
      </c>
      <c r="R229" s="76">
        <f ca="1">+MIN('S&amp;U'!$I20-SUM('Phase II Pro Forma'!$E229:Q229),'Phase II Pro Forma'!R$224-SUM(R$227:R228))</f>
        <v>0</v>
      </c>
      <c r="S229" s="76">
        <f ca="1">+MIN('S&amp;U'!$I20-SUM('Phase II Pro Forma'!$E229:R229),'Phase II Pro Forma'!S$224-SUM(S$227:S228))</f>
        <v>0</v>
      </c>
      <c r="T229" s="76">
        <f ca="1">+MIN('S&amp;U'!$I20-SUM('Phase II Pro Forma'!$E229:S229),'Phase II Pro Forma'!T$224-SUM(T$227:T228))</f>
        <v>0</v>
      </c>
      <c r="U229" s="76">
        <f ca="1">+MIN('S&amp;U'!$I20-SUM('Phase II Pro Forma'!$E229:T229),'Phase II Pro Forma'!U$224-SUM(U$227:U228))</f>
        <v>0</v>
      </c>
      <c r="V229" s="76">
        <f ca="1">+MIN('S&amp;U'!$I20-SUM('Phase II Pro Forma'!$E229:U229),'Phase II Pro Forma'!V$224-SUM(V$227:V228))</f>
        <v>0</v>
      </c>
      <c r="W229" s="76">
        <f ca="1">+MIN('S&amp;U'!$I20-SUM('Phase II Pro Forma'!$E229:V229),'Phase II Pro Forma'!W$224-SUM(W$227:W228))</f>
        <v>0</v>
      </c>
      <c r="X229" s="76">
        <f ca="1">+MIN('S&amp;U'!$I20-SUM('Phase II Pro Forma'!$E229:W229),'Phase II Pro Forma'!X$224-SUM(X$227:X228))</f>
        <v>0</v>
      </c>
      <c r="Y229" s="76">
        <f ca="1">+MIN('S&amp;U'!$I20-SUM('Phase II Pro Forma'!$E229:X229),'Phase II Pro Forma'!Y$224-SUM(Y$227:Y228))</f>
        <v>0</v>
      </c>
      <c r="Z229" s="76">
        <f ca="1">+MIN('S&amp;U'!$I20-SUM('Phase II Pro Forma'!$E229:Y229),'Phase II Pro Forma'!Z$224-SUM(Z$227:Z228))</f>
        <v>0</v>
      </c>
    </row>
    <row r="230" spans="1:26" ht="15.75">
      <c r="B230" s="15" t="s">
        <v>393</v>
      </c>
      <c r="D230" s="26">
        <f t="shared" ca="1" si="139"/>
        <v>6.2400000000000012E-5</v>
      </c>
      <c r="E230" s="26"/>
      <c r="F230" s="76">
        <f ca="1">+MIN('S&amp;U'!$I21-SUM('Phase II Pro Forma'!$E230:E230),'Phase II Pro Forma'!F$224-SUM(F$227:F229))</f>
        <v>-18496356.37705791</v>
      </c>
      <c r="G230" s="76">
        <f ca="1">+MIN('S&amp;U'!$I21-SUM('Phase II Pro Forma'!$E230:F230),'Phase II Pro Forma'!G$224-SUM(G$227:G229))</f>
        <v>6.2400000000000012E-5</v>
      </c>
      <c r="H230" s="76">
        <f ca="1">+MIN('S&amp;U'!$I21-SUM('Phase II Pro Forma'!$E230:G230),'Phase II Pro Forma'!H$224-SUM(H$227:H229))</f>
        <v>0</v>
      </c>
      <c r="I230" s="76">
        <f ca="1">+MIN('S&amp;U'!$I21-SUM('Phase II Pro Forma'!$E230:H230),'Phase II Pro Forma'!I$224-SUM(I$227:I229))</f>
        <v>0</v>
      </c>
      <c r="J230" s="76">
        <f ca="1">+MIN('S&amp;U'!$I21-SUM('Phase II Pro Forma'!$E230:I230),'Phase II Pro Forma'!J$224-SUM(J$227:J229))</f>
        <v>0</v>
      </c>
      <c r="K230" s="76">
        <f ca="1">+MIN('S&amp;U'!$I21-SUM('Phase II Pro Forma'!$E230:J230),'Phase II Pro Forma'!K$224-SUM(K$227:K229))</f>
        <v>0</v>
      </c>
      <c r="L230" s="76">
        <f ca="1">+MIN('S&amp;U'!$I21-SUM('Phase II Pro Forma'!$E230:K230),'Phase II Pro Forma'!L$224-SUM(L$227:L229))</f>
        <v>0</v>
      </c>
      <c r="M230" s="76">
        <f ca="1">+MIN('S&amp;U'!$I21-SUM('Phase II Pro Forma'!$E230:L230),'Phase II Pro Forma'!M$224-SUM(M$227:M229))</f>
        <v>0</v>
      </c>
      <c r="N230" s="76">
        <f ca="1">+MIN('S&amp;U'!$I21-SUM('Phase II Pro Forma'!$E230:M230),'Phase II Pro Forma'!N$224-SUM(N$227:N229))</f>
        <v>0</v>
      </c>
      <c r="O230" s="76">
        <f ca="1">+MIN('S&amp;U'!$I21-SUM('Phase II Pro Forma'!$E230:N230),'Phase II Pro Forma'!O$224-SUM(O$227:O229))</f>
        <v>0</v>
      </c>
      <c r="P230" s="76">
        <f ca="1">+MIN('S&amp;U'!$I21-SUM('Phase II Pro Forma'!$E230:O230),'Phase II Pro Forma'!P$224-SUM(P$227:P229))</f>
        <v>0</v>
      </c>
      <c r="Q230" s="76">
        <f ca="1">+MIN('S&amp;U'!$I21-SUM('Phase II Pro Forma'!$E230:P230),'Phase II Pro Forma'!Q$224-SUM(Q$227:Q229))</f>
        <v>0</v>
      </c>
      <c r="R230" s="76">
        <f ca="1">+MIN('S&amp;U'!$I21-SUM('Phase II Pro Forma'!$E230:Q230),'Phase II Pro Forma'!R$224-SUM(R$227:R229))</f>
        <v>0</v>
      </c>
      <c r="S230" s="76">
        <f ca="1">+MIN('S&amp;U'!$I21-SUM('Phase II Pro Forma'!$E230:R230),'Phase II Pro Forma'!S$224-SUM(S$227:S229))</f>
        <v>0</v>
      </c>
      <c r="T230" s="76">
        <f ca="1">+MIN('S&amp;U'!$I21-SUM('Phase II Pro Forma'!$E230:S230),'Phase II Pro Forma'!T$224-SUM(T$227:T229))</f>
        <v>0</v>
      </c>
      <c r="U230" s="76">
        <f ca="1">+MIN('S&amp;U'!$I21-SUM('Phase II Pro Forma'!$E230:T230),'Phase II Pro Forma'!U$224-SUM(U$227:U229))</f>
        <v>0</v>
      </c>
      <c r="V230" s="76">
        <f ca="1">+MIN('S&amp;U'!$I21-SUM('Phase II Pro Forma'!$E230:U230),'Phase II Pro Forma'!V$224-SUM(V$227:V229))</f>
        <v>0</v>
      </c>
      <c r="W230" s="76">
        <f ca="1">+MIN('S&amp;U'!$I21-SUM('Phase II Pro Forma'!$E230:V230),'Phase II Pro Forma'!W$224-SUM(W$227:W229))</f>
        <v>0</v>
      </c>
      <c r="X230" s="76">
        <f ca="1">+MIN('S&amp;U'!$I21-SUM('Phase II Pro Forma'!$E230:W230),'Phase II Pro Forma'!X$224-SUM(X$227:X229))</f>
        <v>0</v>
      </c>
      <c r="Y230" s="76">
        <f ca="1">+MIN('S&amp;U'!$I21-SUM('Phase II Pro Forma'!$E230:X230),'Phase II Pro Forma'!Y$224-SUM(Y$227:Y229))</f>
        <v>0</v>
      </c>
      <c r="Z230" s="76">
        <f ca="1">+MIN('S&amp;U'!$I21-SUM('Phase II Pro Forma'!$E230:Y230),'Phase II Pro Forma'!Z$224-SUM(Z$227:Z229))</f>
        <v>0</v>
      </c>
    </row>
    <row r="231" spans="1:26" ht="15.75">
      <c r="B231" s="693" t="s">
        <v>394</v>
      </c>
      <c r="D231" s="26">
        <f t="shared" ref="D231" ca="1" si="140">+SUM(F231:Z231)</f>
        <v>0</v>
      </c>
      <c r="E231" s="26"/>
      <c r="F231" s="76">
        <f ca="1">+MIN('S&amp;U'!$I22-SUM('Phase II Pro Forma'!$E231:E231),'Phase II Pro Forma'!F$224-SUM(F$227:F230))</f>
        <v>-18496356.37705791</v>
      </c>
      <c r="G231" s="76">
        <f ca="1">+MIN('S&amp;U'!$I22-SUM('Phase II Pro Forma'!$E231:F231),'Phase II Pro Forma'!G$224-SUM(G$227:G230))</f>
        <v>10000000</v>
      </c>
      <c r="H231" s="76">
        <f ca="1">+MIN('S&amp;U'!$I22-SUM('Phase II Pro Forma'!$E231:G231),'Phase II Pro Forma'!H$224-SUM(H$227:H230))</f>
        <v>10000000</v>
      </c>
      <c r="I231" s="76">
        <f ca="1">+MIN('S&amp;U'!$I22-SUM('Phase II Pro Forma'!$E231:H231),'Phase II Pro Forma'!I$224-SUM(I$227:I230))</f>
        <v>-10000000</v>
      </c>
      <c r="J231" s="76">
        <f ca="1">+MIN('S&amp;U'!$I22-SUM('Phase II Pro Forma'!$E231:I231),'Phase II Pro Forma'!J$224-SUM(J$227:J230))</f>
        <v>0</v>
      </c>
      <c r="K231" s="76">
        <f ca="1">+MIN('S&amp;U'!$I22-SUM('Phase II Pro Forma'!$E231:J231),'Phase II Pro Forma'!K$224-SUM(K$227:K230))</f>
        <v>-10000000</v>
      </c>
      <c r="L231" s="76">
        <f ca="1">+MIN('S&amp;U'!$I22-SUM('Phase II Pro Forma'!$E231:K231),'Phase II Pro Forma'!L$224-SUM(L$227:L230))</f>
        <v>0</v>
      </c>
      <c r="M231" s="76">
        <f ca="1">+MIN('S&amp;U'!$I22-SUM('Phase II Pro Forma'!$E231:L231),'Phase II Pro Forma'!M$224-SUM(M$227:M230))</f>
        <v>0</v>
      </c>
      <c r="N231" s="76">
        <f ca="1">+MIN('S&amp;U'!$I22-SUM('Phase II Pro Forma'!$E231:M231),'Phase II Pro Forma'!N$224-SUM(N$227:N230))</f>
        <v>-10000000</v>
      </c>
      <c r="O231" s="76">
        <f ca="1">+MIN('S&amp;U'!$I22-SUM('Phase II Pro Forma'!$E231:N231),'Phase II Pro Forma'!O$224-SUM(O$227:O230))</f>
        <v>0</v>
      </c>
      <c r="P231" s="76">
        <f ca="1">+MIN('S&amp;U'!$I22-SUM('Phase II Pro Forma'!$E231:O231),'Phase II Pro Forma'!P$224-SUM(P$227:P230))</f>
        <v>0</v>
      </c>
      <c r="Q231" s="76">
        <f ca="1">+MIN('S&amp;U'!$I22-SUM('Phase II Pro Forma'!$E231:P231),'Phase II Pro Forma'!Q$224-SUM(Q$227:Q230))</f>
        <v>0</v>
      </c>
      <c r="R231" s="76">
        <f ca="1">+MIN('S&amp;U'!$I22-SUM('Phase II Pro Forma'!$E231:Q231),'Phase II Pro Forma'!R$224-SUM(R$227:R230))</f>
        <v>0</v>
      </c>
      <c r="S231" s="76">
        <f ca="1">+MIN('S&amp;U'!$I22-SUM('Phase II Pro Forma'!$E231:R231),'Phase II Pro Forma'!S$224-SUM(S$227:S230))</f>
        <v>0</v>
      </c>
      <c r="T231" s="76">
        <f ca="1">+MIN('S&amp;U'!$I22-SUM('Phase II Pro Forma'!$E231:S231),'Phase II Pro Forma'!T$224-SUM(T$227:T230))</f>
        <v>0</v>
      </c>
      <c r="U231" s="76">
        <f ca="1">+MIN('S&amp;U'!$I22-SUM('Phase II Pro Forma'!$E231:T231),'Phase II Pro Forma'!U$224-SUM(U$227:U230))</f>
        <v>0</v>
      </c>
      <c r="V231" s="76">
        <f ca="1">+MIN('S&amp;U'!$I22-SUM('Phase II Pro Forma'!$E231:U231),'Phase II Pro Forma'!V$224-SUM(V$227:V230))</f>
        <v>0</v>
      </c>
      <c r="W231" s="76">
        <f ca="1">+MIN('S&amp;U'!$I22-SUM('Phase II Pro Forma'!$E231:V231),'Phase II Pro Forma'!W$224-SUM(W$227:W230))</f>
        <v>0</v>
      </c>
      <c r="X231" s="76">
        <f ca="1">+MIN('S&amp;U'!$I22-SUM('Phase II Pro Forma'!$E231:W231),'Phase II Pro Forma'!X$224-SUM(X$227:X230))</f>
        <v>0</v>
      </c>
      <c r="Y231" s="76">
        <f ca="1">+MIN('S&amp;U'!$I22-SUM('Phase II Pro Forma'!$E231:X231),'Phase II Pro Forma'!Y$224-SUM(Y$227:Y230))</f>
        <v>0</v>
      </c>
      <c r="Z231" s="76">
        <f ca="1">+MIN('S&amp;U'!$I22-SUM('Phase II Pro Forma'!$E231:Y231),'Phase II Pro Forma'!Z$224-SUM(Z$227:Z230))</f>
        <v>0</v>
      </c>
    </row>
    <row r="232" spans="1:26" ht="15.75">
      <c r="A232" s="49"/>
      <c r="B232" s="15" t="s">
        <v>356</v>
      </c>
      <c r="D232" s="26">
        <f t="shared" ca="1" si="139"/>
        <v>170038699.1483376</v>
      </c>
      <c r="E232" s="26"/>
      <c r="F232" s="76">
        <f ca="1">+MIN('S&amp;U'!$I17-SUM('Phase II Pro Forma'!$E232:E232),'Phase II Pro Forma'!F$224-SUM(F$227:F231))</f>
        <v>36992712.75411582</v>
      </c>
      <c r="G232" s="76">
        <f ca="1">+MIN('S&amp;U'!$I17-SUM('Phase II Pro Forma'!$E232:F232),'Phase II Pro Forma'!G$224-SUM(G$227:G231))</f>
        <v>74936703.300821692</v>
      </c>
      <c r="H232" s="76">
        <f ca="1">+MIN('S&amp;U'!$I17-SUM('Phase II Pro Forma'!$E232:G232),'Phase II Pro Forma'!H$224-SUM(H$227:H231))</f>
        <v>59461237.342041433</v>
      </c>
      <c r="I232" s="76">
        <f ca="1">+MIN('S&amp;U'!$I17-SUM('Phase II Pro Forma'!$E232:H232),'Phase II Pro Forma'!I$224-SUM(I$227:I231))</f>
        <v>0</v>
      </c>
      <c r="J232" s="76">
        <f ca="1">+MIN('S&amp;U'!$I17-SUM('Phase II Pro Forma'!$E232:I232),'Phase II Pro Forma'!J$224-SUM(J$227:J231))</f>
        <v>0</v>
      </c>
      <c r="K232" s="76">
        <f ca="1">+MIN('S&amp;U'!$I17-SUM('Phase II Pro Forma'!$E232:J232),'Phase II Pro Forma'!K$224-SUM(K$227:K231))</f>
        <v>0</v>
      </c>
      <c r="L232" s="76">
        <f ca="1">+MIN('S&amp;U'!$I17-SUM('Phase II Pro Forma'!$E232:K232),'Phase II Pro Forma'!L$224-SUM(L$227:L231))</f>
        <v>0</v>
      </c>
      <c r="M232" s="76">
        <f ca="1">+MIN('S&amp;U'!$I17-SUM('Phase II Pro Forma'!$E232:L232),'Phase II Pro Forma'!M$224-SUM(M$227:M231))</f>
        <v>-36992712.75411582</v>
      </c>
      <c r="N232" s="76">
        <f ca="1">+MIN('S&amp;U'!$I17-SUM('Phase II Pro Forma'!$E232:M232),'Phase II Pro Forma'!N$224-SUM(N$227:N231))</f>
        <v>-36992712.75411582</v>
      </c>
      <c r="O232" s="76">
        <f ca="1">+MIN('S&amp;U'!$I17-SUM('Phase II Pro Forma'!$E232:N232),'Phase II Pro Forma'!O$224-SUM(O$227:O231))</f>
        <v>-36992712.75411582</v>
      </c>
      <c r="P232" s="76">
        <f ca="1">+MIN('S&amp;U'!$I17-SUM('Phase II Pro Forma'!$E232:O232),'Phase II Pro Forma'!P$224-SUM(P$227:P231))</f>
        <v>0</v>
      </c>
      <c r="Q232" s="76">
        <f ca="1">+MIN('S&amp;U'!$I17-SUM('Phase II Pro Forma'!$E232:P232),'Phase II Pro Forma'!Q$224-SUM(Q$227:Q231))</f>
        <v>-36992712.75411582</v>
      </c>
      <c r="R232" s="76">
        <f ca="1">+MIN('S&amp;U'!$I17-SUM('Phase II Pro Forma'!$E232:Q232),'Phase II Pro Forma'!R$224-SUM(R$227:R231))</f>
        <v>0</v>
      </c>
      <c r="S232" s="76">
        <f ca="1">+MIN('S&amp;U'!$I17-SUM('Phase II Pro Forma'!$E232:R232),'Phase II Pro Forma'!S$224-SUM(S$227:S231))</f>
        <v>0</v>
      </c>
      <c r="T232" s="76">
        <f ca="1">+MIN('S&amp;U'!$I17-SUM('Phase II Pro Forma'!$E232:S232),'Phase II Pro Forma'!T$224-SUM(T$227:T231))</f>
        <v>0</v>
      </c>
      <c r="U232" s="76">
        <f ca="1">+MIN('S&amp;U'!$I17-SUM('Phase II Pro Forma'!$E232:T232),'Phase II Pro Forma'!U$224-SUM(U$227:U231))</f>
        <v>-36992712.75411582</v>
      </c>
      <c r="V232" s="76">
        <f ca="1">+MIN('S&amp;U'!$I17-SUM('Phase II Pro Forma'!$E232:U232),'Phase II Pro Forma'!V$224-SUM(V$227:V231))</f>
        <v>0</v>
      </c>
      <c r="W232" s="76">
        <f ca="1">+MIN('S&amp;U'!$I17-SUM('Phase II Pro Forma'!$E232:V232),'Phase II Pro Forma'!W$224-SUM(W$227:W231))</f>
        <v>0</v>
      </c>
      <c r="X232" s="76">
        <f ca="1">+MIN('S&amp;U'!$I17-SUM('Phase II Pro Forma'!$E232:W232),'Phase II Pro Forma'!X$224-SUM(X$227:X231))</f>
        <v>0</v>
      </c>
      <c r="Y232" s="76">
        <f ca="1">+MIN('S&amp;U'!$I17-SUM('Phase II Pro Forma'!$E232:X232),'Phase II Pro Forma'!Y$224-SUM(Y$227:Y231))</f>
        <v>2.9802322387695313E-8</v>
      </c>
      <c r="Z232" s="76">
        <f ca="1">+MIN('S&amp;U'!$I17-SUM('Phase II Pro Forma'!$E232:Y232),'Phase II Pro Forma'!Z$224-SUM(Z$227:Z231))</f>
        <v>0</v>
      </c>
    </row>
    <row r="233" spans="1:26" ht="15.75">
      <c r="A233" s="49"/>
      <c r="B233" s="15" t="s">
        <v>791</v>
      </c>
      <c r="D233" s="26">
        <f t="shared" ca="1" si="139"/>
        <v>-115287391.75464351</v>
      </c>
      <c r="E233" s="26"/>
      <c r="F233" s="76">
        <f ca="1">+MIN('S&amp;U'!$I18-SUM('Phase II Pro Forma'!$E233:E233),'Phase II Pro Forma'!F$224-SUM(F$227:F232))</f>
        <v>750000</v>
      </c>
      <c r="G233" s="76">
        <f ca="1">+MIN('S&amp;U'!$I18-SUM('Phase II Pro Forma'!$E233:F233),'Phase II Pro Forma'!G$224-SUM(G$227:G232))</f>
        <v>750000</v>
      </c>
      <c r="H233" s="76">
        <f ca="1">+MIN('S&amp;U'!$I18-SUM('Phase II Pro Forma'!$E233:G233),'Phase II Pro Forma'!H$224-SUM(H$227:H232))</f>
        <v>0</v>
      </c>
      <c r="I233" s="76">
        <f ca="1">+MIN('S&amp;U'!$I18-SUM('Phase II Pro Forma'!$E233:H233),'Phase II Pro Forma'!I$224-SUM(I$227:I232))</f>
        <v>0</v>
      </c>
      <c r="J233" s="76">
        <f ca="1">+MIN('S&amp;U'!$I18-SUM('Phase II Pro Forma'!$E233:I233),'Phase II Pro Forma'!J$224-SUM(J$227:J232))</f>
        <v>-41976239.797947764</v>
      </c>
      <c r="K233" s="76">
        <f ca="1">+MIN('S&amp;U'!$I18-SUM('Phase II Pro Forma'!$E233:J233),'Phase II Pro Forma'!K$224-SUM(K$227:K232))</f>
        <v>-42834912.158747971</v>
      </c>
      <c r="L233" s="76">
        <f ca="1">+MIN('S&amp;U'!$I18-SUM('Phase II Pro Forma'!$E233:K233),'Phase II Pro Forma'!L$224-SUM(L$227:L232))</f>
        <v>-42834912.158747971</v>
      </c>
      <c r="M233" s="76">
        <f ca="1">+MIN('S&amp;U'!$I18-SUM('Phase II Pro Forma'!$E233:L233),'Phase II Pro Forma'!M$224-SUM(M$227:M232))</f>
        <v>0</v>
      </c>
      <c r="N233" s="76">
        <f ca="1">+MIN('S&amp;U'!$I18-SUM('Phase II Pro Forma'!$E233:M233),'Phase II Pro Forma'!N$224-SUM(N$227:N232))</f>
        <v>10000000</v>
      </c>
      <c r="O233" s="76">
        <f ca="1">+MIN('S&amp;U'!$I18-SUM('Phase II Pro Forma'!$E233:N233),'Phase II Pro Forma'!O$224-SUM(O$227:O232))</f>
        <v>0</v>
      </c>
      <c r="P233" s="76">
        <f ca="1">+MIN('S&amp;U'!$I18-SUM('Phase II Pro Forma'!$E233:O233),'Phase II Pro Forma'!P$224-SUM(P$227:P232))</f>
        <v>0</v>
      </c>
      <c r="Q233" s="76">
        <f ca="1">+MIN('S&amp;U'!$I18-SUM('Phase II Pro Forma'!$E233:P233),'Phase II Pro Forma'!Q$224-SUM(Q$227:Q232))</f>
        <v>0</v>
      </c>
      <c r="R233" s="76">
        <f ca="1">+MIN('S&amp;U'!$I18-SUM('Phase II Pro Forma'!$E233:Q233),'Phase II Pro Forma'!R$224-SUM(R$227:R232))</f>
        <v>0</v>
      </c>
      <c r="S233" s="76">
        <f ca="1">+MIN('S&amp;U'!$I18-SUM('Phase II Pro Forma'!$E233:R233),'Phase II Pro Forma'!S$224-SUM(S$227:S232))</f>
        <v>0</v>
      </c>
      <c r="T233" s="76">
        <f ca="1">+MIN('S&amp;U'!$I18-SUM('Phase II Pro Forma'!$E233:S233),'Phase II Pro Forma'!T$224-SUM(T$227:T232))</f>
        <v>0</v>
      </c>
      <c r="U233" s="76">
        <f ca="1">+MIN('S&amp;U'!$I18-SUM('Phase II Pro Forma'!$E233:T233),'Phase II Pro Forma'!U$224-SUM(U$227:U232))</f>
        <v>0</v>
      </c>
      <c r="V233" s="76">
        <f ca="1">+MIN('S&amp;U'!$I18-SUM('Phase II Pro Forma'!$E233:U233),'Phase II Pro Forma'!V$224-SUM(V$227:V232))</f>
        <v>0</v>
      </c>
      <c r="W233" s="76">
        <f ca="1">+MIN('S&amp;U'!$I18-SUM('Phase II Pro Forma'!$E233:V233),'Phase II Pro Forma'!W$224-SUM(W$227:W232))</f>
        <v>0</v>
      </c>
      <c r="X233" s="76">
        <f ca="1">+MIN('S&amp;U'!$I18-SUM('Phase II Pro Forma'!$E233:W233),'Phase II Pro Forma'!X$224-SUM(X$227:X232))</f>
        <v>0</v>
      </c>
      <c r="Y233" s="76">
        <f ca="1">+MIN('S&amp;U'!$I18-SUM('Phase II Pro Forma'!$E233:X233),'Phase II Pro Forma'!Y$224-SUM(Y$227:Y232))</f>
        <v>0</v>
      </c>
      <c r="Z233" s="76">
        <f ca="1">+MIN('S&amp;U'!$I18-SUM('Phase II Pro Forma'!$E233:Y233),'Phase II Pro Forma'!Z$224-SUM(Z$227:Z232))</f>
        <v>0</v>
      </c>
    </row>
    <row r="234" spans="1:26" ht="15.75">
      <c r="B234" s="687" t="s">
        <v>665</v>
      </c>
      <c r="C234" s="687"/>
      <c r="D234" s="550">
        <f t="shared" ca="1" si="139"/>
        <v>152770714.48203063</v>
      </c>
      <c r="E234" s="550"/>
      <c r="F234" s="550">
        <f t="shared" ref="F234:Z234" ca="1" si="141">+SUM(F227:F233)</f>
        <v>1122000</v>
      </c>
      <c r="G234" s="550">
        <f t="shared" ca="1" si="141"/>
        <v>142504613.0090881</v>
      </c>
      <c r="H234" s="550">
        <f t="shared" ca="1" si="141"/>
        <v>91387045.571940526</v>
      </c>
      <c r="I234" s="550">
        <f t="shared" ca="1" si="141"/>
        <v>-6782655.27839961</v>
      </c>
      <c r="J234" s="550">
        <f t="shared" ca="1" si="141"/>
        <v>-41976239.797947764</v>
      </c>
      <c r="K234" s="550">
        <f t="shared" ca="1" si="141"/>
        <v>-52834912.158747971</v>
      </c>
      <c r="L234" s="550">
        <f t="shared" ca="1" si="141"/>
        <v>-42834912.158747971</v>
      </c>
      <c r="M234" s="550">
        <f t="shared" ca="1" si="141"/>
        <v>0</v>
      </c>
      <c r="N234" s="550">
        <f t="shared" ca="1" si="141"/>
        <v>0</v>
      </c>
      <c r="O234" s="550">
        <f t="shared" ca="1" si="141"/>
        <v>0</v>
      </c>
      <c r="P234" s="550">
        <f t="shared" ca="1" si="141"/>
        <v>0</v>
      </c>
      <c r="Q234" s="550">
        <f t="shared" ca="1" si="141"/>
        <v>0</v>
      </c>
      <c r="R234" s="550">
        <f t="shared" ca="1" si="141"/>
        <v>0</v>
      </c>
      <c r="S234" s="550">
        <f t="shared" ca="1" si="141"/>
        <v>0</v>
      </c>
      <c r="T234" s="550">
        <f t="shared" ca="1" si="141"/>
        <v>0</v>
      </c>
      <c r="U234" s="550">
        <f t="shared" ca="1" si="141"/>
        <v>0</v>
      </c>
      <c r="V234" s="550">
        <f t="shared" ca="1" si="141"/>
        <v>0</v>
      </c>
      <c r="W234" s="550">
        <f t="shared" ca="1" si="141"/>
        <v>0</v>
      </c>
      <c r="X234" s="550">
        <f t="shared" ca="1" si="141"/>
        <v>0</v>
      </c>
      <c r="Y234" s="550">
        <f t="shared" ca="1" si="141"/>
        <v>0</v>
      </c>
      <c r="Z234" s="550">
        <f t="shared" ca="1" si="141"/>
        <v>0</v>
      </c>
    </row>
    <row r="236" spans="1:26" ht="15.75">
      <c r="B236" s="15" t="s">
        <v>666</v>
      </c>
      <c r="D236" s="26">
        <f t="shared" ref="D236" ca="1" si="142">+SUM(F236:Z236)</f>
        <v>-25051700.662798669</v>
      </c>
      <c r="F236" s="22">
        <f ca="1">+SUM(F228:F230,F233)</f>
        <v>-36242712.75411582</v>
      </c>
      <c r="G236" s="22">
        <f t="shared" ref="G236:Z236" ca="1" si="143">+SUM(G228:G230,G233)</f>
        <v>41508147.960416041</v>
      </c>
      <c r="H236" s="22">
        <f t="shared" ca="1" si="143"/>
        <v>21925808.229899094</v>
      </c>
      <c r="I236" s="22">
        <f t="shared" ca="1" si="143"/>
        <v>3217344.72160039</v>
      </c>
      <c r="J236" s="22">
        <f t="shared" ca="1" si="143"/>
        <v>-41976239.797947764</v>
      </c>
      <c r="K236" s="22">
        <f t="shared" ca="1" si="143"/>
        <v>-42834912.158747971</v>
      </c>
      <c r="L236" s="22">
        <f t="shared" ca="1" si="143"/>
        <v>-42834912.158747971</v>
      </c>
      <c r="M236" s="22">
        <f t="shared" ca="1" si="143"/>
        <v>0</v>
      </c>
      <c r="N236" s="22">
        <f t="shared" ca="1" si="143"/>
        <v>10000000</v>
      </c>
      <c r="O236" s="22">
        <f t="shared" ca="1" si="143"/>
        <v>0</v>
      </c>
      <c r="P236" s="22">
        <f t="shared" ca="1" si="143"/>
        <v>0</v>
      </c>
      <c r="Q236" s="22">
        <f t="shared" ca="1" si="143"/>
        <v>0</v>
      </c>
      <c r="R236" s="22">
        <f t="shared" ca="1" si="143"/>
        <v>0</v>
      </c>
      <c r="S236" s="22">
        <f t="shared" ca="1" si="143"/>
        <v>0</v>
      </c>
      <c r="T236" s="22">
        <f t="shared" ca="1" si="143"/>
        <v>0</v>
      </c>
      <c r="U236" s="22">
        <f t="shared" ca="1" si="143"/>
        <v>0</v>
      </c>
      <c r="V236" s="22">
        <f t="shared" ca="1" si="143"/>
        <v>0</v>
      </c>
      <c r="W236" s="22">
        <f t="shared" ca="1" si="143"/>
        <v>0</v>
      </c>
      <c r="X236" s="22">
        <f t="shared" ca="1" si="143"/>
        <v>0</v>
      </c>
      <c r="Y236" s="22">
        <f t="shared" ca="1" si="143"/>
        <v>0</v>
      </c>
      <c r="Z236" s="22">
        <f t="shared" ca="1" si="143"/>
        <v>2.9802322387695313E-8</v>
      </c>
    </row>
    <row r="238" spans="1:26" ht="15.75">
      <c r="B238" s="73" t="s">
        <v>667</v>
      </c>
    </row>
    <row r="239" spans="1:26" ht="15.75">
      <c r="B239" s="15" t="s">
        <v>668</v>
      </c>
      <c r="D239" s="26">
        <f ca="1">+SUM(F239:Z239)</f>
        <v>-36280072.373549551</v>
      </c>
      <c r="E239" s="26"/>
      <c r="F239" s="16">
        <v>18868356</v>
      </c>
      <c r="G239" s="16">
        <f t="shared" ref="G239:Z239" ca="1" si="144">-G227</f>
        <v>-17411715.996491671</v>
      </c>
      <c r="H239" s="16">
        <f t="shared" ca="1" si="144"/>
        <v>2.9802322387695313E-8</v>
      </c>
      <c r="I239" s="16">
        <f t="shared" ca="1" si="144"/>
        <v>-2.9802322387695313E-8</v>
      </c>
      <c r="J239" s="16">
        <f t="shared" ca="1" si="144"/>
        <v>-2.9802322387695313E-8</v>
      </c>
      <c r="K239" s="16">
        <f t="shared" ca="1" si="144"/>
        <v>0</v>
      </c>
      <c r="L239" s="16">
        <f t="shared" ca="1" si="144"/>
        <v>2.9802322387695313E-8</v>
      </c>
      <c r="M239" s="16">
        <f t="shared" ca="1" si="144"/>
        <v>0</v>
      </c>
      <c r="N239" s="16">
        <f t="shared" ca="1" si="144"/>
        <v>0</v>
      </c>
      <c r="O239" s="16">
        <f t="shared" ca="1" si="144"/>
        <v>0</v>
      </c>
      <c r="P239" s="16">
        <f t="shared" ca="1" si="144"/>
        <v>0</v>
      </c>
      <c r="Q239" s="16">
        <f t="shared" ca="1" si="144"/>
        <v>0</v>
      </c>
      <c r="R239" s="16">
        <f t="shared" ca="1" si="144"/>
        <v>0</v>
      </c>
      <c r="S239" s="16">
        <f t="shared" ca="1" si="144"/>
        <v>0</v>
      </c>
      <c r="T239" s="16">
        <f t="shared" ca="1" si="144"/>
        <v>0</v>
      </c>
      <c r="U239" s="16">
        <f t="shared" ca="1" si="144"/>
        <v>0</v>
      </c>
      <c r="V239" s="16">
        <f t="shared" ca="1" si="144"/>
        <v>0</v>
      </c>
      <c r="W239" s="16">
        <f t="shared" ca="1" si="144"/>
        <v>0</v>
      </c>
      <c r="X239" s="16">
        <f t="shared" ca="1" si="144"/>
        <v>0</v>
      </c>
      <c r="Y239" s="16">
        <f t="shared" ca="1" si="144"/>
        <v>2.9802322387695313E-8</v>
      </c>
      <c r="Z239" s="16">
        <f t="shared" ca="1" si="144"/>
        <v>0</v>
      </c>
    </row>
    <row r="240" spans="1:26" ht="15.75">
      <c r="B240" s="15" t="s">
        <v>669</v>
      </c>
      <c r="D240" s="26">
        <f ca="1">+SUM(F240:Z240)</f>
        <v>145905498.04630154</v>
      </c>
      <c r="E240" s="26"/>
      <c r="F240" s="76">
        <f ca="1">+F209</f>
        <v>0</v>
      </c>
      <c r="G240" s="76">
        <f>+G209</f>
        <v>0</v>
      </c>
      <c r="H240" s="76">
        <f t="shared" ref="H240:Z240" si="145">+H209</f>
        <v>0</v>
      </c>
      <c r="I240" s="76">
        <f t="shared" si="145"/>
        <v>0</v>
      </c>
      <c r="J240" s="76">
        <f>+J209</f>
        <v>0</v>
      </c>
      <c r="K240" s="76">
        <f t="shared" si="145"/>
        <v>0</v>
      </c>
      <c r="L240" s="76">
        <f t="shared" si="145"/>
        <v>0</v>
      </c>
      <c r="M240" s="76">
        <f t="shared" si="145"/>
        <v>0</v>
      </c>
      <c r="N240" s="76">
        <f t="shared" si="145"/>
        <v>0</v>
      </c>
      <c r="O240" s="76">
        <f t="shared" si="145"/>
        <v>0</v>
      </c>
      <c r="P240" s="76">
        <f t="shared" si="145"/>
        <v>0</v>
      </c>
      <c r="Q240" s="76">
        <f t="shared" si="145"/>
        <v>0</v>
      </c>
      <c r="R240" s="76">
        <f t="shared" si="145"/>
        <v>0</v>
      </c>
      <c r="S240" s="76">
        <f t="shared" si="145"/>
        <v>0</v>
      </c>
      <c r="T240" s="76">
        <f t="shared" si="145"/>
        <v>0</v>
      </c>
      <c r="U240" s="76">
        <f t="shared" si="145"/>
        <v>0</v>
      </c>
      <c r="V240" s="76">
        <f t="shared" si="145"/>
        <v>0</v>
      </c>
      <c r="W240" s="76">
        <f t="shared" si="145"/>
        <v>0</v>
      </c>
      <c r="X240" s="76">
        <f t="shared" si="145"/>
        <v>0</v>
      </c>
      <c r="Y240" s="76">
        <f t="shared" si="145"/>
        <v>0</v>
      </c>
      <c r="Z240" s="76">
        <f t="shared" si="145"/>
        <v>0</v>
      </c>
    </row>
    <row r="241" spans="2:26" ht="15.75">
      <c r="B241" s="687" t="s">
        <v>670</v>
      </c>
      <c r="C241" s="687"/>
      <c r="D241" s="550">
        <f ca="1">+SUM(F241:Z241)</f>
        <v>112672620.62590834</v>
      </c>
      <c r="E241" s="550"/>
      <c r="F241" s="550">
        <f ca="1">+SUM(F239:F240)</f>
        <v>-18868356.37705791</v>
      </c>
      <c r="G241" s="550">
        <f t="shared" ref="G241:Z241" ca="1" si="146">+SUM(G239:G240)</f>
        <v>-17411715.9964917</v>
      </c>
      <c r="H241" s="550">
        <f t="shared" ca="1" si="146"/>
        <v>2.9802322387695313E-8</v>
      </c>
      <c r="I241" s="550">
        <f t="shared" ca="1" si="146"/>
        <v>18907188.828211531</v>
      </c>
      <c r="J241" s="550">
        <f t="shared" ca="1" si="146"/>
        <v>3047194.9531564033</v>
      </c>
      <c r="K241" s="550">
        <f t="shared" ca="1" si="146"/>
        <v>3480773.6680041822</v>
      </c>
      <c r="L241" s="550">
        <f t="shared" ca="1" si="146"/>
        <v>4385732.7590234131</v>
      </c>
      <c r="M241" s="550">
        <f t="shared" ca="1" si="146"/>
        <v>4624966.840634143</v>
      </c>
      <c r="N241" s="550">
        <f t="shared" ca="1" si="146"/>
        <v>114506835.95042831</v>
      </c>
      <c r="O241" s="550">
        <f t="shared" ca="1" si="146"/>
        <v>0</v>
      </c>
      <c r="P241" s="550">
        <f t="shared" ca="1" si="146"/>
        <v>0</v>
      </c>
      <c r="Q241" s="550">
        <f t="shared" ca="1" si="146"/>
        <v>0</v>
      </c>
      <c r="R241" s="550">
        <f t="shared" ca="1" si="146"/>
        <v>0</v>
      </c>
      <c r="S241" s="550">
        <f t="shared" ca="1" si="146"/>
        <v>0</v>
      </c>
      <c r="T241" s="550">
        <f t="shared" ca="1" si="146"/>
        <v>0</v>
      </c>
      <c r="U241" s="550">
        <f t="shared" ca="1" si="146"/>
        <v>0</v>
      </c>
      <c r="V241" s="550">
        <f t="shared" ca="1" si="146"/>
        <v>0</v>
      </c>
      <c r="W241" s="550">
        <f t="shared" ca="1" si="146"/>
        <v>0</v>
      </c>
      <c r="X241" s="550">
        <f t="shared" ca="1" si="146"/>
        <v>0</v>
      </c>
      <c r="Y241" s="550">
        <f t="shared" ca="1" si="146"/>
        <v>0</v>
      </c>
      <c r="Z241" s="550">
        <f t="shared" ca="1" si="146"/>
        <v>0</v>
      </c>
    </row>
    <row r="243" spans="2:26" ht="15.75">
      <c r="B243" s="706" t="s">
        <v>110</v>
      </c>
      <c r="C243" s="706"/>
      <c r="D243" s="707">
        <f ca="1">+IRR(F241:Z241)</f>
        <v>0.25394836654862751</v>
      </c>
    </row>
    <row r="244" spans="2:26" ht="15.75">
      <c r="B244" s="689" t="s">
        <v>671</v>
      </c>
      <c r="C244" s="533"/>
      <c r="D244" s="692">
        <f ca="1">+SUM(F241:Z241)</f>
        <v>112672620.6259084</v>
      </c>
    </row>
    <row r="245" spans="2:26" ht="15.75">
      <c r="B245" s="708" t="s">
        <v>120</v>
      </c>
      <c r="C245" s="536"/>
      <c r="D245" s="709">
        <f ca="1">+D240/-D239</f>
        <v>4.0216429709405928</v>
      </c>
    </row>
    <row r="247" spans="2:26" ht="15.75">
      <c r="B247" s="444" t="s">
        <v>672</v>
      </c>
      <c r="C247" s="445"/>
      <c r="D247" s="445"/>
      <c r="E247" s="445"/>
      <c r="F247" s="640"/>
      <c r="G247" s="640"/>
      <c r="H247" s="640"/>
      <c r="I247" s="640"/>
      <c r="J247" s="640"/>
      <c r="K247" s="640"/>
      <c r="L247" s="640"/>
      <c r="M247" s="640"/>
      <c r="N247" s="640"/>
      <c r="O247" s="640"/>
      <c r="P247" s="640"/>
      <c r="Q247" s="640"/>
      <c r="R247" s="640"/>
      <c r="S247" s="640"/>
      <c r="T247" s="640"/>
      <c r="U247" s="640"/>
      <c r="V247" s="640"/>
      <c r="W247" s="640"/>
      <c r="X247" s="640"/>
      <c r="Y247" s="640"/>
      <c r="Z247" s="640"/>
    </row>
    <row r="249" spans="2:26" ht="15.75">
      <c r="B249" s="73" t="s">
        <v>618</v>
      </c>
      <c r="F249" s="75">
        <f>+F$226</f>
        <v>44926</v>
      </c>
      <c r="G249" s="75">
        <f t="shared" ref="G249:Z249" si="147">+G$226</f>
        <v>45291</v>
      </c>
      <c r="H249" s="75">
        <f t="shared" si="147"/>
        <v>45657</v>
      </c>
      <c r="I249" s="75">
        <f t="shared" si="147"/>
        <v>46022</v>
      </c>
      <c r="J249" s="75">
        <f t="shared" si="147"/>
        <v>46387</v>
      </c>
      <c r="K249" s="75">
        <f t="shared" si="147"/>
        <v>46752</v>
      </c>
      <c r="L249" s="75">
        <f t="shared" si="147"/>
        <v>47118</v>
      </c>
      <c r="M249" s="75">
        <f t="shared" si="147"/>
        <v>47483</v>
      </c>
      <c r="N249" s="75">
        <f t="shared" si="147"/>
        <v>47848</v>
      </c>
      <c r="O249" s="75">
        <f t="shared" si="147"/>
        <v>48213</v>
      </c>
      <c r="P249" s="75">
        <f t="shared" si="147"/>
        <v>48579</v>
      </c>
      <c r="Q249" s="75">
        <f t="shared" si="147"/>
        <v>48944</v>
      </c>
      <c r="R249" s="75">
        <f t="shared" si="147"/>
        <v>49309</v>
      </c>
      <c r="S249" s="75">
        <f t="shared" si="147"/>
        <v>49674</v>
      </c>
      <c r="T249" s="75">
        <f t="shared" si="147"/>
        <v>50040</v>
      </c>
      <c r="U249" s="75">
        <f t="shared" si="147"/>
        <v>50405</v>
      </c>
      <c r="V249" s="75">
        <f t="shared" si="147"/>
        <v>50770</v>
      </c>
      <c r="W249" s="75">
        <f t="shared" si="147"/>
        <v>51135</v>
      </c>
      <c r="X249" s="75">
        <f t="shared" si="147"/>
        <v>51501</v>
      </c>
      <c r="Y249" s="75">
        <f t="shared" si="147"/>
        <v>51866</v>
      </c>
      <c r="Z249" s="75">
        <f t="shared" si="147"/>
        <v>52231</v>
      </c>
    </row>
    <row r="250" spans="2:26">
      <c r="B250" s="15" t="s">
        <v>604</v>
      </c>
      <c r="C250"/>
      <c r="D250"/>
      <c r="E250"/>
      <c r="F250" s="16">
        <f ca="1">+F$137</f>
        <v>0</v>
      </c>
      <c r="G250" s="16">
        <f t="shared" ref="G250:Z250" ca="1" si="148">+G$137</f>
        <v>0</v>
      </c>
      <c r="H250" s="16">
        <f t="shared" ca="1" si="148"/>
        <v>0</v>
      </c>
      <c r="I250" s="16">
        <f t="shared" ca="1" si="148"/>
        <v>15716746.278897569</v>
      </c>
      <c r="J250" s="16">
        <f t="shared" ca="1" si="148"/>
        <v>31791946.152331747</v>
      </c>
      <c r="K250" s="16">
        <f t="shared" ca="1" si="148"/>
        <v>32433942.326127924</v>
      </c>
      <c r="L250" s="16">
        <f t="shared" ca="1" si="148"/>
        <v>34799337.828734085</v>
      </c>
      <c r="M250" s="16">
        <f t="shared" ca="1" si="148"/>
        <v>35313466.646030679</v>
      </c>
      <c r="N250" s="16">
        <f t="shared" ca="1" si="148"/>
        <v>35669958.70494543</v>
      </c>
      <c r="O250" s="16">
        <f t="shared" ca="1" si="148"/>
        <v>36215864.38666869</v>
      </c>
      <c r="P250" s="16">
        <f t="shared" ca="1" si="148"/>
        <v>36597187.048281878</v>
      </c>
      <c r="Q250" s="16">
        <f t="shared" ca="1" si="148"/>
        <v>39216066.780429974</v>
      </c>
      <c r="R250" s="16">
        <f t="shared" ca="1" si="148"/>
        <v>39725395.737643927</v>
      </c>
      <c r="S250" s="16">
        <f t="shared" ca="1" si="148"/>
        <v>40235045.426845454</v>
      </c>
      <c r="T250" s="16">
        <f t="shared" ca="1" si="148"/>
        <v>40776910.971015342</v>
      </c>
      <c r="U250" s="16">
        <f t="shared" ca="1" si="148"/>
        <v>41324136.375677615</v>
      </c>
      <c r="V250" s="16">
        <f t="shared" ca="1" si="148"/>
        <v>44246922.546160027</v>
      </c>
      <c r="W250" s="16">
        <f t="shared" ca="1" si="148"/>
        <v>44928997.255159676</v>
      </c>
      <c r="X250" s="16">
        <f t="shared" ca="1" si="148"/>
        <v>45443056.560095005</v>
      </c>
      <c r="Y250" s="16">
        <f t="shared" ca="1" si="148"/>
        <v>46059685.855801642</v>
      </c>
      <c r="Z250" s="16">
        <f t="shared" ca="1" si="148"/>
        <v>46712025.558008522</v>
      </c>
    </row>
    <row r="251" spans="2:26">
      <c r="B251" s="15" t="s">
        <v>639</v>
      </c>
      <c r="C251"/>
      <c r="D251"/>
      <c r="E251"/>
      <c r="F251" s="76">
        <v>0</v>
      </c>
      <c r="G251" s="76">
        <v>0</v>
      </c>
      <c r="H251" s="76">
        <v>0</v>
      </c>
      <c r="I251" s="76">
        <v>0</v>
      </c>
      <c r="J251" s="76">
        <v>0</v>
      </c>
      <c r="K251" s="76">
        <v>0</v>
      </c>
      <c r="L251" s="76">
        <v>0</v>
      </c>
      <c r="M251" s="76">
        <v>0</v>
      </c>
      <c r="N251" s="76">
        <v>0</v>
      </c>
      <c r="O251" s="76">
        <v>0</v>
      </c>
      <c r="P251" s="76">
        <v>0</v>
      </c>
      <c r="Q251" s="76">
        <v>0</v>
      </c>
      <c r="R251" s="76">
        <v>0</v>
      </c>
      <c r="S251" s="76">
        <v>0</v>
      </c>
      <c r="T251" s="76">
        <v>0</v>
      </c>
      <c r="U251" s="76">
        <v>0</v>
      </c>
      <c r="V251" s="76">
        <v>0</v>
      </c>
      <c r="W251" s="76">
        <v>0</v>
      </c>
      <c r="X251" s="76">
        <v>0</v>
      </c>
      <c r="Y251" s="76">
        <v>0</v>
      </c>
      <c r="Z251" s="76">
        <v>0</v>
      </c>
    </row>
    <row r="252" spans="2:26">
      <c r="B252" s="15" t="s">
        <v>655</v>
      </c>
      <c r="C252"/>
      <c r="D252"/>
      <c r="E252"/>
      <c r="F252" s="76">
        <f ca="1">+F$183</f>
        <v>0</v>
      </c>
      <c r="G252" s="76">
        <f t="shared" ref="G252:Z252" ca="1" si="149">+G$183</f>
        <v>0</v>
      </c>
      <c r="H252" s="76">
        <f t="shared" ca="1" si="149"/>
        <v>0</v>
      </c>
      <c r="I252" s="76">
        <f t="shared" ca="1" si="149"/>
        <v>5.8678559999999998E-6</v>
      </c>
      <c r="J252" s="76">
        <f t="shared" ca="1" si="149"/>
        <v>1.1735712E-5</v>
      </c>
      <c r="K252" s="76">
        <f t="shared" ca="1" si="149"/>
        <v>1.1735712E-5</v>
      </c>
      <c r="L252" s="76">
        <f t="shared" ca="1" si="149"/>
        <v>1.2909283200000002E-5</v>
      </c>
      <c r="M252" s="76">
        <f t="shared" ca="1" si="149"/>
        <v>1.29092832E-5</v>
      </c>
      <c r="N252" s="76">
        <f t="shared" ca="1" si="149"/>
        <v>1.2909283200000002E-5</v>
      </c>
      <c r="O252" s="76">
        <f t="shared" ca="1" si="149"/>
        <v>1.2909283200000002E-5</v>
      </c>
      <c r="P252" s="76">
        <f t="shared" ca="1" si="149"/>
        <v>1.29092832E-5</v>
      </c>
      <c r="Q252" s="76">
        <f t="shared" ca="1" si="149"/>
        <v>1.4200211520000003E-5</v>
      </c>
      <c r="R252" s="76">
        <f t="shared" ca="1" si="149"/>
        <v>1.4200211520000001E-5</v>
      </c>
      <c r="S252" s="76">
        <f t="shared" ca="1" si="149"/>
        <v>1.4200211520000003E-5</v>
      </c>
      <c r="T252" s="76">
        <f t="shared" ca="1" si="149"/>
        <v>1.4200211520000005E-5</v>
      </c>
      <c r="U252" s="76">
        <f t="shared" ca="1" si="149"/>
        <v>1.4200211520000001E-5</v>
      </c>
      <c r="V252" s="76">
        <f t="shared" ca="1" si="149"/>
        <v>1.5620232672000003E-5</v>
      </c>
      <c r="W252" s="76">
        <f t="shared" ca="1" si="149"/>
        <v>1.5620232672E-5</v>
      </c>
      <c r="X252" s="76">
        <f t="shared" ca="1" si="149"/>
        <v>1.5620232672000003E-5</v>
      </c>
      <c r="Y252" s="76">
        <f t="shared" ca="1" si="149"/>
        <v>1.5620232672000003E-5</v>
      </c>
      <c r="Z252" s="76">
        <f t="shared" ca="1" si="149"/>
        <v>1.5620232672000003E-5</v>
      </c>
    </row>
    <row r="253" spans="2:26" ht="15.75">
      <c r="B253" s="687" t="s">
        <v>618</v>
      </c>
      <c r="C253" s="687"/>
      <c r="D253" s="550"/>
      <c r="E253" s="550"/>
      <c r="F253" s="550">
        <f t="shared" ref="F253:Z253" ca="1" si="150">+SUM(F250:F252)</f>
        <v>0</v>
      </c>
      <c r="G253" s="550">
        <f t="shared" ca="1" si="150"/>
        <v>0</v>
      </c>
      <c r="H253" s="550">
        <f t="shared" ca="1" si="150"/>
        <v>0</v>
      </c>
      <c r="I253" s="550">
        <f t="shared" ca="1" si="150"/>
        <v>15716746.278903436</v>
      </c>
      <c r="J253" s="550">
        <f t="shared" ca="1" si="150"/>
        <v>31791946.152343482</v>
      </c>
      <c r="K253" s="550">
        <f t="shared" ca="1" si="150"/>
        <v>32433942.326139659</v>
      </c>
      <c r="L253" s="550">
        <f t="shared" ca="1" si="150"/>
        <v>34799337.828746997</v>
      </c>
      <c r="M253" s="550">
        <f t="shared" ca="1" si="150"/>
        <v>35313466.646043591</v>
      </c>
      <c r="N253" s="550">
        <f t="shared" ca="1" si="150"/>
        <v>35669958.704958342</v>
      </c>
      <c r="O253" s="550">
        <f t="shared" ca="1" si="150"/>
        <v>36215864.386681601</v>
      </c>
      <c r="P253" s="550">
        <f t="shared" ca="1" si="150"/>
        <v>36597187.04829479</v>
      </c>
      <c r="Q253" s="550">
        <f t="shared" ca="1" si="150"/>
        <v>39216066.780444175</v>
      </c>
      <c r="R253" s="550">
        <f t="shared" ca="1" si="150"/>
        <v>39725395.737658128</v>
      </c>
      <c r="S253" s="550">
        <f t="shared" ca="1" si="150"/>
        <v>40235045.426859654</v>
      </c>
      <c r="T253" s="550">
        <f t="shared" ca="1" si="150"/>
        <v>40776910.971029542</v>
      </c>
      <c r="U253" s="550">
        <f t="shared" ca="1" si="150"/>
        <v>41324136.375691816</v>
      </c>
      <c r="V253" s="550">
        <f t="shared" ca="1" si="150"/>
        <v>44246922.546175651</v>
      </c>
      <c r="W253" s="550">
        <f t="shared" ca="1" si="150"/>
        <v>44928997.2551753</v>
      </c>
      <c r="X253" s="550">
        <f t="shared" ca="1" si="150"/>
        <v>45443056.560110629</v>
      </c>
      <c r="Y253" s="550">
        <f t="shared" ca="1" si="150"/>
        <v>46059685.855817266</v>
      </c>
      <c r="Z253" s="550">
        <f t="shared" ca="1" si="150"/>
        <v>46712025.558024146</v>
      </c>
    </row>
    <row r="255" spans="2:26" ht="15.75">
      <c r="B255" s="73" t="s">
        <v>247</v>
      </c>
      <c r="F255" s="75">
        <f>+F$226</f>
        <v>44926</v>
      </c>
      <c r="G255" s="75">
        <f t="shared" ref="G255:Z255" si="151">+G$226</f>
        <v>45291</v>
      </c>
      <c r="H255" s="75">
        <f t="shared" si="151"/>
        <v>45657</v>
      </c>
      <c r="I255" s="75">
        <f t="shared" si="151"/>
        <v>46022</v>
      </c>
      <c r="J255" s="75">
        <f t="shared" si="151"/>
        <v>46387</v>
      </c>
      <c r="K255" s="75">
        <f t="shared" si="151"/>
        <v>46752</v>
      </c>
      <c r="L255" s="75">
        <f t="shared" si="151"/>
        <v>47118</v>
      </c>
      <c r="M255" s="75">
        <f t="shared" si="151"/>
        <v>47483</v>
      </c>
      <c r="N255" s="75">
        <f t="shared" si="151"/>
        <v>47848</v>
      </c>
      <c r="O255" s="75">
        <f t="shared" si="151"/>
        <v>48213</v>
      </c>
      <c r="P255" s="75">
        <f t="shared" si="151"/>
        <v>48579</v>
      </c>
      <c r="Q255" s="75">
        <f t="shared" si="151"/>
        <v>48944</v>
      </c>
      <c r="R255" s="75">
        <f t="shared" si="151"/>
        <v>49309</v>
      </c>
      <c r="S255" s="75">
        <f t="shared" si="151"/>
        <v>49674</v>
      </c>
      <c r="T255" s="75">
        <f t="shared" si="151"/>
        <v>50040</v>
      </c>
      <c r="U255" s="75">
        <f t="shared" si="151"/>
        <v>50405</v>
      </c>
      <c r="V255" s="75">
        <f t="shared" si="151"/>
        <v>50770</v>
      </c>
      <c r="W255" s="75">
        <f t="shared" si="151"/>
        <v>51135</v>
      </c>
      <c r="X255" s="75">
        <f t="shared" si="151"/>
        <v>51501</v>
      </c>
      <c r="Y255" s="75">
        <f t="shared" si="151"/>
        <v>51866</v>
      </c>
      <c r="Z255" s="75">
        <f t="shared" si="151"/>
        <v>52231</v>
      </c>
    </row>
    <row r="256" spans="2:26">
      <c r="B256" s="15" t="s">
        <v>24</v>
      </c>
      <c r="C256"/>
      <c r="D256"/>
      <c r="E256"/>
      <c r="F256" s="16">
        <f t="shared" ref="F256:M256" si="152">+F202+F154</f>
        <v>0</v>
      </c>
      <c r="G256" s="16">
        <f t="shared" si="152"/>
        <v>0</v>
      </c>
      <c r="H256" s="16">
        <f t="shared" si="152"/>
        <v>0</v>
      </c>
      <c r="I256" s="16">
        <f t="shared" si="152"/>
        <v>0</v>
      </c>
      <c r="J256" s="16">
        <f t="shared" si="152"/>
        <v>0</v>
      </c>
      <c r="K256" s="16">
        <f t="shared" si="152"/>
        <v>0</v>
      </c>
      <c r="L256" s="16">
        <f t="shared" si="152"/>
        <v>0</v>
      </c>
      <c r="M256" s="16">
        <f t="shared" si="152"/>
        <v>0</v>
      </c>
      <c r="N256" s="16">
        <f t="shared" ref="N256:Q256" si="153">+N202+N154</f>
        <v>0</v>
      </c>
      <c r="O256" s="16">
        <f t="shared" ca="1" si="153"/>
        <v>606987550.21892607</v>
      </c>
      <c r="P256" s="16">
        <f t="shared" si="153"/>
        <v>0</v>
      </c>
      <c r="Q256" s="16">
        <f t="shared" si="153"/>
        <v>0</v>
      </c>
      <c r="R256" s="16">
        <f t="shared" ref="R256:Z256" si="154">+R202+R154</f>
        <v>0</v>
      </c>
      <c r="S256" s="16">
        <f t="shared" si="154"/>
        <v>0</v>
      </c>
      <c r="T256" s="16">
        <f t="shared" si="154"/>
        <v>0</v>
      </c>
      <c r="U256" s="16">
        <f t="shared" si="154"/>
        <v>0</v>
      </c>
      <c r="V256" s="16">
        <f t="shared" si="154"/>
        <v>0</v>
      </c>
      <c r="W256" s="16">
        <f t="shared" si="154"/>
        <v>0</v>
      </c>
      <c r="X256" s="16">
        <f t="shared" si="154"/>
        <v>0</v>
      </c>
      <c r="Y256" s="16">
        <f t="shared" si="154"/>
        <v>0</v>
      </c>
      <c r="Z256" s="16">
        <f t="shared" si="154"/>
        <v>0</v>
      </c>
    </row>
    <row r="257" spans="2:26">
      <c r="B257" s="15" t="s">
        <v>634</v>
      </c>
      <c r="F257" s="76">
        <f>+F203+F156</f>
        <v>0</v>
      </c>
      <c r="G257" s="76">
        <f>+G203+G156</f>
        <v>0</v>
      </c>
      <c r="H257" s="76">
        <f t="shared" ref="H257:Z257" si="155">+H203+H156</f>
        <v>0</v>
      </c>
      <c r="I257" s="76">
        <f t="shared" si="155"/>
        <v>0</v>
      </c>
      <c r="J257" s="76">
        <f t="shared" si="155"/>
        <v>0</v>
      </c>
      <c r="K257" s="76">
        <f t="shared" si="155"/>
        <v>0</v>
      </c>
      <c r="L257" s="76">
        <f t="shared" si="155"/>
        <v>0</v>
      </c>
      <c r="M257" s="76">
        <f t="shared" si="155"/>
        <v>0</v>
      </c>
      <c r="N257" s="76">
        <f t="shared" si="155"/>
        <v>0</v>
      </c>
      <c r="O257" s="76">
        <f t="shared" ca="1" si="155"/>
        <v>0</v>
      </c>
      <c r="P257" s="76">
        <f t="shared" si="155"/>
        <v>0</v>
      </c>
      <c r="Q257" s="76">
        <f t="shared" si="155"/>
        <v>0</v>
      </c>
      <c r="R257" s="76">
        <f t="shared" si="155"/>
        <v>0</v>
      </c>
      <c r="S257" s="76">
        <f t="shared" si="155"/>
        <v>0</v>
      </c>
      <c r="T257" s="76">
        <f t="shared" si="155"/>
        <v>0</v>
      </c>
      <c r="U257" s="76">
        <f t="shared" si="155"/>
        <v>0</v>
      </c>
      <c r="V257" s="76">
        <f t="shared" si="155"/>
        <v>0</v>
      </c>
      <c r="W257" s="76">
        <f t="shared" si="155"/>
        <v>0</v>
      </c>
      <c r="X257" s="76">
        <f t="shared" si="155"/>
        <v>0</v>
      </c>
      <c r="Y257" s="76">
        <f t="shared" si="155"/>
        <v>0</v>
      </c>
      <c r="Z257" s="76">
        <f t="shared" si="155"/>
        <v>0</v>
      </c>
    </row>
    <row r="258" spans="2:26" ht="15.75">
      <c r="B258" s="687" t="s">
        <v>636</v>
      </c>
      <c r="C258" s="687"/>
      <c r="D258" s="550"/>
      <c r="E258" s="550"/>
      <c r="F258" s="550">
        <f t="shared" ref="F258:Z258" si="156">+SUM(F256:F257)</f>
        <v>0</v>
      </c>
      <c r="G258" s="550">
        <f t="shared" si="156"/>
        <v>0</v>
      </c>
      <c r="H258" s="550">
        <f t="shared" si="156"/>
        <v>0</v>
      </c>
      <c r="I258" s="550">
        <f t="shared" si="156"/>
        <v>0</v>
      </c>
      <c r="J258" s="550">
        <f t="shared" si="156"/>
        <v>0</v>
      </c>
      <c r="K258" s="550">
        <f t="shared" si="156"/>
        <v>0</v>
      </c>
      <c r="L258" s="550">
        <f t="shared" si="156"/>
        <v>0</v>
      </c>
      <c r="M258" s="550">
        <f t="shared" si="156"/>
        <v>0</v>
      </c>
      <c r="N258" s="550">
        <f t="shared" si="156"/>
        <v>0</v>
      </c>
      <c r="O258" s="550">
        <f t="shared" ca="1" si="156"/>
        <v>606987550.21892607</v>
      </c>
      <c r="P258" s="550">
        <f t="shared" si="156"/>
        <v>0</v>
      </c>
      <c r="Q258" s="550">
        <f t="shared" si="156"/>
        <v>0</v>
      </c>
      <c r="R258" s="550">
        <f t="shared" si="156"/>
        <v>0</v>
      </c>
      <c r="S258" s="550">
        <f t="shared" si="156"/>
        <v>0</v>
      </c>
      <c r="T258" s="550">
        <f t="shared" si="156"/>
        <v>0</v>
      </c>
      <c r="U258" s="550">
        <f t="shared" si="156"/>
        <v>0</v>
      </c>
      <c r="V258" s="550">
        <f t="shared" si="156"/>
        <v>0</v>
      </c>
      <c r="W258" s="550">
        <f t="shared" si="156"/>
        <v>0</v>
      </c>
      <c r="X258" s="550">
        <f t="shared" si="156"/>
        <v>0</v>
      </c>
      <c r="Y258" s="550">
        <f t="shared" si="156"/>
        <v>0</v>
      </c>
      <c r="Z258" s="550">
        <f t="shared" si="156"/>
        <v>0</v>
      </c>
    </row>
    <row r="260" spans="2:26" ht="15.75">
      <c r="B260" s="73" t="s">
        <v>673</v>
      </c>
      <c r="F260" s="75">
        <f t="shared" ref="F260:Z260" si="157">+F$226</f>
        <v>44926</v>
      </c>
      <c r="G260" s="75">
        <f t="shared" si="157"/>
        <v>45291</v>
      </c>
      <c r="H260" s="75">
        <f t="shared" si="157"/>
        <v>45657</v>
      </c>
      <c r="I260" s="75">
        <f t="shared" si="157"/>
        <v>46022</v>
      </c>
      <c r="J260" s="75">
        <f t="shared" si="157"/>
        <v>46387</v>
      </c>
      <c r="K260" s="75">
        <f t="shared" si="157"/>
        <v>46752</v>
      </c>
      <c r="L260" s="75">
        <f t="shared" si="157"/>
        <v>47118</v>
      </c>
      <c r="M260" s="75">
        <f t="shared" si="157"/>
        <v>47483</v>
      </c>
      <c r="N260" s="75">
        <f t="shared" si="157"/>
        <v>47848</v>
      </c>
      <c r="O260" s="75">
        <f t="shared" si="157"/>
        <v>48213</v>
      </c>
      <c r="P260" s="75">
        <f t="shared" si="157"/>
        <v>48579</v>
      </c>
      <c r="Q260" s="75">
        <f t="shared" si="157"/>
        <v>48944</v>
      </c>
      <c r="R260" s="75">
        <f t="shared" si="157"/>
        <v>49309</v>
      </c>
      <c r="S260" s="75">
        <f t="shared" si="157"/>
        <v>49674</v>
      </c>
      <c r="T260" s="75">
        <f t="shared" si="157"/>
        <v>50040</v>
      </c>
      <c r="U260" s="75">
        <f t="shared" si="157"/>
        <v>50405</v>
      </c>
      <c r="V260" s="75">
        <f t="shared" si="157"/>
        <v>50770</v>
      </c>
      <c r="W260" s="75">
        <f t="shared" si="157"/>
        <v>51135</v>
      </c>
      <c r="X260" s="75">
        <f t="shared" si="157"/>
        <v>51501</v>
      </c>
      <c r="Y260" s="75">
        <f t="shared" si="157"/>
        <v>51866</v>
      </c>
      <c r="Z260" s="75">
        <f t="shared" si="157"/>
        <v>52231</v>
      </c>
    </row>
    <row r="261" spans="2:26" ht="15.75">
      <c r="B261" s="15" t="s">
        <v>342</v>
      </c>
      <c r="D261" s="26">
        <f>+SUM(F261:Z261)</f>
        <v>0</v>
      </c>
      <c r="E261" s="26"/>
      <c r="F261" s="16">
        <f t="shared" ref="F261:Z261" si="158">+F217</f>
        <v>0</v>
      </c>
      <c r="G261" s="16">
        <f t="shared" si="158"/>
        <v>0</v>
      </c>
      <c r="H261" s="16">
        <f t="shared" si="158"/>
        <v>0</v>
      </c>
      <c r="I261" s="16">
        <f t="shared" si="158"/>
        <v>0</v>
      </c>
      <c r="J261" s="16">
        <f t="shared" si="158"/>
        <v>0</v>
      </c>
      <c r="K261" s="16">
        <f t="shared" si="158"/>
        <v>0</v>
      </c>
      <c r="L261" s="16">
        <f t="shared" si="158"/>
        <v>0</v>
      </c>
      <c r="M261" s="16">
        <f t="shared" si="158"/>
        <v>0</v>
      </c>
      <c r="N261" s="16">
        <f t="shared" si="158"/>
        <v>0</v>
      </c>
      <c r="O261" s="16">
        <f t="shared" si="158"/>
        <v>0</v>
      </c>
      <c r="P261" s="16">
        <f t="shared" si="158"/>
        <v>0</v>
      </c>
      <c r="Q261" s="16">
        <f t="shared" si="158"/>
        <v>0</v>
      </c>
      <c r="R261" s="16">
        <f t="shared" si="158"/>
        <v>0</v>
      </c>
      <c r="S261" s="16">
        <f t="shared" si="158"/>
        <v>0</v>
      </c>
      <c r="T261" s="16">
        <f t="shared" si="158"/>
        <v>0</v>
      </c>
      <c r="U261" s="16">
        <f t="shared" si="158"/>
        <v>0</v>
      </c>
      <c r="V261" s="16">
        <f t="shared" si="158"/>
        <v>0</v>
      </c>
      <c r="W261" s="16">
        <f t="shared" si="158"/>
        <v>0</v>
      </c>
      <c r="X261" s="16">
        <f t="shared" si="158"/>
        <v>0</v>
      </c>
      <c r="Y261" s="16">
        <f t="shared" si="158"/>
        <v>0</v>
      </c>
      <c r="Z261" s="16">
        <f t="shared" si="158"/>
        <v>0</v>
      </c>
    </row>
    <row r="262" spans="2:26" ht="15.75">
      <c r="B262" s="15" t="s">
        <v>90</v>
      </c>
      <c r="D262" s="26">
        <f t="shared" ref="D262:D267" si="159">+SUM(F262:Z262)</f>
        <v>372000</v>
      </c>
      <c r="E262" s="26"/>
      <c r="F262" s="76">
        <f t="shared" ref="F262:Z262" si="160">+F218</f>
        <v>372000</v>
      </c>
      <c r="G262" s="76">
        <f t="shared" si="160"/>
        <v>0</v>
      </c>
      <c r="H262" s="76">
        <f t="shared" si="160"/>
        <v>0</v>
      </c>
      <c r="I262" s="76">
        <f t="shared" si="160"/>
        <v>0</v>
      </c>
      <c r="J262" s="76">
        <f t="shared" si="160"/>
        <v>0</v>
      </c>
      <c r="K262" s="76">
        <f t="shared" si="160"/>
        <v>0</v>
      </c>
      <c r="L262" s="76">
        <f t="shared" si="160"/>
        <v>0</v>
      </c>
      <c r="M262" s="76">
        <f t="shared" si="160"/>
        <v>0</v>
      </c>
      <c r="N262" s="76">
        <f t="shared" si="160"/>
        <v>0</v>
      </c>
      <c r="O262" s="76">
        <f t="shared" si="160"/>
        <v>0</v>
      </c>
      <c r="P262" s="76">
        <f t="shared" si="160"/>
        <v>0</v>
      </c>
      <c r="Q262" s="76">
        <f t="shared" si="160"/>
        <v>0</v>
      </c>
      <c r="R262" s="76">
        <f t="shared" si="160"/>
        <v>0</v>
      </c>
      <c r="S262" s="76">
        <f t="shared" si="160"/>
        <v>0</v>
      </c>
      <c r="T262" s="76">
        <f t="shared" si="160"/>
        <v>0</v>
      </c>
      <c r="U262" s="76">
        <f t="shared" si="160"/>
        <v>0</v>
      </c>
      <c r="V262" s="76">
        <f t="shared" si="160"/>
        <v>0</v>
      </c>
      <c r="W262" s="76">
        <f t="shared" si="160"/>
        <v>0</v>
      </c>
      <c r="X262" s="76">
        <f t="shared" si="160"/>
        <v>0</v>
      </c>
      <c r="Y262" s="76">
        <f t="shared" si="160"/>
        <v>0</v>
      </c>
      <c r="Z262" s="76">
        <f t="shared" si="160"/>
        <v>0</v>
      </c>
    </row>
    <row r="263" spans="2:26" ht="15.75">
      <c r="B263" s="15" t="s">
        <v>28</v>
      </c>
      <c r="D263" s="26">
        <f t="shared" ca="1" si="159"/>
        <v>243706572.54089999</v>
      </c>
      <c r="E263" s="26"/>
      <c r="F263" s="76">
        <f t="shared" ref="F263:Z263" si="161">+F219</f>
        <v>0</v>
      </c>
      <c r="G263" s="76">
        <f t="shared" ca="1" si="161"/>
        <v>121853286.27045</v>
      </c>
      <c r="H263" s="76">
        <f t="shared" ca="1" si="161"/>
        <v>121853286.27045</v>
      </c>
      <c r="I263" s="76">
        <f t="shared" si="161"/>
        <v>0</v>
      </c>
      <c r="J263" s="76">
        <f t="shared" si="161"/>
        <v>0</v>
      </c>
      <c r="K263" s="76">
        <f t="shared" si="161"/>
        <v>0</v>
      </c>
      <c r="L263" s="76">
        <f t="shared" si="161"/>
        <v>0</v>
      </c>
      <c r="M263" s="76">
        <f t="shared" si="161"/>
        <v>0</v>
      </c>
      <c r="N263" s="76">
        <f t="shared" si="161"/>
        <v>0</v>
      </c>
      <c r="O263" s="76">
        <f t="shared" si="161"/>
        <v>0</v>
      </c>
      <c r="P263" s="76">
        <f t="shared" si="161"/>
        <v>0</v>
      </c>
      <c r="Q263" s="76">
        <f t="shared" si="161"/>
        <v>0</v>
      </c>
      <c r="R263" s="76">
        <f t="shared" si="161"/>
        <v>0</v>
      </c>
      <c r="S263" s="76">
        <f t="shared" si="161"/>
        <v>0</v>
      </c>
      <c r="T263" s="76">
        <f t="shared" si="161"/>
        <v>0</v>
      </c>
      <c r="U263" s="76">
        <f t="shared" si="161"/>
        <v>0</v>
      </c>
      <c r="V263" s="76">
        <f t="shared" si="161"/>
        <v>0</v>
      </c>
      <c r="W263" s="76">
        <f t="shared" si="161"/>
        <v>0</v>
      </c>
      <c r="X263" s="76">
        <f t="shared" si="161"/>
        <v>0</v>
      </c>
      <c r="Y263" s="76">
        <f t="shared" si="161"/>
        <v>0</v>
      </c>
      <c r="Z263" s="76">
        <f t="shared" si="161"/>
        <v>0</v>
      </c>
    </row>
    <row r="264" spans="2:26" ht="15.75">
      <c r="B264" s="15" t="s">
        <v>349</v>
      </c>
      <c r="D264" s="26">
        <f ca="1">+SUM(F264:Z264)</f>
        <v>22596407.692998927</v>
      </c>
      <c r="E264" s="26"/>
      <c r="F264" s="76">
        <f t="shared" ref="F264:Z264" si="162">+F220</f>
        <v>0</v>
      </c>
      <c r="G264" s="76">
        <f ca="1">+G220</f>
        <v>11298203.846499464</v>
      </c>
      <c r="H264" s="76">
        <f ca="1">+H220</f>
        <v>11298203.846499464</v>
      </c>
      <c r="I264" s="76">
        <f t="shared" si="162"/>
        <v>0</v>
      </c>
      <c r="J264" s="76">
        <f t="shared" si="162"/>
        <v>0</v>
      </c>
      <c r="K264" s="76">
        <f t="shared" si="162"/>
        <v>0</v>
      </c>
      <c r="L264" s="76">
        <f t="shared" si="162"/>
        <v>0</v>
      </c>
      <c r="M264" s="76">
        <f t="shared" si="162"/>
        <v>0</v>
      </c>
      <c r="N264" s="76">
        <f t="shared" si="162"/>
        <v>0</v>
      </c>
      <c r="O264" s="76">
        <f t="shared" si="162"/>
        <v>0</v>
      </c>
      <c r="P264" s="76">
        <f t="shared" si="162"/>
        <v>0</v>
      </c>
      <c r="Q264" s="76">
        <f t="shared" si="162"/>
        <v>0</v>
      </c>
      <c r="R264" s="76">
        <f t="shared" si="162"/>
        <v>0</v>
      </c>
      <c r="S264" s="76">
        <f t="shared" si="162"/>
        <v>0</v>
      </c>
      <c r="T264" s="76">
        <f t="shared" si="162"/>
        <v>0</v>
      </c>
      <c r="U264" s="76">
        <f t="shared" si="162"/>
        <v>0</v>
      </c>
      <c r="V264" s="76">
        <f t="shared" si="162"/>
        <v>0</v>
      </c>
      <c r="W264" s="76">
        <f t="shared" si="162"/>
        <v>0</v>
      </c>
      <c r="X264" s="76">
        <f t="shared" si="162"/>
        <v>0</v>
      </c>
      <c r="Y264" s="76">
        <f t="shared" si="162"/>
        <v>0</v>
      </c>
      <c r="Z264" s="76">
        <f t="shared" si="162"/>
        <v>0</v>
      </c>
    </row>
    <row r="265" spans="2:26" ht="15.75">
      <c r="B265" s="15" t="s">
        <v>37</v>
      </c>
      <c r="D265" s="26">
        <f t="shared" si="159"/>
        <v>0</v>
      </c>
      <c r="E265" s="26"/>
      <c r="F265" s="76">
        <v>0</v>
      </c>
      <c r="G265" s="76">
        <v>0</v>
      </c>
      <c r="H265" s="76">
        <v>0</v>
      </c>
      <c r="I265" s="76">
        <v>0</v>
      </c>
      <c r="J265" s="76">
        <v>0</v>
      </c>
      <c r="K265" s="76">
        <v>0</v>
      </c>
      <c r="L265" s="76">
        <v>0</v>
      </c>
      <c r="M265" s="76">
        <v>0</v>
      </c>
      <c r="N265" s="76">
        <v>0</v>
      </c>
      <c r="O265" s="76">
        <v>0</v>
      </c>
      <c r="P265" s="76">
        <v>0</v>
      </c>
      <c r="Q265" s="76">
        <v>0</v>
      </c>
      <c r="R265" s="76">
        <v>0</v>
      </c>
      <c r="S265" s="76">
        <v>0</v>
      </c>
      <c r="T265" s="76">
        <v>0</v>
      </c>
      <c r="U265" s="76">
        <v>0</v>
      </c>
      <c r="V265" s="76">
        <v>0</v>
      </c>
      <c r="W265" s="76">
        <v>0</v>
      </c>
      <c r="X265" s="76">
        <v>0</v>
      </c>
      <c r="Y265" s="76">
        <v>0</v>
      </c>
      <c r="Z265" s="76">
        <v>0</v>
      </c>
    </row>
    <row r="266" spans="2:26" ht="15.75">
      <c r="B266" s="15" t="s">
        <v>350</v>
      </c>
      <c r="D266" s="26">
        <f t="shared" ca="1" si="159"/>
        <v>636620.53881198773</v>
      </c>
      <c r="E266" s="26"/>
      <c r="F266" s="76">
        <f t="shared" ref="F266:Z266" si="163">+F222</f>
        <v>0</v>
      </c>
      <c r="G266" s="76">
        <f t="shared" ca="1" si="163"/>
        <v>318310.26940599387</v>
      </c>
      <c r="H266" s="76">
        <f t="shared" ca="1" si="163"/>
        <v>318310.26940599387</v>
      </c>
      <c r="I266" s="76">
        <f t="shared" si="163"/>
        <v>0</v>
      </c>
      <c r="J266" s="76">
        <f t="shared" si="163"/>
        <v>0</v>
      </c>
      <c r="K266" s="76">
        <f t="shared" si="163"/>
        <v>0</v>
      </c>
      <c r="L266" s="76">
        <f t="shared" si="163"/>
        <v>0</v>
      </c>
      <c r="M266" s="76">
        <f t="shared" si="163"/>
        <v>0</v>
      </c>
      <c r="N266" s="76">
        <f t="shared" si="163"/>
        <v>0</v>
      </c>
      <c r="O266" s="76">
        <f t="shared" si="163"/>
        <v>0</v>
      </c>
      <c r="P266" s="76">
        <f t="shared" si="163"/>
        <v>0</v>
      </c>
      <c r="Q266" s="76">
        <f t="shared" si="163"/>
        <v>0</v>
      </c>
      <c r="R266" s="76">
        <f t="shared" si="163"/>
        <v>0</v>
      </c>
      <c r="S266" s="76">
        <f t="shared" si="163"/>
        <v>0</v>
      </c>
      <c r="T266" s="76">
        <f t="shared" si="163"/>
        <v>0</v>
      </c>
      <c r="U266" s="76">
        <f t="shared" si="163"/>
        <v>0</v>
      </c>
      <c r="V266" s="76">
        <f t="shared" si="163"/>
        <v>0</v>
      </c>
      <c r="W266" s="76">
        <f t="shared" si="163"/>
        <v>0</v>
      </c>
      <c r="X266" s="76">
        <f t="shared" si="163"/>
        <v>0</v>
      </c>
      <c r="Y266" s="76">
        <f t="shared" si="163"/>
        <v>0</v>
      </c>
      <c r="Z266" s="76">
        <f t="shared" si="163"/>
        <v>0</v>
      </c>
    </row>
    <row r="267" spans="2:26" ht="15.75">
      <c r="B267" s="15" t="s">
        <v>351</v>
      </c>
      <c r="D267" s="26">
        <f t="shared" ca="1" si="159"/>
        <v>6434689.4432007801</v>
      </c>
      <c r="E267" s="26"/>
      <c r="F267" s="76">
        <f t="shared" ref="F267:Z267" ca="1" si="164">+F223</f>
        <v>0</v>
      </c>
      <c r="G267" s="76">
        <f t="shared" ca="1" si="164"/>
        <v>1608672.360800195</v>
      </c>
      <c r="H267" s="76">
        <f t="shared" ca="1" si="164"/>
        <v>1608672.360800195</v>
      </c>
      <c r="I267" s="76">
        <f t="shared" ca="1" si="164"/>
        <v>1608672.360800195</v>
      </c>
      <c r="J267" s="76">
        <f t="shared" ca="1" si="164"/>
        <v>1608672.360800195</v>
      </c>
      <c r="K267" s="76">
        <f t="shared" si="164"/>
        <v>0</v>
      </c>
      <c r="L267" s="76">
        <f t="shared" si="164"/>
        <v>0</v>
      </c>
      <c r="M267" s="76">
        <f t="shared" si="164"/>
        <v>0</v>
      </c>
      <c r="N267" s="76">
        <f t="shared" si="164"/>
        <v>0</v>
      </c>
      <c r="O267" s="76">
        <f t="shared" si="164"/>
        <v>0</v>
      </c>
      <c r="P267" s="76">
        <f t="shared" si="164"/>
        <v>0</v>
      </c>
      <c r="Q267" s="76">
        <f t="shared" si="164"/>
        <v>0</v>
      </c>
      <c r="R267" s="76">
        <f t="shared" si="164"/>
        <v>0</v>
      </c>
      <c r="S267" s="76">
        <f t="shared" si="164"/>
        <v>0</v>
      </c>
      <c r="T267" s="76">
        <f t="shared" si="164"/>
        <v>0</v>
      </c>
      <c r="U267" s="76">
        <f t="shared" si="164"/>
        <v>0</v>
      </c>
      <c r="V267" s="76">
        <f t="shared" si="164"/>
        <v>0</v>
      </c>
      <c r="W267" s="76">
        <f t="shared" si="164"/>
        <v>0</v>
      </c>
      <c r="X267" s="76">
        <f t="shared" si="164"/>
        <v>0</v>
      </c>
      <c r="Y267" s="76">
        <f t="shared" si="164"/>
        <v>0</v>
      </c>
      <c r="Z267" s="76">
        <f t="shared" si="164"/>
        <v>0</v>
      </c>
    </row>
    <row r="268" spans="2:26" ht="15.75">
      <c r="B268" s="687" t="s">
        <v>662</v>
      </c>
      <c r="C268" s="687"/>
      <c r="D268" s="550">
        <f ca="1">+SUM(F268:Z268)</f>
        <v>273746290.21591169</v>
      </c>
      <c r="E268" s="550"/>
      <c r="F268" s="550">
        <f ca="1">+SUM(F261:F267)</f>
        <v>372000</v>
      </c>
      <c r="G268" s="550">
        <f ca="1">+SUM(G261:G267)</f>
        <v>135078472.74715564</v>
      </c>
      <c r="H268" s="550">
        <f ca="1">+SUM(H261:H267)</f>
        <v>135078472.74715564</v>
      </c>
      <c r="I268" s="550">
        <f t="shared" ref="I268:Z268" ca="1" si="165">+SUM(I261:I267)</f>
        <v>1608672.360800195</v>
      </c>
      <c r="J268" s="550">
        <f t="shared" ca="1" si="165"/>
        <v>1608672.360800195</v>
      </c>
      <c r="K268" s="550">
        <f t="shared" si="165"/>
        <v>0</v>
      </c>
      <c r="L268" s="550">
        <f t="shared" si="165"/>
        <v>0</v>
      </c>
      <c r="M268" s="550">
        <f t="shared" si="165"/>
        <v>0</v>
      </c>
      <c r="N268" s="550">
        <f t="shared" si="165"/>
        <v>0</v>
      </c>
      <c r="O268" s="550">
        <f t="shared" si="165"/>
        <v>0</v>
      </c>
      <c r="P268" s="550">
        <f t="shared" si="165"/>
        <v>0</v>
      </c>
      <c r="Q268" s="550">
        <f t="shared" si="165"/>
        <v>0</v>
      </c>
      <c r="R268" s="550">
        <f t="shared" si="165"/>
        <v>0</v>
      </c>
      <c r="S268" s="550">
        <f t="shared" si="165"/>
        <v>0</v>
      </c>
      <c r="T268" s="550">
        <f t="shared" si="165"/>
        <v>0</v>
      </c>
      <c r="U268" s="550">
        <f t="shared" si="165"/>
        <v>0</v>
      </c>
      <c r="V268" s="550">
        <f t="shared" si="165"/>
        <v>0</v>
      </c>
      <c r="W268" s="550">
        <f t="shared" si="165"/>
        <v>0</v>
      </c>
      <c r="X268" s="550">
        <f t="shared" si="165"/>
        <v>0</v>
      </c>
      <c r="Y268" s="550">
        <f t="shared" si="165"/>
        <v>0</v>
      </c>
      <c r="Z268" s="550">
        <f t="shared" si="165"/>
        <v>0</v>
      </c>
    </row>
    <row r="270" spans="2:26" ht="15.75">
      <c r="B270" s="73" t="s">
        <v>663</v>
      </c>
      <c r="F270" s="75">
        <f>+Assumptions!$G$22</f>
        <v>44926</v>
      </c>
      <c r="G270" s="75">
        <f>+EOMONTH(F270,12)</f>
        <v>45291</v>
      </c>
      <c r="H270" s="75">
        <f t="shared" ref="H270:Z270" si="166">+EOMONTH(G270,12)</f>
        <v>45657</v>
      </c>
      <c r="I270" s="75">
        <f t="shared" si="166"/>
        <v>46022</v>
      </c>
      <c r="J270" s="75">
        <f t="shared" si="166"/>
        <v>46387</v>
      </c>
      <c r="K270" s="75">
        <f t="shared" si="166"/>
        <v>46752</v>
      </c>
      <c r="L270" s="75">
        <f t="shared" si="166"/>
        <v>47118</v>
      </c>
      <c r="M270" s="75">
        <f t="shared" si="166"/>
        <v>47483</v>
      </c>
      <c r="N270" s="75">
        <f t="shared" si="166"/>
        <v>47848</v>
      </c>
      <c r="O270" s="75">
        <f t="shared" si="166"/>
        <v>48213</v>
      </c>
      <c r="P270" s="75">
        <f t="shared" si="166"/>
        <v>48579</v>
      </c>
      <c r="Q270" s="75">
        <f t="shared" si="166"/>
        <v>48944</v>
      </c>
      <c r="R270" s="75">
        <f t="shared" si="166"/>
        <v>49309</v>
      </c>
      <c r="S270" s="75">
        <f t="shared" si="166"/>
        <v>49674</v>
      </c>
      <c r="T270" s="75">
        <f t="shared" si="166"/>
        <v>50040</v>
      </c>
      <c r="U270" s="75">
        <f t="shared" si="166"/>
        <v>50405</v>
      </c>
      <c r="V270" s="75">
        <f t="shared" si="166"/>
        <v>50770</v>
      </c>
      <c r="W270" s="75">
        <f t="shared" si="166"/>
        <v>51135</v>
      </c>
      <c r="X270" s="75">
        <f t="shared" si="166"/>
        <v>51501</v>
      </c>
      <c r="Y270" s="75">
        <f t="shared" si="166"/>
        <v>51866</v>
      </c>
      <c r="Z270" s="75">
        <f t="shared" si="166"/>
        <v>52231</v>
      </c>
    </row>
    <row r="271" spans="2:26" ht="15.75">
      <c r="B271" s="15" t="s">
        <v>664</v>
      </c>
      <c r="D271" s="26">
        <f ca="1">+D268-SUM(D228:D230,D233)</f>
        <v>370201342.24003828</v>
      </c>
      <c r="E271" s="26"/>
      <c r="F271" s="16">
        <f ca="1">+MIN($D$271-SUM('Phase II Pro Forma'!$E271:E271),'Phase II Pro Forma'!F$268)</f>
        <v>372000</v>
      </c>
      <c r="G271" s="16">
        <f ca="1">+MIN($D$271-SUM('Phase II Pro Forma'!$E271:F271),'Phase II Pro Forma'!G$268)</f>
        <v>134401513.36956593</v>
      </c>
      <c r="H271" s="16">
        <f ca="1">+MIN($D$271-SUM('Phase II Pro Forma'!$E271:G271),'Phase II Pro Forma'!H$268)</f>
        <v>42600803.100950703</v>
      </c>
      <c r="I271" s="16">
        <f ca="1">+MIN($D$271-SUM('Phase II Pro Forma'!$E271:H271),'Phase II Pro Forma'!I$268)</f>
        <v>0</v>
      </c>
      <c r="J271" s="16">
        <f ca="1">+MIN($D$271-SUM('Phase II Pro Forma'!$E271:I271),'Phase II Pro Forma'!J$268)</f>
        <v>-42600803.100950688</v>
      </c>
      <c r="K271" s="16">
        <f ca="1">+MIN($D$271-SUM('Phase II Pro Forma'!$E271:J271),'Phase II Pro Forma'!K$268)</f>
        <v>0</v>
      </c>
      <c r="L271" s="16">
        <f ca="1">+MIN($D$271-SUM('Phase II Pro Forma'!$E271:K271),'Phase II Pro Forma'!L$268)</f>
        <v>0</v>
      </c>
      <c r="M271" s="16">
        <f ca="1">+MIN($D$271-SUM('Phase II Pro Forma'!$E271:L271),'Phase II Pro Forma'!M$268)</f>
        <v>0</v>
      </c>
      <c r="N271" s="16">
        <f ca="1">+MIN($D$271-SUM('Phase II Pro Forma'!$E271:M271),'Phase II Pro Forma'!N$268)</f>
        <v>0</v>
      </c>
      <c r="O271" s="16">
        <f ca="1">+MIN($D$271-SUM('Phase II Pro Forma'!$E271:N271),'Phase II Pro Forma'!O$268)</f>
        <v>-42600803.100950688</v>
      </c>
      <c r="P271" s="16">
        <f ca="1">+MIN($D$271-SUM('Phase II Pro Forma'!$E271:O271),'Phase II Pro Forma'!P$268)</f>
        <v>0</v>
      </c>
      <c r="Q271" s="16">
        <f ca="1">+MIN($D$271-SUM('Phase II Pro Forma'!$E271:P271),'Phase II Pro Forma'!Q$268)</f>
        <v>0</v>
      </c>
      <c r="R271" s="16">
        <f ca="1">+MIN($D$271-SUM('Phase II Pro Forma'!$E271:Q271),'Phase II Pro Forma'!R$268)</f>
        <v>0</v>
      </c>
      <c r="S271" s="16">
        <f ca="1">+MIN($D$271-SUM('Phase II Pro Forma'!$E271:R271),'Phase II Pro Forma'!S$268)</f>
        <v>0</v>
      </c>
      <c r="T271" s="16">
        <f ca="1">+MIN($D$271-SUM('Phase II Pro Forma'!$E271:S271),'Phase II Pro Forma'!T$268)</f>
        <v>0</v>
      </c>
      <c r="U271" s="16">
        <f ca="1">+MIN($D$271-SUM('Phase II Pro Forma'!$E271:T271),'Phase II Pro Forma'!U$268)</f>
        <v>0</v>
      </c>
      <c r="V271" s="16">
        <f ca="1">+MIN($D$271-SUM('Phase II Pro Forma'!$E271:U271),'Phase II Pro Forma'!V$268)</f>
        <v>0</v>
      </c>
      <c r="W271" s="16">
        <f ca="1">+MIN($D$271-SUM('Phase II Pro Forma'!$E271:V271),'Phase II Pro Forma'!W$268)</f>
        <v>0</v>
      </c>
      <c r="X271" s="16">
        <f ca="1">+MIN($D$271-SUM('Phase II Pro Forma'!$E271:W271),'Phase II Pro Forma'!X$268)</f>
        <v>0</v>
      </c>
      <c r="Y271" s="16">
        <f ca="1">+MIN($D$271-SUM('Phase II Pro Forma'!$E271:X271),'Phase II Pro Forma'!Y$268)</f>
        <v>0</v>
      </c>
      <c r="Z271" s="16">
        <f ca="1">+MIN($D$271-SUM('Phase II Pro Forma'!$E271:Y271),'Phase II Pro Forma'!Z$268)</f>
        <v>0</v>
      </c>
    </row>
    <row r="272" spans="2:26" ht="15.75">
      <c r="B272" s="15" t="s">
        <v>97</v>
      </c>
      <c r="D272" s="26">
        <v>10000000</v>
      </c>
      <c r="E272" s="26"/>
      <c r="F272" s="76">
        <f ca="1">+MIN('S&amp;U'!$I19-SUM('Phase II Pro Forma'!$E272:E272),'Phase II Pro Forma'!F$268-SUM(F$271:F271))</f>
        <v>-18496356.37705791</v>
      </c>
      <c r="G272" s="76">
        <f ca="1">+MIN('S&amp;U'!$I19-SUM('Phase II Pro Forma'!$E272:F272),'Phase II Pro Forma'!G$268-SUM(G$271:G271))</f>
        <v>10000000</v>
      </c>
      <c r="H272" s="76">
        <f ca="1">+MIN('S&amp;U'!$I19-SUM('Phase II Pro Forma'!$E272:G272),'Phase II Pro Forma'!H$268-SUM(H$271:H271))</f>
        <v>0</v>
      </c>
      <c r="I272" s="76">
        <f ca="1">+MIN('S&amp;U'!$I19-SUM('Phase II Pro Forma'!$E272:H272),'Phase II Pro Forma'!I$268-SUM(I$271:I271))</f>
        <v>1608672.360800195</v>
      </c>
      <c r="J272" s="76">
        <f ca="1">+MIN('S&amp;U'!$I19-SUM('Phase II Pro Forma'!$E272:I272),'Phase II Pro Forma'!J$268-SUM(J$271:J271))</f>
        <v>1608672.360800195</v>
      </c>
      <c r="K272" s="76">
        <f ca="1">+MIN('S&amp;U'!$I19-SUM('Phase II Pro Forma'!$E272:J272),'Phase II Pro Forma'!K$268-SUM(K$271:K271))</f>
        <v>-3217344.721600391</v>
      </c>
      <c r="L272" s="76">
        <f ca="1">+MIN('S&amp;U'!$I19-SUM('Phase II Pro Forma'!$E272:K272),'Phase II Pro Forma'!L$268-SUM(L$271:L271))</f>
        <v>0</v>
      </c>
      <c r="M272" s="76">
        <f ca="1">+MIN('S&amp;U'!$I19-SUM('Phase II Pro Forma'!$E272:L272),'Phase II Pro Forma'!M$268-SUM(M$271:M271))</f>
        <v>0</v>
      </c>
      <c r="N272" s="76">
        <f ca="1">+MIN('S&amp;U'!$I19-SUM('Phase II Pro Forma'!$E272:M272),'Phase II Pro Forma'!N$268-SUM(N$271:N271))</f>
        <v>0</v>
      </c>
      <c r="O272" s="76">
        <f ca="1">+MIN('S&amp;U'!$I19-SUM('Phase II Pro Forma'!$E272:N272),'Phase II Pro Forma'!O$268-SUM(O$271:O271))</f>
        <v>0</v>
      </c>
      <c r="P272" s="76">
        <f ca="1">+MIN('S&amp;U'!$I19-SUM('Phase II Pro Forma'!$E272:O272),'Phase II Pro Forma'!P$268-SUM(P$271:P271))</f>
        <v>0</v>
      </c>
      <c r="Q272" s="76">
        <f ca="1">+MIN('S&amp;U'!$I19-SUM('Phase II Pro Forma'!$E272:P272),'Phase II Pro Forma'!Q$268-SUM(Q$271:Q271))</f>
        <v>0</v>
      </c>
      <c r="R272" s="76">
        <f ca="1">+MIN('S&amp;U'!$I19-SUM('Phase II Pro Forma'!$E272:Q272),'Phase II Pro Forma'!R$268-SUM(R$271:R271))</f>
        <v>0</v>
      </c>
      <c r="S272" s="76">
        <f ca="1">+MIN('S&amp;U'!$I19-SUM('Phase II Pro Forma'!$E272:R272),'Phase II Pro Forma'!S$268-SUM(S$271:S271))</f>
        <v>0</v>
      </c>
      <c r="T272" s="76">
        <f ca="1">+MIN('S&amp;U'!$I19-SUM('Phase II Pro Forma'!$E272:S272),'Phase II Pro Forma'!T$268-SUM(T$271:T271))</f>
        <v>0</v>
      </c>
      <c r="U272" s="76">
        <f ca="1">+MIN('S&amp;U'!$I19-SUM('Phase II Pro Forma'!$E272:T272),'Phase II Pro Forma'!U$268-SUM(U$271:U271))</f>
        <v>0</v>
      </c>
      <c r="V272" s="76">
        <f ca="1">+MIN('S&amp;U'!$I19-SUM('Phase II Pro Forma'!$E272:U272),'Phase II Pro Forma'!V$268-SUM(V$271:V271))</f>
        <v>0</v>
      </c>
      <c r="W272" s="76">
        <f ca="1">+MIN('S&amp;U'!$I19-SUM('Phase II Pro Forma'!$E272:V272),'Phase II Pro Forma'!W$268-SUM(W$271:W271))</f>
        <v>0</v>
      </c>
      <c r="X272" s="76">
        <f ca="1">+MIN('S&amp;U'!$I19-SUM('Phase II Pro Forma'!$E272:W272),'Phase II Pro Forma'!X$268-SUM(X$271:X271))</f>
        <v>0</v>
      </c>
      <c r="Y272" s="76">
        <f ca="1">+MIN('S&amp;U'!$I19-SUM('Phase II Pro Forma'!$E272:X272),'Phase II Pro Forma'!Y$268-SUM(Y$271:Y271))</f>
        <v>0</v>
      </c>
      <c r="Z272" s="76">
        <f ca="1">+MIN('S&amp;U'!$I19-SUM('Phase II Pro Forma'!$E272:Y272),'Phase II Pro Forma'!Z$268-SUM(Z$271:Z271))</f>
        <v>0</v>
      </c>
    </row>
    <row r="273" spans="2:26" ht="15.75">
      <c r="B273" s="15" t="s">
        <v>392</v>
      </c>
      <c r="D273" s="26">
        <f t="shared" ref="D273:D278" ca="1" si="167">+SUM(F273:Z273)</f>
        <v>8832339.7304545473</v>
      </c>
      <c r="E273" s="26"/>
      <c r="F273" s="76">
        <f ca="1">+MIN('S&amp;U'!$I20-SUM('Phase II Pro Forma'!$E273:E273),'Phase II Pro Forma'!F$268-SUM(F$271:F272))</f>
        <v>-18496356.37705791</v>
      </c>
      <c r="G273" s="76">
        <f ca="1">+MIN('S&amp;U'!$I20-SUM('Phase II Pro Forma'!$E273:F273),'Phase II Pro Forma'!G$268-SUM(G$271:G272))</f>
        <v>30758147.960353643</v>
      </c>
      <c r="H273" s="76">
        <f ca="1">+MIN('S&amp;U'!$I20-SUM('Phase II Pro Forma'!$E273:G273),'Phase II Pro Forma'!H$268-SUM(H$271:H272))</f>
        <v>30758147.960353643</v>
      </c>
      <c r="I273" s="76">
        <f ca="1">+MIN('S&amp;U'!$I20-SUM('Phase II Pro Forma'!$E273:H273),'Phase II Pro Forma'!I$268-SUM(I$271:I272))</f>
        <v>0</v>
      </c>
      <c r="J273" s="76">
        <f ca="1">+MIN('S&amp;U'!$I20-SUM('Phase II Pro Forma'!$E273:I273),'Phase II Pro Forma'!J$268-SUM(J$271:J272))</f>
        <v>0</v>
      </c>
      <c r="K273" s="76">
        <f ca="1">+MIN('S&amp;U'!$I20-SUM('Phase II Pro Forma'!$E273:J273),'Phase II Pro Forma'!K$268-SUM(K$271:K272))</f>
        <v>3217344.721600391</v>
      </c>
      <c r="L273" s="76">
        <f ca="1">+MIN('S&amp;U'!$I20-SUM('Phase II Pro Forma'!$E273:K273),'Phase II Pro Forma'!L$268-SUM(L$271:L272))</f>
        <v>0</v>
      </c>
      <c r="M273" s="76">
        <f ca="1">+MIN('S&amp;U'!$I20-SUM('Phase II Pro Forma'!$E273:L273),'Phase II Pro Forma'!M$268-SUM(M$271:M272))</f>
        <v>0</v>
      </c>
      <c r="N273" s="76">
        <f ca="1">+MIN('S&amp;U'!$I20-SUM('Phase II Pro Forma'!$E273:M273),'Phase II Pro Forma'!N$268-SUM(N$271:N272))</f>
        <v>0</v>
      </c>
      <c r="O273" s="76">
        <f ca="1">+MIN('S&amp;U'!$I20-SUM('Phase II Pro Forma'!$E273:N273),'Phase II Pro Forma'!O$268-SUM(O$271:O272))</f>
        <v>0</v>
      </c>
      <c r="P273" s="76">
        <f ca="1">+MIN('S&amp;U'!$I20-SUM('Phase II Pro Forma'!$E273:O273),'Phase II Pro Forma'!P$268-SUM(P$271:P272))</f>
        <v>0</v>
      </c>
      <c r="Q273" s="76">
        <f ca="1">+MIN('S&amp;U'!$I20-SUM('Phase II Pro Forma'!$E273:P273),'Phase II Pro Forma'!Q$268-SUM(Q$271:Q272))</f>
        <v>0</v>
      </c>
      <c r="R273" s="76">
        <f ca="1">+MIN('S&amp;U'!$I20-SUM('Phase II Pro Forma'!$E273:Q273),'Phase II Pro Forma'!R$268-SUM(R$271:R272))</f>
        <v>0</v>
      </c>
      <c r="S273" s="76">
        <f ca="1">+MIN('S&amp;U'!$I20-SUM('Phase II Pro Forma'!$E273:R273),'Phase II Pro Forma'!S$268-SUM(S$271:S272))</f>
        <v>0</v>
      </c>
      <c r="T273" s="76">
        <f ca="1">+MIN('S&amp;U'!$I20-SUM('Phase II Pro Forma'!$E273:S273),'Phase II Pro Forma'!T$268-SUM(T$271:T272))</f>
        <v>0</v>
      </c>
      <c r="U273" s="76">
        <f ca="1">+MIN('S&amp;U'!$I20-SUM('Phase II Pro Forma'!$E273:T273),'Phase II Pro Forma'!U$268-SUM(U$271:U272))</f>
        <v>0</v>
      </c>
      <c r="V273" s="76">
        <f ca="1">+MIN('S&amp;U'!$I20-SUM('Phase II Pro Forma'!$E273:U273),'Phase II Pro Forma'!V$268-SUM(V$271:V272))</f>
        <v>0</v>
      </c>
      <c r="W273" s="76">
        <f ca="1">+MIN('S&amp;U'!$I20-SUM('Phase II Pro Forma'!$E273:V273),'Phase II Pro Forma'!W$268-SUM(W$271:W272))</f>
        <v>0</v>
      </c>
      <c r="X273" s="76">
        <f ca="1">+MIN('S&amp;U'!$I20-SUM('Phase II Pro Forma'!$E273:W273),'Phase II Pro Forma'!X$268-SUM(X$271:X272))</f>
        <v>0</v>
      </c>
      <c r="Y273" s="76">
        <f ca="1">+MIN('S&amp;U'!$I20-SUM('Phase II Pro Forma'!$E273:X273),'Phase II Pro Forma'!Y$268-SUM(Y$271:Y272))</f>
        <v>-3217344.721600391</v>
      </c>
      <c r="Z273" s="76">
        <f ca="1">+MIN('S&amp;U'!$I20-SUM('Phase II Pro Forma'!$E273:Y273),'Phase II Pro Forma'!Z$268-SUM(Z$271:Z272))</f>
        <v>0</v>
      </c>
    </row>
    <row r="274" spans="2:26" ht="15.75">
      <c r="B274" s="15" t="s">
        <v>393</v>
      </c>
      <c r="D274" s="26">
        <f t="shared" ca="1" si="167"/>
        <v>6.2400000000000012E-5</v>
      </c>
      <c r="E274" s="26"/>
      <c r="F274" s="76">
        <f ca="1">+MIN('S&amp;U'!$I21-SUM('Phase II Pro Forma'!$E274:E274),'Phase II Pro Forma'!F$268-SUM(F$271:F273))</f>
        <v>0</v>
      </c>
      <c r="G274" s="76">
        <f ca="1">+MIN('S&amp;U'!$I21-SUM('Phase II Pro Forma'!$E274:F274),'Phase II Pro Forma'!G$268-SUM(G$271:G273))</f>
        <v>6.2400000000000012E-5</v>
      </c>
      <c r="H274" s="76">
        <f ca="1">+MIN('S&amp;U'!$I21-SUM('Phase II Pro Forma'!$E274:G274),'Phase II Pro Forma'!H$268-SUM(H$271:H273))</f>
        <v>0</v>
      </c>
      <c r="I274" s="76">
        <f ca="1">+MIN('S&amp;U'!$I21-SUM('Phase II Pro Forma'!$E274:H274),'Phase II Pro Forma'!I$268-SUM(I$271:I273))</f>
        <v>0</v>
      </c>
      <c r="J274" s="76">
        <f ca="1">+MIN('S&amp;U'!$I21-SUM('Phase II Pro Forma'!$E274:I274),'Phase II Pro Forma'!J$268-SUM(J$271:J273))</f>
        <v>0</v>
      </c>
      <c r="K274" s="76">
        <f ca="1">+MIN('S&amp;U'!$I21-SUM('Phase II Pro Forma'!$E274:J274),'Phase II Pro Forma'!K$268-SUM(K$271:K273))</f>
        <v>0</v>
      </c>
      <c r="L274" s="76">
        <f ca="1">+MIN('S&amp;U'!$I21-SUM('Phase II Pro Forma'!$E274:K274),'Phase II Pro Forma'!L$268-SUM(L$271:L273))</f>
        <v>0</v>
      </c>
      <c r="M274" s="76">
        <f ca="1">+MIN('S&amp;U'!$I21-SUM('Phase II Pro Forma'!$E274:L274),'Phase II Pro Forma'!M$268-SUM(M$271:M273))</f>
        <v>0</v>
      </c>
      <c r="N274" s="76">
        <f ca="1">+MIN('S&amp;U'!$I21-SUM('Phase II Pro Forma'!$E274:M274),'Phase II Pro Forma'!N$268-SUM(N$271:N273))</f>
        <v>0</v>
      </c>
      <c r="O274" s="76">
        <f ca="1">+MIN('S&amp;U'!$I21-SUM('Phase II Pro Forma'!$E274:N274),'Phase II Pro Forma'!O$268-SUM(O$271:O273))</f>
        <v>0</v>
      </c>
      <c r="P274" s="76">
        <f ca="1">+MIN('S&amp;U'!$I21-SUM('Phase II Pro Forma'!$E274:O274),'Phase II Pro Forma'!P$268-SUM(P$271:P273))</f>
        <v>0</v>
      </c>
      <c r="Q274" s="76">
        <f ca="1">+MIN('S&amp;U'!$I21-SUM('Phase II Pro Forma'!$E274:P274),'Phase II Pro Forma'!Q$268-SUM(Q$271:Q273))</f>
        <v>0</v>
      </c>
      <c r="R274" s="76">
        <f ca="1">+MIN('S&amp;U'!$I21-SUM('Phase II Pro Forma'!$E274:Q274),'Phase II Pro Forma'!R$268-SUM(R$271:R273))</f>
        <v>0</v>
      </c>
      <c r="S274" s="76">
        <f ca="1">+MIN('S&amp;U'!$I21-SUM('Phase II Pro Forma'!$E274:R274),'Phase II Pro Forma'!S$268-SUM(S$271:S273))</f>
        <v>0</v>
      </c>
      <c r="T274" s="76">
        <f ca="1">+MIN('S&amp;U'!$I21-SUM('Phase II Pro Forma'!$E274:S274),'Phase II Pro Forma'!T$268-SUM(T$271:T273))</f>
        <v>0</v>
      </c>
      <c r="U274" s="76">
        <f ca="1">+MIN('S&amp;U'!$I21-SUM('Phase II Pro Forma'!$E274:T274),'Phase II Pro Forma'!U$268-SUM(U$271:U273))</f>
        <v>0</v>
      </c>
      <c r="V274" s="76">
        <f ca="1">+MIN('S&amp;U'!$I21-SUM('Phase II Pro Forma'!$E274:U274),'Phase II Pro Forma'!V$268-SUM(V$271:V273))</f>
        <v>0</v>
      </c>
      <c r="W274" s="76">
        <f ca="1">+MIN('S&amp;U'!$I21-SUM('Phase II Pro Forma'!$E274:V274),'Phase II Pro Forma'!W$268-SUM(W$271:W273))</f>
        <v>0</v>
      </c>
      <c r="X274" s="76">
        <f ca="1">+MIN('S&amp;U'!$I21-SUM('Phase II Pro Forma'!$E274:W274),'Phase II Pro Forma'!X$268-SUM(X$271:X273))</f>
        <v>0</v>
      </c>
      <c r="Y274" s="76">
        <f ca="1">+MIN('S&amp;U'!$I21-SUM('Phase II Pro Forma'!$E274:X274),'Phase II Pro Forma'!Y$268-SUM(Y$271:Y273))</f>
        <v>0</v>
      </c>
      <c r="Z274" s="76">
        <f ca="1">+MIN('S&amp;U'!$I21-SUM('Phase II Pro Forma'!$E274:Y274),'Phase II Pro Forma'!Z$268-SUM(Z$271:Z273))</f>
        <v>0</v>
      </c>
    </row>
    <row r="275" spans="2:26" ht="15.75">
      <c r="B275" s="15" t="s">
        <v>394</v>
      </c>
      <c r="D275" s="26">
        <f t="shared" ref="D275" ca="1" si="168">+SUM(F275:Z275)</f>
        <v>-3217344.721600391</v>
      </c>
      <c r="E275" s="26"/>
      <c r="F275" s="76">
        <f ca="1">+MIN('S&amp;U'!$I22-SUM('Phase II Pro Forma'!$E275:E275),'Phase II Pro Forma'!F$268-SUM(F$271:F274))</f>
        <v>0</v>
      </c>
      <c r="G275" s="76">
        <f ca="1">+MIN('S&amp;U'!$I22-SUM('Phase II Pro Forma'!$E275:F275),'Phase II Pro Forma'!G$268-SUM(G$271:G274))</f>
        <v>10000000</v>
      </c>
      <c r="H275" s="76">
        <f ca="1">+MIN('S&amp;U'!$I22-SUM('Phase II Pro Forma'!$E275:G275),'Phase II Pro Forma'!H$268-SUM(H$271:H274))</f>
        <v>10000000</v>
      </c>
      <c r="I275" s="76">
        <f ca="1">+MIN('S&amp;U'!$I22-SUM('Phase II Pro Forma'!$E275:H275),'Phase II Pro Forma'!I$268-SUM(I$271:I274))</f>
        <v>1608672.360800195</v>
      </c>
      <c r="J275" s="76">
        <f ca="1">+MIN('S&amp;U'!$I22-SUM('Phase II Pro Forma'!$E275:I275),'Phase II Pro Forma'!J$268-SUM(J$271:J274))</f>
        <v>1608672.360800195</v>
      </c>
      <c r="K275" s="76">
        <f ca="1">+MIN('S&amp;U'!$I22-SUM('Phase II Pro Forma'!$E275:J275),'Phase II Pro Forma'!K$268-SUM(K$271:K274))</f>
        <v>0</v>
      </c>
      <c r="L275" s="76">
        <f ca="1">+MIN('S&amp;U'!$I22-SUM('Phase II Pro Forma'!$E275:K275),'Phase II Pro Forma'!L$268-SUM(L$271:L274))</f>
        <v>0</v>
      </c>
      <c r="M275" s="76">
        <f ca="1">+MIN('S&amp;U'!$I22-SUM('Phase II Pro Forma'!$E275:L275),'Phase II Pro Forma'!M$268-SUM(M$271:M274))</f>
        <v>-13217344.721600391</v>
      </c>
      <c r="N275" s="76">
        <f ca="1">+MIN('S&amp;U'!$I22-SUM('Phase II Pro Forma'!$E275:M275),'Phase II Pro Forma'!N$268-SUM(N$271:N274))</f>
        <v>-13217344.721600391</v>
      </c>
      <c r="O275" s="76">
        <f ca="1">+MIN('S&amp;U'!$I22-SUM('Phase II Pro Forma'!$E275:N275),'Phase II Pro Forma'!O$268-SUM(O$271:O274))</f>
        <v>-3217344.721600391</v>
      </c>
      <c r="P275" s="76">
        <f ca="1">+MIN('S&amp;U'!$I22-SUM('Phase II Pro Forma'!$E275:O275),'Phase II Pro Forma'!P$268-SUM(P$271:P274))</f>
        <v>0</v>
      </c>
      <c r="Q275" s="76">
        <f ca="1">+MIN('S&amp;U'!$I22-SUM('Phase II Pro Forma'!$E275:P275),'Phase II Pro Forma'!Q$268-SUM(Q$271:Q274))</f>
        <v>0</v>
      </c>
      <c r="R275" s="76">
        <f ca="1">+MIN('S&amp;U'!$I22-SUM('Phase II Pro Forma'!$E275:Q275),'Phase II Pro Forma'!R$268-SUM(R$271:R274))</f>
        <v>0</v>
      </c>
      <c r="S275" s="76">
        <f ca="1">+MIN('S&amp;U'!$I22-SUM('Phase II Pro Forma'!$E275:R275),'Phase II Pro Forma'!S$268-SUM(S$271:S274))</f>
        <v>0</v>
      </c>
      <c r="T275" s="76">
        <f ca="1">+MIN('S&amp;U'!$I22-SUM('Phase II Pro Forma'!$E275:S275),'Phase II Pro Forma'!T$268-SUM(T$271:T274))</f>
        <v>0</v>
      </c>
      <c r="U275" s="76">
        <f ca="1">+MIN('S&amp;U'!$I22-SUM('Phase II Pro Forma'!$E275:T275),'Phase II Pro Forma'!U$268-SUM(U$271:U274))</f>
        <v>0</v>
      </c>
      <c r="V275" s="76">
        <f ca="1">+MIN('S&amp;U'!$I22-SUM('Phase II Pro Forma'!$E275:U275),'Phase II Pro Forma'!V$268-SUM(V$271:V274))</f>
        <v>-10000000</v>
      </c>
      <c r="W275" s="76">
        <f ca="1">+MIN('S&amp;U'!$I22-SUM('Phase II Pro Forma'!$E275:V275),'Phase II Pro Forma'!W$268-SUM(W$271:W274))</f>
        <v>0</v>
      </c>
      <c r="X275" s="76">
        <f ca="1">+MIN('S&amp;U'!$I22-SUM('Phase II Pro Forma'!$E275:W275),'Phase II Pro Forma'!X$268-SUM(X$271:X274))</f>
        <v>0</v>
      </c>
      <c r="Y275" s="76">
        <f ca="1">+MIN('S&amp;U'!$I22-SUM('Phase II Pro Forma'!$E275:X275),'Phase II Pro Forma'!Y$268-SUM(Y$271:Y274))</f>
        <v>0</v>
      </c>
      <c r="Z275" s="76">
        <f ca="1">+MIN('S&amp;U'!$I22-SUM('Phase II Pro Forma'!$E275:Y275),'Phase II Pro Forma'!Z$268-SUM(Z$271:Z274))</f>
        <v>0</v>
      </c>
    </row>
    <row r="276" spans="2:26" ht="15.75">
      <c r="B276" s="15" t="s">
        <v>356</v>
      </c>
      <c r="D276" s="26">
        <f t="shared" si="167"/>
        <v>0</v>
      </c>
      <c r="E276" s="26"/>
      <c r="F276" s="76">
        <v>0</v>
      </c>
      <c r="G276" s="76">
        <v>0</v>
      </c>
      <c r="H276" s="76">
        <v>0</v>
      </c>
      <c r="I276" s="76">
        <v>0</v>
      </c>
      <c r="J276" s="76">
        <v>0</v>
      </c>
      <c r="K276" s="76">
        <v>0</v>
      </c>
      <c r="L276" s="76">
        <v>0</v>
      </c>
      <c r="M276" s="76">
        <v>0</v>
      </c>
      <c r="N276" s="76">
        <v>0</v>
      </c>
      <c r="O276" s="76">
        <v>0</v>
      </c>
      <c r="P276" s="76">
        <v>0</v>
      </c>
      <c r="Q276" s="76">
        <v>0</v>
      </c>
      <c r="R276" s="76">
        <v>0</v>
      </c>
      <c r="S276" s="76">
        <v>0</v>
      </c>
      <c r="T276" s="76">
        <v>0</v>
      </c>
      <c r="U276" s="76">
        <v>0</v>
      </c>
      <c r="V276" s="76">
        <v>0</v>
      </c>
      <c r="W276" s="76">
        <v>0</v>
      </c>
      <c r="X276" s="76">
        <v>0</v>
      </c>
      <c r="Y276" s="76">
        <v>0</v>
      </c>
      <c r="Z276" s="76">
        <v>0</v>
      </c>
    </row>
    <row r="277" spans="2:26" ht="15.75">
      <c r="B277" s="15" t="s">
        <v>391</v>
      </c>
      <c r="D277" s="26">
        <f t="shared" ca="1" si="167"/>
        <v>148636793.49288672</v>
      </c>
      <c r="E277" s="26"/>
      <c r="F277" s="76">
        <f ca="1">+MIN('S&amp;U'!$I26-SUM('Phase II Pro Forma'!$E277:E277),'Phase II Pro Forma'!F$268-SUM(F$271:F276))</f>
        <v>18496356.37705791</v>
      </c>
      <c r="G277" s="76">
        <f ca="1">+MIN('S&amp;U'!$I26-SUM('Phase II Pro Forma'!$E277:F277),'Phase II Pro Forma'!G$268-SUM(G$271:G276))</f>
        <v>43277762.478540406</v>
      </c>
      <c r="H277" s="76">
        <f ca="1">+MIN('S&amp;U'!$I26-SUM('Phase II Pro Forma'!$E277:G277),'Phase II Pro Forma'!H$268-SUM(H$271:H276))</f>
        <v>83645329.915687978</v>
      </c>
      <c r="I277" s="76">
        <f ca="1">+MIN('S&amp;U'!$I26-SUM('Phase II Pro Forma'!$E277:H277),'Phase II Pro Forma'!I$268-SUM(I$271:I276))</f>
        <v>1608672.360800195</v>
      </c>
      <c r="J277" s="76">
        <f ca="1">+MIN('S&amp;U'!$I26-SUM('Phase II Pro Forma'!$E277:I277),'Phase II Pro Forma'!J$268-SUM(J$271:J276))</f>
        <v>1608672.360800195</v>
      </c>
      <c r="K277" s="76">
        <f ca="1">+MIN('S&amp;U'!$I26-SUM('Phase II Pro Forma'!$E277:J277),'Phase II Pro Forma'!K$268-SUM(K$271:K276))</f>
        <v>0</v>
      </c>
      <c r="L277" s="76">
        <f ca="1">+MIN('S&amp;U'!$I26-SUM('Phase II Pro Forma'!$E277:K277),'Phase II Pro Forma'!L$268-SUM(L$271:L276))</f>
        <v>0</v>
      </c>
      <c r="M277" s="76">
        <f ca="1">+MIN('S&amp;U'!$I26-SUM('Phase II Pro Forma'!$E277:L277),'Phase II Pro Forma'!M$268-SUM(M$271:M276))</f>
        <v>0</v>
      </c>
      <c r="N277" s="76">
        <f ca="1">+MIN('S&amp;U'!$I26-SUM('Phase II Pro Forma'!$E277:M277),'Phase II Pro Forma'!N$268-SUM(N$271:N276))</f>
        <v>0</v>
      </c>
      <c r="O277" s="76">
        <f ca="1">+MIN('S&amp;U'!$I26-SUM('Phase II Pro Forma'!$E277:N277),'Phase II Pro Forma'!O$268-SUM(O$271:O276))</f>
        <v>0</v>
      </c>
      <c r="P277" s="76">
        <f ca="1">+MIN('S&amp;U'!$I26-SUM('Phase II Pro Forma'!$E277:O277),'Phase II Pro Forma'!P$268-SUM(P$271:P276))</f>
        <v>0</v>
      </c>
      <c r="Q277" s="76">
        <f ca="1">+MIN('S&amp;U'!$I26-SUM('Phase II Pro Forma'!$E277:P277),'Phase II Pro Forma'!Q$268-SUM(Q$271:Q276))</f>
        <v>0</v>
      </c>
      <c r="R277" s="76">
        <f ca="1">+MIN('S&amp;U'!$I26-SUM('Phase II Pro Forma'!$E277:Q277),'Phase II Pro Forma'!R$268-SUM(R$271:R276))</f>
        <v>0</v>
      </c>
      <c r="S277" s="76">
        <f ca="1">+MIN('S&amp;U'!$I26-SUM('Phase II Pro Forma'!$E277:R277),'Phase II Pro Forma'!S$268-SUM(S$271:S276))</f>
        <v>0</v>
      </c>
      <c r="T277" s="76">
        <f ca="1">+MIN('S&amp;U'!$I26-SUM('Phase II Pro Forma'!$E277:S277),'Phase II Pro Forma'!T$268-SUM(T$271:T276))</f>
        <v>0</v>
      </c>
      <c r="U277" s="76">
        <f ca="1">+MIN('S&amp;U'!$I26-SUM('Phase II Pro Forma'!$E277:T277),'Phase II Pro Forma'!U$268-SUM(U$271:U276))</f>
        <v>0</v>
      </c>
      <c r="V277" s="76">
        <f ca="1">+MIN('S&amp;U'!$I26-SUM('Phase II Pro Forma'!$E277:U277),'Phase II Pro Forma'!V$268-SUM(V$271:V276))</f>
        <v>0</v>
      </c>
      <c r="W277" s="76">
        <f ca="1">+MIN('S&amp;U'!$I26-SUM('Phase II Pro Forma'!$E277:V277),'Phase II Pro Forma'!W$268-SUM(W$271:W276))</f>
        <v>0</v>
      </c>
      <c r="X277" s="76">
        <f ca="1">+MIN('S&amp;U'!$I26-SUM('Phase II Pro Forma'!$E277:W277),'Phase II Pro Forma'!X$268-SUM(X$271:X276))</f>
        <v>0</v>
      </c>
      <c r="Y277" s="76">
        <f ca="1">+MIN('S&amp;U'!$I26-SUM('Phase II Pro Forma'!$E277:X277),'Phase II Pro Forma'!Y$268-SUM(Y$271:Y276))</f>
        <v>0</v>
      </c>
      <c r="Z277" s="76">
        <f ca="1">+MIN('S&amp;U'!$I26-SUM('Phase II Pro Forma'!$E277:Y277),'Phase II Pro Forma'!Z$268-SUM(Z$271:Z276))</f>
        <v>0</v>
      </c>
    </row>
    <row r="278" spans="2:26" ht="15.75">
      <c r="B278" s="687" t="s">
        <v>665</v>
      </c>
      <c r="C278" s="687"/>
      <c r="D278" s="550">
        <f t="shared" ca="1" si="167"/>
        <v>247673347.62266541</v>
      </c>
      <c r="E278" s="550"/>
      <c r="F278" s="550">
        <f t="shared" ref="F278:Z278" ca="1" si="169">+SUM(F271:F277)</f>
        <v>372000</v>
      </c>
      <c r="G278" s="550">
        <f t="shared" ca="1" si="169"/>
        <v>185836620.70757169</v>
      </c>
      <c r="H278" s="550">
        <f t="shared" ca="1" si="169"/>
        <v>167004280.97699231</v>
      </c>
      <c r="I278" s="550">
        <f t="shared" ca="1" si="169"/>
        <v>4826017.0824005846</v>
      </c>
      <c r="J278" s="550">
        <f t="shared" ca="1" si="169"/>
        <v>4826017.0824005846</v>
      </c>
      <c r="K278" s="550">
        <f t="shared" ca="1" si="169"/>
        <v>0</v>
      </c>
      <c r="L278" s="550">
        <f t="shared" ca="1" si="169"/>
        <v>0</v>
      </c>
      <c r="M278" s="550">
        <f t="shared" ca="1" si="169"/>
        <v>-13217344.721600391</v>
      </c>
      <c r="N278" s="550">
        <f t="shared" ca="1" si="169"/>
        <v>-13217344.721600391</v>
      </c>
      <c r="O278" s="550">
        <f t="shared" ca="1" si="169"/>
        <v>-3217344.721600391</v>
      </c>
      <c r="P278" s="550">
        <f t="shared" ca="1" si="169"/>
        <v>0</v>
      </c>
      <c r="Q278" s="550">
        <f t="shared" ca="1" si="169"/>
        <v>0</v>
      </c>
      <c r="R278" s="550">
        <f t="shared" ca="1" si="169"/>
        <v>0</v>
      </c>
      <c r="S278" s="550">
        <f t="shared" ca="1" si="169"/>
        <v>0</v>
      </c>
      <c r="T278" s="550">
        <f t="shared" ca="1" si="169"/>
        <v>0</v>
      </c>
      <c r="U278" s="550">
        <f t="shared" ca="1" si="169"/>
        <v>0</v>
      </c>
      <c r="V278" s="550">
        <f t="shared" ca="1" si="169"/>
        <v>-10000000</v>
      </c>
      <c r="W278" s="550">
        <f t="shared" ca="1" si="169"/>
        <v>0</v>
      </c>
      <c r="X278" s="550">
        <f t="shared" ca="1" si="169"/>
        <v>0</v>
      </c>
      <c r="Y278" s="550">
        <f t="shared" ca="1" si="169"/>
        <v>-3217344.721600391</v>
      </c>
      <c r="Z278" s="550">
        <f t="shared" ca="1" si="169"/>
        <v>0</v>
      </c>
    </row>
    <row r="280" spans="2:26" ht="15.75">
      <c r="B280" s="73" t="s">
        <v>667</v>
      </c>
    </row>
    <row r="281" spans="2:26" ht="15.75">
      <c r="B281" s="15" t="s">
        <v>668</v>
      </c>
      <c r="D281" s="26">
        <f ca="1">+SUM(F281:Z281)</f>
        <v>-153269869.74662384</v>
      </c>
      <c r="E281" s="26"/>
      <c r="F281" s="16">
        <f ca="1">-F271</f>
        <v>-372000</v>
      </c>
      <c r="G281" s="16">
        <f t="shared" ref="G281:Z281" ca="1" si="170">-G271</f>
        <v>-134401513.36956593</v>
      </c>
      <c r="H281" s="16">
        <f t="shared" ca="1" si="170"/>
        <v>-42600803.100950703</v>
      </c>
      <c r="I281" s="16">
        <f t="shared" ca="1" si="170"/>
        <v>0</v>
      </c>
      <c r="J281" s="16">
        <f t="shared" ca="1" si="170"/>
        <v>42600803.100950688</v>
      </c>
      <c r="K281" s="16">
        <f t="shared" ca="1" si="170"/>
        <v>0</v>
      </c>
      <c r="L281" s="16">
        <f t="shared" ca="1" si="170"/>
        <v>0</v>
      </c>
      <c r="M281" s="16">
        <f t="shared" ca="1" si="170"/>
        <v>0</v>
      </c>
      <c r="N281" s="16">
        <f t="shared" ca="1" si="170"/>
        <v>0</v>
      </c>
      <c r="O281" s="16">
        <f t="shared" ca="1" si="170"/>
        <v>42600803.100950688</v>
      </c>
      <c r="P281" s="16">
        <f t="shared" ca="1" si="170"/>
        <v>0</v>
      </c>
      <c r="Q281" s="16">
        <f t="shared" ca="1" si="170"/>
        <v>0</v>
      </c>
      <c r="R281" s="16">
        <f t="shared" ca="1" si="170"/>
        <v>0</v>
      </c>
      <c r="S281" s="16">
        <f t="shared" ca="1" si="170"/>
        <v>0</v>
      </c>
      <c r="T281" s="16">
        <f t="shared" ca="1" si="170"/>
        <v>0</v>
      </c>
      <c r="U281" s="16">
        <f t="shared" ca="1" si="170"/>
        <v>0</v>
      </c>
      <c r="V281" s="16">
        <f t="shared" ca="1" si="170"/>
        <v>0</v>
      </c>
      <c r="W281" s="16">
        <f t="shared" ca="1" si="170"/>
        <v>0</v>
      </c>
      <c r="X281" s="16">
        <f t="shared" ca="1" si="170"/>
        <v>0</v>
      </c>
      <c r="Y281" s="16">
        <f t="shared" ca="1" si="170"/>
        <v>0</v>
      </c>
      <c r="Z281" s="16">
        <f t="shared" ca="1" si="170"/>
        <v>0</v>
      </c>
    </row>
    <row r="282" spans="2:26" ht="15.75">
      <c r="B282" s="15" t="s">
        <v>669</v>
      </c>
      <c r="D282" s="26">
        <f t="shared" ref="D282" ca="1" si="171">+SUM(F282:Z282)</f>
        <v>101330939.28158668</v>
      </c>
      <c r="E282" s="26"/>
      <c r="F282" s="76">
        <f ca="1">+IF(YEAR(F$139)&lt;=YEAR(Assumptions!$G$30),F253+F258,0)</f>
        <v>0</v>
      </c>
      <c r="G282" s="76">
        <f ca="1">+IF(YEAR(G$139)&lt;=YEAR(Assumptions!$G$30),G253+G258,0)</f>
        <v>0</v>
      </c>
      <c r="H282" s="76">
        <f ca="1">+IF(YEAR(H$139)&lt;=YEAR(Assumptions!$G$30),H253+H258,0)</f>
        <v>0</v>
      </c>
      <c r="I282" s="76">
        <f ca="1">+IF(YEAR(I$139)&lt;=YEAR(Assumptions!$G$30),I253+I258,0)</f>
        <v>6946822.2629323117</v>
      </c>
      <c r="J282" s="76">
        <f ca="1">+IF(YEAR(J$139)&lt;=YEAR(Assumptions!$G$30),J253+J258,0)</f>
        <v>14485528.459140714</v>
      </c>
      <c r="K282" s="76">
        <f ca="1">+IF(YEAR(K$139)&lt;=YEAR(Assumptions!$G$30),K253+K258,0)</f>
        <v>14919107.173988493</v>
      </c>
      <c r="L282" s="76">
        <f ca="1">+IF(YEAR(L$139)&lt;=YEAR(Assumptions!$G$30),L253+L258,0)</f>
        <v>15824066.265007693</v>
      </c>
      <c r="M282" s="76">
        <f ca="1">+IF(YEAR(M$139)&lt;=YEAR(Assumptions!$G$30),M253+M258,0)</f>
        <v>16063300.346618453</v>
      </c>
      <c r="N282" s="76">
        <f ca="1">+IF(YEAR(N$139)&lt;=YEAR(Assumptions!$G$30),N253+N258,0)</f>
        <v>16382388.311893821</v>
      </c>
      <c r="O282" s="76">
        <f ca="1">+IF(YEAR(O$139)&lt;=YEAR(Assumptions!$G$30),O253+O258,0)</f>
        <v>16709726.462005191</v>
      </c>
      <c r="P282" s="76">
        <f>+IF(YEAR(P$139)&lt;=YEAR(Assumptions!$G$30),P253+P258,0)</f>
        <v>0</v>
      </c>
      <c r="Q282" s="76">
        <f>+IF(YEAR(Q$139)&lt;=YEAR(Assumptions!$G$30),Q253+Q258,0)</f>
        <v>0</v>
      </c>
      <c r="R282" s="76">
        <f>+IF(YEAR(R$139)&lt;=YEAR(Assumptions!$G$30),R253+R258,0)</f>
        <v>0</v>
      </c>
      <c r="S282" s="76">
        <f>+IF(YEAR(S$139)&lt;=YEAR(Assumptions!$G$30),S253+S258,0)</f>
        <v>0</v>
      </c>
      <c r="T282" s="76">
        <f>+IF(YEAR(T$139)&lt;=YEAR(Assumptions!$G$30),T253+T258,0)</f>
        <v>0</v>
      </c>
      <c r="U282" s="76">
        <f>+IF(YEAR(U$139)&lt;=YEAR(Assumptions!$G$30),U253+U258,0)</f>
        <v>0</v>
      </c>
      <c r="V282" s="76">
        <f>+IF(YEAR(V$139)&lt;=YEAR(Assumptions!$G$30),V253+V258,0)</f>
        <v>0</v>
      </c>
      <c r="W282" s="76">
        <f>+IF(YEAR(W$139)&lt;=YEAR(Assumptions!$G$30),W253+W258,0)</f>
        <v>0</v>
      </c>
      <c r="X282" s="76">
        <f>+IF(YEAR(X$139)&lt;=YEAR(Assumptions!$G$30),X253+X258,0)</f>
        <v>0</v>
      </c>
      <c r="Y282" s="76">
        <f>+IF(YEAR(Y$139)&lt;=YEAR(Assumptions!$G$30),Y253+Y258,0)</f>
        <v>0</v>
      </c>
      <c r="Z282" s="76">
        <f>+IF(YEAR(Z$139)&lt;=YEAR(Assumptions!$G$30),Z253+Z258,0)</f>
        <v>0</v>
      </c>
    </row>
    <row r="283" spans="2:26" ht="15.75">
      <c r="B283" s="687" t="s">
        <v>670</v>
      </c>
      <c r="C283" s="687"/>
      <c r="D283" s="550">
        <f ca="1">+SUM(F283:Z283)</f>
        <v>188895701.85019624</v>
      </c>
      <c r="E283" s="550"/>
      <c r="F283" s="550">
        <f ca="1">+SUM(F281:F282)</f>
        <v>-18868356.37705791</v>
      </c>
      <c r="G283" s="550">
        <f t="shared" ref="G283:Z283" ca="1" si="172">+SUM(G281:G282)</f>
        <v>-91800710.268615231</v>
      </c>
      <c r="H283" s="550">
        <f t="shared" ca="1" si="172"/>
        <v>-42600803.100950703</v>
      </c>
      <c r="I283" s="550">
        <f t="shared" ca="1" si="172"/>
        <v>6946822.2629323117</v>
      </c>
      <c r="J283" s="550">
        <f t="shared" ca="1" si="172"/>
        <v>57086331.560091406</v>
      </c>
      <c r="K283" s="550">
        <f t="shared" ca="1" si="172"/>
        <v>14919107.173988493</v>
      </c>
      <c r="L283" s="550">
        <f t="shared" ca="1" si="172"/>
        <v>15824066.265007693</v>
      </c>
      <c r="M283" s="550">
        <f t="shared" ca="1" si="172"/>
        <v>16063300.346618453</v>
      </c>
      <c r="N283" s="550">
        <f t="shared" ca="1" si="172"/>
        <v>16382388.311893821</v>
      </c>
      <c r="O283" s="550">
        <f t="shared" ca="1" si="172"/>
        <v>59310529.562955879</v>
      </c>
      <c r="P283" s="550">
        <f t="shared" ca="1" si="172"/>
        <v>0</v>
      </c>
      <c r="Q283" s="550">
        <f t="shared" ca="1" si="172"/>
        <v>0</v>
      </c>
      <c r="R283" s="550">
        <f t="shared" ca="1" si="172"/>
        <v>0</v>
      </c>
      <c r="S283" s="550">
        <f t="shared" ca="1" si="172"/>
        <v>0</v>
      </c>
      <c r="T283" s="550">
        <f t="shared" ca="1" si="172"/>
        <v>0</v>
      </c>
      <c r="U283" s="550">
        <f t="shared" ca="1" si="172"/>
        <v>0</v>
      </c>
      <c r="V283" s="550">
        <f t="shared" ca="1" si="172"/>
        <v>0</v>
      </c>
      <c r="W283" s="550">
        <f t="shared" ca="1" si="172"/>
        <v>0</v>
      </c>
      <c r="X283" s="550">
        <f t="shared" ca="1" si="172"/>
        <v>0</v>
      </c>
      <c r="Y283" s="550">
        <f t="shared" ca="1" si="172"/>
        <v>0</v>
      </c>
      <c r="Z283" s="550">
        <f t="shared" ca="1" si="172"/>
        <v>0</v>
      </c>
    </row>
    <row r="285" spans="2:26" ht="15.75">
      <c r="B285" s="706" t="s">
        <v>111</v>
      </c>
      <c r="C285" s="706"/>
      <c r="D285" s="707">
        <f ca="1">+IRR(F283:Z283)</f>
        <v>0.13786783674743441</v>
      </c>
    </row>
    <row r="286" spans="2:26" ht="15.75">
      <c r="B286" s="689" t="s">
        <v>671</v>
      </c>
      <c r="C286" s="533"/>
      <c r="D286" s="692">
        <f ca="1">+SUM(F283:Z283)</f>
        <v>188895701.85019624</v>
      </c>
    </row>
    <row r="287" spans="2:26" ht="15.75">
      <c r="B287" s="708" t="s">
        <v>120</v>
      </c>
      <c r="C287" s="536"/>
      <c r="D287" s="709">
        <f ca="1">+D282/-D281</f>
        <v>2.2324385879786197</v>
      </c>
    </row>
    <row r="289" spans="2:26" ht="15.75">
      <c r="B289" s="444" t="s">
        <v>674</v>
      </c>
      <c r="C289" s="445"/>
      <c r="D289" s="445"/>
      <c r="E289" s="445"/>
      <c r="F289" s="640">
        <f>+F270</f>
        <v>44926</v>
      </c>
      <c r="G289" s="640">
        <f t="shared" ref="G289:Z289" si="173">+G270</f>
        <v>45291</v>
      </c>
      <c r="H289" s="640">
        <f t="shared" si="173"/>
        <v>45657</v>
      </c>
      <c r="I289" s="640">
        <f t="shared" si="173"/>
        <v>46022</v>
      </c>
      <c r="J289" s="640">
        <f t="shared" si="173"/>
        <v>46387</v>
      </c>
      <c r="K289" s="640">
        <f t="shared" si="173"/>
        <v>46752</v>
      </c>
      <c r="L289" s="640">
        <f t="shared" si="173"/>
        <v>47118</v>
      </c>
      <c r="M289" s="640">
        <f t="shared" si="173"/>
        <v>47483</v>
      </c>
      <c r="N289" s="640">
        <f t="shared" si="173"/>
        <v>47848</v>
      </c>
      <c r="O289" s="640">
        <f t="shared" si="173"/>
        <v>48213</v>
      </c>
      <c r="P289" s="640">
        <f t="shared" si="173"/>
        <v>48579</v>
      </c>
      <c r="Q289" s="640">
        <f t="shared" si="173"/>
        <v>48944</v>
      </c>
      <c r="R289" s="640">
        <f t="shared" si="173"/>
        <v>49309</v>
      </c>
      <c r="S289" s="640">
        <f t="shared" si="173"/>
        <v>49674</v>
      </c>
      <c r="T289" s="640">
        <f t="shared" si="173"/>
        <v>50040</v>
      </c>
      <c r="U289" s="640">
        <f t="shared" si="173"/>
        <v>50405</v>
      </c>
      <c r="V289" s="640">
        <f t="shared" si="173"/>
        <v>50770</v>
      </c>
      <c r="W289" s="640">
        <f t="shared" si="173"/>
        <v>51135</v>
      </c>
      <c r="X289" s="640">
        <f t="shared" si="173"/>
        <v>51501</v>
      </c>
      <c r="Y289" s="640">
        <f t="shared" si="173"/>
        <v>51866</v>
      </c>
      <c r="Z289" s="640">
        <f t="shared" si="173"/>
        <v>52231</v>
      </c>
    </row>
    <row r="290" spans="2:26" ht="15.75">
      <c r="B290" s="54"/>
    </row>
    <row r="291" spans="2:26" ht="15.75">
      <c r="B291" s="73" t="s">
        <v>675</v>
      </c>
      <c r="F291" s="73">
        <v>0</v>
      </c>
      <c r="G291" s="73">
        <f>+F291+1</f>
        <v>1</v>
      </c>
      <c r="H291" s="73">
        <f t="shared" ref="H291:Z291" si="174">+G291+1</f>
        <v>2</v>
      </c>
      <c r="I291" s="73">
        <f t="shared" si="174"/>
        <v>3</v>
      </c>
      <c r="J291" s="73">
        <f t="shared" si="174"/>
        <v>4</v>
      </c>
      <c r="K291" s="73">
        <f t="shared" si="174"/>
        <v>5</v>
      </c>
      <c r="L291" s="73">
        <f t="shared" si="174"/>
        <v>6</v>
      </c>
      <c r="M291" s="73">
        <f t="shared" si="174"/>
        <v>7</v>
      </c>
      <c r="N291" s="73">
        <f t="shared" si="174"/>
        <v>8</v>
      </c>
      <c r="O291" s="73">
        <f t="shared" si="174"/>
        <v>9</v>
      </c>
      <c r="P291" s="73">
        <f t="shared" si="174"/>
        <v>10</v>
      </c>
      <c r="Q291" s="73">
        <f t="shared" si="174"/>
        <v>11</v>
      </c>
      <c r="R291" s="73">
        <f t="shared" si="174"/>
        <v>12</v>
      </c>
      <c r="S291" s="73">
        <f t="shared" si="174"/>
        <v>13</v>
      </c>
      <c r="T291" s="73">
        <f t="shared" si="174"/>
        <v>14</v>
      </c>
      <c r="U291" s="73">
        <f t="shared" si="174"/>
        <v>15</v>
      </c>
      <c r="V291" s="73">
        <f t="shared" si="174"/>
        <v>16</v>
      </c>
      <c r="W291" s="73">
        <f t="shared" si="174"/>
        <v>17</v>
      </c>
      <c r="X291" s="73">
        <f t="shared" si="174"/>
        <v>18</v>
      </c>
      <c r="Y291" s="73">
        <f t="shared" si="174"/>
        <v>19</v>
      </c>
      <c r="Z291" s="73">
        <f t="shared" si="174"/>
        <v>20</v>
      </c>
    </row>
    <row r="292" spans="2:26" ht="15.75">
      <c r="B292" s="15" t="s">
        <v>676</v>
      </c>
      <c r="D292" s="26"/>
      <c r="E292" s="26"/>
      <c r="F292" s="16">
        <f ca="1">+F$281</f>
        <v>-372000</v>
      </c>
      <c r="G292" s="16">
        <f t="shared" ref="G292:Z292" ca="1" si="175">+G$281</f>
        <v>-134401513.36956593</v>
      </c>
      <c r="H292" s="16">
        <f t="shared" ca="1" si="175"/>
        <v>-42600803.100950703</v>
      </c>
      <c r="I292" s="16">
        <f t="shared" ca="1" si="175"/>
        <v>0</v>
      </c>
      <c r="J292" s="16">
        <f t="shared" ca="1" si="175"/>
        <v>0</v>
      </c>
      <c r="K292" s="16">
        <f t="shared" ca="1" si="175"/>
        <v>0</v>
      </c>
      <c r="L292" s="16">
        <f t="shared" ca="1" si="175"/>
        <v>0</v>
      </c>
      <c r="M292" s="16">
        <f t="shared" ca="1" si="175"/>
        <v>0</v>
      </c>
      <c r="N292" s="16">
        <f t="shared" ca="1" si="175"/>
        <v>0</v>
      </c>
      <c r="O292" s="16">
        <f t="shared" ca="1" si="175"/>
        <v>0</v>
      </c>
      <c r="P292" s="16">
        <f t="shared" ca="1" si="175"/>
        <v>0</v>
      </c>
      <c r="Q292" s="16">
        <f t="shared" ca="1" si="175"/>
        <v>0</v>
      </c>
      <c r="R292" s="16">
        <f t="shared" ca="1" si="175"/>
        <v>0</v>
      </c>
      <c r="S292" s="16">
        <f t="shared" ca="1" si="175"/>
        <v>0</v>
      </c>
      <c r="T292" s="16">
        <f t="shared" ca="1" si="175"/>
        <v>0</v>
      </c>
      <c r="U292" s="16">
        <f t="shared" ca="1" si="175"/>
        <v>0</v>
      </c>
      <c r="V292" s="16">
        <f t="shared" ca="1" si="175"/>
        <v>0</v>
      </c>
      <c r="W292" s="16">
        <f t="shared" ca="1" si="175"/>
        <v>0</v>
      </c>
      <c r="X292" s="16">
        <f t="shared" ca="1" si="175"/>
        <v>0</v>
      </c>
      <c r="Y292" s="16">
        <f t="shared" ca="1" si="175"/>
        <v>0</v>
      </c>
      <c r="Z292" s="16">
        <f t="shared" ca="1" si="175"/>
        <v>0</v>
      </c>
    </row>
    <row r="293" spans="2:26" ht="15.75">
      <c r="B293" s="15" t="s">
        <v>677</v>
      </c>
      <c r="D293" s="26"/>
      <c r="E293" s="26"/>
      <c r="F293" s="76">
        <v>0</v>
      </c>
      <c r="G293" s="76">
        <v>0</v>
      </c>
      <c r="H293" s="76">
        <v>0</v>
      </c>
      <c r="I293" s="76">
        <v>0</v>
      </c>
      <c r="J293" s="76">
        <v>0</v>
      </c>
      <c r="K293" s="76">
        <v>0</v>
      </c>
      <c r="L293" s="76">
        <v>0</v>
      </c>
      <c r="M293" s="76">
        <v>0</v>
      </c>
      <c r="N293" s="76">
        <v>0</v>
      </c>
      <c r="O293" s="76">
        <v>0</v>
      </c>
      <c r="P293" s="76">
        <v>0</v>
      </c>
      <c r="Q293" s="76">
        <v>0</v>
      </c>
      <c r="R293" s="76">
        <v>0</v>
      </c>
      <c r="S293" s="76">
        <v>0</v>
      </c>
      <c r="T293" s="76">
        <v>0</v>
      </c>
      <c r="U293" s="76">
        <v>0</v>
      </c>
      <c r="V293" s="76">
        <v>0</v>
      </c>
      <c r="W293" s="76">
        <v>0</v>
      </c>
      <c r="X293" s="76">
        <v>0</v>
      </c>
      <c r="Y293" s="76">
        <v>0</v>
      </c>
      <c r="Z293" s="76">
        <v>0</v>
      </c>
    </row>
    <row r="294" spans="2:26" ht="15.75">
      <c r="B294" s="15" t="s">
        <v>678</v>
      </c>
      <c r="D294" s="26"/>
      <c r="E294" s="26"/>
      <c r="F294" s="76">
        <v>0</v>
      </c>
      <c r="G294" s="76">
        <v>0</v>
      </c>
      <c r="H294" s="76">
        <v>0</v>
      </c>
      <c r="I294" s="76">
        <v>0</v>
      </c>
      <c r="J294" s="76">
        <v>0</v>
      </c>
      <c r="K294" s="76">
        <v>0</v>
      </c>
      <c r="L294" s="76">
        <v>0</v>
      </c>
      <c r="M294" s="76">
        <v>0</v>
      </c>
      <c r="N294" s="76">
        <v>0</v>
      </c>
      <c r="O294" s="76">
        <v>0</v>
      </c>
      <c r="P294" s="76">
        <v>0</v>
      </c>
      <c r="Q294" s="76">
        <v>0</v>
      </c>
      <c r="R294" s="76">
        <v>0</v>
      </c>
      <c r="S294" s="76">
        <v>0</v>
      </c>
      <c r="T294" s="76">
        <v>0</v>
      </c>
      <c r="U294" s="76">
        <v>0</v>
      </c>
      <c r="V294" s="76">
        <v>0</v>
      </c>
      <c r="W294" s="76">
        <v>0</v>
      </c>
      <c r="X294" s="76">
        <v>0</v>
      </c>
      <c r="Y294" s="76">
        <v>0</v>
      </c>
      <c r="Z294" s="76">
        <v>0</v>
      </c>
    </row>
    <row r="295" spans="2:26" ht="15.75">
      <c r="B295" s="15" t="s">
        <v>679</v>
      </c>
      <c r="D295" s="26"/>
      <c r="E295" s="26"/>
      <c r="F295" s="76">
        <f ca="1">-SUM(F322:F323)*Assumptions!$M$192</f>
        <v>0</v>
      </c>
      <c r="G295" s="76">
        <f ca="1">-SUM(G322:G323)*Assumptions!$M$192</f>
        <v>0</v>
      </c>
      <c r="H295" s="76">
        <f ca="1">-SUM(H322:H323)*Assumptions!$M$192</f>
        <v>0</v>
      </c>
      <c r="I295" s="76">
        <f ca="1">-SUM(I322:I323)*Assumptions!$M$192</f>
        <v>-1458832.6752157854</v>
      </c>
      <c r="J295" s="76">
        <f ca="1">-SUM(J322:J323)*Assumptions!$M$192</f>
        <v>-1687310.9331329281</v>
      </c>
      <c r="K295" s="76">
        <f ca="1">-SUM(K322:K323)*Assumptions!$M$192</f>
        <v>-1778362.4632509614</v>
      </c>
      <c r="L295" s="76">
        <f ca="1">-SUM(L322:L323)*Assumptions!$M$192</f>
        <v>-1968403.8723649939</v>
      </c>
      <c r="M295" s="76">
        <f ca="1">-SUM(M322:M323)*Assumptions!$M$192</f>
        <v>-2018643.0295032531</v>
      </c>
      <c r="N295" s="76">
        <f ca="1">-SUM(N322:N323)*Assumptions!$M$192</f>
        <v>-2085651.5022110806</v>
      </c>
      <c r="O295" s="76">
        <f ca="1">-SUM(O322:O323)*Assumptions!$M$192</f>
        <v>0</v>
      </c>
      <c r="P295" s="76">
        <f>-SUM(P322:P323)*Assumptions!$M$192</f>
        <v>0</v>
      </c>
      <c r="Q295" s="76">
        <f>-SUM(Q322:Q323)*Assumptions!$M$192</f>
        <v>0</v>
      </c>
      <c r="R295" s="76">
        <f>-SUM(R322:R323)*Assumptions!$M$192</f>
        <v>0</v>
      </c>
      <c r="S295" s="76">
        <f>-SUM(S322:S323)*Assumptions!$M$192</f>
        <v>0</v>
      </c>
      <c r="T295" s="76">
        <f>-SUM(T322:T323)*Assumptions!$M$192</f>
        <v>0</v>
      </c>
      <c r="U295" s="76">
        <f>-SUM(U322:U323)*Assumptions!$M$192</f>
        <v>0</v>
      </c>
      <c r="V295" s="76">
        <f>-SUM(V322:V323)*Assumptions!$M$192</f>
        <v>0</v>
      </c>
      <c r="W295" s="76">
        <f>-SUM(W322:W323)*Assumptions!$M$192</f>
        <v>0</v>
      </c>
      <c r="X295" s="76">
        <f>-SUM(X322:X323)*Assumptions!$M$192</f>
        <v>0</v>
      </c>
      <c r="Y295" s="76">
        <f>-SUM(Y322:Y323)*Assumptions!$M$192</f>
        <v>0</v>
      </c>
      <c r="Z295" s="76">
        <f>-SUM(Z322:Z323)*Assumptions!$M$192</f>
        <v>0</v>
      </c>
    </row>
    <row r="296" spans="2:26" ht="15.75">
      <c r="B296" s="15" t="s">
        <v>680</v>
      </c>
      <c r="D296" s="26"/>
      <c r="E296" s="26"/>
      <c r="F296" s="76">
        <f ca="1">+IF(YEAR(F$139)&lt;=YEAR(Assumptions!$G$30),F253,0)</f>
        <v>0</v>
      </c>
      <c r="G296" s="76">
        <f ca="1">+IF(YEAR(G$139)&lt;=YEAR(Assumptions!$G$30),G253,0)</f>
        <v>0</v>
      </c>
      <c r="H296" s="76">
        <f ca="1">+IF(YEAR(H$139)&lt;=YEAR(Assumptions!$G$30),H253,0)</f>
        <v>0</v>
      </c>
      <c r="I296" s="76">
        <f ca="1">+IF(YEAR(I$139)&lt;=YEAR(Assumptions!$G$30),I253,0)</f>
        <v>6946822.2629323117</v>
      </c>
      <c r="J296" s="76">
        <f ca="1">+IF(YEAR(J$139)&lt;=YEAR(Assumptions!$G$30),J253,0)</f>
        <v>14485528.459140714</v>
      </c>
      <c r="K296" s="76">
        <f ca="1">+IF(YEAR(K$139)&lt;=YEAR(Assumptions!$G$30),K253,0)</f>
        <v>14919107.173988493</v>
      </c>
      <c r="L296" s="76">
        <f ca="1">+IF(YEAR(L$139)&lt;=YEAR(Assumptions!$G$30),L253,0)</f>
        <v>15824066.265007693</v>
      </c>
      <c r="M296" s="76">
        <f ca="1">+IF(YEAR(M$139)&lt;=YEAR(Assumptions!$G$30),M253,0)</f>
        <v>16063300.346618453</v>
      </c>
      <c r="N296" s="76">
        <f ca="1">+IF(YEAR(N$139)&lt;=YEAR(Assumptions!$G$30),N253,0)</f>
        <v>16382388.311893821</v>
      </c>
      <c r="O296" s="76">
        <f ca="1">+IF(YEAR(O$139)&lt;=YEAR(Assumptions!$G$30),O253,0)</f>
        <v>16709726.462005191</v>
      </c>
      <c r="P296" s="76">
        <f>+IF(YEAR(P$139)&lt;=YEAR(Assumptions!$G$30),P253,0)</f>
        <v>0</v>
      </c>
      <c r="Q296" s="76">
        <f>+IF(YEAR(Q$139)&lt;=YEAR(Assumptions!$G$30),Q253,0)</f>
        <v>0</v>
      </c>
      <c r="R296" s="76">
        <f>+IF(YEAR(R$139)&lt;=YEAR(Assumptions!$G$30),R253,0)</f>
        <v>0</v>
      </c>
      <c r="S296" s="76">
        <f>+IF(YEAR(S$139)&lt;=YEAR(Assumptions!$G$30),S253,0)</f>
        <v>0</v>
      </c>
      <c r="T296" s="76">
        <f>+IF(YEAR(T$139)&lt;=YEAR(Assumptions!$G$30),T253,0)</f>
        <v>0</v>
      </c>
      <c r="U296" s="76">
        <f>+IF(YEAR(U$139)&lt;=YEAR(Assumptions!$G$30),U253,0)</f>
        <v>0</v>
      </c>
      <c r="V296" s="76">
        <f>+IF(YEAR(V$139)&lt;=YEAR(Assumptions!$G$30),V253,0)</f>
        <v>0</v>
      </c>
      <c r="W296" s="76">
        <f>+IF(YEAR(W$139)&lt;=YEAR(Assumptions!$G$30),W253,0)</f>
        <v>0</v>
      </c>
      <c r="X296" s="76">
        <f>+IF(YEAR(X$139)&lt;=YEAR(Assumptions!$G$30),X253,0)</f>
        <v>0</v>
      </c>
      <c r="Y296" s="76">
        <f>+IF(YEAR(Y$139)&lt;=YEAR(Assumptions!$G$30),Y253,0)</f>
        <v>0</v>
      </c>
      <c r="Z296" s="76">
        <f>+IF(YEAR(Z$139)&lt;=YEAR(Assumptions!$G$30),Z253,0)</f>
        <v>0</v>
      </c>
    </row>
    <row r="297" spans="2:26" ht="15.75">
      <c r="B297" s="15" t="s">
        <v>681</v>
      </c>
      <c r="D297" s="26"/>
      <c r="E297" s="26"/>
      <c r="F297" s="76">
        <f>+IF(YEAR(F$139)&lt;=YEAR(Assumptions!$G$30),F258,0)</f>
        <v>0</v>
      </c>
      <c r="G297" s="76">
        <f>+IF(YEAR(G$139)&lt;=YEAR(Assumptions!$G$30),G258,0)</f>
        <v>0</v>
      </c>
      <c r="H297" s="76">
        <f>+IF(YEAR(H$139)&lt;=YEAR(Assumptions!$G$30),H258,0)</f>
        <v>0</v>
      </c>
      <c r="I297" s="76">
        <f>+IF(YEAR(I$139)&lt;=YEAR(Assumptions!$G$30),I258,0)</f>
        <v>0</v>
      </c>
      <c r="J297" s="76">
        <f>+IF(YEAR(J$139)&lt;=YEAR(Assumptions!$G$30),J258,0)</f>
        <v>0</v>
      </c>
      <c r="K297" s="76">
        <f>+IF(YEAR(K$139)&lt;=YEAR(Assumptions!$G$30),K258,0)</f>
        <v>0</v>
      </c>
      <c r="L297" s="76">
        <f>+IF(YEAR(L$139)&lt;=YEAR(Assumptions!$G$30),L258,0)</f>
        <v>0</v>
      </c>
      <c r="M297" s="76">
        <f>+IF(YEAR(M$139)&lt;=YEAR(Assumptions!$G$30),M258,0)</f>
        <v>0</v>
      </c>
      <c r="N297" s="76">
        <f>+IF(YEAR(N$139)&lt;=YEAR(Assumptions!$G$30),N258,0)</f>
        <v>0</v>
      </c>
      <c r="O297" s="76">
        <f ca="1">+IF(YEAR(O$139)&lt;=YEAR(Assumptions!$G$30),O258,0)</f>
        <v>0</v>
      </c>
      <c r="P297" s="76">
        <f>+IF(YEAR(P$139)&lt;=YEAR(Assumptions!$G$30),P258,0)</f>
        <v>0</v>
      </c>
      <c r="Q297" s="76">
        <f>+IF(YEAR(Q$139)&lt;=YEAR(Assumptions!$G$30),Q258,0)</f>
        <v>0</v>
      </c>
      <c r="R297" s="76">
        <f>+IF(YEAR(R$139)&lt;=YEAR(Assumptions!$G$30),R258,0)</f>
        <v>0</v>
      </c>
      <c r="S297" s="76">
        <f>+IF(YEAR(S$139)&lt;=YEAR(Assumptions!$G$30),S258,0)</f>
        <v>0</v>
      </c>
      <c r="T297" s="76">
        <f>+IF(YEAR(T$139)&lt;=YEAR(Assumptions!$G$30),T258,0)</f>
        <v>0</v>
      </c>
      <c r="U297" s="76">
        <f>+IF(YEAR(U$139)&lt;=YEAR(Assumptions!$G$30),U258,0)</f>
        <v>0</v>
      </c>
      <c r="V297" s="76">
        <f>+IF(YEAR(V$139)&lt;=YEAR(Assumptions!$G$30),V258,0)</f>
        <v>0</v>
      </c>
      <c r="W297" s="76">
        <f>+IF(YEAR(W$139)&lt;=YEAR(Assumptions!$G$30),W258,0)</f>
        <v>0</v>
      </c>
      <c r="X297" s="76">
        <f>+IF(YEAR(X$139)&lt;=YEAR(Assumptions!$G$30),X258,0)</f>
        <v>0</v>
      </c>
      <c r="Y297" s="76">
        <f>+IF(YEAR(Y$139)&lt;=YEAR(Assumptions!$G$30),Y258,0)</f>
        <v>0</v>
      </c>
      <c r="Z297" s="76">
        <f>+IF(YEAR(Z$139)&lt;=YEAR(Assumptions!$G$30),Z258,0)</f>
        <v>0</v>
      </c>
    </row>
    <row r="298" spans="2:26" ht="15.75">
      <c r="B298" s="15" t="s">
        <v>682</v>
      </c>
      <c r="D298" s="26"/>
      <c r="E298" s="26"/>
      <c r="F298" s="76">
        <f>-F326*Assumptions!$M$192</f>
        <v>0</v>
      </c>
      <c r="G298" s="76">
        <f>-G326*Assumptions!$M$192</f>
        <v>0</v>
      </c>
      <c r="H298" s="76">
        <f>-H326*Assumptions!$M$192</f>
        <v>0</v>
      </c>
      <c r="I298" s="76">
        <f>-I326*Assumptions!$M$192</f>
        <v>0</v>
      </c>
      <c r="J298" s="76">
        <f>-J326*Assumptions!$M$192</f>
        <v>0</v>
      </c>
      <c r="K298" s="76">
        <f>-K326*Assumptions!$M$192</f>
        <v>0</v>
      </c>
      <c r="L298" s="76">
        <f>-L326*Assumptions!$M$192</f>
        <v>0</v>
      </c>
      <c r="M298" s="76">
        <f>-M326*Assumptions!$M$192</f>
        <v>0</v>
      </c>
      <c r="N298" s="76">
        <f>-N326*Assumptions!$M$192</f>
        <v>0</v>
      </c>
      <c r="O298" s="76">
        <f ca="1">-O326*Assumptions!$M$192</f>
        <v>0</v>
      </c>
      <c r="P298" s="76">
        <f>-P326*Assumptions!$M$192</f>
        <v>0</v>
      </c>
      <c r="Q298" s="76">
        <f>-Q326*Assumptions!$M$192</f>
        <v>0</v>
      </c>
      <c r="R298" s="76">
        <f>-R326*Assumptions!$M$192</f>
        <v>0</v>
      </c>
      <c r="S298" s="76">
        <f>-S326*Assumptions!$M$192</f>
        <v>0</v>
      </c>
      <c r="T298" s="76">
        <f>-T326*Assumptions!$M$192</f>
        <v>0</v>
      </c>
      <c r="U298" s="76">
        <f>-U326*Assumptions!$M$192</f>
        <v>0</v>
      </c>
      <c r="V298" s="76">
        <f>-V326*Assumptions!$M$192</f>
        <v>0</v>
      </c>
      <c r="W298" s="76">
        <f>-W326*Assumptions!$M$192</f>
        <v>0</v>
      </c>
      <c r="X298" s="76">
        <f>-X326*Assumptions!$M$192</f>
        <v>0</v>
      </c>
      <c r="Y298" s="76">
        <f>-Y326*Assumptions!$M$192</f>
        <v>0</v>
      </c>
      <c r="Z298" s="76">
        <f>-Z326*Assumptions!$M$192</f>
        <v>0</v>
      </c>
    </row>
    <row r="299" spans="2:26" ht="15.75">
      <c r="B299" s="687" t="s">
        <v>675</v>
      </c>
      <c r="C299" s="687"/>
      <c r="D299" s="550">
        <f t="shared" ref="D299" ca="1" si="176">+SUM(F299:Z299)</f>
        <v>-79645861.402721345</v>
      </c>
      <c r="E299" s="550"/>
      <c r="F299" s="550">
        <f t="shared" ref="F299:Z299" ca="1" si="177">+SUM(F292:F298)</f>
        <v>-18868356.37705791</v>
      </c>
      <c r="G299" s="550">
        <f t="shared" ca="1" si="177"/>
        <v>-91800710.268615231</v>
      </c>
      <c r="H299" s="550">
        <f t="shared" ca="1" si="177"/>
        <v>-42600803.100950703</v>
      </c>
      <c r="I299" s="550">
        <f t="shared" ca="1" si="177"/>
        <v>5487989.5877165264</v>
      </c>
      <c r="J299" s="550">
        <f t="shared" ca="1" si="177"/>
        <v>12798217.526007786</v>
      </c>
      <c r="K299" s="550">
        <f t="shared" ca="1" si="177"/>
        <v>13140744.710737532</v>
      </c>
      <c r="L299" s="550">
        <f t="shared" ca="1" si="177"/>
        <v>13855662.392642699</v>
      </c>
      <c r="M299" s="550">
        <f t="shared" ca="1" si="177"/>
        <v>14044657.317115201</v>
      </c>
      <c r="N299" s="550">
        <f t="shared" ca="1" si="177"/>
        <v>14296736.809682742</v>
      </c>
      <c r="O299" s="550">
        <f t="shared" ca="1" si="177"/>
        <v>0</v>
      </c>
      <c r="P299" s="550">
        <f t="shared" ca="1" si="177"/>
        <v>0</v>
      </c>
      <c r="Q299" s="550">
        <f t="shared" ca="1" si="177"/>
        <v>0</v>
      </c>
      <c r="R299" s="550">
        <f t="shared" ca="1" si="177"/>
        <v>0</v>
      </c>
      <c r="S299" s="550">
        <f t="shared" ca="1" si="177"/>
        <v>0</v>
      </c>
      <c r="T299" s="550">
        <f t="shared" ca="1" si="177"/>
        <v>0</v>
      </c>
      <c r="U299" s="550">
        <f t="shared" ca="1" si="177"/>
        <v>0</v>
      </c>
      <c r="V299" s="550">
        <f t="shared" ca="1" si="177"/>
        <v>0</v>
      </c>
      <c r="W299" s="550">
        <f t="shared" ca="1" si="177"/>
        <v>0</v>
      </c>
      <c r="X299" s="550">
        <f t="shared" ca="1" si="177"/>
        <v>0</v>
      </c>
      <c r="Y299" s="550">
        <f t="shared" ca="1" si="177"/>
        <v>0</v>
      </c>
      <c r="Z299" s="550">
        <f t="shared" ca="1" si="177"/>
        <v>0</v>
      </c>
    </row>
    <row r="300" spans="2:26" ht="15.75">
      <c r="B300" s="54"/>
    </row>
    <row r="301" spans="2:26" ht="15.75">
      <c r="B301" s="539" t="s">
        <v>683</v>
      </c>
      <c r="C301" s="539"/>
      <c r="D301" s="711">
        <f ca="1">+IRR(F299:Z299)</f>
        <v>-0.14081119006079734</v>
      </c>
    </row>
    <row r="302" spans="2:26" ht="15.75">
      <c r="B302" s="54"/>
    </row>
    <row r="303" spans="2:26" ht="15.75">
      <c r="B303" s="73" t="s">
        <v>684</v>
      </c>
      <c r="F303" s="73">
        <f>+F291</f>
        <v>0</v>
      </c>
      <c r="G303" s="73">
        <f t="shared" ref="G303:Z304" si="178">+G291</f>
        <v>1</v>
      </c>
      <c r="H303" s="73">
        <f t="shared" si="178"/>
        <v>2</v>
      </c>
      <c r="I303" s="73">
        <f t="shared" si="178"/>
        <v>3</v>
      </c>
      <c r="J303" s="73">
        <f t="shared" si="178"/>
        <v>4</v>
      </c>
      <c r="K303" s="73">
        <f t="shared" si="178"/>
        <v>5</v>
      </c>
      <c r="L303" s="73">
        <f t="shared" si="178"/>
        <v>6</v>
      </c>
      <c r="M303" s="73">
        <f t="shared" si="178"/>
        <v>7</v>
      </c>
      <c r="N303" s="73">
        <f t="shared" si="178"/>
        <v>8</v>
      </c>
      <c r="O303" s="73">
        <f t="shared" si="178"/>
        <v>9</v>
      </c>
      <c r="P303" s="73">
        <f t="shared" si="178"/>
        <v>10</v>
      </c>
      <c r="Q303" s="73">
        <f t="shared" si="178"/>
        <v>11</v>
      </c>
      <c r="R303" s="73">
        <f t="shared" si="178"/>
        <v>12</v>
      </c>
      <c r="S303" s="73">
        <f t="shared" si="178"/>
        <v>13</v>
      </c>
      <c r="T303" s="73">
        <f t="shared" si="178"/>
        <v>14</v>
      </c>
      <c r="U303" s="73">
        <f t="shared" si="178"/>
        <v>15</v>
      </c>
      <c r="V303" s="73">
        <f t="shared" si="178"/>
        <v>16</v>
      </c>
      <c r="W303" s="73">
        <f t="shared" si="178"/>
        <v>17</v>
      </c>
      <c r="X303" s="73">
        <f t="shared" si="178"/>
        <v>18</v>
      </c>
      <c r="Y303" s="73">
        <f t="shared" si="178"/>
        <v>19</v>
      </c>
      <c r="Z303" s="73">
        <f t="shared" si="178"/>
        <v>20</v>
      </c>
    </row>
    <row r="304" spans="2:26" ht="15.75">
      <c r="B304" s="15" t="s">
        <v>676</v>
      </c>
      <c r="D304" s="26"/>
      <c r="E304" s="26"/>
      <c r="F304" s="16">
        <f ca="1">+F292</f>
        <v>-18868356.37705791</v>
      </c>
      <c r="G304" s="16">
        <f t="shared" ca="1" si="178"/>
        <v>-134401513.36956593</v>
      </c>
      <c r="H304" s="16">
        <f t="shared" ca="1" si="178"/>
        <v>-42600803.100950703</v>
      </c>
      <c r="I304" s="16">
        <f t="shared" ca="1" si="178"/>
        <v>0</v>
      </c>
      <c r="J304" s="16">
        <f t="shared" ca="1" si="178"/>
        <v>0</v>
      </c>
      <c r="K304" s="16">
        <f t="shared" ca="1" si="178"/>
        <v>0</v>
      </c>
      <c r="L304" s="16">
        <f t="shared" ca="1" si="178"/>
        <v>0</v>
      </c>
      <c r="M304" s="16">
        <f t="shared" ca="1" si="178"/>
        <v>0</v>
      </c>
      <c r="N304" s="16">
        <f t="shared" ca="1" si="178"/>
        <v>0</v>
      </c>
      <c r="O304" s="16">
        <f t="shared" ca="1" si="178"/>
        <v>0</v>
      </c>
      <c r="P304" s="16">
        <f t="shared" ca="1" si="178"/>
        <v>0</v>
      </c>
      <c r="Q304" s="16">
        <f t="shared" ca="1" si="178"/>
        <v>0</v>
      </c>
      <c r="R304" s="16">
        <f t="shared" ca="1" si="178"/>
        <v>0</v>
      </c>
      <c r="S304" s="16">
        <f t="shared" ca="1" si="178"/>
        <v>0</v>
      </c>
      <c r="T304" s="16">
        <f t="shared" ca="1" si="178"/>
        <v>0</v>
      </c>
      <c r="U304" s="16">
        <f t="shared" ca="1" si="178"/>
        <v>0</v>
      </c>
      <c r="V304" s="16">
        <f t="shared" ca="1" si="178"/>
        <v>0</v>
      </c>
      <c r="W304" s="16">
        <f t="shared" ca="1" si="178"/>
        <v>0</v>
      </c>
      <c r="X304" s="16">
        <f t="shared" ca="1" si="178"/>
        <v>0</v>
      </c>
      <c r="Y304" s="16">
        <f t="shared" ca="1" si="178"/>
        <v>0</v>
      </c>
      <c r="Z304" s="16">
        <f t="shared" ca="1" si="178"/>
        <v>0</v>
      </c>
    </row>
    <row r="305" spans="2:26" ht="15.75">
      <c r="B305" s="15" t="s">
        <v>677</v>
      </c>
      <c r="D305" s="26"/>
      <c r="E305" s="26"/>
      <c r="F305" s="76">
        <f ca="1">-F304*Assumptions!$M$192</f>
        <v>3962354.8391821608</v>
      </c>
      <c r="G305" s="76">
        <f ca="1">-G304*Assumptions!$M$192</f>
        <v>28224317.807608847</v>
      </c>
      <c r="H305" s="76">
        <f ca="1">-H304*Assumptions!$M$192</f>
        <v>8946168.6511996482</v>
      </c>
      <c r="I305" s="76">
        <f ca="1">-I304*Assumptions!$M$192</f>
        <v>0</v>
      </c>
      <c r="J305" s="76">
        <f ca="1">-J304*Assumptions!$M$192</f>
        <v>0</v>
      </c>
      <c r="K305" s="76">
        <f ca="1">-K304*Assumptions!$M$192</f>
        <v>0</v>
      </c>
      <c r="L305" s="76">
        <f ca="1">-L304*Assumptions!$M$192</f>
        <v>0</v>
      </c>
      <c r="M305" s="76">
        <f ca="1">-M304*Assumptions!$M$192</f>
        <v>0</v>
      </c>
      <c r="N305" s="76">
        <f ca="1">-N304*Assumptions!$M$192</f>
        <v>0</v>
      </c>
      <c r="O305" s="76">
        <f ca="1">-O304*Assumptions!$M$192</f>
        <v>0</v>
      </c>
      <c r="P305" s="76">
        <f ca="1">-P304*Assumptions!$M$192</f>
        <v>0</v>
      </c>
      <c r="Q305" s="76">
        <f ca="1">-Q304*Assumptions!$M$192</f>
        <v>0</v>
      </c>
      <c r="R305" s="76">
        <f ca="1">-R304*Assumptions!$M$192</f>
        <v>0</v>
      </c>
      <c r="S305" s="76">
        <f ca="1">-S304*Assumptions!$M$192</f>
        <v>0</v>
      </c>
      <c r="T305" s="76">
        <f ca="1">-T304*Assumptions!$M$192</f>
        <v>0</v>
      </c>
      <c r="U305" s="76">
        <f ca="1">-U304*Assumptions!$M$192</f>
        <v>0</v>
      </c>
      <c r="V305" s="76">
        <f ca="1">-V304*Assumptions!$M$192</f>
        <v>0</v>
      </c>
      <c r="W305" s="76">
        <f ca="1">-W304*Assumptions!$M$192</f>
        <v>0</v>
      </c>
      <c r="X305" s="76">
        <f ca="1">-X304*Assumptions!$M$192</f>
        <v>0</v>
      </c>
      <c r="Y305" s="76">
        <f ca="1">-Y304*Assumptions!$M$192</f>
        <v>0</v>
      </c>
      <c r="Z305" s="76">
        <f ca="1">-Z304*Assumptions!$M$192</f>
        <v>0</v>
      </c>
    </row>
    <row r="306" spans="2:26" ht="15.75">
      <c r="B306" s="15" t="s">
        <v>678</v>
      </c>
      <c r="D306" s="26"/>
      <c r="E306" s="26"/>
      <c r="F306" s="76">
        <f ca="1">IFERROR(-IF(YEAR(F289)&lt;MIN(YEAR(Assumptions!$G$30),2026),(OFFSET(F305,0,-10)),IF(YEAR(F289)=MIN(YEAR(Assumptions!$G$30),2026),SUM($E$305:F$305)-SUM($E$306:E$306),0)),0)</f>
        <v>0</v>
      </c>
      <c r="G306" s="76">
        <f ca="1">IFERROR(-IF(YEAR(G289)&lt;MIN(YEAR(Assumptions!$G$30),2026),(OFFSET(G305,0,-10)),IF(YEAR(G289)=MIN(YEAR(Assumptions!$G$30),2026),SUM($E$305:G$305)-SUM($E$306:F$306),0)),0)</f>
        <v>0</v>
      </c>
      <c r="H306" s="76">
        <f ca="1">IFERROR(-IF(YEAR(H289)&lt;MIN(YEAR(Assumptions!$G$30),2026),(OFFSET(H305,0,-10)),IF(YEAR(H289)=MIN(YEAR(Assumptions!$G$30),2026),SUM($E$305:H$305)-SUM($E$306:G$306),0)),0)</f>
        <v>0</v>
      </c>
      <c r="I306" s="76">
        <f ca="1">IFERROR(-IF(YEAR(I289)&lt;MIN(YEAR(Assumptions!$G$30),2026),(OFFSET(I305,0,-10)),IF(YEAR(I289)=MIN(YEAR(Assumptions!$G$30),2026),SUM($E$305:I$305)-SUM($E$306:H$306),0)),0)</f>
        <v>0</v>
      </c>
      <c r="J306" s="76">
        <f ca="1">IFERROR(-IF(YEAR(J289)&lt;MIN(YEAR(Assumptions!$G$30),2026),(OFFSET(J305,0,-10)),IF(YEAR(J289)=MIN(YEAR(Assumptions!$G$30),2026),SUM($E$305:J$305)-SUM($E$306:I$306),0)),0)</f>
        <v>-32186672.646791004</v>
      </c>
      <c r="K306" s="76">
        <f ca="1">IFERROR(-IF(YEAR(K289)&lt;MIN(YEAR(Assumptions!$G$30),2026),(OFFSET(K305,0,-10)),IF(YEAR(K289)=MIN(YEAR(Assumptions!$G$30),2026),SUM($E$305:K$305)-SUM($E$306:J$306),0)),0)</f>
        <v>0</v>
      </c>
      <c r="L306" s="76">
        <f ca="1">IFERROR(-IF(YEAR(L289)&lt;MIN(YEAR(Assumptions!$G$30),2026),(OFFSET(L305,0,-10)),IF(YEAR(L289)=MIN(YEAR(Assumptions!$G$30),2026),SUM($E$305:L$305)-SUM($E$306:K$306),0)),0)</f>
        <v>0</v>
      </c>
      <c r="M306" s="76">
        <f ca="1">IFERROR(-IF(YEAR(M289)&lt;MIN(YEAR(Assumptions!$G$30),2026),(OFFSET(M305,0,-10)),IF(YEAR(M289)=MIN(YEAR(Assumptions!$G$30),2026),SUM($E$305:M$305)-SUM($E$306:L$306),0)),0)</f>
        <v>0</v>
      </c>
      <c r="N306" s="76">
        <f ca="1">IFERROR(-IF(YEAR(N289)&lt;MIN(YEAR(Assumptions!$G$30),2026),(OFFSET(N305,0,-10)),IF(YEAR(N289)=MIN(YEAR(Assumptions!$G$30),2026),SUM($E$305:N$305)-SUM($E$306:M$306),0)),0)</f>
        <v>0</v>
      </c>
      <c r="O306" s="76">
        <f ca="1">IFERROR(-IF(YEAR(O289)&lt;MIN(YEAR(Assumptions!$G$30),2026),(OFFSET(O305,0,-10)),IF(YEAR(O289)=MIN(YEAR(Assumptions!$G$30),2026),SUM($E$305:O$305)-SUM($E$306:N$306),0)),0)</f>
        <v>0</v>
      </c>
      <c r="P306" s="76">
        <f ca="1">IFERROR(-IF(YEAR(P289)&lt;MIN(YEAR(Assumptions!$G$30),2026),(OFFSET(P305,0,-10)),IF(YEAR(P289)=MIN(YEAR(Assumptions!$G$30),2026),SUM($E$305:P$305)-SUM($E$306:O$306),0)),0)</f>
        <v>0</v>
      </c>
      <c r="Q306" s="76">
        <f ca="1">IFERROR(-IF(YEAR(Q289)&lt;MIN(YEAR(Assumptions!$G$30),2026),(OFFSET(Q305,0,-10)),IF(YEAR(Q289)=MIN(YEAR(Assumptions!$G$30),2026),SUM($E$305:Q$305)-SUM($E$306:P$306),0)),0)</f>
        <v>0</v>
      </c>
      <c r="R306" s="76">
        <f ca="1">IFERROR(-IF(YEAR(R289)&lt;MIN(YEAR(Assumptions!$G$30),2026),(OFFSET(R305,0,-10)),IF(YEAR(R289)=MIN(YEAR(Assumptions!$G$30),2026),SUM($E$305:R$305)-SUM($E$306:Q$306),0)),0)</f>
        <v>0</v>
      </c>
      <c r="S306" s="76">
        <f ca="1">IFERROR(-IF(YEAR(S289)&lt;MIN(YEAR(Assumptions!$G$30),2026),(OFFSET(S305,0,-10)),IF(YEAR(S289)=MIN(YEAR(Assumptions!$G$30),2026),SUM($E$305:S$305)-SUM($E$306:R$306),0)),0)</f>
        <v>0</v>
      </c>
      <c r="T306" s="76">
        <f ca="1">IFERROR(-IF(YEAR(T289)&lt;MIN(YEAR(Assumptions!$G$30),2026),(OFFSET(T305,0,-10)),IF(YEAR(T289)=MIN(YEAR(Assumptions!$G$30),2026),SUM($E$305:T$305)-SUM($E$306:S$306),0)),0)</f>
        <v>0</v>
      </c>
      <c r="U306" s="76">
        <f ca="1">IFERROR(-IF(YEAR(U289)&lt;MIN(YEAR(Assumptions!$G$30),2026),(OFFSET(U305,0,-10)),IF(YEAR(U289)=MIN(YEAR(Assumptions!$G$30),2026),SUM($E$305:U$305)-SUM($E$306:T$306),0)),0)</f>
        <v>0</v>
      </c>
      <c r="V306" s="76">
        <f ca="1">IFERROR(-IF(YEAR(V289)&lt;MIN(YEAR(Assumptions!$G$30),2026),(OFFSET(V305,0,-10)),IF(YEAR(V289)=MIN(YEAR(Assumptions!$G$30),2026),SUM($E$305:V$305)-SUM($E$306:U$306),0)),0)</f>
        <v>0</v>
      </c>
      <c r="W306" s="76">
        <f ca="1">IFERROR(-IF(YEAR(W289)&lt;MIN(YEAR(Assumptions!$G$30),2026),(OFFSET(W305,0,-10)),IF(YEAR(W289)=MIN(YEAR(Assumptions!$G$30),2026),SUM($E$305:W$305)-SUM($E$306:V$306),0)),0)</f>
        <v>0</v>
      </c>
      <c r="X306" s="76">
        <f ca="1">IFERROR(-IF(YEAR(X289)&lt;MIN(YEAR(Assumptions!$G$30),2026),(OFFSET(X305,0,-10)),IF(YEAR(X289)=MIN(YEAR(Assumptions!$G$30),2026),SUM($E$305:X$305)-SUM($E$306:W$306),0)),0)</f>
        <v>0</v>
      </c>
      <c r="Y306" s="76">
        <f ca="1">IFERROR(-IF(YEAR(Y289)&lt;MIN(YEAR(Assumptions!$G$30),2026),(OFFSET(Y305,0,-10)),IF(YEAR(Y289)=MIN(YEAR(Assumptions!$G$30),2026),SUM($E$305:Y$305)-SUM($E$306:X$306),0)),0)</f>
        <v>0</v>
      </c>
      <c r="Z306" s="76">
        <f ca="1">IFERROR(-IF(YEAR(Z289)&lt;MIN(YEAR(Assumptions!$G$30),2026),(OFFSET(Z305,0,-10)),IF(YEAR(Z289)=MIN(YEAR(Assumptions!$G$30),2026),SUM($E$305:Z$305)-SUM($E$306:Y$306),0)),0)</f>
        <v>0</v>
      </c>
    </row>
    <row r="307" spans="2:26" ht="15.75">
      <c r="B307" s="15" t="s">
        <v>685</v>
      </c>
      <c r="D307" s="26"/>
      <c r="E307" s="26"/>
      <c r="F307" s="76">
        <f>+IF(YEAR(F289)=MIN(YEAR(Assumptions!$G$30),2026),SUM($F$317:$Z$317),0)</f>
        <v>0</v>
      </c>
      <c r="G307" s="76">
        <f>+IF(YEAR(G289)=MIN(YEAR(Assumptions!$G$30),2026),SUM($F$317:$Z$317),0)</f>
        <v>0</v>
      </c>
      <c r="H307" s="76">
        <f>+IF(YEAR(H289)=MIN(YEAR(Assumptions!$G$30),2026),SUM($F$317:$Z$317),0)</f>
        <v>0</v>
      </c>
      <c r="I307" s="76">
        <f>+IF(YEAR(I289)=MIN(YEAR(Assumptions!$G$30),2026),SUM($F$317:$Z$317),0)</f>
        <v>0</v>
      </c>
      <c r="J307" s="76">
        <f ca="1">+IF(YEAR(J289)=MIN(YEAR(Assumptions!$G$30),2026),SUM($F$317:$Z$317),0)</f>
        <v>4380692.4644586686</v>
      </c>
      <c r="K307" s="76">
        <f>+IF(YEAR(K289)=MIN(YEAR(Assumptions!$G$30),2026),SUM($F$317:$Z$317),0)</f>
        <v>0</v>
      </c>
      <c r="L307" s="76">
        <f>+IF(YEAR(L289)=MIN(YEAR(Assumptions!$G$30),2026),SUM($F$317:$Z$317),0)</f>
        <v>0</v>
      </c>
      <c r="M307" s="76">
        <f>+IF(YEAR(M289)=MIN(YEAR(Assumptions!$G$30),2026),SUM($F$317:$Z$317),0)</f>
        <v>0</v>
      </c>
      <c r="N307" s="76">
        <f>+IF(YEAR(N289)=MIN(YEAR(Assumptions!$G$30),2026),SUM($F$317:$Z$317),0)</f>
        <v>0</v>
      </c>
      <c r="O307" s="76">
        <f>+IF(YEAR(O289)=MIN(YEAR(Assumptions!$G$30),2026),SUM($F$317:$Z$317),0)</f>
        <v>0</v>
      </c>
      <c r="P307" s="76">
        <f>+IF(YEAR(P289)=MIN(YEAR(Assumptions!$G$30),2026),SUM($F$317:$Z$317),0)</f>
        <v>0</v>
      </c>
      <c r="Q307" s="76">
        <f>+IF(YEAR(Q289)=MIN(YEAR(Assumptions!$G$30),2026),SUM($F$317:$Z$317),0)</f>
        <v>0</v>
      </c>
      <c r="R307" s="76">
        <f>+IF(YEAR(R289)=MIN(YEAR(Assumptions!$G$30),2026),SUM($F$317:$Z$317),0)</f>
        <v>0</v>
      </c>
      <c r="S307" s="76">
        <f>+IF(YEAR(S289)=MIN(YEAR(Assumptions!$G$30),2026),SUM($F$317:$Z$317),0)</f>
        <v>0</v>
      </c>
      <c r="T307" s="76">
        <f>+IF(YEAR(T289)=MIN(YEAR(Assumptions!$G$30),2026),SUM($F$317:$Z$317),0)</f>
        <v>0</v>
      </c>
      <c r="U307" s="76">
        <f>+IF(YEAR(U289)=MIN(YEAR(Assumptions!$G$30),2026),SUM($F$317:$Z$317),0)</f>
        <v>0</v>
      </c>
      <c r="V307" s="76">
        <f>+IF(YEAR(V289)=MIN(YEAR(Assumptions!$G$30),2026),SUM($F$317:$Z$317),0)</f>
        <v>0</v>
      </c>
      <c r="W307" s="76">
        <f>+IF(YEAR(W289)=MIN(YEAR(Assumptions!$G$30),2026),SUM($F$317:$Z$317),0)</f>
        <v>0</v>
      </c>
      <c r="X307" s="76">
        <f>+IF(YEAR(X289)=MIN(YEAR(Assumptions!$G$30),2026),SUM($F$317:$Z$317),0)</f>
        <v>0</v>
      </c>
      <c r="Y307" s="76">
        <f>+IF(YEAR(Y289)=MIN(YEAR(Assumptions!$G$30),2026),SUM($F$317:$Z$317),0)</f>
        <v>0</v>
      </c>
      <c r="Z307" s="76">
        <f>+IF(YEAR(Z289)=MIN(YEAR(Assumptions!$G$30),2026),SUM($F$317:$Z$317),0)</f>
        <v>0</v>
      </c>
    </row>
    <row r="308" spans="2:26" ht="15.75">
      <c r="B308" s="15" t="s">
        <v>679</v>
      </c>
      <c r="D308" s="26"/>
      <c r="E308" s="26"/>
      <c r="F308" s="76">
        <f ca="1">+F295</f>
        <v>0</v>
      </c>
      <c r="G308" s="76">
        <f t="shared" ref="G308:Z310" ca="1" si="179">+G295</f>
        <v>0</v>
      </c>
      <c r="H308" s="76">
        <f t="shared" ca="1" si="179"/>
        <v>0</v>
      </c>
      <c r="I308" s="76">
        <f t="shared" ca="1" si="179"/>
        <v>-1458832.6752157854</v>
      </c>
      <c r="J308" s="76">
        <f t="shared" ca="1" si="179"/>
        <v>-1687310.9331329281</v>
      </c>
      <c r="K308" s="76">
        <f t="shared" ca="1" si="179"/>
        <v>-1778362.4632509614</v>
      </c>
      <c r="L308" s="76">
        <f t="shared" ca="1" si="179"/>
        <v>-1968403.8723649939</v>
      </c>
      <c r="M308" s="76">
        <f t="shared" ca="1" si="179"/>
        <v>-2018643.0295032524</v>
      </c>
      <c r="N308" s="76">
        <f t="shared" ca="1" si="179"/>
        <v>-2085651.5022110799</v>
      </c>
      <c r="O308" s="76">
        <f t="shared" ca="1" si="179"/>
        <v>0</v>
      </c>
      <c r="P308" s="76">
        <f t="shared" si="179"/>
        <v>0</v>
      </c>
      <c r="Q308" s="76">
        <f t="shared" si="179"/>
        <v>0</v>
      </c>
      <c r="R308" s="76">
        <f t="shared" si="179"/>
        <v>0</v>
      </c>
      <c r="S308" s="76">
        <f t="shared" si="179"/>
        <v>0</v>
      </c>
      <c r="T308" s="76">
        <f t="shared" si="179"/>
        <v>0</v>
      </c>
      <c r="U308" s="76">
        <f t="shared" si="179"/>
        <v>0</v>
      </c>
      <c r="V308" s="76">
        <f t="shared" si="179"/>
        <v>0</v>
      </c>
      <c r="W308" s="76">
        <f t="shared" si="179"/>
        <v>0</v>
      </c>
      <c r="X308" s="76">
        <f t="shared" si="179"/>
        <v>0</v>
      </c>
      <c r="Y308" s="76">
        <f t="shared" si="179"/>
        <v>0</v>
      </c>
      <c r="Z308" s="76">
        <f t="shared" si="179"/>
        <v>0</v>
      </c>
    </row>
    <row r="309" spans="2:26" ht="15.75">
      <c r="B309" s="15" t="s">
        <v>680</v>
      </c>
      <c r="D309" s="26"/>
      <c r="E309" s="26"/>
      <c r="F309" s="76">
        <f ca="1">+F296</f>
        <v>0</v>
      </c>
      <c r="G309" s="76">
        <f t="shared" ca="1" si="179"/>
        <v>0</v>
      </c>
      <c r="H309" s="76">
        <f t="shared" ca="1" si="179"/>
        <v>0</v>
      </c>
      <c r="I309" s="76">
        <f t="shared" ca="1" si="179"/>
        <v>6946822.2629323117</v>
      </c>
      <c r="J309" s="76">
        <f t="shared" ca="1" si="179"/>
        <v>14485528.459140714</v>
      </c>
      <c r="K309" s="76">
        <f t="shared" ca="1" si="179"/>
        <v>14919107.173988493</v>
      </c>
      <c r="L309" s="76">
        <f t="shared" ca="1" si="179"/>
        <v>15824066.265007693</v>
      </c>
      <c r="M309" s="76">
        <f t="shared" ca="1" si="179"/>
        <v>16063300.346618453</v>
      </c>
      <c r="N309" s="76">
        <f t="shared" ca="1" si="179"/>
        <v>16382388.311893821</v>
      </c>
      <c r="O309" s="76">
        <f t="shared" ca="1" si="179"/>
        <v>0</v>
      </c>
      <c r="P309" s="76">
        <f t="shared" si="179"/>
        <v>0</v>
      </c>
      <c r="Q309" s="76">
        <f t="shared" si="179"/>
        <v>0</v>
      </c>
      <c r="R309" s="76">
        <f t="shared" si="179"/>
        <v>0</v>
      </c>
      <c r="S309" s="76">
        <f t="shared" si="179"/>
        <v>0</v>
      </c>
      <c r="T309" s="76">
        <f t="shared" si="179"/>
        <v>0</v>
      </c>
      <c r="U309" s="76">
        <f t="shared" si="179"/>
        <v>0</v>
      </c>
      <c r="V309" s="76">
        <f t="shared" si="179"/>
        <v>0</v>
      </c>
      <c r="W309" s="76">
        <f t="shared" si="179"/>
        <v>0</v>
      </c>
      <c r="X309" s="76">
        <f t="shared" si="179"/>
        <v>0</v>
      </c>
      <c r="Y309" s="76">
        <f t="shared" si="179"/>
        <v>0</v>
      </c>
      <c r="Z309" s="76">
        <f t="shared" si="179"/>
        <v>0</v>
      </c>
    </row>
    <row r="310" spans="2:26" ht="15.75">
      <c r="B310" s="15" t="s">
        <v>681</v>
      </c>
      <c r="D310" s="26"/>
      <c r="E310" s="26"/>
      <c r="F310" s="76">
        <f>+F297</f>
        <v>0</v>
      </c>
      <c r="G310" s="76">
        <f t="shared" si="179"/>
        <v>0</v>
      </c>
      <c r="H310" s="76">
        <f t="shared" si="179"/>
        <v>0</v>
      </c>
      <c r="I310" s="76">
        <f t="shared" si="179"/>
        <v>0</v>
      </c>
      <c r="J310" s="76">
        <f t="shared" si="179"/>
        <v>0</v>
      </c>
      <c r="K310" s="76">
        <f t="shared" si="179"/>
        <v>0</v>
      </c>
      <c r="L310" s="76">
        <f t="shared" si="179"/>
        <v>0</v>
      </c>
      <c r="M310" s="76">
        <f t="shared" si="179"/>
        <v>0</v>
      </c>
      <c r="N310" s="76">
        <f t="shared" si="179"/>
        <v>0</v>
      </c>
      <c r="O310" s="76">
        <f t="shared" ca="1" si="179"/>
        <v>0</v>
      </c>
      <c r="P310" s="76">
        <f t="shared" si="179"/>
        <v>0</v>
      </c>
      <c r="Q310" s="76">
        <f t="shared" si="179"/>
        <v>0</v>
      </c>
      <c r="R310" s="76">
        <f t="shared" si="179"/>
        <v>0</v>
      </c>
      <c r="S310" s="76">
        <f t="shared" si="179"/>
        <v>0</v>
      </c>
      <c r="T310" s="76">
        <f t="shared" si="179"/>
        <v>0</v>
      </c>
      <c r="U310" s="76">
        <f t="shared" si="179"/>
        <v>0</v>
      </c>
      <c r="V310" s="76">
        <f t="shared" si="179"/>
        <v>0</v>
      </c>
      <c r="W310" s="76">
        <f t="shared" si="179"/>
        <v>0</v>
      </c>
      <c r="X310" s="76">
        <f t="shared" si="179"/>
        <v>0</v>
      </c>
      <c r="Y310" s="76">
        <f t="shared" si="179"/>
        <v>0</v>
      </c>
      <c r="Z310" s="76">
        <f t="shared" si="179"/>
        <v>0</v>
      </c>
    </row>
    <row r="311" spans="2:26" ht="15.75">
      <c r="B311" s="15" t="s">
        <v>682</v>
      </c>
      <c r="D311" s="26"/>
      <c r="E311" s="26"/>
      <c r="F311" s="76">
        <f>+IF(F291&gt;=10,0,F298)</f>
        <v>0</v>
      </c>
      <c r="G311" s="76">
        <f t="shared" ref="G311:Z311" si="180">+IF(G291&gt;=10,0,G298)</f>
        <v>0</v>
      </c>
      <c r="H311" s="76">
        <f t="shared" si="180"/>
        <v>0</v>
      </c>
      <c r="I311" s="76">
        <f t="shared" si="180"/>
        <v>0</v>
      </c>
      <c r="J311" s="76">
        <f t="shared" si="180"/>
        <v>0</v>
      </c>
      <c r="K311" s="76">
        <f t="shared" si="180"/>
        <v>0</v>
      </c>
      <c r="L311" s="76">
        <f t="shared" si="180"/>
        <v>0</v>
      </c>
      <c r="M311" s="76">
        <f t="shared" si="180"/>
        <v>0</v>
      </c>
      <c r="N311" s="76">
        <f t="shared" si="180"/>
        <v>0</v>
      </c>
      <c r="O311" s="76">
        <f t="shared" ca="1" si="180"/>
        <v>0</v>
      </c>
      <c r="P311" s="76">
        <f t="shared" si="180"/>
        <v>0</v>
      </c>
      <c r="Q311" s="76">
        <f t="shared" si="180"/>
        <v>0</v>
      </c>
      <c r="R311" s="76">
        <f t="shared" si="180"/>
        <v>0</v>
      </c>
      <c r="S311" s="76">
        <f t="shared" si="180"/>
        <v>0</v>
      </c>
      <c r="T311" s="76">
        <f t="shared" si="180"/>
        <v>0</v>
      </c>
      <c r="U311" s="76">
        <f t="shared" si="180"/>
        <v>0</v>
      </c>
      <c r="V311" s="76">
        <f t="shared" si="180"/>
        <v>0</v>
      </c>
      <c r="W311" s="76">
        <f t="shared" si="180"/>
        <v>0</v>
      </c>
      <c r="X311" s="76">
        <f t="shared" si="180"/>
        <v>0</v>
      </c>
      <c r="Y311" s="76">
        <f t="shared" si="180"/>
        <v>0</v>
      </c>
      <c r="Z311" s="76">
        <f t="shared" si="180"/>
        <v>0</v>
      </c>
    </row>
    <row r="312" spans="2:26" ht="15.75">
      <c r="B312" s="687" t="s">
        <v>684</v>
      </c>
      <c r="C312" s="687"/>
      <c r="D312" s="550">
        <f t="shared" ref="D312" ca="1" si="181">+SUM(F312:Z312)</f>
        <v>153608296.92611372</v>
      </c>
      <c r="E312" s="550"/>
      <c r="F312" s="550">
        <f t="shared" ref="F312:Z312" ca="1" si="182">+SUM(F304:F311)</f>
        <v>-14906001.537875749</v>
      </c>
      <c r="G312" s="550">
        <f t="shared" ca="1" si="182"/>
        <v>-72522561.112206042</v>
      </c>
      <c r="H312" s="550">
        <f t="shared" ca="1" si="182"/>
        <v>-33654634.449751057</v>
      </c>
      <c r="I312" s="550">
        <f t="shared" ca="1" si="182"/>
        <v>5487989.5877165264</v>
      </c>
      <c r="J312" s="550">
        <f t="shared" ca="1" si="182"/>
        <v>-15007762.656324551</v>
      </c>
      <c r="K312" s="550">
        <f t="shared" ca="1" si="182"/>
        <v>13140744.710737532</v>
      </c>
      <c r="L312" s="550">
        <f t="shared" ca="1" si="182"/>
        <v>13855662.392642699</v>
      </c>
      <c r="M312" s="550">
        <f t="shared" ca="1" si="182"/>
        <v>14044657.317115201</v>
      </c>
      <c r="N312" s="550">
        <f t="shared" ca="1" si="182"/>
        <v>14296736.809682742</v>
      </c>
      <c r="O312" s="550">
        <f t="shared" ca="1" si="182"/>
        <v>0</v>
      </c>
      <c r="P312" s="550">
        <f t="shared" ca="1" si="182"/>
        <v>0</v>
      </c>
      <c r="Q312" s="550">
        <f t="shared" ca="1" si="182"/>
        <v>0</v>
      </c>
      <c r="R312" s="550">
        <f t="shared" ca="1" si="182"/>
        <v>0</v>
      </c>
      <c r="S312" s="550">
        <f t="shared" ca="1" si="182"/>
        <v>0</v>
      </c>
      <c r="T312" s="550">
        <f t="shared" ca="1" si="182"/>
        <v>0</v>
      </c>
      <c r="U312" s="550">
        <f t="shared" ca="1" si="182"/>
        <v>0</v>
      </c>
      <c r="V312" s="550">
        <f t="shared" ca="1" si="182"/>
        <v>0</v>
      </c>
      <c r="W312" s="550">
        <f t="shared" ca="1" si="182"/>
        <v>0</v>
      </c>
      <c r="X312" s="550">
        <f t="shared" ca="1" si="182"/>
        <v>0</v>
      </c>
      <c r="Y312" s="550">
        <f t="shared" ca="1" si="182"/>
        <v>0</v>
      </c>
      <c r="Z312" s="550">
        <f t="shared" ca="1" si="182"/>
        <v>0</v>
      </c>
    </row>
    <row r="314" spans="2:26" ht="15.75">
      <c r="B314" s="706" t="s">
        <v>686</v>
      </c>
      <c r="C314" s="706"/>
      <c r="D314" s="707">
        <f ca="1">+IRR(F312:Z312)</f>
        <v>0.13061752420731243</v>
      </c>
    </row>
    <row r="315" spans="2:26" ht="15.75">
      <c r="B315" s="708" t="s">
        <v>687</v>
      </c>
      <c r="C315" s="536"/>
      <c r="D315" s="712">
        <f ca="1">+D314/(1-Assumptions!$M$192)</f>
        <v>0.16533863823710435</v>
      </c>
    </row>
    <row r="317" spans="2:26">
      <c r="B317" s="21" t="s">
        <v>688</v>
      </c>
      <c r="F317" s="76">
        <f ca="1">IFERROR(IF(YEAR(F289)&lt;=YEAR(Assumptions!$G$30),10%*(OFFSET(F305,0,-5))+5%*(OFFSET(F305,0,-7)),0),0)</f>
        <v>0</v>
      </c>
      <c r="G317" s="76">
        <f ca="1">IFERROR(IF(YEAR(G289)&lt;=YEAR(Assumptions!$G$30),10%*(OFFSET(G305,0,-5))+5%*(OFFSET(G305,0,-7)),0),0)</f>
        <v>0</v>
      </c>
      <c r="H317" s="76">
        <f ca="1">IFERROR(IF(YEAR(H289)&lt;=YEAR(Assumptions!$G$30),10%*(OFFSET(H305,0,-5))+5%*(OFFSET(H305,0,-7)),0),0)</f>
        <v>0</v>
      </c>
      <c r="I317" s="76">
        <f ca="1">IFERROR(IF(YEAR(I289)&lt;=YEAR(Assumptions!$G$30),10%*(OFFSET(I305,0,-5))+5%*(OFFSET(I305,0,-7)),0),0)</f>
        <v>0</v>
      </c>
      <c r="J317" s="76">
        <f ca="1">IFERROR(IF(YEAR(J289)&lt;=YEAR(Assumptions!$G$30),10%*(OFFSET(J305,0,-5))+5%*(OFFSET(J305,0,-7)),0),0)</f>
        <v>0</v>
      </c>
      <c r="K317" s="76">
        <f ca="1">IFERROR(IF(YEAR(K289)&lt;=YEAR(Assumptions!$G$30),10%*(OFFSET(K305,0,-5))+5%*(OFFSET(K305,0,-7)),0),0)</f>
        <v>396235.48391821608</v>
      </c>
      <c r="L317" s="76">
        <f ca="1">IFERROR(IF(YEAR(L289)&lt;=YEAR(Assumptions!$G$30),10%*(OFFSET(L305,0,-5))+5%*(OFFSET(L305,0,-7)),0),0)</f>
        <v>2822431.7807608848</v>
      </c>
      <c r="M317" s="76">
        <f ca="1">IFERROR(IF(YEAR(M289)&lt;=YEAR(Assumptions!$G$30),10%*(OFFSET(M305,0,-5))+5%*(OFFSET(M305,0,-7)),0),0)</f>
        <v>1092734.6070790729</v>
      </c>
      <c r="N317" s="76">
        <f ca="1">IFERROR(IF(YEAR(N289)&lt;=YEAR(Assumptions!$G$30),10%*(OFFSET(N305,0,-5))+5%*(OFFSET(N305,0,-7)),0),0)</f>
        <v>963907.45782045985</v>
      </c>
      <c r="O317" s="76">
        <f ca="1">IFERROR(IF(YEAR(O289)&lt;=YEAR(Assumptions!$G$30),10%*(OFFSET(O305,0,-5))+5%*(OFFSET(O305,0,-7)),0),0)</f>
        <v>447308.43255998241</v>
      </c>
      <c r="P317" s="76">
        <f ca="1">IFERROR(IF(YEAR(P289)&lt;=YEAR(Assumptions!$G$30),10%*(OFFSET(P305,0,-5))+5%*(OFFSET(P305,0,-7)),0),0)</f>
        <v>0</v>
      </c>
      <c r="Q317" s="76">
        <f ca="1">IFERROR(IF(YEAR(Q289)&lt;=YEAR(Assumptions!$G$30),10%*(OFFSET(Q305,0,-5))+5%*(OFFSET(Q305,0,-7)),0),0)</f>
        <v>0</v>
      </c>
      <c r="R317" s="76">
        <f ca="1">IFERROR(IF(YEAR(R289)&lt;=YEAR(Assumptions!$G$30),10%*(OFFSET(R305,0,-5))+5%*(OFFSET(R305,0,-7)),0),0)</f>
        <v>0</v>
      </c>
      <c r="S317" s="76">
        <f ca="1">IFERROR(IF(YEAR(S289)&lt;=YEAR(Assumptions!$G$30),10%*(OFFSET(S305,0,-5))+5%*(OFFSET(S305,0,-7)),0),0)</f>
        <v>0</v>
      </c>
      <c r="T317" s="76">
        <f ca="1">IFERROR(IF(YEAR(T289)&lt;=YEAR(Assumptions!$G$30),10%*(OFFSET(T305,0,-5))+5%*(OFFSET(T305,0,-7)),0),0)</f>
        <v>0</v>
      </c>
      <c r="U317" s="76">
        <f ca="1">IFERROR(IF(YEAR(U289)&lt;=YEAR(Assumptions!$G$30),10%*(OFFSET(U305,0,-5))+5%*(OFFSET(U305,0,-7)),0),0)</f>
        <v>0</v>
      </c>
      <c r="V317" s="76">
        <f ca="1">IFERROR(IF(YEAR(V289)&lt;=YEAR(Assumptions!$G$30),10%*(OFFSET(V305,0,-5))+5%*(OFFSET(V305,0,-7)),0),0)</f>
        <v>0</v>
      </c>
      <c r="W317" s="76">
        <f ca="1">IFERROR(IF(YEAR(W289)&lt;=YEAR(Assumptions!$G$30),10%*(OFFSET(W305,0,-5))+5%*(OFFSET(W305,0,-7)),0),0)</f>
        <v>0</v>
      </c>
      <c r="X317" s="76">
        <f ca="1">IFERROR(IF(YEAR(X289)&lt;=YEAR(Assumptions!$G$30),10%*(OFFSET(X305,0,-5))+5%*(OFFSET(X305,0,-7)),0),0)</f>
        <v>0</v>
      </c>
      <c r="Y317" s="76">
        <f ca="1">IFERROR(IF(YEAR(Y289)&lt;=YEAR(Assumptions!$G$30),10%*(OFFSET(Y305,0,-5))+5%*(OFFSET(Y305,0,-7)),0),0)</f>
        <v>0</v>
      </c>
      <c r="Z317" s="76">
        <f ca="1">IFERROR(IF(YEAR(Z289)&lt;=YEAR(Assumptions!$G$30),10%*(OFFSET(Z305,0,-5))+5%*(OFFSET(Z305,0,-7)),0),0)</f>
        <v>0</v>
      </c>
    </row>
    <row r="319" spans="2:26" ht="15.75">
      <c r="B319" s="73" t="s">
        <v>689</v>
      </c>
    </row>
    <row r="320" spans="2:26" ht="15.75">
      <c r="B320" s="15" t="s">
        <v>690</v>
      </c>
      <c r="D320" s="26">
        <f ca="1">+SUM(F320:Z320)</f>
        <v>984649496.58406377</v>
      </c>
      <c r="E320" s="26"/>
      <c r="F320" s="16">
        <v>0</v>
      </c>
      <c r="G320" s="16">
        <f ca="1">+F327</f>
        <v>372000</v>
      </c>
      <c r="H320" s="16">
        <f t="shared" ref="H320:Z320" ca="1" si="183">+G327</f>
        <v>92172710.268615231</v>
      </c>
      <c r="I320" s="16">
        <f t="shared" ca="1" si="183"/>
        <v>153269869.74662384</v>
      </c>
      <c r="J320" s="16">
        <f t="shared" ca="1" si="183"/>
        <v>162039793.76259497</v>
      </c>
      <c r="K320" s="16">
        <f t="shared" ca="1" si="183"/>
        <v>155589079.27075392</v>
      </c>
      <c r="L320" s="16">
        <f t="shared" ca="1" si="183"/>
        <v>166653199.93106404</v>
      </c>
      <c r="M320" s="16">
        <f t="shared" ca="1" si="183"/>
        <v>179177757.00296229</v>
      </c>
      <c r="N320" s="16">
        <f t="shared" ca="1" si="183"/>
        <v>191977208.8105464</v>
      </c>
      <c r="O320" s="16">
        <f t="shared" ca="1" si="183"/>
        <v>185526494.31870535</v>
      </c>
      <c r="P320" s="16">
        <f t="shared" ca="1" si="183"/>
        <v>185526494.31870535</v>
      </c>
      <c r="Q320" s="16">
        <f t="shared" ca="1" si="183"/>
        <v>185526494.31870535</v>
      </c>
      <c r="R320" s="16">
        <f t="shared" ca="1" si="183"/>
        <v>185526494.31870535</v>
      </c>
      <c r="S320" s="16">
        <f t="shared" ca="1" si="183"/>
        <v>185526494.31870535</v>
      </c>
      <c r="T320" s="16">
        <f t="shared" ca="1" si="183"/>
        <v>185526494.31870535</v>
      </c>
      <c r="U320" s="16">
        <f t="shared" ca="1" si="183"/>
        <v>185526494.31870535</v>
      </c>
      <c r="V320" s="16">
        <f t="shared" ca="1" si="183"/>
        <v>0</v>
      </c>
      <c r="W320" s="16">
        <f t="shared" ca="1" si="183"/>
        <v>0</v>
      </c>
      <c r="X320" s="16">
        <f t="shared" ca="1" si="183"/>
        <v>0</v>
      </c>
      <c r="Y320" s="16">
        <f t="shared" ca="1" si="183"/>
        <v>0</v>
      </c>
      <c r="Z320" s="16">
        <f t="shared" ca="1" si="183"/>
        <v>0</v>
      </c>
    </row>
    <row r="321" spans="2:26" ht="15.75">
      <c r="B321" s="15" t="s">
        <v>676</v>
      </c>
      <c r="D321" s="26">
        <f t="shared" ref="D321:D326" ca="1" si="184">+SUM(F321:Z321)</f>
        <v>153269869.74662384</v>
      </c>
      <c r="E321" s="26"/>
      <c r="F321" s="76">
        <f ca="1">-F292</f>
        <v>372000</v>
      </c>
      <c r="G321" s="76">
        <f t="shared" ref="G321:Z321" ca="1" si="185">-G292</f>
        <v>91800710.268615231</v>
      </c>
      <c r="H321" s="76">
        <f t="shared" ca="1" si="185"/>
        <v>42600803.100950703</v>
      </c>
      <c r="I321" s="76">
        <f t="shared" ca="1" si="185"/>
        <v>0</v>
      </c>
      <c r="J321" s="76">
        <f t="shared" ca="1" si="185"/>
        <v>0</v>
      </c>
      <c r="K321" s="76">
        <f t="shared" ca="1" si="185"/>
        <v>0</v>
      </c>
      <c r="L321" s="76">
        <f t="shared" ca="1" si="185"/>
        <v>0</v>
      </c>
      <c r="M321" s="76">
        <f t="shared" ca="1" si="185"/>
        <v>0</v>
      </c>
      <c r="N321" s="76">
        <f t="shared" ca="1" si="185"/>
        <v>0</v>
      </c>
      <c r="O321" s="76">
        <f t="shared" ca="1" si="185"/>
        <v>0</v>
      </c>
      <c r="P321" s="76">
        <f t="shared" ca="1" si="185"/>
        <v>0</v>
      </c>
      <c r="Q321" s="76">
        <f t="shared" ca="1" si="185"/>
        <v>0</v>
      </c>
      <c r="R321" s="76">
        <f t="shared" ca="1" si="185"/>
        <v>0</v>
      </c>
      <c r="S321" s="76">
        <f t="shared" ca="1" si="185"/>
        <v>0</v>
      </c>
      <c r="T321" s="76">
        <f t="shared" ca="1" si="185"/>
        <v>0</v>
      </c>
      <c r="U321" s="76">
        <f t="shared" ca="1" si="185"/>
        <v>0</v>
      </c>
      <c r="V321" s="76">
        <f t="shared" ca="1" si="185"/>
        <v>0</v>
      </c>
      <c r="W321" s="76">
        <f t="shared" ca="1" si="185"/>
        <v>0</v>
      </c>
      <c r="X321" s="76">
        <f t="shared" ca="1" si="185"/>
        <v>0</v>
      </c>
      <c r="Y321" s="76">
        <f t="shared" ca="1" si="185"/>
        <v>0</v>
      </c>
      <c r="Z321" s="76">
        <f t="shared" ca="1" si="185"/>
        <v>0</v>
      </c>
    </row>
    <row r="322" spans="2:26" ht="15.75">
      <c r="B322" s="15" t="s">
        <v>618</v>
      </c>
      <c r="D322" s="26">
        <f t="shared" ca="1" si="184"/>
        <v>84621212.819581494</v>
      </c>
      <c r="E322" s="26"/>
      <c r="F322" s="76">
        <f ca="1">IF(F289&lt;=Assumptions!$G$30,F253,0)</f>
        <v>0</v>
      </c>
      <c r="G322" s="76">
        <f ca="1">IF(G289&lt;=Assumptions!$G$30,G253,0)</f>
        <v>0</v>
      </c>
      <c r="H322" s="76">
        <f ca="1">IF(H289&lt;=Assumptions!$G$30,H253,0)</f>
        <v>0</v>
      </c>
      <c r="I322" s="76">
        <f ca="1">IF(I289&lt;=Assumptions!$G$30,I253,0)</f>
        <v>15716746.278903436</v>
      </c>
      <c r="J322" s="76">
        <f ca="1">IF(J289&lt;=Assumptions!$G$30,J253,0)</f>
        <v>14485528.459140714</v>
      </c>
      <c r="K322" s="76">
        <f ca="1">IF(K289&lt;=Assumptions!$G$30,K253,0)</f>
        <v>32433942.326139659</v>
      </c>
      <c r="L322" s="76">
        <f ca="1">IF(L289&lt;=Assumptions!$G$30,L253,0)</f>
        <v>34799337.828746997</v>
      </c>
      <c r="M322" s="76">
        <f ca="1">IF(M289&lt;=Assumptions!$G$30,M253,0)</f>
        <v>35313466.646043591</v>
      </c>
      <c r="N322" s="76">
        <f ca="1">IF(N289&lt;=Assumptions!$G$30,N253,0)</f>
        <v>16382388.311893821</v>
      </c>
      <c r="O322" s="76">
        <f ca="1">IF(O289&lt;=Assumptions!$G$30,O253,0)</f>
        <v>16709726.462005191</v>
      </c>
      <c r="P322" s="76">
        <f>IF(P289&lt;=Assumptions!$G$30,P253,0)</f>
        <v>0</v>
      </c>
      <c r="Q322" s="76">
        <f>IF(Q289&lt;=Assumptions!$G$30,Q253,0)</f>
        <v>0</v>
      </c>
      <c r="R322" s="76">
        <f>IF(R289&lt;=Assumptions!$G$30,R253,0)</f>
        <v>0</v>
      </c>
      <c r="S322" s="76">
        <f>IF(S289&lt;=Assumptions!$G$30,S253,0)</f>
        <v>0</v>
      </c>
      <c r="T322" s="76">
        <f>IF(T289&lt;=Assumptions!$G$30,T253,0)</f>
        <v>0</v>
      </c>
      <c r="U322" s="76">
        <f>IF(U289&lt;=Assumptions!$G$30,U253,0)</f>
        <v>0</v>
      </c>
      <c r="V322" s="76">
        <f>IF(V289&lt;=Assumptions!$G$30,V253,0)</f>
        <v>0</v>
      </c>
      <c r="W322" s="76">
        <f>IF(W289&lt;=Assumptions!$G$30,W253,0)</f>
        <v>0</v>
      </c>
      <c r="X322" s="76">
        <f>IF(X289&lt;=Assumptions!$G$30,X253,0)</f>
        <v>0</v>
      </c>
      <c r="Y322" s="76">
        <f>IF(Y289&lt;=Assumptions!$G$30,Y253,0)</f>
        <v>0</v>
      </c>
      <c r="Z322" s="76">
        <f>IF(Z289&lt;=Assumptions!$G$30,Z253,0)</f>
        <v>0</v>
      </c>
    </row>
    <row r="323" spans="2:26" ht="15.75">
      <c r="B323" s="15" t="s">
        <v>691</v>
      </c>
      <c r="D323" s="26">
        <f t="shared" ca="1" si="184"/>
        <v>-32253572.459205281</v>
      </c>
      <c r="E323" s="26"/>
      <c r="F323" s="76">
        <f>-IF(AND(F289&gt;Assumptions!$G$26,F289&lt;=Assumptions!$G$30),Budget!$I$82*Assumptions!$M$194/Assumptions!$M$193,0)</f>
        <v>0</v>
      </c>
      <c r="G323" s="76">
        <f>-IF(AND(G289&gt;Assumptions!$G$26,G289&lt;=Assumptions!$G$30),Budget!$I$82*Assumptions!$M$194/Assumptions!$M$193,0)</f>
        <v>0</v>
      </c>
      <c r="H323" s="76">
        <f>-IF(AND(H289&gt;Assumptions!$G$26,H289&lt;=Assumptions!$G$30),Budget!$I$82*Assumptions!$M$194/Assumptions!$M$193,0)</f>
        <v>0</v>
      </c>
      <c r="I323" s="76">
        <f>-IF(AND(I289&gt;Assumptions!$G$26,I289&lt;=Assumptions!$G$30),Budget!$I$82*Assumptions!$M$194/Assumptions!$M$193,0)</f>
        <v>0</v>
      </c>
      <c r="J323" s="76">
        <f ca="1">-IF(AND(J289&gt;Assumptions!$G$26,J289&lt;=Assumptions!$G$30),Budget!$I$82*Assumptions!$M$194/Assumptions!$M$193,0)</f>
        <v>-6450714.4918410564</v>
      </c>
      <c r="K323" s="76">
        <f ca="1">-IF(AND(K289&gt;Assumptions!$G$26,K289&lt;=Assumptions!$G$30),Budget!$I$82*Assumptions!$M$194/Assumptions!$M$193,0)</f>
        <v>-6450714.4918410564</v>
      </c>
      <c r="L323" s="76">
        <f ca="1">-IF(AND(L289&gt;Assumptions!$G$26,L289&lt;=Assumptions!$G$30),Budget!$I$82*Assumptions!$M$194/Assumptions!$M$193,0)</f>
        <v>-6450714.4918410564</v>
      </c>
      <c r="M323" s="76">
        <f ca="1">-IF(AND(M289&gt;Assumptions!$G$26,M289&lt;=Assumptions!$G$30),Budget!$I$82*Assumptions!$M$194/Assumptions!$M$193,0)</f>
        <v>-6450714.4918410564</v>
      </c>
      <c r="N323" s="76">
        <f ca="1">-IF(AND(N289&gt;Assumptions!$G$26,N289&lt;=Assumptions!$G$30),Budget!$I$82*Assumptions!$M$194/Assumptions!$M$193,0)</f>
        <v>-6450714.4918410564</v>
      </c>
      <c r="O323" s="76">
        <f ca="1">-IF(AND(O289&gt;Assumptions!$G$26,O289&lt;=Assumptions!$G$30),Budget!$I$82*Assumptions!$M$194/Assumptions!$M$193,0)</f>
        <v>-6450714.4918410564</v>
      </c>
      <c r="P323" s="76">
        <f>-IF(AND(P289&gt;Assumptions!$G$26,P289&lt;=Assumptions!$G$30),Budget!$I$82*Assumptions!$M$194/Assumptions!$M$193,0)</f>
        <v>0</v>
      </c>
      <c r="Q323" s="76">
        <f>-IF(AND(Q289&gt;Assumptions!$G$26,Q289&lt;=Assumptions!$G$30),Budget!$I$82*Assumptions!$M$194/Assumptions!$M$193,0)</f>
        <v>0</v>
      </c>
      <c r="R323" s="76">
        <f>-IF(AND(R289&gt;Assumptions!$G$26,R289&lt;=Assumptions!$G$30),Budget!$I$82*Assumptions!$M$194/Assumptions!$M$193,0)</f>
        <v>0</v>
      </c>
      <c r="S323" s="76">
        <f>-IF(AND(S289&gt;Assumptions!$G$26,S289&lt;=Assumptions!$G$30),Budget!$I$82*Assumptions!$M$194/Assumptions!$M$193,0)</f>
        <v>0</v>
      </c>
      <c r="T323" s="76">
        <f>-IF(AND(T289&gt;Assumptions!$G$26,T289&lt;=Assumptions!$G$30),Budget!$I$82*Assumptions!$M$194/Assumptions!$M$193,0)</f>
        <v>0</v>
      </c>
      <c r="U323" s="76">
        <f>-IF(AND(U289&gt;Assumptions!$G$26,U289&lt;=Assumptions!$G$30),Budget!$I$82*Assumptions!$M$194/Assumptions!$M$193,0)</f>
        <v>0</v>
      </c>
      <c r="V323" s="76">
        <f>-IF(AND(V289&gt;Assumptions!$G$26,V289&lt;=Assumptions!$G$30),Budget!$I$82*Assumptions!$M$194/Assumptions!$M$193,0)</f>
        <v>0</v>
      </c>
      <c r="W323" s="76">
        <f>-IF(AND(W289&gt;Assumptions!$G$26,W289&lt;=Assumptions!$G$30),Budget!$I$82*Assumptions!$M$194/Assumptions!$M$193,0)</f>
        <v>0</v>
      </c>
      <c r="X323" s="76">
        <f>-IF(AND(X289&gt;Assumptions!$G$26,X289&lt;=Assumptions!$G$30),Budget!$I$82*Assumptions!$M$194/Assumptions!$M$193,0)</f>
        <v>0</v>
      </c>
      <c r="Y323" s="76">
        <f>-IF(AND(Y289&gt;Assumptions!$G$26,Y289&lt;=Assumptions!$G$30),Budget!$I$82*Assumptions!$M$194/Assumptions!$M$193,0)</f>
        <v>0</v>
      </c>
      <c r="Z323" s="76">
        <f>-IF(AND(Z289&gt;Assumptions!$G$26,Z289&lt;=Assumptions!$G$30),Budget!$I$82*Assumptions!$M$194/Assumptions!$M$193,0)</f>
        <v>0</v>
      </c>
    </row>
    <row r="324" spans="2:26" ht="15.75">
      <c r="B324" s="15" t="s">
        <v>692</v>
      </c>
      <c r="D324" s="26">
        <f t="shared" ca="1" si="184"/>
        <v>-101330939.28158668</v>
      </c>
      <c r="E324" s="26"/>
      <c r="F324" s="76">
        <f ca="1">-F296</f>
        <v>0</v>
      </c>
      <c r="G324" s="76">
        <f t="shared" ref="G324:Z325" ca="1" si="186">-G296</f>
        <v>0</v>
      </c>
      <c r="H324" s="76">
        <f t="shared" ca="1" si="186"/>
        <v>0</v>
      </c>
      <c r="I324" s="76">
        <f t="shared" ca="1" si="186"/>
        <v>-6946822.2629323117</v>
      </c>
      <c r="J324" s="76">
        <f t="shared" ca="1" si="186"/>
        <v>-14485528.459140714</v>
      </c>
      <c r="K324" s="76">
        <f t="shared" ca="1" si="186"/>
        <v>-14919107.173988493</v>
      </c>
      <c r="L324" s="76">
        <f t="shared" ca="1" si="186"/>
        <v>-15824066.265007693</v>
      </c>
      <c r="M324" s="76">
        <f t="shared" ca="1" si="186"/>
        <v>-16063300.346618453</v>
      </c>
      <c r="N324" s="76">
        <f t="shared" ca="1" si="186"/>
        <v>-16382388.311893821</v>
      </c>
      <c r="O324" s="76">
        <f t="shared" ca="1" si="186"/>
        <v>-16709726.462005191</v>
      </c>
      <c r="P324" s="76">
        <f t="shared" si="186"/>
        <v>0</v>
      </c>
      <c r="Q324" s="76">
        <f t="shared" si="186"/>
        <v>0</v>
      </c>
      <c r="R324" s="76">
        <f t="shared" si="186"/>
        <v>0</v>
      </c>
      <c r="S324" s="76">
        <f t="shared" si="186"/>
        <v>0</v>
      </c>
      <c r="T324" s="76">
        <f t="shared" si="186"/>
        <v>0</v>
      </c>
      <c r="U324" s="76">
        <f t="shared" si="186"/>
        <v>0</v>
      </c>
      <c r="V324" s="76">
        <f t="shared" si="186"/>
        <v>0</v>
      </c>
      <c r="W324" s="76">
        <f t="shared" si="186"/>
        <v>0</v>
      </c>
      <c r="X324" s="76">
        <f t="shared" si="186"/>
        <v>0</v>
      </c>
      <c r="Y324" s="76">
        <f t="shared" si="186"/>
        <v>0</v>
      </c>
      <c r="Z324" s="76">
        <f t="shared" si="186"/>
        <v>0</v>
      </c>
    </row>
    <row r="325" spans="2:26" ht="15.75">
      <c r="B325" s="15" t="s">
        <v>681</v>
      </c>
      <c r="D325" s="26">
        <v>0</v>
      </c>
      <c r="E325" s="26"/>
      <c r="F325" s="76">
        <f>-F297</f>
        <v>0</v>
      </c>
      <c r="G325" s="76">
        <f t="shared" si="186"/>
        <v>0</v>
      </c>
      <c r="H325" s="76">
        <f t="shared" si="186"/>
        <v>0</v>
      </c>
      <c r="I325" s="76">
        <f t="shared" si="186"/>
        <v>0</v>
      </c>
      <c r="J325" s="76">
        <f t="shared" si="186"/>
        <v>0</v>
      </c>
      <c r="K325" s="76">
        <f t="shared" si="186"/>
        <v>0</v>
      </c>
      <c r="L325" s="76">
        <f t="shared" si="186"/>
        <v>0</v>
      </c>
      <c r="M325" s="76">
        <f t="shared" si="186"/>
        <v>0</v>
      </c>
      <c r="N325" s="76">
        <f t="shared" si="186"/>
        <v>0</v>
      </c>
      <c r="O325" s="76">
        <f t="shared" ca="1" si="186"/>
        <v>0</v>
      </c>
      <c r="P325" s="76">
        <f t="shared" si="186"/>
        <v>0</v>
      </c>
      <c r="Q325" s="76">
        <f t="shared" si="186"/>
        <v>0</v>
      </c>
      <c r="R325" s="76">
        <f t="shared" si="186"/>
        <v>0</v>
      </c>
      <c r="S325" s="76">
        <f t="shared" si="186"/>
        <v>0</v>
      </c>
      <c r="T325" s="76">
        <f t="shared" si="186"/>
        <v>0</v>
      </c>
      <c r="U325" s="76">
        <f t="shared" si="186"/>
        <v>0</v>
      </c>
      <c r="V325" s="76">
        <f t="shared" si="186"/>
        <v>0</v>
      </c>
      <c r="W325" s="76">
        <f t="shared" si="186"/>
        <v>0</v>
      </c>
      <c r="X325" s="76">
        <f t="shared" si="186"/>
        <v>0</v>
      </c>
      <c r="Y325" s="76">
        <f t="shared" si="186"/>
        <v>0</v>
      </c>
      <c r="Z325" s="76">
        <f t="shared" si="186"/>
        <v>0</v>
      </c>
    </row>
    <row r="326" spans="2:26" ht="15.75">
      <c r="B326" s="15" t="s">
        <v>693</v>
      </c>
      <c r="D326" s="26">
        <f t="shared" ca="1" si="184"/>
        <v>0</v>
      </c>
      <c r="E326" s="26"/>
      <c r="F326" s="76">
        <f>-IF(YEAR(F289)=YEAR(Assumptions!$G$30),SUM(F320:F325),0)</f>
        <v>0</v>
      </c>
      <c r="G326" s="76">
        <f>-IF(YEAR(G289)=YEAR(Assumptions!$G$30),SUM(G320:G325),0)</f>
        <v>0</v>
      </c>
      <c r="H326" s="76">
        <f>-IF(YEAR(H289)=YEAR(Assumptions!$G$30),SUM(H320:H325),0)</f>
        <v>0</v>
      </c>
      <c r="I326" s="76">
        <f>-IF(YEAR(I289)=YEAR(Assumptions!$G$30),SUM(I320:I325),0)</f>
        <v>0</v>
      </c>
      <c r="J326" s="76">
        <f>-IF(YEAR(J289)=YEAR(Assumptions!$G$30),SUM(J320:J325),0)</f>
        <v>0</v>
      </c>
      <c r="K326" s="76">
        <f>-IF(YEAR(K289)=YEAR(Assumptions!$G$30),SUM(K320:K325),0)</f>
        <v>0</v>
      </c>
      <c r="L326" s="76">
        <f>-IF(YEAR(L289)=YEAR(Assumptions!$G$30),SUM(L320:L325),0)</f>
        <v>0</v>
      </c>
      <c r="M326" s="76">
        <f>-IF(YEAR(M289)=YEAR(Assumptions!$G$30),SUM(M320:M325),0)</f>
        <v>0</v>
      </c>
      <c r="N326" s="76">
        <f>-IF(YEAR(N289)=YEAR(Assumptions!$G$30),SUM(N320:N325),0)</f>
        <v>0</v>
      </c>
      <c r="O326" s="76">
        <f ca="1">-IF(YEAR(O289)=YEAR(Assumptions!$G$30),SUM(O320:O325),0)</f>
        <v>6450714.4918410555</v>
      </c>
      <c r="P326" s="76">
        <f>-IF(YEAR(P289)=YEAR(Assumptions!$G$30),SUM(P320:P325),0)</f>
        <v>0</v>
      </c>
      <c r="Q326" s="76">
        <f>-IF(YEAR(Q289)=YEAR(Assumptions!$G$30),SUM(Q320:Q325),0)</f>
        <v>0</v>
      </c>
      <c r="R326" s="76">
        <f>-IF(YEAR(R289)=YEAR(Assumptions!$G$30),SUM(R320:R325),0)</f>
        <v>0</v>
      </c>
      <c r="S326" s="76">
        <f>-IF(YEAR(S289)=YEAR(Assumptions!$G$30),SUM(S320:S325),0)</f>
        <v>0</v>
      </c>
      <c r="T326" s="76">
        <f>-IF(YEAR(T289)=YEAR(Assumptions!$G$30),SUM(T320:T325),0)</f>
        <v>0</v>
      </c>
      <c r="U326" s="76">
        <f>-IF(YEAR(U289)=YEAR(Assumptions!$G$30),SUM(U320:U325),0)</f>
        <v>0</v>
      </c>
      <c r="V326" s="76">
        <f>-IF(YEAR(V289)=YEAR(Assumptions!$G$30),SUM(V320:V325),0)</f>
        <v>0</v>
      </c>
      <c r="W326" s="76">
        <f>-IF(YEAR(W289)=YEAR(Assumptions!$G$30),SUM(W320:W325),0)</f>
        <v>0</v>
      </c>
      <c r="X326" s="76">
        <f>-IF(YEAR(X289)=YEAR(Assumptions!$G$30),SUM(X320:X325),0)</f>
        <v>0</v>
      </c>
      <c r="Y326" s="76">
        <f>-IF(YEAR(Y289)=YEAR(Assumptions!$G$30),SUM(Y320:Y325),0)</f>
        <v>0</v>
      </c>
      <c r="Z326" s="76">
        <f>-IF(YEAR(Z289)=YEAR(Assumptions!$G$30),SUM(Z320:Z325),0)</f>
        <v>0</v>
      </c>
    </row>
    <row r="327" spans="2:26" ht="15.75">
      <c r="B327" s="62" t="s">
        <v>694</v>
      </c>
      <c r="C327" s="62"/>
      <c r="D327" s="18">
        <f t="shared" ref="D327" ca="1" si="187">+SUM(F327:Z327)</f>
        <v>984649496.58406377</v>
      </c>
      <c r="E327" s="58"/>
      <c r="F327" s="58">
        <f ca="1">+SUM(F320:F326)</f>
        <v>372000</v>
      </c>
      <c r="G327" s="58">
        <f t="shared" ref="G327:Z327" ca="1" si="188">+SUM(G320:G326)</f>
        <v>92172710.268615231</v>
      </c>
      <c r="H327" s="58">
        <f t="shared" ca="1" si="188"/>
        <v>153269869.74662384</v>
      </c>
      <c r="I327" s="58">
        <f t="shared" ca="1" si="188"/>
        <v>162039793.76259497</v>
      </c>
      <c r="J327" s="58">
        <f t="shared" ca="1" si="188"/>
        <v>155589079.27075392</v>
      </c>
      <c r="K327" s="58">
        <f t="shared" ca="1" si="188"/>
        <v>166653199.93106404</v>
      </c>
      <c r="L327" s="58">
        <f t="shared" ca="1" si="188"/>
        <v>179177757.00296229</v>
      </c>
      <c r="M327" s="58">
        <f t="shared" ca="1" si="188"/>
        <v>191977208.8105464</v>
      </c>
      <c r="N327" s="58">
        <f t="shared" ca="1" si="188"/>
        <v>185526494.31870535</v>
      </c>
      <c r="O327" s="58">
        <f t="shared" ca="1" si="188"/>
        <v>185526494.31870535</v>
      </c>
      <c r="P327" s="58">
        <f t="shared" ca="1" si="188"/>
        <v>185526494.31870535</v>
      </c>
      <c r="Q327" s="58">
        <f t="shared" ca="1" si="188"/>
        <v>185526494.31870535</v>
      </c>
      <c r="R327" s="58">
        <f t="shared" ca="1" si="188"/>
        <v>185526494.31870535</v>
      </c>
      <c r="S327" s="58">
        <f t="shared" ca="1" si="188"/>
        <v>185526494.31870535</v>
      </c>
      <c r="T327" s="58">
        <f t="shared" ca="1" si="188"/>
        <v>185526494.31870535</v>
      </c>
      <c r="U327" s="58">
        <f t="shared" ca="1" si="188"/>
        <v>185526494.31870535</v>
      </c>
      <c r="V327" s="58">
        <f t="shared" ca="1" si="188"/>
        <v>0</v>
      </c>
      <c r="W327" s="58">
        <f t="shared" ca="1" si="188"/>
        <v>0</v>
      </c>
      <c r="X327" s="58">
        <f t="shared" ca="1" si="188"/>
        <v>0</v>
      </c>
      <c r="Y327" s="58">
        <f t="shared" ca="1" si="188"/>
        <v>0</v>
      </c>
      <c r="Z327" s="58">
        <f t="shared" ca="1" si="188"/>
        <v>0</v>
      </c>
    </row>
    <row r="329" spans="2:26" ht="15.75">
      <c r="B329" s="444" t="s">
        <v>695</v>
      </c>
      <c r="C329" s="445"/>
      <c r="D329" s="445"/>
      <c r="E329" s="445"/>
      <c r="F329" s="640">
        <f>+F289</f>
        <v>44926</v>
      </c>
      <c r="G329" s="640">
        <f t="shared" ref="G329:Z329" si="189">+G289</f>
        <v>45291</v>
      </c>
      <c r="H329" s="640">
        <f t="shared" si="189"/>
        <v>45657</v>
      </c>
      <c r="I329" s="640">
        <f t="shared" si="189"/>
        <v>46022</v>
      </c>
      <c r="J329" s="640">
        <f t="shared" si="189"/>
        <v>46387</v>
      </c>
      <c r="K329" s="640">
        <f t="shared" si="189"/>
        <v>46752</v>
      </c>
      <c r="L329" s="640">
        <f t="shared" si="189"/>
        <v>47118</v>
      </c>
      <c r="M329" s="640">
        <f t="shared" si="189"/>
        <v>47483</v>
      </c>
      <c r="N329" s="640">
        <f t="shared" si="189"/>
        <v>47848</v>
      </c>
      <c r="O329" s="640">
        <f t="shared" si="189"/>
        <v>48213</v>
      </c>
      <c r="P329" s="640">
        <f t="shared" si="189"/>
        <v>48579</v>
      </c>
      <c r="Q329" s="640">
        <f t="shared" si="189"/>
        <v>48944</v>
      </c>
      <c r="R329" s="640">
        <f t="shared" si="189"/>
        <v>49309</v>
      </c>
      <c r="S329" s="640">
        <f t="shared" si="189"/>
        <v>49674</v>
      </c>
      <c r="T329" s="640">
        <f t="shared" si="189"/>
        <v>50040</v>
      </c>
      <c r="U329" s="640">
        <f t="shared" si="189"/>
        <v>50405</v>
      </c>
      <c r="V329" s="640">
        <f t="shared" si="189"/>
        <v>50770</v>
      </c>
      <c r="W329" s="640">
        <f t="shared" si="189"/>
        <v>51135</v>
      </c>
      <c r="X329" s="640">
        <f t="shared" si="189"/>
        <v>51501</v>
      </c>
      <c r="Y329" s="640">
        <f t="shared" si="189"/>
        <v>51866</v>
      </c>
      <c r="Z329" s="640">
        <f t="shared" si="189"/>
        <v>52231</v>
      </c>
    </row>
    <row r="330" spans="2:26" ht="15.75">
      <c r="B330" s="54"/>
    </row>
    <row r="331" spans="2:26" ht="15.75">
      <c r="B331" s="73" t="s">
        <v>696</v>
      </c>
      <c r="F331" s="73">
        <v>0</v>
      </c>
      <c r="G331" s="73">
        <f>+F331+1</f>
        <v>1</v>
      </c>
      <c r="H331" s="73">
        <f t="shared" ref="H331:Z331" si="190">+G331+1</f>
        <v>2</v>
      </c>
      <c r="I331" s="73">
        <f t="shared" si="190"/>
        <v>3</v>
      </c>
      <c r="J331" s="73">
        <f t="shared" si="190"/>
        <v>4</v>
      </c>
      <c r="K331" s="73">
        <f t="shared" si="190"/>
        <v>5</v>
      </c>
      <c r="L331" s="73">
        <f t="shared" si="190"/>
        <v>6</v>
      </c>
      <c r="M331" s="73">
        <f t="shared" si="190"/>
        <v>7</v>
      </c>
      <c r="N331" s="73">
        <f t="shared" si="190"/>
        <v>8</v>
      </c>
      <c r="O331" s="73">
        <f t="shared" si="190"/>
        <v>9</v>
      </c>
      <c r="P331" s="73">
        <f t="shared" si="190"/>
        <v>10</v>
      </c>
      <c r="Q331" s="73">
        <f t="shared" si="190"/>
        <v>11</v>
      </c>
      <c r="R331" s="73">
        <f t="shared" si="190"/>
        <v>12</v>
      </c>
      <c r="S331" s="73">
        <f t="shared" si="190"/>
        <v>13</v>
      </c>
      <c r="T331" s="73">
        <f t="shared" si="190"/>
        <v>14</v>
      </c>
      <c r="U331" s="73">
        <f t="shared" si="190"/>
        <v>15</v>
      </c>
      <c r="V331" s="73">
        <f t="shared" si="190"/>
        <v>16</v>
      </c>
      <c r="W331" s="73">
        <f t="shared" si="190"/>
        <v>17</v>
      </c>
      <c r="X331" s="73">
        <f t="shared" si="190"/>
        <v>18</v>
      </c>
      <c r="Y331" s="73">
        <f t="shared" si="190"/>
        <v>19</v>
      </c>
      <c r="Z331" s="73">
        <f t="shared" si="190"/>
        <v>20</v>
      </c>
    </row>
    <row r="332" spans="2:26" ht="15.75">
      <c r="B332" s="15" t="s">
        <v>676</v>
      </c>
      <c r="D332" s="26"/>
      <c r="E332" s="26"/>
      <c r="F332" s="16">
        <f>+F$239</f>
        <v>18868356</v>
      </c>
      <c r="G332" s="16">
        <f t="shared" ref="G332:Z332" ca="1" si="191">+G$239</f>
        <v>-17411715.996491671</v>
      </c>
      <c r="H332" s="16">
        <f t="shared" ca="1" si="191"/>
        <v>0</v>
      </c>
      <c r="I332" s="16">
        <f t="shared" ca="1" si="191"/>
        <v>-2.9802322387695313E-8</v>
      </c>
      <c r="J332" s="16">
        <f t="shared" ca="1" si="191"/>
        <v>-2.9802322387695313E-8</v>
      </c>
      <c r="K332" s="16">
        <f t="shared" ca="1" si="191"/>
        <v>0</v>
      </c>
      <c r="L332" s="16">
        <f t="shared" ca="1" si="191"/>
        <v>0</v>
      </c>
      <c r="M332" s="16">
        <f t="shared" ca="1" si="191"/>
        <v>0</v>
      </c>
      <c r="N332" s="16">
        <f t="shared" ca="1" si="191"/>
        <v>0</v>
      </c>
      <c r="O332" s="16">
        <f t="shared" ca="1" si="191"/>
        <v>0</v>
      </c>
      <c r="P332" s="16">
        <f t="shared" ca="1" si="191"/>
        <v>0</v>
      </c>
      <c r="Q332" s="16">
        <f t="shared" ca="1" si="191"/>
        <v>0</v>
      </c>
      <c r="R332" s="16">
        <f t="shared" ca="1" si="191"/>
        <v>0</v>
      </c>
      <c r="S332" s="16">
        <f t="shared" ca="1" si="191"/>
        <v>0</v>
      </c>
      <c r="T332" s="16">
        <f t="shared" ca="1" si="191"/>
        <v>0</v>
      </c>
      <c r="U332" s="16">
        <f t="shared" ca="1" si="191"/>
        <v>0</v>
      </c>
      <c r="V332" s="16">
        <f t="shared" ca="1" si="191"/>
        <v>0</v>
      </c>
      <c r="W332" s="16">
        <f t="shared" ca="1" si="191"/>
        <v>0</v>
      </c>
      <c r="X332" s="16">
        <f t="shared" ca="1" si="191"/>
        <v>0</v>
      </c>
      <c r="Y332" s="16">
        <f t="shared" ca="1" si="191"/>
        <v>2.9802322387695313E-8</v>
      </c>
      <c r="Z332" s="16">
        <f t="shared" ca="1" si="191"/>
        <v>0</v>
      </c>
    </row>
    <row r="333" spans="2:26" ht="15.75">
      <c r="B333" s="15" t="s">
        <v>677</v>
      </c>
      <c r="D333" s="26"/>
      <c r="E333" s="26"/>
      <c r="F333" s="76">
        <v>0</v>
      </c>
      <c r="G333" s="76">
        <v>0</v>
      </c>
      <c r="H333" s="76">
        <v>0</v>
      </c>
      <c r="I333" s="76">
        <v>0</v>
      </c>
      <c r="J333" s="76">
        <v>0</v>
      </c>
      <c r="K333" s="76">
        <v>0</v>
      </c>
      <c r="L333" s="76">
        <v>0</v>
      </c>
      <c r="M333" s="76">
        <v>0</v>
      </c>
      <c r="N333" s="76">
        <v>0</v>
      </c>
      <c r="O333" s="76">
        <v>0</v>
      </c>
      <c r="P333" s="76">
        <v>0</v>
      </c>
      <c r="Q333" s="76">
        <v>0</v>
      </c>
      <c r="R333" s="76">
        <v>0</v>
      </c>
      <c r="S333" s="76">
        <v>0</v>
      </c>
      <c r="T333" s="76">
        <v>0</v>
      </c>
      <c r="U333" s="76">
        <v>0</v>
      </c>
      <c r="V333" s="76">
        <v>0</v>
      </c>
      <c r="W333" s="76">
        <v>0</v>
      </c>
      <c r="X333" s="76">
        <v>0</v>
      </c>
      <c r="Y333" s="76">
        <v>0</v>
      </c>
      <c r="Z333" s="76">
        <v>0</v>
      </c>
    </row>
    <row r="334" spans="2:26" ht="15.75">
      <c r="B334" s="15" t="s">
        <v>678</v>
      </c>
      <c r="D334" s="26"/>
      <c r="E334" s="26"/>
      <c r="F334" s="76">
        <v>0</v>
      </c>
      <c r="G334" s="76">
        <v>0</v>
      </c>
      <c r="H334" s="76">
        <v>0</v>
      </c>
      <c r="I334" s="76">
        <v>0</v>
      </c>
      <c r="J334" s="76">
        <v>0</v>
      </c>
      <c r="K334" s="76">
        <v>0</v>
      </c>
      <c r="L334" s="76">
        <v>0</v>
      </c>
      <c r="M334" s="76">
        <v>0</v>
      </c>
      <c r="N334" s="76">
        <v>0</v>
      </c>
      <c r="O334" s="76">
        <v>0</v>
      </c>
      <c r="P334" s="76">
        <v>0</v>
      </c>
      <c r="Q334" s="76">
        <v>0</v>
      </c>
      <c r="R334" s="76">
        <v>0</v>
      </c>
      <c r="S334" s="76">
        <v>0</v>
      </c>
      <c r="T334" s="76">
        <v>0</v>
      </c>
      <c r="U334" s="76">
        <v>0</v>
      </c>
      <c r="V334" s="76">
        <v>0</v>
      </c>
      <c r="W334" s="76">
        <v>0</v>
      </c>
      <c r="X334" s="76">
        <v>0</v>
      </c>
      <c r="Y334" s="76">
        <v>0</v>
      </c>
      <c r="Z334" s="76">
        <v>0</v>
      </c>
    </row>
    <row r="335" spans="2:26" ht="15.75">
      <c r="B335" s="15" t="s">
        <v>697</v>
      </c>
      <c r="D335" s="26"/>
      <c r="E335" s="26"/>
      <c r="F335" s="76" t="e">
        <f ca="1">-SUM(F362:F363)*Assumptions!$M$192</f>
        <v>#REF!</v>
      </c>
      <c r="G335" s="76">
        <f ca="1">-SUM(G362:G363)*Assumptions!$M$192</f>
        <v>0</v>
      </c>
      <c r="H335" s="76" t="e">
        <f ca="1">-SUM(H362:H363)*Assumptions!$M$192</f>
        <v>#REF!</v>
      </c>
      <c r="I335" s="76">
        <f ca="1">-SUM(I362:I363)*Assumptions!$M$192</f>
        <v>653578.54896604316</v>
      </c>
      <c r="J335" s="76" t="e">
        <f ca="1">-SUM(J362:J363)*Assumptions!$M$192</f>
        <v>#REF!</v>
      </c>
      <c r="K335" s="76">
        <f ca="1">-SUM(K362:K363)*Assumptions!$M$192</f>
        <v>295171.99138011702</v>
      </c>
      <c r="L335" s="76" t="e">
        <f ca="1">-SUM(L362:L363)*Assumptions!$M$192</f>
        <v>#REF!</v>
      </c>
      <c r="M335" s="76" t="e">
        <f ca="1">-SUM(M362:M363)*Assumptions!$M$192</f>
        <v>#REF!</v>
      </c>
      <c r="N335" s="76" t="e">
        <f ca="1">-SUM(N362:N363)*Assumptions!$M$192</f>
        <v>#REF!</v>
      </c>
      <c r="O335" s="76" t="e">
        <f ca="1">-SUM(O362:O363)*Assumptions!$M$192</f>
        <v>#REF!</v>
      </c>
      <c r="P335" s="76">
        <f>-SUM(P362:P363)*Assumptions!$M$192</f>
        <v>0</v>
      </c>
      <c r="Q335" s="76">
        <f>-SUM(Q362:Q363)*Assumptions!$M$192</f>
        <v>0</v>
      </c>
      <c r="R335" s="76">
        <f>-SUM(R362:R363)*Assumptions!$M$192</f>
        <v>0</v>
      </c>
      <c r="S335" s="76">
        <f>-SUM(S362:S363)*Assumptions!$M$192</f>
        <v>0</v>
      </c>
      <c r="T335" s="76">
        <f>-SUM(T362:T363)*Assumptions!$M$192</f>
        <v>0</v>
      </c>
      <c r="U335" s="76">
        <f>-SUM(U362:U363)*Assumptions!$M$192</f>
        <v>0</v>
      </c>
      <c r="V335" s="76">
        <f>-SUM(V362:V363)*Assumptions!$M$192</f>
        <v>0</v>
      </c>
      <c r="W335" s="76">
        <f>-SUM(W362:W363)*Assumptions!$M$192</f>
        <v>0</v>
      </c>
      <c r="X335" s="76">
        <f>-SUM(X362:X363)*Assumptions!$M$192</f>
        <v>0</v>
      </c>
      <c r="Y335" s="76">
        <f>-SUM(Y362:Y363)*Assumptions!$M$192</f>
        <v>0</v>
      </c>
      <c r="Z335" s="76">
        <f>-SUM(Z362:Z363)*Assumptions!$M$192</f>
        <v>0</v>
      </c>
    </row>
    <row r="336" spans="2:26" ht="15.75">
      <c r="B336" s="15" t="s">
        <v>698</v>
      </c>
      <c r="D336" s="26"/>
      <c r="E336" s="26"/>
      <c r="F336" s="76" t="e">
        <f ca="1">+IF(YEAR(F$139)&lt;=YEAR(Assumptions!$G$30),F199+#REF!+F151,0)</f>
        <v>#REF!</v>
      </c>
      <c r="G336" s="76" t="e">
        <f ca="1">+IF(YEAR(G$139)&lt;=YEAR(Assumptions!$G$30),G199+#REF!+G151,0)</f>
        <v>#REF!</v>
      </c>
      <c r="H336" s="76" t="e">
        <f ca="1">+IF(YEAR(H$139)&lt;=YEAR(Assumptions!$G$30),H199+#REF!+H151,0)</f>
        <v>#REF!</v>
      </c>
      <c r="I336" s="76" t="e">
        <f ca="1">+IF(YEAR(I$139)&lt;=YEAR(Assumptions!$G$30),I199+#REF!+I151,0)</f>
        <v>#REF!</v>
      </c>
      <c r="J336" s="76" t="e">
        <f ca="1">+IF(YEAR(J$139)&lt;=YEAR(Assumptions!$G$30),J199+#REF!+J151,0)</f>
        <v>#REF!</v>
      </c>
      <c r="K336" s="76" t="e">
        <f ca="1">+IF(YEAR(K$139)&lt;=YEAR(Assumptions!$G$30),K199+#REF!+K151,0)</f>
        <v>#REF!</v>
      </c>
      <c r="L336" s="76" t="e">
        <f ca="1">+IF(YEAR(L$139)&lt;=YEAR(Assumptions!$G$30),L199+#REF!+L151,0)</f>
        <v>#REF!</v>
      </c>
      <c r="M336" s="76" t="e">
        <f ca="1">+IF(YEAR(M$139)&lt;=YEAR(Assumptions!$G$30),M199+#REF!+M151,0)</f>
        <v>#REF!</v>
      </c>
      <c r="N336" s="76" t="e">
        <f ca="1">+IF(YEAR(N$139)&lt;=YEAR(Assumptions!$G$30),N199+#REF!+N151,0)</f>
        <v>#REF!</v>
      </c>
      <c r="O336" s="76" t="e">
        <f ca="1">+IF(YEAR(O$139)&lt;=YEAR(Assumptions!$G$30),O199+#REF!+O151,0)</f>
        <v>#REF!</v>
      </c>
      <c r="P336" s="76">
        <f>+IF(YEAR(P$139)&lt;=YEAR(Assumptions!$G$30),P199+#REF!+P151,0)</f>
        <v>0</v>
      </c>
      <c r="Q336" s="76">
        <f>+IF(YEAR(Q$139)&lt;=YEAR(Assumptions!$G$30),Q199+#REF!+Q151,0)</f>
        <v>0</v>
      </c>
      <c r="R336" s="76">
        <f>+IF(YEAR(R$139)&lt;=YEAR(Assumptions!$G$30),R199+#REF!+R151,0)</f>
        <v>0</v>
      </c>
      <c r="S336" s="76">
        <f>+IF(YEAR(S$139)&lt;=YEAR(Assumptions!$G$30),S199+#REF!+S151,0)</f>
        <v>0</v>
      </c>
      <c r="T336" s="76">
        <f>+IF(YEAR(T$139)&lt;=YEAR(Assumptions!$G$30),T199+#REF!+T151,0)</f>
        <v>0</v>
      </c>
      <c r="U336" s="76">
        <f>+IF(YEAR(U$139)&lt;=YEAR(Assumptions!$G$30),U199+#REF!+U151,0)</f>
        <v>0</v>
      </c>
      <c r="V336" s="76">
        <f>+IF(YEAR(V$139)&lt;=YEAR(Assumptions!$G$30),V199+#REF!+V151,0)</f>
        <v>0</v>
      </c>
      <c r="W336" s="76">
        <f>+IF(YEAR(W$139)&lt;=YEAR(Assumptions!$G$30),W199+#REF!+W151,0)</f>
        <v>0</v>
      </c>
      <c r="X336" s="76">
        <f>+IF(YEAR(X$139)&lt;=YEAR(Assumptions!$G$30),X199+#REF!+X151,0)</f>
        <v>0</v>
      </c>
      <c r="Y336" s="76">
        <f>+IF(YEAR(Y$139)&lt;=YEAR(Assumptions!$G$30),Y199+#REF!+Y151,0)</f>
        <v>0</v>
      </c>
      <c r="Z336" s="76">
        <f>+IF(YEAR(Z$139)&lt;=YEAR(Assumptions!$G$30),Z199+#REF!+Z151,0)</f>
        <v>0</v>
      </c>
    </row>
    <row r="337" spans="2:26" ht="15.75">
      <c r="B337" s="15" t="s">
        <v>699</v>
      </c>
      <c r="D337" s="26"/>
      <c r="E337" s="26"/>
      <c r="F337" s="76">
        <v>0</v>
      </c>
      <c r="G337" s="76">
        <v>0</v>
      </c>
      <c r="H337" s="76">
        <v>0</v>
      </c>
      <c r="I337" s="76">
        <f ca="1">-IF(YEAR(I$139)&lt;=YEAR(Assumptions!$G$30),I365,0)</f>
        <v>29280072.373549581</v>
      </c>
      <c r="J337" s="76">
        <f>25678925*0.9</f>
        <v>23111032.5</v>
      </c>
      <c r="K337" s="76">
        <f>J337*1.1</f>
        <v>25422135.750000004</v>
      </c>
      <c r="L337" s="76">
        <f>K337*1.1</f>
        <v>27964349.325000007</v>
      </c>
      <c r="M337" s="76">
        <f>L337*1.1</f>
        <v>30760784.257500011</v>
      </c>
      <c r="N337" s="76">
        <f>M337*1.1</f>
        <v>33836862.683250017</v>
      </c>
      <c r="O337" s="76" t="e">
        <f ca="1">-IF(YEAR(O$139)&lt;=YEAR(Assumptions!$G$30),O365,0)</f>
        <v>#REF!</v>
      </c>
      <c r="P337" s="76">
        <f>-IF(YEAR(P$139)&lt;=YEAR(Assumptions!$G$30),P365,0)</f>
        <v>0</v>
      </c>
      <c r="Q337" s="76">
        <f>-IF(YEAR(Q$139)&lt;=YEAR(Assumptions!$G$30),Q365,0)</f>
        <v>0</v>
      </c>
      <c r="R337" s="76">
        <f>-IF(YEAR(R$139)&lt;=YEAR(Assumptions!$G$30),R365,0)</f>
        <v>0</v>
      </c>
      <c r="S337" s="76">
        <f>-IF(YEAR(S$139)&lt;=YEAR(Assumptions!$G$30),S365,0)</f>
        <v>0</v>
      </c>
      <c r="T337" s="76">
        <f>-IF(YEAR(T$139)&lt;=YEAR(Assumptions!$G$30),T365,0)</f>
        <v>0</v>
      </c>
      <c r="U337" s="76">
        <f>-IF(YEAR(U$139)&lt;=YEAR(Assumptions!$G$30),U365,0)</f>
        <v>0</v>
      </c>
      <c r="V337" s="76">
        <f>-IF(YEAR(V$139)&lt;=YEAR(Assumptions!$G$30),V365,0)</f>
        <v>0</v>
      </c>
      <c r="W337" s="76">
        <f>-IF(YEAR(W$139)&lt;=YEAR(Assumptions!$G$30),W365,0)</f>
        <v>0</v>
      </c>
      <c r="X337" s="76">
        <f>-IF(YEAR(X$139)&lt;=YEAR(Assumptions!$G$30),X365,0)</f>
        <v>0</v>
      </c>
      <c r="Y337" s="76">
        <f>-IF(YEAR(Y$139)&lt;=YEAR(Assumptions!$G$30),Y365,0)</f>
        <v>0</v>
      </c>
      <c r="Z337" s="76">
        <f>-IF(YEAR(Z$139)&lt;=YEAR(Assumptions!$G$30),Z365,0)</f>
        <v>0</v>
      </c>
    </row>
    <row r="338" spans="2:26" ht="15.75">
      <c r="B338" s="15" t="s">
        <v>682</v>
      </c>
      <c r="D338" s="26"/>
      <c r="E338" s="26"/>
      <c r="F338" s="76">
        <f>-F366*Assumptions!$M$192</f>
        <v>0</v>
      </c>
      <c r="G338" s="76">
        <f>-G366*Assumptions!$M$192</f>
        <v>0</v>
      </c>
      <c r="H338" s="76">
        <f>-H366*Assumptions!$M$192</f>
        <v>0</v>
      </c>
      <c r="I338" s="76">
        <f>-I366*Assumptions!$M$192</f>
        <v>0</v>
      </c>
      <c r="J338" s="76">
        <f>-J366*Assumptions!$M$192</f>
        <v>0</v>
      </c>
      <c r="K338" s="76">
        <f>-K366*Assumptions!$M$192</f>
        <v>0</v>
      </c>
      <c r="L338" s="76">
        <f>-L366*Assumptions!$M$192</f>
        <v>0</v>
      </c>
      <c r="M338" s="76">
        <f>-M366*Assumptions!$M$192</f>
        <v>0</v>
      </c>
      <c r="N338" s="76">
        <f>-N366*Assumptions!$M$192</f>
        <v>0</v>
      </c>
      <c r="O338" s="76">
        <f ca="1">-O366*Assumptions!$M$192</f>
        <v>0</v>
      </c>
      <c r="P338" s="76">
        <f>-P366*Assumptions!$M$192</f>
        <v>0</v>
      </c>
      <c r="Q338" s="76">
        <f>-Q366*Assumptions!$M$192</f>
        <v>0</v>
      </c>
      <c r="R338" s="76">
        <f>-R366*Assumptions!$M$192</f>
        <v>0</v>
      </c>
      <c r="S338" s="76">
        <f>-S366*Assumptions!$M$192</f>
        <v>0</v>
      </c>
      <c r="T338" s="76">
        <f>-T366*Assumptions!$M$192</f>
        <v>0</v>
      </c>
      <c r="U338" s="76">
        <f>-U366*Assumptions!$M$192</f>
        <v>0</v>
      </c>
      <c r="V338" s="76">
        <f>-V366*Assumptions!$M$192</f>
        <v>0</v>
      </c>
      <c r="W338" s="76">
        <f>-W366*Assumptions!$M$192</f>
        <v>0</v>
      </c>
      <c r="X338" s="76">
        <f>-X366*Assumptions!$M$192</f>
        <v>0</v>
      </c>
      <c r="Y338" s="76">
        <f>-Y366*Assumptions!$M$192</f>
        <v>0</v>
      </c>
      <c r="Z338" s="76">
        <f>-Z366*Assumptions!$M$192</f>
        <v>0</v>
      </c>
    </row>
    <row r="339" spans="2:26" ht="15.75">
      <c r="B339" s="687" t="s">
        <v>675</v>
      </c>
      <c r="C339" s="687"/>
      <c r="D339" s="550">
        <f t="shared" ref="D339" ca="1" si="192">+SUM(F339:Z339)</f>
        <v>196269672.12696755</v>
      </c>
      <c r="E339" s="550"/>
      <c r="F339" s="550">
        <f t="shared" ref="F339:Z339" ca="1" si="193">+SUM(F332:F338)</f>
        <v>-18868356.37705791</v>
      </c>
      <c r="G339" s="550">
        <f t="shared" ca="1" si="193"/>
        <v>-17411715.9964917</v>
      </c>
      <c r="H339" s="550">
        <f t="shared" ca="1" si="193"/>
        <v>0</v>
      </c>
      <c r="I339" s="550">
        <f ca="1">+SUM(I332:I338)</f>
        <v>19560767.377177574</v>
      </c>
      <c r="J339" s="550">
        <f ca="1">+SUM(J332:J338)</f>
        <v>26564501.221420437</v>
      </c>
      <c r="K339" s="550">
        <f ca="1">+SUM(K332:K338)</f>
        <v>29198081.409384303</v>
      </c>
      <c r="L339" s="550">
        <f ca="1">+SUM(L332:L338)</f>
        <v>32433859.153483808</v>
      </c>
      <c r="M339" s="550">
        <f ca="1">SUM(M335:M338)</f>
        <v>35396547.519318283</v>
      </c>
      <c r="N339" s="550">
        <f t="shared" ca="1" si="193"/>
        <v>38700485.749573819</v>
      </c>
      <c r="O339" s="550">
        <f t="shared" ca="1" si="193"/>
        <v>0</v>
      </c>
      <c r="P339" s="550">
        <f t="shared" ca="1" si="193"/>
        <v>0</v>
      </c>
      <c r="Q339" s="550">
        <f t="shared" ca="1" si="193"/>
        <v>0</v>
      </c>
      <c r="R339" s="550">
        <f t="shared" ca="1" si="193"/>
        <v>0</v>
      </c>
      <c r="S339" s="550">
        <f t="shared" ca="1" si="193"/>
        <v>0</v>
      </c>
      <c r="T339" s="550">
        <f t="shared" ca="1" si="193"/>
        <v>0</v>
      </c>
      <c r="U339" s="550">
        <f t="shared" ca="1" si="193"/>
        <v>0</v>
      </c>
      <c r="V339" s="550">
        <f t="shared" ca="1" si="193"/>
        <v>0</v>
      </c>
      <c r="W339" s="550">
        <f t="shared" ca="1" si="193"/>
        <v>0</v>
      </c>
      <c r="X339" s="550">
        <f t="shared" ca="1" si="193"/>
        <v>0</v>
      </c>
      <c r="Y339" s="550">
        <f t="shared" ca="1" si="193"/>
        <v>0</v>
      </c>
      <c r="Z339" s="550">
        <f t="shared" ca="1" si="193"/>
        <v>0</v>
      </c>
    </row>
    <row r="340" spans="2:26" ht="15.75">
      <c r="B340" s="54"/>
    </row>
    <row r="341" spans="2:26" ht="15.75">
      <c r="B341" s="539" t="s">
        <v>700</v>
      </c>
      <c r="C341" s="539"/>
      <c r="D341" s="711">
        <f ca="1">+IRR(F339:Z339)</f>
        <v>0.3844756961691389</v>
      </c>
      <c r="F341" s="242"/>
      <c r="G341" s="16"/>
    </row>
    <row r="342" spans="2:26" ht="15.75">
      <c r="B342" s="54"/>
      <c r="D342" s="49"/>
    </row>
    <row r="343" spans="2:26" ht="15.75">
      <c r="B343" s="73" t="s">
        <v>701</v>
      </c>
      <c r="F343" s="73">
        <f>+F331</f>
        <v>0</v>
      </c>
      <c r="G343" s="73">
        <f t="shared" ref="G343:Z344" si="194">+G331</f>
        <v>1</v>
      </c>
      <c r="H343" s="73">
        <f t="shared" si="194"/>
        <v>2</v>
      </c>
      <c r="I343" s="73">
        <f t="shared" si="194"/>
        <v>3</v>
      </c>
      <c r="J343" s="73">
        <f t="shared" si="194"/>
        <v>4</v>
      </c>
      <c r="K343" s="73">
        <f t="shared" si="194"/>
        <v>5</v>
      </c>
      <c r="L343" s="73">
        <f t="shared" si="194"/>
        <v>6</v>
      </c>
      <c r="M343" s="73">
        <f t="shared" si="194"/>
        <v>7</v>
      </c>
      <c r="N343" s="73">
        <f t="shared" si="194"/>
        <v>8</v>
      </c>
      <c r="O343" s="73">
        <f t="shared" si="194"/>
        <v>9</v>
      </c>
      <c r="P343" s="73">
        <f t="shared" si="194"/>
        <v>10</v>
      </c>
      <c r="Q343" s="73">
        <f t="shared" si="194"/>
        <v>11</v>
      </c>
      <c r="R343" s="73">
        <f t="shared" si="194"/>
        <v>12</v>
      </c>
      <c r="S343" s="73">
        <f t="shared" si="194"/>
        <v>13</v>
      </c>
      <c r="T343" s="73">
        <f t="shared" si="194"/>
        <v>14</v>
      </c>
      <c r="U343" s="73">
        <f t="shared" si="194"/>
        <v>15</v>
      </c>
      <c r="V343" s="73">
        <f t="shared" si="194"/>
        <v>16</v>
      </c>
      <c r="W343" s="73">
        <f t="shared" si="194"/>
        <v>17</v>
      </c>
      <c r="X343" s="73">
        <f t="shared" si="194"/>
        <v>18</v>
      </c>
      <c r="Y343" s="73">
        <f t="shared" si="194"/>
        <v>19</v>
      </c>
      <c r="Z343" s="73">
        <f t="shared" si="194"/>
        <v>20</v>
      </c>
    </row>
    <row r="344" spans="2:26" ht="15.75">
      <c r="B344" s="15" t="s">
        <v>676</v>
      </c>
      <c r="D344" s="26"/>
      <c r="E344" s="26"/>
      <c r="F344" s="16">
        <f>+F332</f>
        <v>18868356</v>
      </c>
      <c r="G344" s="16">
        <f t="shared" ca="1" si="194"/>
        <v>-17411715.996491671</v>
      </c>
      <c r="H344" s="16">
        <f t="shared" ca="1" si="194"/>
        <v>0</v>
      </c>
      <c r="I344" s="16">
        <f t="shared" ca="1" si="194"/>
        <v>-2.9802322387695313E-8</v>
      </c>
      <c r="J344" s="16">
        <f t="shared" ca="1" si="194"/>
        <v>-2.9802322387695313E-8</v>
      </c>
      <c r="K344" s="16">
        <f t="shared" ca="1" si="194"/>
        <v>0</v>
      </c>
      <c r="L344" s="16">
        <f t="shared" ca="1" si="194"/>
        <v>0</v>
      </c>
      <c r="M344" s="16">
        <f t="shared" ca="1" si="194"/>
        <v>0</v>
      </c>
      <c r="N344" s="16">
        <f t="shared" ca="1" si="194"/>
        <v>0</v>
      </c>
      <c r="O344" s="16">
        <f t="shared" ca="1" si="194"/>
        <v>0</v>
      </c>
      <c r="P344" s="16">
        <f t="shared" ca="1" si="194"/>
        <v>0</v>
      </c>
      <c r="Q344" s="16">
        <f t="shared" ca="1" si="194"/>
        <v>0</v>
      </c>
      <c r="R344" s="16">
        <f t="shared" ca="1" si="194"/>
        <v>0</v>
      </c>
      <c r="S344" s="16">
        <f t="shared" ca="1" si="194"/>
        <v>0</v>
      </c>
      <c r="T344" s="16">
        <f t="shared" ca="1" si="194"/>
        <v>0</v>
      </c>
      <c r="U344" s="16">
        <f t="shared" ca="1" si="194"/>
        <v>0</v>
      </c>
      <c r="V344" s="16">
        <f t="shared" ca="1" si="194"/>
        <v>0</v>
      </c>
      <c r="W344" s="16">
        <f t="shared" ca="1" si="194"/>
        <v>0</v>
      </c>
      <c r="X344" s="16">
        <f t="shared" ca="1" si="194"/>
        <v>0</v>
      </c>
      <c r="Y344" s="16">
        <f t="shared" ca="1" si="194"/>
        <v>2.9802322387695313E-8</v>
      </c>
      <c r="Z344" s="16">
        <f t="shared" ca="1" si="194"/>
        <v>0</v>
      </c>
    </row>
    <row r="345" spans="2:26" ht="15.75">
      <c r="B345" s="15" t="s">
        <v>677</v>
      </c>
      <c r="D345" s="26"/>
      <c r="E345" s="26"/>
      <c r="F345" s="76">
        <f>-F344*Assumptions!$M$192</f>
        <v>-3962354.76</v>
      </c>
      <c r="G345" s="76">
        <f ca="1">-G344*Assumptions!$M$192</f>
        <v>3656460.3592632571</v>
      </c>
      <c r="H345" s="76">
        <f ca="1">-H344*Assumptions!$M$192</f>
        <v>0</v>
      </c>
      <c r="I345" s="76">
        <f ca="1">-I344*Assumptions!$M$192</f>
        <v>0</v>
      </c>
      <c r="J345" s="76">
        <f ca="1">-J344*Assumptions!$M$192</f>
        <v>0</v>
      </c>
      <c r="K345" s="76">
        <f ca="1">-K344*Assumptions!$M$192</f>
        <v>0</v>
      </c>
      <c r="L345" s="76">
        <f ca="1">-L344*Assumptions!$M$192</f>
        <v>0</v>
      </c>
      <c r="M345" s="76">
        <f ca="1">-M344*Assumptions!$M$192</f>
        <v>0</v>
      </c>
      <c r="N345" s="76">
        <f ca="1">-N344*Assumptions!$M$192</f>
        <v>0</v>
      </c>
      <c r="O345" s="76">
        <f ca="1">-O344*Assumptions!$M$192</f>
        <v>0</v>
      </c>
      <c r="P345" s="76">
        <f ca="1">-P344*Assumptions!$M$192</f>
        <v>0</v>
      </c>
      <c r="Q345" s="76">
        <f ca="1">-Q344*Assumptions!$M$192</f>
        <v>0</v>
      </c>
      <c r="R345" s="76">
        <f ca="1">-R344*Assumptions!$M$192</f>
        <v>0</v>
      </c>
      <c r="S345" s="76">
        <f ca="1">-S344*Assumptions!$M$192</f>
        <v>0</v>
      </c>
      <c r="T345" s="76">
        <f ca="1">-T344*Assumptions!$M$192</f>
        <v>0</v>
      </c>
      <c r="U345" s="76">
        <f ca="1">-U344*Assumptions!$M$192</f>
        <v>0</v>
      </c>
      <c r="V345" s="76">
        <f ca="1">-V344*Assumptions!$M$192</f>
        <v>0</v>
      </c>
      <c r="W345" s="76">
        <f ca="1">-W344*Assumptions!$M$192</f>
        <v>0</v>
      </c>
      <c r="X345" s="76">
        <f ca="1">-X344*Assumptions!$M$192</f>
        <v>0</v>
      </c>
      <c r="Y345" s="76">
        <f ca="1">-Y344*Assumptions!$M$192</f>
        <v>0</v>
      </c>
      <c r="Z345" s="76">
        <f ca="1">-Z344*Assumptions!$M$192</f>
        <v>0</v>
      </c>
    </row>
    <row r="346" spans="2:26" ht="15.75">
      <c r="B346" s="15" t="s">
        <v>678</v>
      </c>
      <c r="D346" s="26"/>
      <c r="E346" s="26"/>
      <c r="F346" s="76">
        <f ca="1">IFERROR(-IF(YEAR(F329)&lt;MIN(YEAR(Assumptions!$G$30),2026),(OFFSET(F345,0,-10)),IF(YEAR(F329)=MIN(YEAR(Assumptions!$G$30),2026),SUM($E$345:F$345)-SUM($E$346:E$346),0)),0)</f>
        <v>0</v>
      </c>
      <c r="G346" s="76">
        <f ca="1">IFERROR(-IF(YEAR(G329)&lt;MIN(YEAR(Assumptions!$G$30),2026),(OFFSET(G345,0,-10)),IF(YEAR(G329)=MIN(YEAR(Assumptions!$G$30),2026),SUM($E$345:G$345)-SUM($E$346:F$346),0)),0)</f>
        <v>0</v>
      </c>
      <c r="H346" s="76">
        <f ca="1">IFERROR(-IF(YEAR(H329)&lt;MIN(YEAR(Assumptions!$G$30),2026),(OFFSET(H345,0,-10)),IF(YEAR(H329)=MIN(YEAR(Assumptions!$G$30),2026),SUM($E$345:H$345)-SUM($E$346:G$346),0)),0)</f>
        <v>0</v>
      </c>
      <c r="I346" s="76">
        <f ca="1">IFERROR(-IF(YEAR(I329)&lt;MIN(YEAR(Assumptions!$G$30),2026),(OFFSET(I345,0,-10)),IF(YEAR(I329)=MIN(YEAR(Assumptions!$G$30),2026),SUM($E$345:I$345)-SUM($E$346:H$346),0)),0)</f>
        <v>0</v>
      </c>
      <c r="J346" s="76">
        <f ca="1">IFERROR(-IF(YEAR(J329)&lt;MIN(YEAR(Assumptions!$G$30),2026),(OFFSET(J345,0,-10)),IF(YEAR(J329)=MIN(YEAR(Assumptions!$G$30),2026),SUM($E$345:J$345)-SUM($E$346:I$346),0)),0)</f>
        <v>-7618815.1984454179</v>
      </c>
      <c r="K346" s="76">
        <f ca="1">IFERROR(-IF(YEAR(K329)&lt;MIN(YEAR(Assumptions!$G$30),2026),(OFFSET(K345,0,-10)),IF(YEAR(K329)=MIN(YEAR(Assumptions!$G$30),2026),SUM($E$345:K$345)-SUM($E$346:J$346),0)),0)</f>
        <v>0</v>
      </c>
      <c r="L346" s="76">
        <f ca="1">IFERROR(-IF(YEAR(L329)&lt;MIN(YEAR(Assumptions!$G$30),2026),(OFFSET(L345,0,-10)),IF(YEAR(L329)=MIN(YEAR(Assumptions!$G$30),2026),SUM($E$345:L$345)-SUM($E$346:K$346),0)),0)</f>
        <v>0</v>
      </c>
      <c r="M346" s="76">
        <f ca="1">IFERROR(-IF(YEAR(M329)&lt;MIN(YEAR(Assumptions!$G$30),2026),(OFFSET(M345,0,-10)),IF(YEAR(M329)=MIN(YEAR(Assumptions!$G$30),2026),SUM($E$345:M$345)-SUM($E$346:L$346),0)),0)</f>
        <v>0</v>
      </c>
      <c r="N346" s="76">
        <f ca="1">IFERROR(-IF(YEAR(N329)&lt;MIN(YEAR(Assumptions!$G$30),2026),(OFFSET(N345,0,-10)),IF(YEAR(N329)=MIN(YEAR(Assumptions!$G$30),2026),SUM($E$345:N$345)-SUM($E$346:M$346),0)),0)</f>
        <v>0</v>
      </c>
      <c r="O346" s="76">
        <f ca="1">IFERROR(-IF(YEAR(O329)&lt;MIN(YEAR(Assumptions!$G$30),2026),(OFFSET(O345,0,-10)),IF(YEAR(O329)=MIN(YEAR(Assumptions!$G$30),2026),SUM($E$345:O$345)-SUM($E$346:N$346),0)),0)</f>
        <v>0</v>
      </c>
      <c r="P346" s="76">
        <f ca="1">IFERROR(-IF(YEAR(P329)&lt;MIN(YEAR(Assumptions!$G$30),2026),(OFFSET(P345,0,-10)),IF(YEAR(P329)=MIN(YEAR(Assumptions!$G$30),2026),SUM($E$345:P$345)-SUM($E$346:O$346),0)),0)</f>
        <v>0</v>
      </c>
      <c r="Q346" s="76">
        <f ca="1">IFERROR(-IF(YEAR(Q329)&lt;MIN(YEAR(Assumptions!$G$30),2026),(OFFSET(Q345,0,-10)),IF(YEAR(Q329)=MIN(YEAR(Assumptions!$G$30),2026),SUM($E$345:Q$345)-SUM($E$346:P$346),0)),0)</f>
        <v>0</v>
      </c>
      <c r="R346" s="76">
        <f ca="1">IFERROR(-IF(YEAR(R329)&lt;MIN(YEAR(Assumptions!$G$30),2026),(OFFSET(R345,0,-10)),IF(YEAR(R329)=MIN(YEAR(Assumptions!$G$30),2026),SUM($E$345:R$345)-SUM($E$346:Q$346),0)),0)</f>
        <v>0</v>
      </c>
      <c r="S346" s="76">
        <f ca="1">IFERROR(-IF(YEAR(S329)&lt;MIN(YEAR(Assumptions!$G$30),2026),(OFFSET(S345,0,-10)),IF(YEAR(S329)=MIN(YEAR(Assumptions!$G$30),2026),SUM($E$345:S$345)-SUM($E$346:R$346),0)),0)</f>
        <v>0</v>
      </c>
      <c r="T346" s="76">
        <f ca="1">IFERROR(-IF(YEAR(T329)&lt;MIN(YEAR(Assumptions!$G$30),2026),(OFFSET(T345,0,-10)),IF(YEAR(T329)=MIN(YEAR(Assumptions!$G$30),2026),SUM($E$345:T$345)-SUM($E$346:S$346),0)),0)</f>
        <v>0</v>
      </c>
      <c r="U346" s="76">
        <f ca="1">IFERROR(-IF(YEAR(U329)&lt;MIN(YEAR(Assumptions!$G$30),2026),(OFFSET(U345,0,-10)),IF(YEAR(U329)=MIN(YEAR(Assumptions!$G$30),2026),SUM($E$345:U$345)-SUM($E$346:T$346),0)),0)</f>
        <v>0</v>
      </c>
      <c r="V346" s="76">
        <f ca="1">IFERROR(-IF(YEAR(V329)&lt;MIN(YEAR(Assumptions!$G$30),2026),(OFFSET(V345,0,-10)),IF(YEAR(V329)=MIN(YEAR(Assumptions!$G$30),2026),SUM($E$345:V$345)-SUM($E$346:U$346),0)),0)</f>
        <v>0</v>
      </c>
      <c r="W346" s="76">
        <f ca="1">IFERROR(-IF(YEAR(W329)&lt;MIN(YEAR(Assumptions!$G$30),2026),(OFFSET(W345,0,-10)),IF(YEAR(W329)=MIN(YEAR(Assumptions!$G$30),2026),SUM($E$345:W$345)-SUM($E$346:V$346),0)),0)</f>
        <v>0</v>
      </c>
      <c r="X346" s="76">
        <f ca="1">IFERROR(-IF(YEAR(X329)&lt;MIN(YEAR(Assumptions!$G$30),2026),(OFFSET(X345,0,-10)),IF(YEAR(X329)=MIN(YEAR(Assumptions!$G$30),2026),SUM($E$345:X$345)-SUM($E$346:W$346),0)),0)</f>
        <v>0</v>
      </c>
      <c r="Y346" s="76">
        <f ca="1">IFERROR(-IF(YEAR(Y329)&lt;MIN(YEAR(Assumptions!$G$30),2026),(OFFSET(Y345,0,-10)),IF(YEAR(Y329)=MIN(YEAR(Assumptions!$G$30),2026),SUM($E$345:Y$345)-SUM($E$346:X$346),0)),0)</f>
        <v>0</v>
      </c>
      <c r="Z346" s="76">
        <f ca="1">IFERROR(-IF(YEAR(Z329)&lt;MIN(YEAR(Assumptions!$G$30),2026),(OFFSET(Z345,0,-10)),IF(YEAR(Z329)=MIN(YEAR(Assumptions!$G$30),2026),SUM($E$345:Z$345)-SUM($E$346:Y$346),0)),0)</f>
        <v>0</v>
      </c>
    </row>
    <row r="347" spans="2:26" ht="15.75">
      <c r="B347" s="15" t="s">
        <v>685</v>
      </c>
      <c r="D347" s="26"/>
      <c r="E347" s="26"/>
      <c r="F347" s="76">
        <f>+IF(YEAR(F329)=MIN(YEAR(Assumptions!$G$30),2026),SUM($F$357:$Z$357),0)</f>
        <v>0</v>
      </c>
      <c r="G347" s="76">
        <f>+IF(YEAR(G329)=MIN(YEAR(Assumptions!$G$30),2026),SUM($F$357:$Z$357),0)</f>
        <v>0</v>
      </c>
      <c r="H347" s="76">
        <f>+IF(YEAR(H329)=MIN(YEAR(Assumptions!$G$30),2026),SUM($F$357:$Z$357),0)</f>
        <v>0</v>
      </c>
      <c r="I347" s="76">
        <f>+IF(YEAR(I329)=MIN(YEAR(Assumptions!$G$30),2026),SUM($F$357:$Z$357),0)</f>
        <v>0</v>
      </c>
      <c r="J347" s="76">
        <f ca="1">+IF(YEAR(J329)=MIN(YEAR(Assumptions!$G$30),2026),SUM($F$357:$Z$357),0)</f>
        <v>1142822.2797668127</v>
      </c>
      <c r="K347" s="76">
        <f>+IF(YEAR(K329)=MIN(YEAR(Assumptions!$G$30),2026),SUM($F$357:$Z$357),0)</f>
        <v>0</v>
      </c>
      <c r="L347" s="76">
        <f>+IF(YEAR(L329)=MIN(YEAR(Assumptions!$G$30),2026),SUM($F$357:$Z$357),0)</f>
        <v>0</v>
      </c>
      <c r="M347" s="76">
        <f>+IF(YEAR(M329)=MIN(YEAR(Assumptions!$G$30),2026),SUM($F$357:$Z$357),0)</f>
        <v>0</v>
      </c>
      <c r="N347" s="76">
        <f>+IF(YEAR(N329)=MIN(YEAR(Assumptions!$G$30),2026),SUM($F$357:$Z$357),0)</f>
        <v>0</v>
      </c>
      <c r="O347" s="76">
        <f>+IF(YEAR(O329)=MIN(YEAR(Assumptions!$G$30),2026),SUM($F$357:$Z$357),0)</f>
        <v>0</v>
      </c>
      <c r="P347" s="76">
        <f>+IF(YEAR(P329)=MIN(YEAR(Assumptions!$G$30),2026),SUM($F$357:$Z$357),0)</f>
        <v>0</v>
      </c>
      <c r="Q347" s="76">
        <f>+IF(YEAR(Q329)=MIN(YEAR(Assumptions!$G$30),2026),SUM($F$357:$Z$357),0)</f>
        <v>0</v>
      </c>
      <c r="R347" s="76">
        <f>+IF(YEAR(R329)=MIN(YEAR(Assumptions!$G$30),2026),SUM($F$357:$Z$357),0)</f>
        <v>0</v>
      </c>
      <c r="S347" s="76">
        <f>+IF(YEAR(S329)=MIN(YEAR(Assumptions!$G$30),2026),SUM($F$357:$Z$357),0)</f>
        <v>0</v>
      </c>
      <c r="T347" s="76">
        <f>+IF(YEAR(T329)=MIN(YEAR(Assumptions!$G$30),2026),SUM($F$357:$Z$357),0)</f>
        <v>0</v>
      </c>
      <c r="U347" s="76">
        <f>+IF(YEAR(U329)=MIN(YEAR(Assumptions!$G$30),2026),SUM($F$357:$Z$357),0)</f>
        <v>0</v>
      </c>
      <c r="V347" s="76">
        <f>+IF(YEAR(V329)=MIN(YEAR(Assumptions!$G$30),2026),SUM($F$357:$Z$357),0)</f>
        <v>0</v>
      </c>
      <c r="W347" s="76">
        <f>+IF(YEAR(W329)=MIN(YEAR(Assumptions!$G$30),2026),SUM($F$357:$Z$357),0)</f>
        <v>0</v>
      </c>
      <c r="X347" s="76">
        <f>+IF(YEAR(X329)=MIN(YEAR(Assumptions!$G$30),2026),SUM($F$357:$Z$357),0)</f>
        <v>0</v>
      </c>
      <c r="Y347" s="76">
        <f>+IF(YEAR(Y329)=MIN(YEAR(Assumptions!$G$30),2026),SUM($F$357:$Z$357),0)</f>
        <v>0</v>
      </c>
      <c r="Z347" s="76">
        <f>+IF(YEAR(Z329)=MIN(YEAR(Assumptions!$G$30),2026),SUM($F$357:$Z$357),0)</f>
        <v>0</v>
      </c>
    </row>
    <row r="348" spans="2:26" ht="15.75">
      <c r="B348" s="15" t="s">
        <v>697</v>
      </c>
      <c r="D348" s="26"/>
      <c r="E348" s="26"/>
      <c r="F348" s="76" t="e">
        <f ca="1">+F335</f>
        <v>#REF!</v>
      </c>
      <c r="G348" s="76">
        <f t="shared" ref="G348:Z350" ca="1" si="195">+G335</f>
        <v>0</v>
      </c>
      <c r="H348" s="76">
        <f t="shared" ca="1" si="195"/>
        <v>0</v>
      </c>
      <c r="I348" s="76">
        <f t="shared" ca="1" si="195"/>
        <v>653578.54896604316</v>
      </c>
      <c r="J348" s="76" t="e">
        <f ca="1">+J335</f>
        <v>#REF!</v>
      </c>
      <c r="K348" s="76">
        <f t="shared" ca="1" si="195"/>
        <v>295171.99138011702</v>
      </c>
      <c r="L348" s="76">
        <f t="shared" ca="1" si="195"/>
        <v>83777.069460419501</v>
      </c>
      <c r="M348" s="76">
        <f t="shared" ca="1" si="195"/>
        <v>10796.421184126306</v>
      </c>
      <c r="N348" s="76">
        <f t="shared" ca="1" si="195"/>
        <v>-80431.739585707619</v>
      </c>
      <c r="O348" s="76">
        <f t="shared" ca="1" si="195"/>
        <v>0</v>
      </c>
      <c r="P348" s="76">
        <f t="shared" si="195"/>
        <v>0</v>
      </c>
      <c r="Q348" s="76">
        <f t="shared" si="195"/>
        <v>0</v>
      </c>
      <c r="R348" s="76">
        <f t="shared" si="195"/>
        <v>0</v>
      </c>
      <c r="S348" s="76">
        <f t="shared" si="195"/>
        <v>0</v>
      </c>
      <c r="T348" s="76">
        <f t="shared" si="195"/>
        <v>0</v>
      </c>
      <c r="U348" s="76">
        <f t="shared" si="195"/>
        <v>0</v>
      </c>
      <c r="V348" s="76">
        <f t="shared" si="195"/>
        <v>0</v>
      </c>
      <c r="W348" s="76">
        <f t="shared" si="195"/>
        <v>0</v>
      </c>
      <c r="X348" s="76">
        <f t="shared" si="195"/>
        <v>0</v>
      </c>
      <c r="Y348" s="76">
        <f t="shared" si="195"/>
        <v>0</v>
      </c>
      <c r="Z348" s="76">
        <f t="shared" si="195"/>
        <v>0</v>
      </c>
    </row>
    <row r="349" spans="2:26" ht="15.75">
      <c r="B349" s="15" t="s">
        <v>698</v>
      </c>
      <c r="D349" s="26"/>
      <c r="E349" s="26"/>
      <c r="F349" s="76">
        <f ca="1">+F336</f>
        <v>0</v>
      </c>
      <c r="G349" s="76">
        <f t="shared" ca="1" si="195"/>
        <v>0</v>
      </c>
      <c r="H349" s="76">
        <f t="shared" ca="1" si="195"/>
        <v>0</v>
      </c>
      <c r="I349" s="76">
        <f t="shared" ca="1" si="195"/>
        <v>-5770924.7064398667</v>
      </c>
      <c r="J349" s="76">
        <f t="shared" ca="1" si="195"/>
        <v>3047194.9531564033</v>
      </c>
      <c r="K349" s="76">
        <f t="shared" ca="1" si="195"/>
        <v>3480773.6680041822</v>
      </c>
      <c r="L349" s="76">
        <f t="shared" ca="1" si="195"/>
        <v>4385732.7590233833</v>
      </c>
      <c r="M349" s="76">
        <f t="shared" ca="1" si="195"/>
        <v>4624966.840634143</v>
      </c>
      <c r="N349" s="76">
        <f t="shared" ca="1" si="195"/>
        <v>4944054.8059095126</v>
      </c>
      <c r="O349" s="76">
        <f t="shared" ca="1" si="195"/>
        <v>0</v>
      </c>
      <c r="P349" s="76">
        <f t="shared" si="195"/>
        <v>0</v>
      </c>
      <c r="Q349" s="76">
        <f t="shared" si="195"/>
        <v>0</v>
      </c>
      <c r="R349" s="76">
        <f t="shared" si="195"/>
        <v>0</v>
      </c>
      <c r="S349" s="76">
        <f t="shared" si="195"/>
        <v>0</v>
      </c>
      <c r="T349" s="76">
        <f t="shared" si="195"/>
        <v>0</v>
      </c>
      <c r="U349" s="76">
        <f t="shared" si="195"/>
        <v>0</v>
      </c>
      <c r="V349" s="76">
        <f t="shared" si="195"/>
        <v>0</v>
      </c>
      <c r="W349" s="76">
        <f t="shared" si="195"/>
        <v>0</v>
      </c>
      <c r="X349" s="76">
        <f t="shared" si="195"/>
        <v>0</v>
      </c>
      <c r="Y349" s="76">
        <f t="shared" si="195"/>
        <v>0</v>
      </c>
      <c r="Z349" s="76">
        <f t="shared" si="195"/>
        <v>0</v>
      </c>
    </row>
    <row r="350" spans="2:26" ht="15.75">
      <c r="B350" s="15" t="s">
        <v>699</v>
      </c>
      <c r="D350" s="26"/>
      <c r="E350" s="26"/>
      <c r="F350" s="76">
        <f>-F205-F158</f>
        <v>0</v>
      </c>
      <c r="G350" s="76">
        <f t="shared" si="195"/>
        <v>0</v>
      </c>
      <c r="H350" s="76">
        <f t="shared" si="195"/>
        <v>0</v>
      </c>
      <c r="I350" s="76">
        <f t="shared" ca="1" si="195"/>
        <v>29280072.373549581</v>
      </c>
      <c r="J350" s="76">
        <f t="shared" si="195"/>
        <v>23111032.5</v>
      </c>
      <c r="K350" s="76">
        <f t="shared" si="195"/>
        <v>25422135.750000004</v>
      </c>
      <c r="L350" s="76">
        <f t="shared" si="195"/>
        <v>27964349.325000007</v>
      </c>
      <c r="M350" s="76">
        <f t="shared" si="195"/>
        <v>30760784.257500011</v>
      </c>
      <c r="N350" s="76">
        <f t="shared" si="195"/>
        <v>33836862.683250017</v>
      </c>
      <c r="O350" s="76" t="e">
        <f t="shared" ca="1" si="195"/>
        <v>#REF!</v>
      </c>
      <c r="P350" s="76">
        <f t="shared" si="195"/>
        <v>0</v>
      </c>
      <c r="Q350" s="76">
        <f t="shared" si="195"/>
        <v>0</v>
      </c>
      <c r="R350" s="76">
        <f t="shared" si="195"/>
        <v>0</v>
      </c>
      <c r="S350" s="76">
        <f t="shared" si="195"/>
        <v>0</v>
      </c>
      <c r="T350" s="76">
        <f t="shared" si="195"/>
        <v>0</v>
      </c>
      <c r="U350" s="76">
        <f t="shared" si="195"/>
        <v>0</v>
      </c>
      <c r="V350" s="76">
        <f t="shared" si="195"/>
        <v>0</v>
      </c>
      <c r="W350" s="76">
        <f t="shared" si="195"/>
        <v>0</v>
      </c>
      <c r="X350" s="76">
        <f t="shared" si="195"/>
        <v>0</v>
      </c>
      <c r="Y350" s="76">
        <f t="shared" si="195"/>
        <v>0</v>
      </c>
      <c r="Z350" s="76">
        <f t="shared" si="195"/>
        <v>0</v>
      </c>
    </row>
    <row r="351" spans="2:26" ht="15.75">
      <c r="B351" s="15" t="s">
        <v>682</v>
      </c>
      <c r="D351" s="26"/>
      <c r="E351" s="26"/>
      <c r="F351" s="76">
        <f>+IF(F331&gt;=10,0,F338)</f>
        <v>0</v>
      </c>
      <c r="G351" s="76">
        <f t="shared" ref="G351:Z351" si="196">+IF(G331&gt;=10,0,G338)</f>
        <v>0</v>
      </c>
      <c r="H351" s="76">
        <f t="shared" si="196"/>
        <v>0</v>
      </c>
      <c r="I351" s="76">
        <f t="shared" si="196"/>
        <v>0</v>
      </c>
      <c r="J351" s="76">
        <f t="shared" si="196"/>
        <v>0</v>
      </c>
      <c r="K351" s="76">
        <f t="shared" si="196"/>
        <v>0</v>
      </c>
      <c r="L351" s="76">
        <f t="shared" si="196"/>
        <v>0</v>
      </c>
      <c r="M351" s="76">
        <f t="shared" si="196"/>
        <v>0</v>
      </c>
      <c r="N351" s="76">
        <f t="shared" si="196"/>
        <v>0</v>
      </c>
      <c r="O351" s="76">
        <f t="shared" ca="1" si="196"/>
        <v>0</v>
      </c>
      <c r="P351" s="76">
        <f t="shared" si="196"/>
        <v>0</v>
      </c>
      <c r="Q351" s="76">
        <f t="shared" si="196"/>
        <v>0</v>
      </c>
      <c r="R351" s="76">
        <f t="shared" si="196"/>
        <v>0</v>
      </c>
      <c r="S351" s="76">
        <f t="shared" si="196"/>
        <v>0</v>
      </c>
      <c r="T351" s="76">
        <f t="shared" si="196"/>
        <v>0</v>
      </c>
      <c r="U351" s="76">
        <f t="shared" si="196"/>
        <v>0</v>
      </c>
      <c r="V351" s="76">
        <f t="shared" si="196"/>
        <v>0</v>
      </c>
      <c r="W351" s="76">
        <f t="shared" si="196"/>
        <v>0</v>
      </c>
      <c r="X351" s="76">
        <f t="shared" si="196"/>
        <v>0</v>
      </c>
      <c r="Y351" s="76">
        <f t="shared" si="196"/>
        <v>0</v>
      </c>
      <c r="Z351" s="76">
        <f t="shared" si="196"/>
        <v>0</v>
      </c>
    </row>
    <row r="352" spans="2:26" ht="15.75">
      <c r="B352" s="687" t="s">
        <v>684</v>
      </c>
      <c r="C352" s="687"/>
      <c r="D352" s="550">
        <f t="shared" ref="D352" ca="1" si="197">+SUM(F352:Z352)</f>
        <v>90154192.574234322</v>
      </c>
      <c r="E352" s="550"/>
      <c r="F352" s="550">
        <f t="shared" ref="F352:Z352" ca="1" si="198">+SUM(F344:F351)</f>
        <v>-14906001.537875749</v>
      </c>
      <c r="G352" s="550">
        <f t="shared" ca="1" si="198"/>
        <v>-13755255.637228414</v>
      </c>
      <c r="H352" s="550">
        <f t="shared" ca="1" si="198"/>
        <v>0</v>
      </c>
      <c r="I352" s="550">
        <f t="shared" ca="1" si="198"/>
        <v>24162726.216075726</v>
      </c>
      <c r="J352" s="550" t="e">
        <f t="shared" ca="1" si="198"/>
        <v>#REF!</v>
      </c>
      <c r="K352" s="550">
        <f t="shared" ca="1" si="198"/>
        <v>29198081.409384303</v>
      </c>
      <c r="L352" s="550">
        <f t="shared" ca="1" si="198"/>
        <v>32433859.153483808</v>
      </c>
      <c r="M352" s="550">
        <f t="shared" ca="1" si="198"/>
        <v>35396547.519318283</v>
      </c>
      <c r="N352" s="550">
        <f t="shared" ca="1" si="198"/>
        <v>38700485.749573819</v>
      </c>
      <c r="O352" s="550">
        <f t="shared" ca="1" si="198"/>
        <v>0</v>
      </c>
      <c r="P352" s="550">
        <f t="shared" ca="1" si="198"/>
        <v>0</v>
      </c>
      <c r="Q352" s="550">
        <f t="shared" ca="1" si="198"/>
        <v>0</v>
      </c>
      <c r="R352" s="550">
        <f t="shared" ca="1" si="198"/>
        <v>0</v>
      </c>
      <c r="S352" s="550">
        <f t="shared" ca="1" si="198"/>
        <v>0</v>
      </c>
      <c r="T352" s="550">
        <f t="shared" ca="1" si="198"/>
        <v>0</v>
      </c>
      <c r="U352" s="550">
        <f t="shared" ca="1" si="198"/>
        <v>0</v>
      </c>
      <c r="V352" s="550">
        <f t="shared" ca="1" si="198"/>
        <v>0</v>
      </c>
      <c r="W352" s="550">
        <f t="shared" ca="1" si="198"/>
        <v>0</v>
      </c>
      <c r="X352" s="550">
        <f t="shared" ca="1" si="198"/>
        <v>0</v>
      </c>
      <c r="Y352" s="550">
        <f t="shared" ca="1" si="198"/>
        <v>2.9802322387695313E-8</v>
      </c>
      <c r="Z352" s="550">
        <f t="shared" ca="1" si="198"/>
        <v>0</v>
      </c>
    </row>
    <row r="354" spans="2:26" ht="15.75">
      <c r="B354" s="706" t="s">
        <v>702</v>
      </c>
      <c r="C354" s="706"/>
      <c r="D354" s="707">
        <f ca="1">+IRR(F352:Z352)</f>
        <v>0.35562193673363485</v>
      </c>
    </row>
    <row r="355" spans="2:26" ht="15.75">
      <c r="B355" s="708" t="s">
        <v>703</v>
      </c>
      <c r="C355" s="536"/>
      <c r="D355" s="712">
        <f ca="1">+D354/(1-Assumptions!$M$192)</f>
        <v>0.4501543502957403</v>
      </c>
    </row>
    <row r="357" spans="2:26">
      <c r="B357" s="21" t="s">
        <v>688</v>
      </c>
      <c r="F357" s="76">
        <f ca="1">IFERROR(IF(YEAR(F329)&lt;=YEAR(Assumptions!$G$30),10%*(OFFSET(F345,0,-5))+5%*(OFFSET(F345,0,-7)),0),0)</f>
        <v>0</v>
      </c>
      <c r="G357" s="76">
        <f ca="1">IFERROR(IF(YEAR(G329)&lt;=YEAR(Assumptions!$G$30),10%*(OFFSET(G345,0,-5))+5%*(OFFSET(G345,0,-7)),0),0)</f>
        <v>0</v>
      </c>
      <c r="H357" s="76">
        <f ca="1">IFERROR(IF(YEAR(H329)&lt;=YEAR(Assumptions!$G$30),10%*(OFFSET(H345,0,-5))+5%*(OFFSET(H345,0,-7)),0),0)</f>
        <v>0</v>
      </c>
      <c r="I357" s="76">
        <f ca="1">IFERROR(IF(YEAR(I329)&lt;=YEAR(Assumptions!$G$30),10%*(OFFSET(I345,0,-5))+5%*(OFFSET(I345,0,-7)),0),0)</f>
        <v>0</v>
      </c>
      <c r="J357" s="76">
        <f ca="1">IFERROR(IF(YEAR(J329)&lt;=YEAR(Assumptions!$G$30),10%*(OFFSET(J345,0,-5))+5%*(OFFSET(J345,0,-7)),0),0)</f>
        <v>0</v>
      </c>
      <c r="K357" s="76">
        <f ca="1">IFERROR(IF(YEAR(K329)&lt;=YEAR(Assumptions!$G$30),10%*(OFFSET(K345,0,-5))+5%*(OFFSET(K345,0,-7)),0),0)</f>
        <v>-396235.47600000002</v>
      </c>
      <c r="L357" s="76">
        <f ca="1">IFERROR(IF(YEAR(L329)&lt;=YEAR(Assumptions!$G$30),10%*(OFFSET(L345,0,-5))+5%*(OFFSET(L345,0,-7)),0),0)</f>
        <v>365646.03592632571</v>
      </c>
      <c r="M357" s="76">
        <f ca="1">IFERROR(IF(YEAR(M329)&lt;=YEAR(Assumptions!$G$30),10%*(OFFSET(M345,0,-5))+5%*(OFFSET(M345,0,-7)),0),0)</f>
        <v>198117.74195910804</v>
      </c>
      <c r="N357" s="76">
        <f ca="1">IFERROR(IF(YEAR(N329)&lt;=YEAR(Assumptions!$G$30),10%*(OFFSET(N345,0,-5))+5%*(OFFSET(N345,0,-7)),0),0)</f>
        <v>182823.01796316286</v>
      </c>
      <c r="O357" s="76">
        <f ca="1">IFERROR(IF(YEAR(O329)&lt;=YEAR(Assumptions!$G$30),10%*(OFFSET(O345,0,-5))+5%*(OFFSET(O345,0,-7)),0),0)</f>
        <v>0</v>
      </c>
      <c r="P357" s="76">
        <f ca="1">IFERROR(IF(YEAR(P329)&lt;=YEAR(Assumptions!$G$30),10%*(OFFSET(P345,0,-5))+5%*(OFFSET(P345,0,-7)),0),0)</f>
        <v>0</v>
      </c>
      <c r="Q357" s="76">
        <f ca="1">IFERROR(IF(YEAR(Q329)&lt;=YEAR(Assumptions!$G$30),10%*(OFFSET(Q345,0,-5))+5%*(OFFSET(Q345,0,-7)),0),0)</f>
        <v>0</v>
      </c>
      <c r="R357" s="76">
        <f ca="1">IFERROR(IF(YEAR(R329)&lt;=YEAR(Assumptions!$G$30),10%*(OFFSET(R345,0,-5))+5%*(OFFSET(R345,0,-7)),0),0)</f>
        <v>0</v>
      </c>
      <c r="S357" s="76">
        <f ca="1">IFERROR(IF(YEAR(S329)&lt;=YEAR(Assumptions!$G$30),10%*(OFFSET(S345,0,-5))+5%*(OFFSET(S345,0,-7)),0),0)</f>
        <v>0</v>
      </c>
      <c r="T357" s="76">
        <f ca="1">IFERROR(IF(YEAR(T329)&lt;=YEAR(Assumptions!$G$30),10%*(OFFSET(T345,0,-5))+5%*(OFFSET(T345,0,-7)),0),0)</f>
        <v>0</v>
      </c>
      <c r="U357" s="76">
        <f ca="1">IFERROR(IF(YEAR(U329)&lt;=YEAR(Assumptions!$G$30),10%*(OFFSET(U345,0,-5))+5%*(OFFSET(U345,0,-7)),0),0)</f>
        <v>0</v>
      </c>
      <c r="V357" s="76">
        <f ca="1">IFERROR(IF(YEAR(V329)&lt;=YEAR(Assumptions!$G$30),10%*(OFFSET(V345,0,-5))+5%*(OFFSET(V345,0,-7)),0),0)</f>
        <v>0</v>
      </c>
      <c r="W357" s="76">
        <f ca="1">IFERROR(IF(YEAR(W329)&lt;=YEAR(Assumptions!$G$30),10%*(OFFSET(W345,0,-5))+5%*(OFFSET(W345,0,-7)),0),0)</f>
        <v>0</v>
      </c>
      <c r="X357" s="76">
        <f ca="1">IFERROR(IF(YEAR(X329)&lt;=YEAR(Assumptions!$G$30),10%*(OFFSET(X345,0,-5))+5%*(OFFSET(X345,0,-7)),0),0)</f>
        <v>0</v>
      </c>
      <c r="Y357" s="76">
        <f ca="1">IFERROR(IF(YEAR(Y329)&lt;=YEAR(Assumptions!$G$30),10%*(OFFSET(Y345,0,-5))+5%*(OFFSET(Y345,0,-7)),0),0)</f>
        <v>0</v>
      </c>
      <c r="Z357" s="76">
        <f ca="1">IFERROR(IF(YEAR(Z329)&lt;=YEAR(Assumptions!$G$30),10%*(OFFSET(Z345,0,-5))+5%*(OFFSET(Z345,0,-7)),0),0)</f>
        <v>0</v>
      </c>
    </row>
    <row r="359" spans="2:26" ht="15.75">
      <c r="B359" s="73" t="s">
        <v>689</v>
      </c>
    </row>
    <row r="360" spans="2:26" ht="15.75">
      <c r="B360" s="15" t="s">
        <v>690</v>
      </c>
      <c r="D360" s="26">
        <f ca="1">+SUM(F360:Z360)</f>
        <v>113899412.57013942</v>
      </c>
      <c r="E360" s="26"/>
      <c r="F360" s="16">
        <v>0</v>
      </c>
      <c r="G360" s="16" t="e">
        <f ca="1">+F367</f>
        <v>#REF!</v>
      </c>
      <c r="H360" s="16" t="e">
        <f t="shared" ref="H360:Z360" ca="1" si="199">+G367</f>
        <v>#REF!</v>
      </c>
      <c r="I360" s="16" t="e">
        <f t="shared" ca="1" si="199"/>
        <v>#REF!</v>
      </c>
      <c r="J360" s="16" t="e">
        <f t="shared" ca="1" si="199"/>
        <v>#REF!</v>
      </c>
      <c r="K360" s="16" t="e">
        <f t="shared" ca="1" si="199"/>
        <v>#REF!</v>
      </c>
      <c r="L360" s="16" t="e">
        <f t="shared" ca="1" si="199"/>
        <v>#REF!</v>
      </c>
      <c r="M360" s="16" t="e">
        <f t="shared" ca="1" si="199"/>
        <v>#REF!</v>
      </c>
      <c r="N360" s="16" t="e">
        <f t="shared" ca="1" si="199"/>
        <v>#REF!</v>
      </c>
      <c r="O360" s="16" t="e">
        <f t="shared" ca="1" si="199"/>
        <v>#REF!</v>
      </c>
      <c r="P360" s="16" t="e">
        <f t="shared" ca="1" si="199"/>
        <v>#REF!</v>
      </c>
      <c r="Q360" s="16" t="e">
        <f t="shared" ca="1" si="199"/>
        <v>#REF!</v>
      </c>
      <c r="R360" s="16" t="e">
        <f t="shared" ca="1" si="199"/>
        <v>#REF!</v>
      </c>
      <c r="S360" s="16">
        <f t="shared" ca="1" si="199"/>
        <v>0</v>
      </c>
      <c r="T360" s="16">
        <f t="shared" ca="1" si="199"/>
        <v>0</v>
      </c>
      <c r="U360" s="16">
        <f t="shared" ca="1" si="199"/>
        <v>0</v>
      </c>
      <c r="V360" s="16">
        <f t="shared" ca="1" si="199"/>
        <v>0</v>
      </c>
      <c r="W360" s="16">
        <f t="shared" ca="1" si="199"/>
        <v>0</v>
      </c>
      <c r="X360" s="16">
        <f t="shared" ca="1" si="199"/>
        <v>0</v>
      </c>
      <c r="Y360" s="16">
        <f t="shared" ca="1" si="199"/>
        <v>0</v>
      </c>
      <c r="Z360" s="16">
        <f t="shared" ca="1" si="199"/>
        <v>0</v>
      </c>
    </row>
    <row r="361" spans="2:26" ht="15.75">
      <c r="B361" s="15" t="s">
        <v>676</v>
      </c>
      <c r="D361" s="26">
        <f t="shared" ref="D361:D366" ca="1" si="200">+SUM(F361:Z361)</f>
        <v>36280072.37354961</v>
      </c>
      <c r="E361" s="26"/>
      <c r="F361" s="76">
        <f>-F332</f>
        <v>-18868356</v>
      </c>
      <c r="G361" s="76">
        <f t="shared" ref="G361:Z361" ca="1" si="201">-G332</f>
        <v>17411715.9964917</v>
      </c>
      <c r="H361" s="76">
        <f t="shared" ca="1" si="201"/>
        <v>0</v>
      </c>
      <c r="I361" s="76">
        <f t="shared" ca="1" si="201"/>
        <v>0</v>
      </c>
      <c r="J361" s="76">
        <f t="shared" ca="1" si="201"/>
        <v>0</v>
      </c>
      <c r="K361" s="76">
        <f t="shared" ca="1" si="201"/>
        <v>0</v>
      </c>
      <c r="L361" s="76">
        <f t="shared" ca="1" si="201"/>
        <v>0</v>
      </c>
      <c r="M361" s="76">
        <f t="shared" ca="1" si="201"/>
        <v>0</v>
      </c>
      <c r="N361" s="76">
        <f t="shared" ca="1" si="201"/>
        <v>0</v>
      </c>
      <c r="O361" s="76">
        <f t="shared" ca="1" si="201"/>
        <v>0</v>
      </c>
      <c r="P361" s="76">
        <f t="shared" ca="1" si="201"/>
        <v>0</v>
      </c>
      <c r="Q361" s="76">
        <f t="shared" ca="1" si="201"/>
        <v>0</v>
      </c>
      <c r="R361" s="76">
        <f t="shared" ca="1" si="201"/>
        <v>0</v>
      </c>
      <c r="S361" s="76">
        <f t="shared" ca="1" si="201"/>
        <v>0</v>
      </c>
      <c r="T361" s="76">
        <f t="shared" ca="1" si="201"/>
        <v>0</v>
      </c>
      <c r="U361" s="76">
        <f t="shared" ca="1" si="201"/>
        <v>0</v>
      </c>
      <c r="V361" s="76">
        <f t="shared" ca="1" si="201"/>
        <v>0</v>
      </c>
      <c r="W361" s="76">
        <f t="shared" ca="1" si="201"/>
        <v>0</v>
      </c>
      <c r="X361" s="76">
        <f t="shared" ca="1" si="201"/>
        <v>0</v>
      </c>
      <c r="Y361" s="76">
        <f t="shared" ca="1" si="201"/>
        <v>0</v>
      </c>
      <c r="Z361" s="76">
        <f t="shared" ca="1" si="201"/>
        <v>0</v>
      </c>
    </row>
    <row r="362" spans="2:26" ht="15.75">
      <c r="B362" s="15" t="s">
        <v>704</v>
      </c>
      <c r="D362" s="26">
        <f t="shared" ca="1" si="200"/>
        <v>25733734.079828948</v>
      </c>
      <c r="E362" s="26"/>
      <c r="F362" s="76" t="e">
        <f ca="1">IF(F329&lt;=Assumptions!$G$30,F322-F145-#REF!-F193,0)</f>
        <v>#REF!</v>
      </c>
      <c r="G362" s="76" t="e">
        <f ca="1">IF(G329&lt;=Assumptions!$G$30,G322-G145-#REF!-G193,0)</f>
        <v>#REF!</v>
      </c>
      <c r="H362" s="76" t="e">
        <f ca="1">IF(H329&lt;=Assumptions!$G$30,H322-H145-#REF!-H193,0)</f>
        <v>#REF!</v>
      </c>
      <c r="I362" s="76" t="e">
        <f ca="1">IF(I329&lt;=Assumptions!$G$30,I322-I145-#REF!-I193,0)</f>
        <v>#REF!</v>
      </c>
      <c r="J362" s="76" t="e">
        <f ca="1">IF(J329&lt;=Assumptions!$G$30,J322-J145-#REF!-J193,0)</f>
        <v>#REF!</v>
      </c>
      <c r="K362" s="76" t="e">
        <f ca="1">IF(K329&lt;=Assumptions!$G$30,K322-K145-#REF!-K193,0)</f>
        <v>#REF!</v>
      </c>
      <c r="L362" s="76" t="e">
        <f ca="1">IF(L329&lt;=Assumptions!$G$30,L322-L145-#REF!-L193,0)</f>
        <v>#REF!</v>
      </c>
      <c r="M362" s="76" t="e">
        <f ca="1">IF(M329&lt;=Assumptions!$G$30,M322-M145-#REF!-M193,0)</f>
        <v>#REF!</v>
      </c>
      <c r="N362" s="76" t="e">
        <f ca="1">IF(N329&lt;=Assumptions!$G$30,N322-N145-#REF!-N193,0)</f>
        <v>#REF!</v>
      </c>
      <c r="O362" s="76" t="e">
        <f ca="1">IF(O329&lt;=Assumptions!$G$30,O322-O145-#REF!-O193,0)</f>
        <v>#REF!</v>
      </c>
      <c r="P362" s="76">
        <f>IF(P329&lt;=Assumptions!$G$30,P322-P145-#REF!-P193,0)</f>
        <v>0</v>
      </c>
      <c r="Q362" s="76">
        <f>IF(Q329&lt;=Assumptions!$G$30,Q322-Q145-#REF!-Q193,0)</f>
        <v>0</v>
      </c>
      <c r="R362" s="76">
        <f>IF(R329&lt;=Assumptions!$G$30,R322-R145-#REF!-R193,0)</f>
        <v>0</v>
      </c>
      <c r="S362" s="76">
        <f>IF(S329&lt;=Assumptions!$G$30,S322-S145-#REF!-S193,0)</f>
        <v>0</v>
      </c>
      <c r="T362" s="76">
        <f>IF(T329&lt;=Assumptions!$G$30,T322-T145-#REF!-T193,0)</f>
        <v>0</v>
      </c>
      <c r="U362" s="76">
        <f>IF(U329&lt;=Assumptions!$G$30,U322-U145-#REF!-U193,0)</f>
        <v>0</v>
      </c>
      <c r="V362" s="76">
        <f>IF(V329&lt;=Assumptions!$G$30,V322-V145-#REF!-V193,0)</f>
        <v>0</v>
      </c>
      <c r="W362" s="76">
        <f>IF(W329&lt;=Assumptions!$G$30,W322-W145-#REF!-W193,0)</f>
        <v>0</v>
      </c>
      <c r="X362" s="76">
        <f>IF(X329&lt;=Assumptions!$G$30,X322-X145-#REF!-X193,0)</f>
        <v>0</v>
      </c>
      <c r="Y362" s="76">
        <f>IF(Y329&lt;=Assumptions!$G$30,Y322-Y145-#REF!-Y193,0)</f>
        <v>0</v>
      </c>
      <c r="Z362" s="76">
        <f>IF(Z329&lt;=Assumptions!$G$30,Z322-Z145-#REF!-Z193,0)</f>
        <v>0</v>
      </c>
    </row>
    <row r="363" spans="2:26" ht="15.75">
      <c r="B363" s="15" t="s">
        <v>691</v>
      </c>
      <c r="D363" s="26">
        <f t="shared" ca="1" si="200"/>
        <v>-32253572.459205281</v>
      </c>
      <c r="E363" s="26"/>
      <c r="F363" s="76">
        <f>+F323</f>
        <v>0</v>
      </c>
      <c r="G363" s="76">
        <f t="shared" ref="G363:Z363" si="202">+G323</f>
        <v>0</v>
      </c>
      <c r="H363" s="76">
        <f t="shared" si="202"/>
        <v>0</v>
      </c>
      <c r="I363" s="76">
        <f t="shared" si="202"/>
        <v>0</v>
      </c>
      <c r="J363" s="76">
        <f t="shared" ca="1" si="202"/>
        <v>-6450714.4918410564</v>
      </c>
      <c r="K363" s="76">
        <f t="shared" ca="1" si="202"/>
        <v>-6450714.4918410564</v>
      </c>
      <c r="L363" s="76">
        <f t="shared" ca="1" si="202"/>
        <v>-6450714.4918410564</v>
      </c>
      <c r="M363" s="76">
        <f t="shared" ca="1" si="202"/>
        <v>-6450714.4918410564</v>
      </c>
      <c r="N363" s="76">
        <f t="shared" ca="1" si="202"/>
        <v>-6450714.4918410564</v>
      </c>
      <c r="O363" s="76">
        <f t="shared" ca="1" si="202"/>
        <v>-6450714.4918410564</v>
      </c>
      <c r="P363" s="76">
        <f t="shared" si="202"/>
        <v>0</v>
      </c>
      <c r="Q363" s="76">
        <f t="shared" si="202"/>
        <v>0</v>
      </c>
      <c r="R363" s="76">
        <f t="shared" si="202"/>
        <v>0</v>
      </c>
      <c r="S363" s="76">
        <f t="shared" si="202"/>
        <v>0</v>
      </c>
      <c r="T363" s="76">
        <f t="shared" si="202"/>
        <v>0</v>
      </c>
      <c r="U363" s="76">
        <f t="shared" si="202"/>
        <v>0</v>
      </c>
      <c r="V363" s="76">
        <f t="shared" si="202"/>
        <v>0</v>
      </c>
      <c r="W363" s="76">
        <f t="shared" si="202"/>
        <v>0</v>
      </c>
      <c r="X363" s="76">
        <f t="shared" si="202"/>
        <v>0</v>
      </c>
      <c r="Y363" s="76">
        <f t="shared" si="202"/>
        <v>0</v>
      </c>
      <c r="Z363" s="76">
        <f t="shared" si="202"/>
        <v>0</v>
      </c>
    </row>
    <row r="364" spans="2:26" ht="15.75">
      <c r="B364" s="15" t="s">
        <v>698</v>
      </c>
      <c r="D364" s="26">
        <f t="shared" ca="1" si="200"/>
        <v>-14711798.320287758</v>
      </c>
      <c r="E364" s="26"/>
      <c r="F364" s="76">
        <f ca="1">-F336</f>
        <v>0</v>
      </c>
      <c r="G364" s="76">
        <f t="shared" ref="G364:Z364" ca="1" si="203">-G336</f>
        <v>0</v>
      </c>
      <c r="H364" s="76">
        <f t="shared" ca="1" si="203"/>
        <v>0</v>
      </c>
      <c r="I364" s="76">
        <f t="shared" ca="1" si="203"/>
        <v>5770924.7064398667</v>
      </c>
      <c r="J364" s="76">
        <f t="shared" ca="1" si="203"/>
        <v>-3047194.9531564033</v>
      </c>
      <c r="K364" s="76">
        <f t="shared" ca="1" si="203"/>
        <v>-3480773.6680041822</v>
      </c>
      <c r="L364" s="76">
        <f t="shared" ca="1" si="203"/>
        <v>-4385732.7590233833</v>
      </c>
      <c r="M364" s="76">
        <f t="shared" ca="1" si="203"/>
        <v>-4624966.840634143</v>
      </c>
      <c r="N364" s="76">
        <f t="shared" ca="1" si="203"/>
        <v>-4944054.8059095126</v>
      </c>
      <c r="O364" s="76">
        <f t="shared" ca="1" si="203"/>
        <v>0</v>
      </c>
      <c r="P364" s="76">
        <f t="shared" si="203"/>
        <v>0</v>
      </c>
      <c r="Q364" s="76">
        <f t="shared" si="203"/>
        <v>0</v>
      </c>
      <c r="R364" s="76">
        <f t="shared" si="203"/>
        <v>0</v>
      </c>
      <c r="S364" s="76">
        <f t="shared" si="203"/>
        <v>0</v>
      </c>
      <c r="T364" s="76">
        <f t="shared" si="203"/>
        <v>0</v>
      </c>
      <c r="U364" s="76">
        <f t="shared" si="203"/>
        <v>0</v>
      </c>
      <c r="V364" s="76">
        <f t="shared" si="203"/>
        <v>0</v>
      </c>
      <c r="W364" s="76">
        <f t="shared" si="203"/>
        <v>0</v>
      </c>
      <c r="X364" s="76">
        <f t="shared" si="203"/>
        <v>0</v>
      </c>
      <c r="Y364" s="76">
        <f t="shared" si="203"/>
        <v>0</v>
      </c>
      <c r="Z364" s="76">
        <f t="shared" si="203"/>
        <v>0</v>
      </c>
    </row>
    <row r="365" spans="2:26" ht="15.75">
      <c r="B365" s="15" t="s">
        <v>705</v>
      </c>
      <c r="D365" s="26">
        <f ca="1">+SUM(F365:Z365)</f>
        <v>-24678113.534651399</v>
      </c>
      <c r="E365" s="26"/>
      <c r="F365" s="76">
        <f t="shared" ref="F365:N365" si="204">-F205-F158</f>
        <v>0</v>
      </c>
      <c r="G365" s="76">
        <f t="shared" si="204"/>
        <v>0</v>
      </c>
      <c r="H365" s="76">
        <f t="shared" si="204"/>
        <v>0</v>
      </c>
      <c r="I365" s="76">
        <f t="shared" ca="1" si="204"/>
        <v>-29280072.373549581</v>
      </c>
      <c r="J365" s="76">
        <f t="shared" si="204"/>
        <v>0</v>
      </c>
      <c r="K365" s="76">
        <f t="shared" si="204"/>
        <v>0</v>
      </c>
      <c r="L365" s="76">
        <f t="shared" si="204"/>
        <v>0</v>
      </c>
      <c r="M365" s="76">
        <f t="shared" si="204"/>
        <v>0</v>
      </c>
      <c r="N365" s="76">
        <f t="shared" si="204"/>
        <v>0</v>
      </c>
      <c r="O365" s="76" t="e">
        <f ca="1">-O205-#REF!-O158</f>
        <v>#REF!</v>
      </c>
      <c r="P365" s="76">
        <f t="shared" ref="P365:Z365" si="205">-P205-P158</f>
        <v>0</v>
      </c>
      <c r="Q365" s="76">
        <f t="shared" si="205"/>
        <v>0</v>
      </c>
      <c r="R365" s="76">
        <f t="shared" si="205"/>
        <v>0</v>
      </c>
      <c r="S365" s="76">
        <f t="shared" si="205"/>
        <v>0</v>
      </c>
      <c r="T365" s="76">
        <f t="shared" si="205"/>
        <v>0</v>
      </c>
      <c r="U365" s="76">
        <f t="shared" si="205"/>
        <v>0</v>
      </c>
      <c r="V365" s="76">
        <f t="shared" si="205"/>
        <v>0</v>
      </c>
      <c r="W365" s="76">
        <f t="shared" si="205"/>
        <v>0</v>
      </c>
      <c r="X365" s="76">
        <f t="shared" si="205"/>
        <v>0</v>
      </c>
      <c r="Y365" s="76">
        <f t="shared" si="205"/>
        <v>0</v>
      </c>
      <c r="Z365" s="76">
        <f t="shared" si="205"/>
        <v>0</v>
      </c>
    </row>
    <row r="366" spans="2:26" ht="15.75">
      <c r="B366" s="15" t="s">
        <v>693</v>
      </c>
      <c r="D366" s="26">
        <f t="shared" ca="1" si="200"/>
        <v>0</v>
      </c>
      <c r="E366" s="26"/>
      <c r="F366" s="76">
        <f>-IF(YEAR(F329)=YEAR(Assumptions!$G$30),SUM(F360:F365),0)</f>
        <v>0</v>
      </c>
      <c r="G366" s="76">
        <f>-IF(YEAR(G329)=YEAR(Assumptions!$G$30),SUM(G360:G365),0)</f>
        <v>0</v>
      </c>
      <c r="H366" s="76">
        <f>-IF(YEAR(H329)=YEAR(Assumptions!$G$30),SUM(H360:H365),0)</f>
        <v>0</v>
      </c>
      <c r="I366" s="76">
        <f>-IF(YEAR(I329)=YEAR(Assumptions!$G$30),SUM(I360:I365),0)</f>
        <v>0</v>
      </c>
      <c r="J366" s="76">
        <f>-IF(YEAR(J329)=YEAR(Assumptions!$G$30),SUM(J360:J365),0)</f>
        <v>0</v>
      </c>
      <c r="K366" s="76">
        <f>-IF(YEAR(K329)=YEAR(Assumptions!$G$30),SUM(K360:K365),0)</f>
        <v>0</v>
      </c>
      <c r="L366" s="76">
        <f>-IF(YEAR(L329)=YEAR(Assumptions!$G$30),SUM(L360:L365),0)</f>
        <v>0</v>
      </c>
      <c r="M366" s="76">
        <f>-IF(YEAR(M329)=YEAR(Assumptions!$G$30),SUM(M360:M365),0)</f>
        <v>0</v>
      </c>
      <c r="N366" s="76">
        <f>-IF(YEAR(N329)=YEAR(Assumptions!$G$30),SUM(N360:N365),0)</f>
        <v>0</v>
      </c>
      <c r="O366" s="76" t="e">
        <f ca="1">-IF(YEAR(O329)=YEAR(Assumptions!$G$30),SUM(O360:O365),0)</f>
        <v>#REF!</v>
      </c>
      <c r="P366" s="76">
        <f>-IF(YEAR(P329)=YEAR(Assumptions!$G$30),SUM(P360:P365),0)</f>
        <v>0</v>
      </c>
      <c r="Q366" s="76">
        <f>-IF(YEAR(Q329)=YEAR(Assumptions!$G$30),SUM(Q360:Q365),0)</f>
        <v>0</v>
      </c>
      <c r="R366" s="76">
        <f>-IF(YEAR(R329)=YEAR(Assumptions!$G$30),SUM(R360:R365),0)</f>
        <v>0</v>
      </c>
      <c r="S366" s="76">
        <f>-IF(YEAR(S329)=YEAR(Assumptions!$G$30),SUM(S360:S365),0)</f>
        <v>0</v>
      </c>
      <c r="T366" s="76">
        <f>-IF(YEAR(T329)=YEAR(Assumptions!$G$30),SUM(T360:T365),0)</f>
        <v>0</v>
      </c>
      <c r="U366" s="76">
        <f>-IF(YEAR(U329)=YEAR(Assumptions!$G$30),SUM(U360:U365),0)</f>
        <v>0</v>
      </c>
      <c r="V366" s="76">
        <f>-IF(YEAR(V329)=YEAR(Assumptions!$G$30),SUM(V360:V365),0)</f>
        <v>0</v>
      </c>
      <c r="W366" s="76">
        <f>-IF(YEAR(W329)=YEAR(Assumptions!$G$30),SUM(W360:W365),0)</f>
        <v>0</v>
      </c>
      <c r="X366" s="76">
        <f>-IF(YEAR(X329)=YEAR(Assumptions!$G$30),SUM(X360:X365),0)</f>
        <v>0</v>
      </c>
      <c r="Y366" s="76">
        <f>-IF(YEAR(Y329)=YEAR(Assumptions!$G$30),SUM(Y360:Y365),0)</f>
        <v>0</v>
      </c>
      <c r="Z366" s="76">
        <f>-IF(YEAR(Z329)=YEAR(Assumptions!$G$30),SUM(Z360:Z365),0)</f>
        <v>0</v>
      </c>
    </row>
    <row r="367" spans="2:26" ht="15.75">
      <c r="B367" s="62" t="s">
        <v>694</v>
      </c>
      <c r="C367" s="62"/>
      <c r="D367" s="18">
        <f ca="1">+SUM(F367:Z367)</f>
        <v>113899412.57013945</v>
      </c>
      <c r="E367" s="58"/>
      <c r="F367" s="58" t="e">
        <f ca="1">+SUM(F360:F366)</f>
        <v>#REF!</v>
      </c>
      <c r="G367" s="58" t="e">
        <f t="shared" ref="G367:Z367" ca="1" si="206">+SUM(G360:G366)</f>
        <v>#REF!</v>
      </c>
      <c r="H367" s="58" t="e">
        <f t="shared" ca="1" si="206"/>
        <v>#REF!</v>
      </c>
      <c r="I367" s="58" t="e">
        <f t="shared" ca="1" si="206"/>
        <v>#REF!</v>
      </c>
      <c r="J367" s="58" t="e">
        <f t="shared" ca="1" si="206"/>
        <v>#REF!</v>
      </c>
      <c r="K367" s="58" t="e">
        <f t="shared" ca="1" si="206"/>
        <v>#REF!</v>
      </c>
      <c r="L367" s="58" t="e">
        <f t="shared" ca="1" si="206"/>
        <v>#REF!</v>
      </c>
      <c r="M367" s="58" t="e">
        <f t="shared" ca="1" si="206"/>
        <v>#REF!</v>
      </c>
      <c r="N367" s="58" t="e">
        <f t="shared" ca="1" si="206"/>
        <v>#REF!</v>
      </c>
      <c r="O367" s="58" t="e">
        <f t="shared" ca="1" si="206"/>
        <v>#REF!</v>
      </c>
      <c r="P367" s="58" t="e">
        <f t="shared" ca="1" si="206"/>
        <v>#REF!</v>
      </c>
      <c r="Q367" s="58" t="e">
        <f t="shared" ca="1" si="206"/>
        <v>#REF!</v>
      </c>
      <c r="R367" s="58">
        <f t="shared" ca="1" si="206"/>
        <v>0</v>
      </c>
      <c r="S367" s="58">
        <f t="shared" ca="1" si="206"/>
        <v>0</v>
      </c>
      <c r="T367" s="58">
        <f t="shared" ca="1" si="206"/>
        <v>0</v>
      </c>
      <c r="U367" s="58">
        <f t="shared" ca="1" si="206"/>
        <v>0</v>
      </c>
      <c r="V367" s="58">
        <f t="shared" ca="1" si="206"/>
        <v>0</v>
      </c>
      <c r="W367" s="58">
        <f t="shared" ca="1" si="206"/>
        <v>0</v>
      </c>
      <c r="X367" s="58">
        <f t="shared" ca="1" si="206"/>
        <v>0</v>
      </c>
      <c r="Y367" s="58">
        <f t="shared" ca="1" si="206"/>
        <v>0</v>
      </c>
      <c r="Z367" s="58">
        <f t="shared" ca="1" si="206"/>
        <v>0</v>
      </c>
    </row>
  </sheetData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00B050"/>
  </sheetPr>
  <dimension ref="A2:AE331"/>
  <sheetViews>
    <sheetView showGridLines="0" topLeftCell="A326" zoomScale="80" zoomScaleNormal="80" workbookViewId="0">
      <selection activeCell="B228" sqref="B228"/>
    </sheetView>
  </sheetViews>
  <sheetFormatPr defaultColWidth="14.42578125" defaultRowHeight="15"/>
  <cols>
    <col min="1" max="1" width="9.5703125" style="21" bestFit="1" customWidth="1"/>
    <col min="2" max="2" width="79.42578125" style="21" bestFit="1" customWidth="1"/>
    <col min="3" max="3" width="14.42578125" style="21"/>
    <col min="4" max="4" width="18.140625" style="21" bestFit="1" customWidth="1"/>
    <col min="5" max="5" width="3.42578125" style="21" bestFit="1" customWidth="1"/>
    <col min="6" max="6" width="17" style="21" bestFit="1" customWidth="1"/>
    <col min="7" max="8" width="16.28515625" style="21" bestFit="1" customWidth="1"/>
    <col min="9" max="9" width="14.85546875" style="21" bestFit="1" customWidth="1"/>
    <col min="10" max="26" width="16.28515625" style="21" bestFit="1" customWidth="1"/>
    <col min="27" max="30" width="1.85546875" style="21" bestFit="1" customWidth="1"/>
    <col min="31" max="31" width="2.5703125" style="21" bestFit="1" customWidth="1"/>
    <col min="32" max="16384" width="14.42578125" style="21"/>
  </cols>
  <sheetData>
    <row r="2" spans="1:26">
      <c r="B2" s="71" t="s">
        <v>602</v>
      </c>
      <c r="E2" s="71">
        <v>0</v>
      </c>
      <c r="F2" s="72">
        <f>+IF(F7&gt;=Assumptions!$H$26,'Phase III Pro Forma'!E2+1,'Phase III Pro Forma'!E2)</f>
        <v>0</v>
      </c>
      <c r="G2" s="72">
        <f>+IF(G7&gt;=Assumptions!$H$26,'Phase III Pro Forma'!F2+1,'Phase III Pro Forma'!F2)</f>
        <v>0</v>
      </c>
      <c r="H2" s="72">
        <f>+IF(H7&gt;=Assumptions!$H$26,'Phase III Pro Forma'!G2+1,'Phase III Pro Forma'!G2)</f>
        <v>0</v>
      </c>
      <c r="I2" s="72">
        <f>+IF(I7&gt;=Assumptions!$H$26,'Phase III Pro Forma'!H2+1,'Phase III Pro Forma'!H2)</f>
        <v>1</v>
      </c>
      <c r="J2" s="72">
        <f>+IF(J7&gt;=Assumptions!$H$26,'Phase III Pro Forma'!I2+1,'Phase III Pro Forma'!I2)</f>
        <v>2</v>
      </c>
      <c r="K2" s="72">
        <f>+IF(K7&gt;=Assumptions!$H$26,'Phase III Pro Forma'!J2+1,'Phase III Pro Forma'!J2)</f>
        <v>3</v>
      </c>
      <c r="L2" s="72">
        <f>+IF(L7&gt;=Assumptions!$H$26,'Phase III Pro Forma'!K2+1,'Phase III Pro Forma'!K2)</f>
        <v>4</v>
      </c>
      <c r="M2" s="72">
        <f>+IF(M7&gt;=Assumptions!$H$26,'Phase III Pro Forma'!L2+1,'Phase III Pro Forma'!L2)</f>
        <v>5</v>
      </c>
      <c r="N2" s="72">
        <f>+IF(N7&gt;=Assumptions!$H$26,'Phase III Pro Forma'!M2+1,'Phase III Pro Forma'!M2)</f>
        <v>6</v>
      </c>
      <c r="O2" s="72">
        <f>+IF(O7&gt;=Assumptions!$H$26,'Phase III Pro Forma'!N2+1,'Phase III Pro Forma'!N2)</f>
        <v>7</v>
      </c>
      <c r="P2" s="72">
        <f>+IF(P7&gt;=Assumptions!$H$26,'Phase III Pro Forma'!O2+1,'Phase III Pro Forma'!O2)</f>
        <v>8</v>
      </c>
      <c r="Q2" s="72">
        <f>+IF(Q7&gt;=Assumptions!$H$26,'Phase III Pro Forma'!P2+1,'Phase III Pro Forma'!P2)</f>
        <v>9</v>
      </c>
      <c r="R2" s="72">
        <f>+IF(R7&gt;=Assumptions!$H$26,'Phase III Pro Forma'!Q2+1,'Phase III Pro Forma'!Q2)</f>
        <v>10</v>
      </c>
      <c r="S2" s="72">
        <f>+IF(S7&gt;=Assumptions!$H$26,'Phase III Pro Forma'!R2+1,'Phase III Pro Forma'!R2)</f>
        <v>11</v>
      </c>
      <c r="T2" s="72">
        <f>+IF(T7&gt;=Assumptions!$H$26,'Phase III Pro Forma'!S2+1,'Phase III Pro Forma'!S2)</f>
        <v>12</v>
      </c>
      <c r="U2" s="72">
        <f>+IF(U7&gt;=Assumptions!$H$26,'Phase III Pro Forma'!T2+1,'Phase III Pro Forma'!T2)</f>
        <v>13</v>
      </c>
      <c r="V2" s="72">
        <f>+IF(V7&gt;=Assumptions!$H$26,'Phase III Pro Forma'!U2+1,'Phase III Pro Forma'!U2)</f>
        <v>14</v>
      </c>
      <c r="W2" s="72">
        <f>+IF(W7&gt;=Assumptions!$H$26,'Phase III Pro Forma'!V2+1,'Phase III Pro Forma'!V2)</f>
        <v>15</v>
      </c>
      <c r="X2" s="72">
        <f>+IF(X7&gt;=Assumptions!$H$26,'Phase III Pro Forma'!W2+1,'Phase III Pro Forma'!W2)</f>
        <v>16</v>
      </c>
      <c r="Y2" s="72">
        <f>+IF(Y7&gt;=Assumptions!$H$26,'Phase III Pro Forma'!X2+1,'Phase III Pro Forma'!X2)</f>
        <v>17</v>
      </c>
      <c r="Z2" s="72">
        <f>+IF(Z7&gt;=Assumptions!$H$26,'Phase III Pro Forma'!Y2+1,'Phase III Pro Forma'!Y2)</f>
        <v>18</v>
      </c>
    </row>
    <row r="3" spans="1:26">
      <c r="B3" s="71" t="s">
        <v>603</v>
      </c>
      <c r="F3" s="72">
        <f>+IF(F7&gt;=Assumptions!$H$28,'Phase III Pro Forma'!E3+1,'Phase III Pro Forma'!E3)</f>
        <v>0</v>
      </c>
      <c r="G3" s="72">
        <f>+IF(G7&gt;=Assumptions!$H$28,'Phase III Pro Forma'!F3+1,'Phase III Pro Forma'!F3)</f>
        <v>0</v>
      </c>
      <c r="H3" s="72">
        <f>+IF(H7&gt;=Assumptions!$H$28,'Phase III Pro Forma'!G3+1,'Phase III Pro Forma'!G3)</f>
        <v>0</v>
      </c>
      <c r="I3" s="72">
        <f>+IF(I7&gt;=Assumptions!$H$28,'Phase III Pro Forma'!H3+1,'Phase III Pro Forma'!H3)</f>
        <v>0</v>
      </c>
      <c r="J3" s="72">
        <f>+IF(J7&gt;=Assumptions!$H$28,'Phase III Pro Forma'!I3+1,'Phase III Pro Forma'!I3)</f>
        <v>0</v>
      </c>
      <c r="K3" s="72">
        <f>+IF(K7&gt;=Assumptions!$H$28,'Phase III Pro Forma'!J3+1,'Phase III Pro Forma'!J3)</f>
        <v>1</v>
      </c>
      <c r="L3" s="72">
        <f>+IF(L7&gt;=Assumptions!$H$28,'Phase III Pro Forma'!K3+1,'Phase III Pro Forma'!K3)</f>
        <v>2</v>
      </c>
      <c r="M3" s="72">
        <f>+IF(M7&gt;=Assumptions!$H$28,'Phase III Pro Forma'!L3+1,'Phase III Pro Forma'!L3)</f>
        <v>3</v>
      </c>
      <c r="N3" s="72">
        <f>+IF(N7&gt;=Assumptions!$H$28,'Phase III Pro Forma'!M3+1,'Phase III Pro Forma'!M3)</f>
        <v>4</v>
      </c>
      <c r="O3" s="72">
        <f>+IF(O7&gt;=Assumptions!$H$28,'Phase III Pro Forma'!N3+1,'Phase III Pro Forma'!N3)</f>
        <v>5</v>
      </c>
      <c r="P3" s="72">
        <f>+IF(P7&gt;=Assumptions!$H$28,'Phase III Pro Forma'!O3+1,'Phase III Pro Forma'!O3)</f>
        <v>6</v>
      </c>
      <c r="Q3" s="72">
        <f>+IF(Q7&gt;=Assumptions!$H$28,'Phase III Pro Forma'!P3+1,'Phase III Pro Forma'!P3)</f>
        <v>7</v>
      </c>
      <c r="R3" s="72">
        <f>+IF(R7&gt;=Assumptions!$H$28,'Phase III Pro Forma'!Q3+1,'Phase III Pro Forma'!Q3)</f>
        <v>8</v>
      </c>
      <c r="S3" s="72">
        <f>+IF(S7&gt;=Assumptions!$H$28,'Phase III Pro Forma'!R3+1,'Phase III Pro Forma'!R3)</f>
        <v>9</v>
      </c>
      <c r="T3" s="72">
        <f>+IF(T7&gt;=Assumptions!$H$28,'Phase III Pro Forma'!S3+1,'Phase III Pro Forma'!S3)</f>
        <v>10</v>
      </c>
      <c r="U3" s="72">
        <f>+IF(U7&gt;=Assumptions!$H$28,'Phase III Pro Forma'!T3+1,'Phase III Pro Forma'!T3)</f>
        <v>11</v>
      </c>
      <c r="V3" s="72">
        <f>+IF(V7&gt;=Assumptions!$H$28,'Phase III Pro Forma'!U3+1,'Phase III Pro Forma'!U3)</f>
        <v>12</v>
      </c>
      <c r="W3" s="72">
        <f>+IF(W7&gt;=Assumptions!$H$28,'Phase III Pro Forma'!V3+1,'Phase III Pro Forma'!V3)</f>
        <v>13</v>
      </c>
      <c r="X3" s="72">
        <f>+IF(X7&gt;=Assumptions!$H$28,'Phase III Pro Forma'!W3+1,'Phase III Pro Forma'!W3)</f>
        <v>14</v>
      </c>
      <c r="Y3" s="72">
        <f>+IF(Y7&gt;=Assumptions!$H$28,'Phase III Pro Forma'!X3+1,'Phase III Pro Forma'!X3)</f>
        <v>15</v>
      </c>
      <c r="Z3" s="72">
        <f>+IF(Z7&gt;=Assumptions!$H$28,'Phase III Pro Forma'!Y3+1,'Phase III Pro Forma'!Y3)</f>
        <v>16</v>
      </c>
    </row>
    <row r="4" spans="1:26">
      <c r="F4" s="22"/>
      <c r="G4" s="22"/>
      <c r="H4" s="22"/>
      <c r="I4" s="22"/>
      <c r="J4" s="22"/>
      <c r="K4" s="22"/>
      <c r="L4" s="22"/>
      <c r="M4" s="22"/>
      <c r="N4" s="22"/>
    </row>
    <row r="5" spans="1:26" ht="15.75">
      <c r="B5" s="444" t="s">
        <v>604</v>
      </c>
      <c r="C5" s="445"/>
      <c r="D5" s="445"/>
      <c r="E5" s="445"/>
      <c r="F5" s="640"/>
      <c r="G5" s="640"/>
      <c r="H5" s="640"/>
      <c r="I5" s="640"/>
      <c r="J5" s="640"/>
      <c r="K5" s="640"/>
      <c r="L5" s="640"/>
      <c r="M5" s="640"/>
      <c r="N5" s="640"/>
      <c r="O5" s="640"/>
      <c r="P5" s="640"/>
      <c r="Q5" s="640"/>
      <c r="R5" s="640"/>
      <c r="S5" s="640"/>
      <c r="T5" s="640"/>
      <c r="U5" s="640"/>
      <c r="V5" s="640"/>
      <c r="W5" s="640"/>
      <c r="X5" s="640"/>
      <c r="Y5" s="640"/>
      <c r="Z5" s="640"/>
    </row>
    <row r="6" spans="1:26" ht="15.75">
      <c r="B6" s="54"/>
      <c r="F6" s="107">
        <f>+YEAR(F7)</f>
        <v>2024</v>
      </c>
      <c r="G6" s="107">
        <f t="shared" ref="G6:Z6" si="0">+YEAR(G7)</f>
        <v>2025</v>
      </c>
      <c r="H6" s="107">
        <f t="shared" si="0"/>
        <v>2026</v>
      </c>
      <c r="I6" s="107">
        <f t="shared" si="0"/>
        <v>2027</v>
      </c>
      <c r="J6" s="107">
        <f t="shared" si="0"/>
        <v>2028</v>
      </c>
      <c r="K6" s="107">
        <f t="shared" si="0"/>
        <v>2029</v>
      </c>
      <c r="L6" s="107">
        <f t="shared" si="0"/>
        <v>2030</v>
      </c>
      <c r="M6" s="107">
        <f t="shared" si="0"/>
        <v>2031</v>
      </c>
      <c r="N6" s="107">
        <f t="shared" si="0"/>
        <v>2032</v>
      </c>
      <c r="O6" s="107">
        <f t="shared" si="0"/>
        <v>2033</v>
      </c>
      <c r="P6" s="107">
        <f t="shared" si="0"/>
        <v>2034</v>
      </c>
      <c r="Q6" s="107">
        <f t="shared" si="0"/>
        <v>2035</v>
      </c>
      <c r="R6" s="107">
        <f t="shared" si="0"/>
        <v>2036</v>
      </c>
      <c r="S6" s="107">
        <f t="shared" si="0"/>
        <v>2037</v>
      </c>
      <c r="T6" s="107">
        <f t="shared" si="0"/>
        <v>2038</v>
      </c>
      <c r="U6" s="107">
        <f t="shared" si="0"/>
        <v>2039</v>
      </c>
      <c r="V6" s="107">
        <f t="shared" si="0"/>
        <v>2040</v>
      </c>
      <c r="W6" s="107">
        <f t="shared" si="0"/>
        <v>2041</v>
      </c>
      <c r="X6" s="107">
        <f t="shared" si="0"/>
        <v>2042</v>
      </c>
      <c r="Y6" s="107">
        <f t="shared" si="0"/>
        <v>2043</v>
      </c>
      <c r="Z6" s="107">
        <f t="shared" si="0"/>
        <v>2044</v>
      </c>
    </row>
    <row r="7" spans="1:26" ht="15.75">
      <c r="B7" s="73" t="s">
        <v>130</v>
      </c>
      <c r="C7" s="74"/>
      <c r="D7" s="74"/>
      <c r="E7" s="74"/>
      <c r="F7" s="75">
        <f>+Assumptions!$H$22</f>
        <v>45657</v>
      </c>
      <c r="G7" s="75">
        <f>+EOMONTH(F7,12)</f>
        <v>46022</v>
      </c>
      <c r="H7" s="75">
        <f t="shared" ref="H7:Z7" si="1">+EOMONTH(G7,12)</f>
        <v>46387</v>
      </c>
      <c r="I7" s="75">
        <f t="shared" si="1"/>
        <v>46752</v>
      </c>
      <c r="J7" s="75">
        <f t="shared" si="1"/>
        <v>47118</v>
      </c>
      <c r="K7" s="75">
        <f t="shared" si="1"/>
        <v>47483</v>
      </c>
      <c r="L7" s="75">
        <f t="shared" si="1"/>
        <v>47848</v>
      </c>
      <c r="M7" s="75">
        <f t="shared" si="1"/>
        <v>48213</v>
      </c>
      <c r="N7" s="75">
        <f t="shared" si="1"/>
        <v>48579</v>
      </c>
      <c r="O7" s="75">
        <f t="shared" si="1"/>
        <v>48944</v>
      </c>
      <c r="P7" s="75">
        <f t="shared" si="1"/>
        <v>49309</v>
      </c>
      <c r="Q7" s="75">
        <f t="shared" si="1"/>
        <v>49674</v>
      </c>
      <c r="R7" s="75">
        <f t="shared" si="1"/>
        <v>50040</v>
      </c>
      <c r="S7" s="75">
        <f t="shared" si="1"/>
        <v>50405</v>
      </c>
      <c r="T7" s="75">
        <f t="shared" si="1"/>
        <v>50770</v>
      </c>
      <c r="U7" s="75">
        <f t="shared" si="1"/>
        <v>51135</v>
      </c>
      <c r="V7" s="75">
        <f t="shared" si="1"/>
        <v>51501</v>
      </c>
      <c r="W7" s="75">
        <f t="shared" si="1"/>
        <v>51866</v>
      </c>
      <c r="X7" s="75">
        <f t="shared" si="1"/>
        <v>52231</v>
      </c>
      <c r="Y7" s="75">
        <f t="shared" si="1"/>
        <v>52596</v>
      </c>
      <c r="Z7" s="75">
        <f t="shared" si="1"/>
        <v>52962</v>
      </c>
    </row>
    <row r="8" spans="1:26">
      <c r="A8" s="65" t="b">
        <f>+SUM(F8:Z8)=Assumptions!$F$55</f>
        <v>0</v>
      </c>
      <c r="B8" s="15" t="s">
        <v>605</v>
      </c>
      <c r="C8" s="15"/>
      <c r="D8" s="20"/>
      <c r="E8" s="20"/>
      <c r="F8" s="22">
        <f>+IF(AND(F7&gt;=Assumptions!$H$26,F7&lt;Assumptions!$H$28),Assumptions!$H$55/ROUNDUP((Assumptions!$H$27/12),0),0)</f>
        <v>0</v>
      </c>
      <c r="G8" s="22">
        <f>+IF(AND(G7&gt;=Assumptions!$H$26,G7&lt;Assumptions!$H$28),Assumptions!$H$55/ROUNDUP((Assumptions!$H$27/12),0),0)</f>
        <v>0</v>
      </c>
      <c r="H8" s="22">
        <f>+IF(AND(H7&gt;=Assumptions!$H$26,H7&lt;Assumptions!$H$28),Assumptions!$H$55/ROUNDUP((Assumptions!$H$27/12),0),0)</f>
        <v>0</v>
      </c>
      <c r="I8" s="22">
        <f>+IF(AND(I7&gt;=Assumptions!$H$26,I7&lt;Assumptions!$H$28),Assumptions!$H$55/ROUNDUP((Assumptions!$H$27/12),0),0)</f>
        <v>103881.9419318586</v>
      </c>
      <c r="J8" s="22">
        <f>+IF(AND(J7&gt;=Assumptions!$H$26,J7&lt;Assumptions!$H$28),Assumptions!$H$55/ROUNDUP((Assumptions!$H$27/12),0),0)</f>
        <v>103881.9419318586</v>
      </c>
      <c r="K8" s="22">
        <f>+IF(AND(K7&gt;=Assumptions!$H$26,K7&lt;Assumptions!$H$28),Assumptions!$H$55/ROUNDUP((Assumptions!$H$27/12),0),0)</f>
        <v>0</v>
      </c>
      <c r="L8" s="22">
        <f>+IF(AND(L7&gt;=Assumptions!$H$26,L7&lt;Assumptions!$H$28),Assumptions!$H$55/ROUNDUP((Assumptions!$H$27/12),0),0)</f>
        <v>0</v>
      </c>
      <c r="M8" s="22">
        <f>+IF(AND(M7&gt;=Assumptions!$H$26,M7&lt;Assumptions!$H$28),Assumptions!$H$55/ROUNDUP((Assumptions!$H$27/12),0),0)</f>
        <v>0</v>
      </c>
      <c r="N8" s="22">
        <f>+IF(AND(N7&gt;=Assumptions!$H$26,N7&lt;Assumptions!$H$28),Assumptions!$H$55/ROUNDUP((Assumptions!$H$27/12),0),0)</f>
        <v>0</v>
      </c>
      <c r="O8" s="22">
        <f>+IF(AND(O7&gt;=Assumptions!$H$26,O7&lt;Assumptions!$H$28),Assumptions!$H$55/ROUNDUP((Assumptions!$H$27/12),0),0)</f>
        <v>0</v>
      </c>
      <c r="P8" s="22">
        <f>+IF(AND(P7&gt;=Assumptions!$H$26,P7&lt;Assumptions!$H$28),Assumptions!$H$55/ROUNDUP((Assumptions!$H$27/12),0),0)</f>
        <v>0</v>
      </c>
      <c r="Q8" s="22">
        <f>+IF(AND(Q7&gt;=Assumptions!$H$26,Q7&lt;Assumptions!$H$28),Assumptions!$H$55/ROUNDUP((Assumptions!$H$27/12),0),0)</f>
        <v>0</v>
      </c>
      <c r="R8" s="22">
        <f>+IF(AND(R7&gt;=Assumptions!$H$26,R7&lt;Assumptions!$H$28),Assumptions!$H$55/ROUNDUP((Assumptions!$H$27/12),0),0)</f>
        <v>0</v>
      </c>
      <c r="S8" s="22">
        <f>+IF(AND(S7&gt;=Assumptions!$H$26,S7&lt;Assumptions!$H$28),Assumptions!$H$55/ROUNDUP((Assumptions!$H$27/12),0),0)</f>
        <v>0</v>
      </c>
      <c r="T8" s="22">
        <f>+IF(AND(T7&gt;=Assumptions!$H$26,T7&lt;Assumptions!$H$28),Assumptions!$H$55/ROUNDUP((Assumptions!$H$27/12),0),0)</f>
        <v>0</v>
      </c>
      <c r="U8" s="22">
        <f>+IF(AND(U7&gt;=Assumptions!$H$26,U7&lt;Assumptions!$H$28),Assumptions!$H$55/ROUNDUP((Assumptions!$H$27/12),0),0)</f>
        <v>0</v>
      </c>
      <c r="V8" s="22">
        <f>+IF(AND(V7&gt;=Assumptions!$H$26,V7&lt;Assumptions!$H$28),Assumptions!$H$55/ROUNDUP((Assumptions!$H$27/12),0),0)</f>
        <v>0</v>
      </c>
      <c r="W8" s="22">
        <f>+IF(AND(W7&gt;=Assumptions!$H$26,W7&lt;Assumptions!$H$28),Assumptions!$H$55/ROUNDUP((Assumptions!$H$27/12),0),0)</f>
        <v>0</v>
      </c>
      <c r="X8" s="22">
        <f>+IF(AND(X7&gt;=Assumptions!$H$26,X7&lt;Assumptions!$H$28),Assumptions!$H$55/ROUNDUP((Assumptions!$H$27/12),0),0)</f>
        <v>0</v>
      </c>
      <c r="Y8" s="22">
        <f>+IF(AND(Y7&gt;=Assumptions!$H$26,Y7&lt;Assumptions!$H$28),Assumptions!$H$55/ROUNDUP((Assumptions!$H$27/12),0),0)</f>
        <v>0</v>
      </c>
      <c r="Z8" s="22">
        <f>+IF(AND(Z7&gt;=Assumptions!$H$26,Z7&lt;Assumptions!$H$28),Assumptions!$H$55/ROUNDUP((Assumptions!$H$27/12),0),0)</f>
        <v>0</v>
      </c>
    </row>
    <row r="9" spans="1:26">
      <c r="B9" s="15" t="s">
        <v>606</v>
      </c>
      <c r="C9" s="15"/>
      <c r="D9" s="22">
        <v>0</v>
      </c>
      <c r="E9" s="22"/>
      <c r="F9" s="22">
        <f>+D9+F8</f>
        <v>0</v>
      </c>
      <c r="G9" s="22">
        <f t="shared" ref="G9:Z9" si="2">+F9+G8</f>
        <v>0</v>
      </c>
      <c r="H9" s="22">
        <f t="shared" si="2"/>
        <v>0</v>
      </c>
      <c r="I9" s="22">
        <f t="shared" si="2"/>
        <v>103881.9419318586</v>
      </c>
      <c r="J9" s="22">
        <f t="shared" si="2"/>
        <v>207763.8838637172</v>
      </c>
      <c r="K9" s="22">
        <f t="shared" si="2"/>
        <v>207763.8838637172</v>
      </c>
      <c r="L9" s="22">
        <f t="shared" si="2"/>
        <v>207763.8838637172</v>
      </c>
      <c r="M9" s="22">
        <f t="shared" si="2"/>
        <v>207763.8838637172</v>
      </c>
      <c r="N9" s="22">
        <f t="shared" si="2"/>
        <v>207763.8838637172</v>
      </c>
      <c r="O9" s="22">
        <f t="shared" si="2"/>
        <v>207763.8838637172</v>
      </c>
      <c r="P9" s="22">
        <f t="shared" si="2"/>
        <v>207763.8838637172</v>
      </c>
      <c r="Q9" s="22">
        <f t="shared" si="2"/>
        <v>207763.8838637172</v>
      </c>
      <c r="R9" s="22">
        <f t="shared" si="2"/>
        <v>207763.8838637172</v>
      </c>
      <c r="S9" s="22">
        <f t="shared" si="2"/>
        <v>207763.8838637172</v>
      </c>
      <c r="T9" s="22">
        <f t="shared" si="2"/>
        <v>207763.8838637172</v>
      </c>
      <c r="U9" s="22">
        <f t="shared" si="2"/>
        <v>207763.8838637172</v>
      </c>
      <c r="V9" s="22">
        <f t="shared" si="2"/>
        <v>207763.8838637172</v>
      </c>
      <c r="W9" s="22">
        <f t="shared" si="2"/>
        <v>207763.8838637172</v>
      </c>
      <c r="X9" s="22">
        <f t="shared" si="2"/>
        <v>207763.8838637172</v>
      </c>
      <c r="Y9" s="22">
        <f t="shared" si="2"/>
        <v>207763.8838637172</v>
      </c>
      <c r="Z9" s="22">
        <f t="shared" si="2"/>
        <v>207763.8838637172</v>
      </c>
    </row>
    <row r="10" spans="1:26">
      <c r="B10" s="15" t="s">
        <v>607</v>
      </c>
      <c r="C10" s="15"/>
      <c r="D10" s="22"/>
      <c r="E10" s="22"/>
      <c r="F10" s="22">
        <f>+F11-E11</f>
        <v>0</v>
      </c>
      <c r="G10" s="22">
        <f t="shared" ref="G10:Z10" si="3">+G11-F11</f>
        <v>0</v>
      </c>
      <c r="H10" s="22">
        <f t="shared" si="3"/>
        <v>0</v>
      </c>
      <c r="I10" s="22">
        <f t="shared" si="3"/>
        <v>148.02963814678699</v>
      </c>
      <c r="J10" s="22">
        <f t="shared" si="3"/>
        <v>148.02963814678699</v>
      </c>
      <c r="K10" s="22">
        <f t="shared" si="3"/>
        <v>0</v>
      </c>
      <c r="L10" s="22">
        <f t="shared" si="3"/>
        <v>0</v>
      </c>
      <c r="M10" s="22">
        <f t="shared" si="3"/>
        <v>0</v>
      </c>
      <c r="N10" s="22">
        <f t="shared" si="3"/>
        <v>0</v>
      </c>
      <c r="O10" s="22">
        <f t="shared" si="3"/>
        <v>0</v>
      </c>
      <c r="P10" s="22">
        <f t="shared" si="3"/>
        <v>0</v>
      </c>
      <c r="Q10" s="22">
        <f t="shared" si="3"/>
        <v>0</v>
      </c>
      <c r="R10" s="22">
        <f t="shared" si="3"/>
        <v>0</v>
      </c>
      <c r="S10" s="22">
        <f t="shared" si="3"/>
        <v>0</v>
      </c>
      <c r="T10" s="22">
        <f t="shared" si="3"/>
        <v>0</v>
      </c>
      <c r="U10" s="22">
        <f t="shared" si="3"/>
        <v>0</v>
      </c>
      <c r="V10" s="22">
        <f t="shared" si="3"/>
        <v>0</v>
      </c>
      <c r="W10" s="22">
        <f t="shared" si="3"/>
        <v>0</v>
      </c>
      <c r="X10" s="22">
        <f t="shared" si="3"/>
        <v>0</v>
      </c>
      <c r="Y10" s="22">
        <f t="shared" si="3"/>
        <v>0</v>
      </c>
      <c r="Z10" s="22">
        <f t="shared" si="3"/>
        <v>0</v>
      </c>
    </row>
    <row r="11" spans="1:26">
      <c r="B11" s="15" t="s">
        <v>608</v>
      </c>
      <c r="C11" s="15"/>
      <c r="D11" s="22"/>
      <c r="E11" s="22"/>
      <c r="F11" s="22">
        <f>+F12*Assumptions!$H$56</f>
        <v>0</v>
      </c>
      <c r="G11" s="22">
        <f>+G12*Assumptions!$H$56</f>
        <v>0</v>
      </c>
      <c r="H11" s="22">
        <f>+H12*Assumptions!$H$56</f>
        <v>0</v>
      </c>
      <c r="I11" s="22">
        <f>+I12*Assumptions!$H$56</f>
        <v>148.02963814678699</v>
      </c>
      <c r="J11" s="22">
        <f>+J12*Assumptions!$H$56</f>
        <v>296.05927629357399</v>
      </c>
      <c r="K11" s="22">
        <f>+K12*Assumptions!$H$56</f>
        <v>296.05927629357399</v>
      </c>
      <c r="L11" s="22">
        <f>+L12*Assumptions!$H$56</f>
        <v>296.05927629357399</v>
      </c>
      <c r="M11" s="22">
        <f>+M12*Assumptions!$H$56</f>
        <v>296.05927629357399</v>
      </c>
      <c r="N11" s="22">
        <f>+N12*Assumptions!$H$56</f>
        <v>296.05927629357399</v>
      </c>
      <c r="O11" s="22">
        <f>+O12*Assumptions!$H$56</f>
        <v>296.05927629357399</v>
      </c>
      <c r="P11" s="22">
        <f>+P12*Assumptions!$H$56</f>
        <v>296.05927629357399</v>
      </c>
      <c r="Q11" s="22">
        <f>+Q12*Assumptions!$H$56</f>
        <v>296.05927629357399</v>
      </c>
      <c r="R11" s="22">
        <f>+R12*Assumptions!$H$56</f>
        <v>296.05927629357399</v>
      </c>
      <c r="S11" s="22">
        <f>+S12*Assumptions!$H$56</f>
        <v>296.05927629357399</v>
      </c>
      <c r="T11" s="22">
        <f>+T12*Assumptions!$H$56</f>
        <v>296.05927629357399</v>
      </c>
      <c r="U11" s="22">
        <f>+U12*Assumptions!$H$56</f>
        <v>296.05927629357399</v>
      </c>
      <c r="V11" s="22">
        <f>+V12*Assumptions!$H$56</f>
        <v>296.05927629357399</v>
      </c>
      <c r="W11" s="22">
        <f>+W12*Assumptions!$H$56</f>
        <v>296.05927629357399</v>
      </c>
      <c r="X11" s="22">
        <f>+X12*Assumptions!$H$56</f>
        <v>296.05927629357399</v>
      </c>
      <c r="Y11" s="22">
        <f>+Y12*Assumptions!$H$56</f>
        <v>296.05927629357399</v>
      </c>
      <c r="Z11" s="22">
        <f>+Z12*Assumptions!$H$56</f>
        <v>296.05927629357399</v>
      </c>
    </row>
    <row r="12" spans="1:26">
      <c r="B12" s="15" t="s">
        <v>609</v>
      </c>
      <c r="C12" s="15"/>
      <c r="D12" s="22"/>
      <c r="E12" s="22"/>
      <c r="F12" s="49">
        <f>+F9/SUM($F$8:$Z$8)</f>
        <v>0</v>
      </c>
      <c r="G12" s="49">
        <f t="shared" ref="G12:Z12" si="4">+G9/SUM($F$8:$Z$8)</f>
        <v>0</v>
      </c>
      <c r="H12" s="49">
        <f t="shared" si="4"/>
        <v>0</v>
      </c>
      <c r="I12" s="49">
        <f t="shared" si="4"/>
        <v>0.5</v>
      </c>
      <c r="J12" s="49">
        <f t="shared" si="4"/>
        <v>1</v>
      </c>
      <c r="K12" s="49">
        <f t="shared" si="4"/>
        <v>1</v>
      </c>
      <c r="L12" s="49">
        <f t="shared" si="4"/>
        <v>1</v>
      </c>
      <c r="M12" s="49">
        <f t="shared" si="4"/>
        <v>1</v>
      </c>
      <c r="N12" s="49">
        <f t="shared" si="4"/>
        <v>1</v>
      </c>
      <c r="O12" s="49">
        <f t="shared" si="4"/>
        <v>1</v>
      </c>
      <c r="P12" s="49">
        <f t="shared" si="4"/>
        <v>1</v>
      </c>
      <c r="Q12" s="49">
        <f t="shared" si="4"/>
        <v>1</v>
      </c>
      <c r="R12" s="49">
        <f t="shared" si="4"/>
        <v>1</v>
      </c>
      <c r="S12" s="49">
        <f t="shared" si="4"/>
        <v>1</v>
      </c>
      <c r="T12" s="49">
        <f t="shared" si="4"/>
        <v>1</v>
      </c>
      <c r="U12" s="49">
        <f t="shared" si="4"/>
        <v>1</v>
      </c>
      <c r="V12" s="49">
        <f t="shared" si="4"/>
        <v>1</v>
      </c>
      <c r="W12" s="49">
        <f t="shared" si="4"/>
        <v>1</v>
      </c>
      <c r="X12" s="49">
        <f t="shared" si="4"/>
        <v>1</v>
      </c>
      <c r="Y12" s="49">
        <f t="shared" si="4"/>
        <v>1</v>
      </c>
      <c r="Z12" s="49">
        <f t="shared" si="4"/>
        <v>1</v>
      </c>
    </row>
    <row r="13" spans="1:26">
      <c r="B13" s="15"/>
      <c r="C13" s="15"/>
      <c r="D13" s="22"/>
      <c r="E13" s="22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</row>
    <row r="14" spans="1:26">
      <c r="B14" s="15" t="s">
        <v>610</v>
      </c>
      <c r="C14" s="15"/>
      <c r="D14" s="22"/>
      <c r="E14" s="22"/>
      <c r="F14" s="49">
        <v>1</v>
      </c>
      <c r="G14" s="49">
        <f>+F14*(1+Assumptions!$P$63)</f>
        <v>1.02</v>
      </c>
      <c r="H14" s="49">
        <f>+G14*(1+Assumptions!$P$63)</f>
        <v>1.0404</v>
      </c>
      <c r="I14" s="49">
        <f>+H14*(1+Assumptions!$P$63)</f>
        <v>1.0612079999999999</v>
      </c>
      <c r="J14" s="49">
        <f>+I14*(1+Assumptions!$P$63)</f>
        <v>1.08243216</v>
      </c>
      <c r="K14" s="49">
        <f>+J14*(1+Assumptions!$P$63)</f>
        <v>1.1040808032</v>
      </c>
      <c r="L14" s="49">
        <f>+K14*(1+Assumptions!$P$63)</f>
        <v>1.1261624192640001</v>
      </c>
      <c r="M14" s="49">
        <f>+L14*(1+Assumptions!$P$63)</f>
        <v>1.14868566764928</v>
      </c>
      <c r="N14" s="49">
        <f>+M14*(1+Assumptions!$P$63)</f>
        <v>1.1716593810022657</v>
      </c>
      <c r="O14" s="49">
        <f>+N14*(1+Assumptions!$P$63)</f>
        <v>1.1950925686223111</v>
      </c>
      <c r="P14" s="49">
        <f>+O14*(1+Assumptions!$P$63)</f>
        <v>1.2189944199947573</v>
      </c>
      <c r="Q14" s="49">
        <f>+P14*(1+Assumptions!$P$63)</f>
        <v>1.2433743083946525</v>
      </c>
      <c r="R14" s="49">
        <f>+Q14*(1+Assumptions!$P$63)</f>
        <v>1.2682417945625455</v>
      </c>
      <c r="S14" s="49">
        <f>+R14*(1+Assumptions!$P$63)</f>
        <v>1.2936066304537963</v>
      </c>
      <c r="T14" s="49">
        <f>+S14*(1+Assumptions!$P$63)</f>
        <v>1.3194787630628724</v>
      </c>
      <c r="U14" s="49">
        <f>+T14*(1+Assumptions!$P$63)</f>
        <v>1.3458683383241299</v>
      </c>
      <c r="V14" s="49">
        <f>+U14*(1+Assumptions!$P$63)</f>
        <v>1.3727857050906125</v>
      </c>
      <c r="W14" s="49">
        <f>+V14*(1+Assumptions!$P$63)</f>
        <v>1.4002414191924248</v>
      </c>
      <c r="X14" s="49">
        <f>+W14*(1+Assumptions!$P$63)</f>
        <v>1.4282462475762734</v>
      </c>
      <c r="Y14" s="49">
        <f>+X14*(1+Assumptions!$P$63)</f>
        <v>1.4568111725277988</v>
      </c>
      <c r="Z14" s="49">
        <f>+Y14*(1+Assumptions!$P$63)</f>
        <v>1.4859473959783549</v>
      </c>
    </row>
    <row r="15" spans="1:26">
      <c r="B15" s="15" t="s">
        <v>611</v>
      </c>
      <c r="C15" s="15"/>
      <c r="D15" s="22"/>
      <c r="E15" s="22"/>
      <c r="F15" s="49">
        <v>1</v>
      </c>
      <c r="G15" s="49">
        <f>+F15*(1+Assumptions!$P$76)</f>
        <v>1.02</v>
      </c>
      <c r="H15" s="49">
        <f>+G15*(1+Assumptions!$P$76)</f>
        <v>1.0404</v>
      </c>
      <c r="I15" s="49">
        <f>+H15*(1+Assumptions!$P$76)</f>
        <v>1.0612079999999999</v>
      </c>
      <c r="J15" s="49">
        <f>+I15*(1+Assumptions!$P$76)</f>
        <v>1.08243216</v>
      </c>
      <c r="K15" s="49">
        <f>+J15*(1+Assumptions!$P$76)</f>
        <v>1.1040808032</v>
      </c>
      <c r="L15" s="49">
        <f>+K15*(1+Assumptions!$P$76)</f>
        <v>1.1261624192640001</v>
      </c>
      <c r="M15" s="49">
        <f>+L15*(1+Assumptions!$P$76)</f>
        <v>1.14868566764928</v>
      </c>
      <c r="N15" s="49">
        <f>+M15*(1+Assumptions!$P$76)</f>
        <v>1.1716593810022657</v>
      </c>
      <c r="O15" s="49">
        <f>+N15*(1+Assumptions!$P$76)</f>
        <v>1.1950925686223111</v>
      </c>
      <c r="P15" s="49">
        <f>+O15*(1+Assumptions!$P$76)</f>
        <v>1.2189944199947573</v>
      </c>
      <c r="Q15" s="49">
        <f>+P15*(1+Assumptions!$P$76)</f>
        <v>1.2433743083946525</v>
      </c>
      <c r="R15" s="49">
        <f>+Q15*(1+Assumptions!$P$76)</f>
        <v>1.2682417945625455</v>
      </c>
      <c r="S15" s="49">
        <f>+R15*(1+Assumptions!$P$76)</f>
        <v>1.2936066304537963</v>
      </c>
      <c r="T15" s="49">
        <f>+S15*(1+Assumptions!$P$76)</f>
        <v>1.3194787630628724</v>
      </c>
      <c r="U15" s="49">
        <f>+T15*(1+Assumptions!$P$76)</f>
        <v>1.3458683383241299</v>
      </c>
      <c r="V15" s="49">
        <f>+U15*(1+Assumptions!$P$76)</f>
        <v>1.3727857050906125</v>
      </c>
      <c r="W15" s="49">
        <f>+V15*(1+Assumptions!$P$76)</f>
        <v>1.4002414191924248</v>
      </c>
      <c r="X15" s="49">
        <f>+W15*(1+Assumptions!$P$76)</f>
        <v>1.4282462475762734</v>
      </c>
      <c r="Y15" s="49">
        <f>+X15*(1+Assumptions!$P$76)</f>
        <v>1.4568111725277988</v>
      </c>
      <c r="Z15" s="49">
        <f>+Y15*(1+Assumptions!$P$76)</f>
        <v>1.4859473959783549</v>
      </c>
    </row>
    <row r="16" spans="1:26">
      <c r="B16" s="15"/>
      <c r="C16" s="15"/>
      <c r="D16" s="20"/>
      <c r="E16" s="20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</row>
    <row r="17" spans="2:26">
      <c r="B17" s="15" t="s">
        <v>612</v>
      </c>
      <c r="C17" s="15"/>
      <c r="D17" s="20"/>
      <c r="E17" s="20"/>
      <c r="F17" s="16">
        <f>+F12*Assumptions!$H$54*F14</f>
        <v>0</v>
      </c>
      <c r="G17" s="16">
        <f>+G12*Assumptions!$H$54*G14</f>
        <v>0</v>
      </c>
      <c r="H17" s="16">
        <f>+H12*Assumptions!$H$54*H14</f>
        <v>0</v>
      </c>
      <c r="I17" s="16">
        <f>+I12*Assumptions!$H$54*I14</f>
        <v>1972792.7556184649</v>
      </c>
      <c r="J17" s="16">
        <f>+J12*Assumptions!$H$54*J14</f>
        <v>4024497.2214616681</v>
      </c>
      <c r="K17" s="16">
        <f>+K12*Assumptions!$H$54*K14</f>
        <v>4104987.1658909018</v>
      </c>
      <c r="L17" s="16">
        <f>+L12*Assumptions!$H$54*L14</f>
        <v>4187086.9092087201</v>
      </c>
      <c r="M17" s="16">
        <f>+M12*Assumptions!$H$54*M14</f>
        <v>4270828.6473928941</v>
      </c>
      <c r="N17" s="16">
        <f>+N12*Assumptions!$H$54*N14</f>
        <v>4356245.220340753</v>
      </c>
      <c r="O17" s="16">
        <f>+O12*Assumptions!$H$54*O14</f>
        <v>4443370.1247475678</v>
      </c>
      <c r="P17" s="16">
        <f>+P12*Assumptions!$H$54*P14</f>
        <v>4532237.527242519</v>
      </c>
      <c r="Q17" s="16">
        <f>+Q12*Assumptions!$H$54*Q14</f>
        <v>4622882.2777873697</v>
      </c>
      <c r="R17" s="16">
        <f>+R12*Assumptions!$H$54*R14</f>
        <v>4715339.9233431173</v>
      </c>
      <c r="S17" s="16">
        <f>+S12*Assumptions!$H$54*S14</f>
        <v>4809646.7218099786</v>
      </c>
      <c r="T17" s="16">
        <f>+T12*Assumptions!$H$54*T14</f>
        <v>4905839.6562461788</v>
      </c>
      <c r="U17" s="16">
        <f>+U12*Assumptions!$H$54*U14</f>
        <v>5003956.4493711032</v>
      </c>
      <c r="V17" s="16">
        <f>+V12*Assumptions!$H$54*V14</f>
        <v>5104035.5783585245</v>
      </c>
      <c r="W17" s="16">
        <f>+W12*Assumptions!$H$54*W14</f>
        <v>5206116.2899256954</v>
      </c>
      <c r="X17" s="16">
        <f>+X12*Assumptions!$H$54*X14</f>
        <v>5310238.6157242097</v>
      </c>
      <c r="Y17" s="16">
        <f>+Y12*Assumptions!$H$54*Y14</f>
        <v>5416443.3880386939</v>
      </c>
      <c r="Z17" s="16">
        <f>+Z12*Assumptions!$H$54*Z14</f>
        <v>5524772.2557994686</v>
      </c>
    </row>
    <row r="18" spans="2:26">
      <c r="B18" s="15" t="s">
        <v>613</v>
      </c>
      <c r="C18" s="15"/>
      <c r="D18" s="20"/>
      <c r="E18" s="20"/>
      <c r="F18" s="22">
        <f>-F17*Assumptions!$P$54</f>
        <v>0</v>
      </c>
      <c r="G18" s="22">
        <f>-G17*Assumptions!$P$54</f>
        <v>0</v>
      </c>
      <c r="H18" s="22">
        <f>-H17*Assumptions!$P$54</f>
        <v>0</v>
      </c>
      <c r="I18" s="22">
        <f>-I17*Assumptions!$P$54</f>
        <v>-39455.855112369296</v>
      </c>
      <c r="J18" s="22">
        <f>-J17*Assumptions!$P$54</f>
        <v>-80489.944429233365</v>
      </c>
      <c r="K18" s="22">
        <f>-K17*Assumptions!$P$54</f>
        <v>-82099.743317818036</v>
      </c>
      <c r="L18" s="22">
        <f>-L17*Assumptions!$P$54</f>
        <v>-83741.738184174406</v>
      </c>
      <c r="M18" s="22">
        <f>-M17*Assumptions!$P$54</f>
        <v>-85416.572947857887</v>
      </c>
      <c r="N18" s="22">
        <f>-N17*Assumptions!$P$54</f>
        <v>-87124.904406815054</v>
      </c>
      <c r="O18" s="22">
        <f>-O17*Assumptions!$P$54</f>
        <v>-88867.402494951355</v>
      </c>
      <c r="P18" s="22">
        <f>-P17*Assumptions!$P$54</f>
        <v>-90644.75054485038</v>
      </c>
      <c r="Q18" s="22">
        <f>-Q17*Assumptions!$P$54</f>
        <v>-92457.645555747396</v>
      </c>
      <c r="R18" s="22">
        <f>-R17*Assumptions!$P$54</f>
        <v>-94306.798466862354</v>
      </c>
      <c r="S18" s="22">
        <f>-S17*Assumptions!$P$54</f>
        <v>-96192.934436199575</v>
      </c>
      <c r="T18" s="22">
        <f>-T17*Assumptions!$P$54</f>
        <v>-98116.793124923584</v>
      </c>
      <c r="U18" s="22">
        <f>-U17*Assumptions!$P$54</f>
        <v>-100079.12898742207</v>
      </c>
      <c r="V18" s="22">
        <f>-V17*Assumptions!$P$54</f>
        <v>-102080.7115671705</v>
      </c>
      <c r="W18" s="22">
        <f>-W17*Assumptions!$P$54</f>
        <v>-104122.32579851391</v>
      </c>
      <c r="X18" s="22">
        <f>-X17*Assumptions!$P$54</f>
        <v>-106204.7723144842</v>
      </c>
      <c r="Y18" s="22">
        <f>-Y17*Assumptions!$P$54</f>
        <v>-108328.86776077388</v>
      </c>
      <c r="Z18" s="22">
        <f>-Z17*Assumptions!$P$54</f>
        <v>-110495.44511598938</v>
      </c>
    </row>
    <row r="19" spans="2:26">
      <c r="B19" s="15" t="s">
        <v>186</v>
      </c>
      <c r="C19" s="15"/>
      <c r="D19" s="20"/>
      <c r="E19" s="20"/>
      <c r="F19" s="76">
        <f>+F11*Assumptions!$H$89*(1-Assumptions!$P$54)*12</f>
        <v>0</v>
      </c>
      <c r="G19" s="76">
        <f>+G11*Assumptions!$H$89*(1-Assumptions!$P$54)*12</f>
        <v>0</v>
      </c>
      <c r="H19" s="76">
        <f>+H11*Assumptions!$H$89*(1-Assumptions!$P$54)*12</f>
        <v>0</v>
      </c>
      <c r="I19" s="76">
        <f>+I11*Assumptions!$H$89*(1-Assumptions!$P$54)*12</f>
        <v>8704.1427230310746</v>
      </c>
      <c r="J19" s="76">
        <f>+J11*Assumptions!$H$89*(1-Assumptions!$P$54)*12</f>
        <v>17408.285446062149</v>
      </c>
      <c r="K19" s="76">
        <f>+K11*Assumptions!$H$89*(1-Assumptions!$P$54)*12</f>
        <v>17408.285446062149</v>
      </c>
      <c r="L19" s="76">
        <f>+L11*Assumptions!$H$89*(1-Assumptions!$P$54)*12</f>
        <v>17408.285446062149</v>
      </c>
      <c r="M19" s="76">
        <f>+M11*Assumptions!$H$89*(1-Assumptions!$P$54)*12</f>
        <v>17408.285446062149</v>
      </c>
      <c r="N19" s="76">
        <f>+N11*Assumptions!$H$89*(1-Assumptions!$P$54)*12</f>
        <v>17408.285446062149</v>
      </c>
      <c r="O19" s="76">
        <f>+O11*Assumptions!$H$89*(1-Assumptions!$P$54)*12</f>
        <v>17408.285446062149</v>
      </c>
      <c r="P19" s="76">
        <f>+P11*Assumptions!$H$89*(1-Assumptions!$P$54)*12</f>
        <v>17408.285446062149</v>
      </c>
      <c r="Q19" s="76">
        <f>+Q11*Assumptions!$H$89*(1-Assumptions!$P$54)*12</f>
        <v>17408.285446062149</v>
      </c>
      <c r="R19" s="76">
        <f>+R11*Assumptions!$H$89*(1-Assumptions!$P$54)*12</f>
        <v>17408.285446062149</v>
      </c>
      <c r="S19" s="76">
        <f>+S11*Assumptions!$H$89*(1-Assumptions!$P$54)*12</f>
        <v>17408.285446062149</v>
      </c>
      <c r="T19" s="76">
        <f>+T11*Assumptions!$H$89*(1-Assumptions!$P$54)*12</f>
        <v>17408.285446062149</v>
      </c>
      <c r="U19" s="76">
        <f>+U11*Assumptions!$H$89*(1-Assumptions!$P$54)*12</f>
        <v>17408.285446062149</v>
      </c>
      <c r="V19" s="76">
        <f>+V11*Assumptions!$H$89*(1-Assumptions!$P$54)*12</f>
        <v>17408.285446062149</v>
      </c>
      <c r="W19" s="76">
        <f>+W11*Assumptions!$H$89*(1-Assumptions!$P$54)*12</f>
        <v>17408.285446062149</v>
      </c>
      <c r="X19" s="76">
        <f>+X11*Assumptions!$H$89*(1-Assumptions!$P$54)*12</f>
        <v>17408.285446062149</v>
      </c>
      <c r="Y19" s="76">
        <f>+Y11*Assumptions!$H$89*(1-Assumptions!$P$54)*12</f>
        <v>17408.285446062149</v>
      </c>
      <c r="Z19" s="76">
        <f>+Z11*Assumptions!$H$89*(1-Assumptions!$P$54)*12</f>
        <v>17408.285446062149</v>
      </c>
    </row>
    <row r="20" spans="2:26">
      <c r="B20" s="62" t="s">
        <v>614</v>
      </c>
      <c r="C20" s="62"/>
      <c r="D20" s="62"/>
      <c r="E20" s="62"/>
      <c r="F20" s="58">
        <f t="shared" ref="F20:Z20" si="5">+SUM(F17:F19)</f>
        <v>0</v>
      </c>
      <c r="G20" s="58">
        <f t="shared" si="5"/>
        <v>0</v>
      </c>
      <c r="H20" s="58">
        <f t="shared" si="5"/>
        <v>0</v>
      </c>
      <c r="I20" s="58">
        <f t="shared" si="5"/>
        <v>1942041.0432291266</v>
      </c>
      <c r="J20" s="58">
        <f t="shared" si="5"/>
        <v>3961415.5624784972</v>
      </c>
      <c r="K20" s="58">
        <f t="shared" si="5"/>
        <v>4040295.7080191462</v>
      </c>
      <c r="L20" s="58">
        <f t="shared" si="5"/>
        <v>4120753.4564706078</v>
      </c>
      <c r="M20" s="58">
        <f t="shared" si="5"/>
        <v>4202820.359891098</v>
      </c>
      <c r="N20" s="58">
        <f t="shared" si="5"/>
        <v>4286528.6013799999</v>
      </c>
      <c r="O20" s="58">
        <f t="shared" si="5"/>
        <v>4371911.0076986784</v>
      </c>
      <c r="P20" s="58">
        <f t="shared" si="5"/>
        <v>4459001.06214373</v>
      </c>
      <c r="Q20" s="58">
        <f t="shared" si="5"/>
        <v>4547832.9176776838</v>
      </c>
      <c r="R20" s="58">
        <f t="shared" si="5"/>
        <v>4638441.4103223169</v>
      </c>
      <c r="S20" s="58">
        <f t="shared" si="5"/>
        <v>4730862.0728198411</v>
      </c>
      <c r="T20" s="58">
        <f t="shared" si="5"/>
        <v>4825131.1485673171</v>
      </c>
      <c r="U20" s="58">
        <f t="shared" si="5"/>
        <v>4921285.6058297427</v>
      </c>
      <c r="V20" s="58">
        <f t="shared" si="5"/>
        <v>5019363.1522374153</v>
      </c>
      <c r="W20" s="58">
        <f t="shared" si="5"/>
        <v>5119402.2495732429</v>
      </c>
      <c r="X20" s="58">
        <f t="shared" si="5"/>
        <v>5221442.1288557872</v>
      </c>
      <c r="Y20" s="58">
        <f t="shared" si="5"/>
        <v>5325522.8057239819</v>
      </c>
      <c r="Z20" s="58">
        <f t="shared" si="5"/>
        <v>5431685.0961295413</v>
      </c>
    </row>
    <row r="22" spans="2:26">
      <c r="B22" s="15" t="s">
        <v>615</v>
      </c>
      <c r="F22" s="16">
        <f>+F11*Assumptions!$P$95*F15</f>
        <v>0</v>
      </c>
      <c r="G22" s="16">
        <f>+G11*Assumptions!$P$95*G15</f>
        <v>0</v>
      </c>
      <c r="H22" s="16">
        <f>+H11*Assumptions!$P$95*H15</f>
        <v>0</v>
      </c>
      <c r="I22" s="16">
        <f>+I11*Assumptions!$P$95*I15</f>
        <v>986229.23761383526</v>
      </c>
      <c r="J22" s="16">
        <f>+J11*Assumptions!$P$95*J15</f>
        <v>2011907.6447322241</v>
      </c>
      <c r="K22" s="16">
        <f>+K11*Assumptions!$P$95*K15</f>
        <v>2052145.7976268686</v>
      </c>
      <c r="L22" s="16">
        <f>+L11*Assumptions!$P$95*L15</f>
        <v>2093188.713579406</v>
      </c>
      <c r="M22" s="16">
        <f>+M11*Assumptions!$P$95*M15</f>
        <v>2135052.4878509943</v>
      </c>
      <c r="N22" s="16">
        <f>+N11*Assumptions!$P$95*N15</f>
        <v>2177753.537608014</v>
      </c>
      <c r="O22" s="16">
        <f>+O11*Assumptions!$P$95*O15</f>
        <v>2221308.6083601746</v>
      </c>
      <c r="P22" s="16">
        <f>+P11*Assumptions!$P$95*P15</f>
        <v>2265734.780527378</v>
      </c>
      <c r="Q22" s="16">
        <f>+Q11*Assumptions!$P$95*Q15</f>
        <v>2311049.4761379254</v>
      </c>
      <c r="R22" s="16">
        <f>+R11*Assumptions!$P$95*R15</f>
        <v>2357270.4656606843</v>
      </c>
      <c r="S22" s="16">
        <f>+S11*Assumptions!$P$95*S15</f>
        <v>2404415.8749738974</v>
      </c>
      <c r="T22" s="16">
        <f>+T11*Assumptions!$P$95*T15</f>
        <v>2452504.1924733757</v>
      </c>
      <c r="U22" s="16">
        <f>+U11*Assumptions!$P$95*U15</f>
        <v>2501554.2763228435</v>
      </c>
      <c r="V22" s="16">
        <f>+V11*Assumptions!$P$95*V15</f>
        <v>2551585.3618493001</v>
      </c>
      <c r="W22" s="16">
        <f>+W11*Assumptions!$P$95*W15</f>
        <v>2602617.0690862867</v>
      </c>
      <c r="X22" s="16">
        <f>+X11*Assumptions!$P$95*X15</f>
        <v>2654669.4104680121</v>
      </c>
      <c r="Y22" s="16">
        <f>+Y11*Assumptions!$P$95*Y15</f>
        <v>2707762.7986773723</v>
      </c>
      <c r="Z22" s="16">
        <f>+Z11*Assumptions!$P$95*Z15</f>
        <v>2761918.05465092</v>
      </c>
    </row>
    <row r="23" spans="2:26">
      <c r="B23" s="15" t="s">
        <v>616</v>
      </c>
      <c r="I23" s="641">
        <v>0</v>
      </c>
      <c r="J23" s="641">
        <v>0</v>
      </c>
      <c r="K23" s="641">
        <v>0</v>
      </c>
      <c r="L23" s="641">
        <v>0</v>
      </c>
      <c r="M23" s="641">
        <v>0</v>
      </c>
      <c r="N23" s="641">
        <v>0</v>
      </c>
      <c r="O23" s="641">
        <v>0</v>
      </c>
      <c r="P23" s="641">
        <v>0</v>
      </c>
      <c r="Q23" s="641">
        <v>0</v>
      </c>
      <c r="R23" s="641">
        <v>0</v>
      </c>
      <c r="S23" s="641">
        <v>0</v>
      </c>
      <c r="T23" s="641">
        <v>0</v>
      </c>
      <c r="U23" s="641">
        <v>0</v>
      </c>
      <c r="V23" s="641">
        <v>0</v>
      </c>
      <c r="W23" s="641">
        <v>0</v>
      </c>
      <c r="X23" s="641">
        <v>0</v>
      </c>
      <c r="Y23" s="641">
        <v>0</v>
      </c>
      <c r="Z23" s="641">
        <v>0</v>
      </c>
    </row>
    <row r="24" spans="2:26">
      <c r="B24" s="62" t="s">
        <v>617</v>
      </c>
      <c r="C24" s="62"/>
      <c r="D24" s="62"/>
      <c r="E24" s="62"/>
      <c r="F24" s="58">
        <f t="shared" ref="F24:Z24" si="6">+SUM(F22:F23)</f>
        <v>0</v>
      </c>
      <c r="G24" s="58">
        <f t="shared" si="6"/>
        <v>0</v>
      </c>
      <c r="H24" s="58">
        <f t="shared" si="6"/>
        <v>0</v>
      </c>
      <c r="I24" s="58">
        <f t="shared" si="6"/>
        <v>986229.23761383526</v>
      </c>
      <c r="J24" s="58">
        <f t="shared" si="6"/>
        <v>2011907.6447322241</v>
      </c>
      <c r="K24" s="58">
        <f t="shared" si="6"/>
        <v>2052145.7976268686</v>
      </c>
      <c r="L24" s="58">
        <f t="shared" si="6"/>
        <v>2093188.713579406</v>
      </c>
      <c r="M24" s="58">
        <f t="shared" si="6"/>
        <v>2135052.4878509943</v>
      </c>
      <c r="N24" s="58">
        <f t="shared" si="6"/>
        <v>2177753.537608014</v>
      </c>
      <c r="O24" s="58">
        <f t="shared" si="6"/>
        <v>2221308.6083601746</v>
      </c>
      <c r="P24" s="58">
        <f t="shared" si="6"/>
        <v>2265734.780527378</v>
      </c>
      <c r="Q24" s="58">
        <f t="shared" si="6"/>
        <v>2311049.4761379254</v>
      </c>
      <c r="R24" s="58">
        <f t="shared" si="6"/>
        <v>2357270.4656606843</v>
      </c>
      <c r="S24" s="58">
        <f t="shared" si="6"/>
        <v>2404415.8749738974</v>
      </c>
      <c r="T24" s="58">
        <f t="shared" si="6"/>
        <v>2452504.1924733757</v>
      </c>
      <c r="U24" s="58">
        <f t="shared" si="6"/>
        <v>2501554.2763228435</v>
      </c>
      <c r="V24" s="58">
        <f t="shared" si="6"/>
        <v>2551585.3618493001</v>
      </c>
      <c r="W24" s="58">
        <f t="shared" si="6"/>
        <v>2602617.0690862867</v>
      </c>
      <c r="X24" s="58">
        <f t="shared" si="6"/>
        <v>2654669.4104680121</v>
      </c>
      <c r="Y24" s="58">
        <f t="shared" si="6"/>
        <v>2707762.7986773723</v>
      </c>
      <c r="Z24" s="58">
        <f t="shared" si="6"/>
        <v>2761918.05465092</v>
      </c>
    </row>
    <row r="25" spans="2:26">
      <c r="B25" s="15"/>
    </row>
    <row r="26" spans="2:26" ht="15.75">
      <c r="B26" s="687" t="s">
        <v>618</v>
      </c>
      <c r="C26" s="687"/>
      <c r="D26" s="687"/>
      <c r="E26" s="687"/>
      <c r="F26" s="550">
        <f t="shared" ref="F26:Z26" si="7">+F20-F24</f>
        <v>0</v>
      </c>
      <c r="G26" s="550">
        <f t="shared" si="7"/>
        <v>0</v>
      </c>
      <c r="H26" s="550">
        <f t="shared" si="7"/>
        <v>0</v>
      </c>
      <c r="I26" s="550">
        <f t="shared" si="7"/>
        <v>955811.80561529135</v>
      </c>
      <c r="J26" s="550">
        <f t="shared" si="7"/>
        <v>1949507.9177462731</v>
      </c>
      <c r="K26" s="550">
        <f t="shared" si="7"/>
        <v>1988149.9103922776</v>
      </c>
      <c r="L26" s="550">
        <f t="shared" si="7"/>
        <v>2027564.7428912017</v>
      </c>
      <c r="M26" s="550">
        <f t="shared" si="7"/>
        <v>2067767.8720401037</v>
      </c>
      <c r="N26" s="550">
        <f t="shared" si="7"/>
        <v>2108775.0637719859</v>
      </c>
      <c r="O26" s="550">
        <f t="shared" si="7"/>
        <v>2150602.3993385038</v>
      </c>
      <c r="P26" s="550">
        <f t="shared" si="7"/>
        <v>2193266.281616352</v>
      </c>
      <c r="Q26" s="550">
        <f t="shared" si="7"/>
        <v>2236783.4415397584</v>
      </c>
      <c r="R26" s="550">
        <f t="shared" si="7"/>
        <v>2281170.9446616326</v>
      </c>
      <c r="S26" s="550">
        <f t="shared" si="7"/>
        <v>2326446.1978459437</v>
      </c>
      <c r="T26" s="550">
        <f t="shared" si="7"/>
        <v>2372626.9560939413</v>
      </c>
      <c r="U26" s="550">
        <f t="shared" si="7"/>
        <v>2419731.3295068992</v>
      </c>
      <c r="V26" s="550">
        <f t="shared" si="7"/>
        <v>2467777.7903881152</v>
      </c>
      <c r="W26" s="550">
        <f t="shared" si="7"/>
        <v>2516785.1804869561</v>
      </c>
      <c r="X26" s="550">
        <f t="shared" si="7"/>
        <v>2566772.7183877751</v>
      </c>
      <c r="Y26" s="550">
        <f t="shared" si="7"/>
        <v>2617760.0070466097</v>
      </c>
      <c r="Z26" s="550">
        <f t="shared" si="7"/>
        <v>2669767.0414786213</v>
      </c>
    </row>
    <row r="27" spans="2:26" ht="15.75">
      <c r="B27" s="688" t="s">
        <v>619</v>
      </c>
      <c r="C27" s="689"/>
      <c r="D27" s="689"/>
      <c r="E27" s="689"/>
      <c r="F27" s="690" t="str">
        <f t="shared" ref="F27:H27" si="8">+IFERROR(F26/F20,"")</f>
        <v/>
      </c>
      <c r="G27" s="690" t="str">
        <f t="shared" si="8"/>
        <v/>
      </c>
      <c r="H27" s="690" t="str">
        <f t="shared" si="8"/>
        <v/>
      </c>
      <c r="I27" s="691">
        <f t="shared" ref="I27:Z27" si="9">+IFERROR(I26/I20,"")</f>
        <v>0.49216869486239917</v>
      </c>
      <c r="J27" s="691">
        <f t="shared" si="9"/>
        <v>0.49212406196701691</v>
      </c>
      <c r="K27" s="691">
        <f t="shared" si="9"/>
        <v>0.49208029660953129</v>
      </c>
      <c r="L27" s="691">
        <f t="shared" si="9"/>
        <v>0.49203738207327613</v>
      </c>
      <c r="M27" s="691">
        <f t="shared" si="9"/>
        <v>0.49199530195806013</v>
      </c>
      <c r="N27" s="691">
        <f t="shared" si="9"/>
        <v>0.49195404017439415</v>
      </c>
      <c r="O27" s="691">
        <f t="shared" si="9"/>
        <v>0.49191358093781401</v>
      </c>
      <c r="P27" s="691">
        <f t="shared" si="9"/>
        <v>0.49187390876330206</v>
      </c>
      <c r="Q27" s="691">
        <f t="shared" si="9"/>
        <v>0.49183500845979955</v>
      </c>
      <c r="R27" s="691">
        <f t="shared" si="9"/>
        <v>0.49179686512481319</v>
      </c>
      <c r="S27" s="691">
        <f t="shared" si="9"/>
        <v>0.49175946413911414</v>
      </c>
      <c r="T27" s="691">
        <f t="shared" si="9"/>
        <v>0.49172279116152606</v>
      </c>
      <c r="U27" s="691">
        <f t="shared" si="9"/>
        <v>0.49168683212380349</v>
      </c>
      <c r="V27" s="691">
        <f t="shared" si="9"/>
        <v>0.49165157322559666</v>
      </c>
      <c r="W27" s="691">
        <f t="shared" si="9"/>
        <v>0.49161700092950444</v>
      </c>
      <c r="X27" s="691">
        <f t="shared" si="9"/>
        <v>0.49158310195621202</v>
      </c>
      <c r="Y27" s="691">
        <f t="shared" si="9"/>
        <v>0.49154986327971162</v>
      </c>
      <c r="Z27" s="691">
        <f t="shared" si="9"/>
        <v>0.4915172721226086</v>
      </c>
    </row>
    <row r="28" spans="2:26" ht="15.75">
      <c r="B28" s="688" t="s">
        <v>568</v>
      </c>
      <c r="C28" s="689"/>
      <c r="D28" s="689"/>
      <c r="E28" s="689"/>
      <c r="F28" s="692">
        <f>+F26/Assumptions!$P$128</f>
        <v>0</v>
      </c>
      <c r="G28" s="692">
        <f>+G26/Assumptions!$P$128</f>
        <v>0</v>
      </c>
      <c r="H28" s="692">
        <f>+H26/Assumptions!$P$128</f>
        <v>0</v>
      </c>
      <c r="I28" s="692">
        <f>+I26/Assumptions!$P$128</f>
        <v>16622814.010700718</v>
      </c>
      <c r="J28" s="692">
        <f>+J26/Assumptions!$P$128</f>
        <v>33904485.526022136</v>
      </c>
      <c r="K28" s="692">
        <f>+K26/Assumptions!$P$128</f>
        <v>34576520.18073526</v>
      </c>
      <c r="L28" s="692">
        <f>+L26/Assumptions!$P$128</f>
        <v>35261995.528542638</v>
      </c>
      <c r="M28" s="692">
        <f>+M26/Assumptions!$P$128</f>
        <v>35961180.383306146</v>
      </c>
      <c r="N28" s="692">
        <f>+N26/Assumptions!$P$128</f>
        <v>36674348.935164973</v>
      </c>
      <c r="O28" s="692">
        <f>+O26/Assumptions!$P$128</f>
        <v>37401780.858060934</v>
      </c>
      <c r="P28" s="692">
        <f>+P26/Assumptions!$P$128</f>
        <v>38143761.419414818</v>
      </c>
      <c r="Q28" s="692">
        <f>+Q26/Assumptions!$P$128</f>
        <v>38900581.591995798</v>
      </c>
      <c r="R28" s="692">
        <f>+R26/Assumptions!$P$128</f>
        <v>39672538.168028392</v>
      </c>
      <c r="S28" s="692">
        <f>+S26/Assumptions!$P$128</f>
        <v>40459933.87558163</v>
      </c>
      <c r="T28" s="692">
        <f>+T26/Assumptions!$P$128</f>
        <v>41263077.497285932</v>
      </c>
      <c r="U28" s="692">
        <f>+U26/Assumptions!$P$128</f>
        <v>42082283.99142433</v>
      </c>
      <c r="V28" s="692">
        <f>+V26/Assumptions!$P$128</f>
        <v>42917874.61544548</v>
      </c>
      <c r="W28" s="692">
        <f>+W26/Assumptions!$P$128</f>
        <v>43770177.051947065</v>
      </c>
      <c r="X28" s="692">
        <f>+X26/Assumptions!$P$128</f>
        <v>44639525.537178695</v>
      </c>
      <c r="Y28" s="692">
        <f>+Y26/Assumptions!$P$128</f>
        <v>45526260.992114946</v>
      </c>
      <c r="Z28" s="692">
        <f>+Z26/Assumptions!$P$128</f>
        <v>46430731.156149931</v>
      </c>
    </row>
    <row r="30" spans="2:26" ht="15.75">
      <c r="B30" s="73" t="s">
        <v>620</v>
      </c>
      <c r="C30" s="74"/>
      <c r="D30" s="74"/>
      <c r="E30" s="74"/>
      <c r="F30" s="75">
        <f>+Assumptions!$H$22</f>
        <v>45657</v>
      </c>
      <c r="G30" s="75">
        <f>+EOMONTH(F30,12)</f>
        <v>46022</v>
      </c>
      <c r="H30" s="75">
        <f t="shared" ref="H30:Z30" si="10">+EOMONTH(G30,12)</f>
        <v>46387</v>
      </c>
      <c r="I30" s="75">
        <f t="shared" si="10"/>
        <v>46752</v>
      </c>
      <c r="J30" s="75">
        <f t="shared" si="10"/>
        <v>47118</v>
      </c>
      <c r="K30" s="75">
        <f t="shared" si="10"/>
        <v>47483</v>
      </c>
      <c r="L30" s="75">
        <f t="shared" si="10"/>
        <v>47848</v>
      </c>
      <c r="M30" s="75">
        <f t="shared" si="10"/>
        <v>48213</v>
      </c>
      <c r="N30" s="75">
        <f t="shared" si="10"/>
        <v>48579</v>
      </c>
      <c r="O30" s="75">
        <f t="shared" si="10"/>
        <v>48944</v>
      </c>
      <c r="P30" s="75">
        <f t="shared" si="10"/>
        <v>49309</v>
      </c>
      <c r="Q30" s="75">
        <f t="shared" si="10"/>
        <v>49674</v>
      </c>
      <c r="R30" s="75">
        <f t="shared" si="10"/>
        <v>50040</v>
      </c>
      <c r="S30" s="75">
        <f t="shared" si="10"/>
        <v>50405</v>
      </c>
      <c r="T30" s="75">
        <f t="shared" si="10"/>
        <v>50770</v>
      </c>
      <c r="U30" s="75">
        <f t="shared" si="10"/>
        <v>51135</v>
      </c>
      <c r="V30" s="75">
        <f t="shared" si="10"/>
        <v>51501</v>
      </c>
      <c r="W30" s="75">
        <f t="shared" si="10"/>
        <v>51866</v>
      </c>
      <c r="X30" s="75">
        <f t="shared" si="10"/>
        <v>52231</v>
      </c>
      <c r="Y30" s="75">
        <f t="shared" si="10"/>
        <v>52596</v>
      </c>
      <c r="Z30" s="75">
        <f t="shared" si="10"/>
        <v>52962</v>
      </c>
    </row>
    <row r="31" spans="2:26">
      <c r="B31" s="15" t="s">
        <v>605</v>
      </c>
      <c r="C31" s="15"/>
      <c r="D31" s="20"/>
      <c r="E31" s="20"/>
      <c r="F31" s="22">
        <f>+IF(AND(F30&gt;=Assumptions!$H$26,F30&lt;Assumptions!$H$28),Assumptions!$H$83/ROUNDUP((Assumptions!$H$27/12),0),0)</f>
        <v>0</v>
      </c>
      <c r="G31" s="22">
        <f>+IF(AND(G30&gt;=Assumptions!$H$26,G30&lt;Assumptions!$H$28),Assumptions!$H$83/ROUNDUP((Assumptions!$H$27/12),0),0)</f>
        <v>0</v>
      </c>
      <c r="H31" s="22">
        <f>+IF(AND(H30&gt;=Assumptions!$H$26,H30&lt;Assumptions!$H$28),Assumptions!$H$83/ROUNDUP((Assumptions!$H$27/12),0),0)</f>
        <v>0</v>
      </c>
      <c r="I31" s="22">
        <f>+IF(AND(I30&gt;=Assumptions!$H$26,I30&lt;Assumptions!$H$28),Assumptions!$H$83/ROUNDUP((Assumptions!$H$27/12),0),0)</f>
        <v>155822.91289778787</v>
      </c>
      <c r="J31" s="22">
        <f>+IF(AND(J30&gt;=Assumptions!$H$26,J30&lt;Assumptions!$H$28),Assumptions!$H$83/ROUNDUP((Assumptions!$H$27/12),0),0)</f>
        <v>155822.91289778787</v>
      </c>
      <c r="K31" s="22">
        <f>+IF(AND(K30&gt;=Assumptions!$H$26,K30&lt;Assumptions!$H$28),Assumptions!$H$83/ROUNDUP((Assumptions!$H$27/12),0),0)</f>
        <v>0</v>
      </c>
      <c r="L31" s="22">
        <f>+IF(AND(L30&gt;=Assumptions!$H$26,L30&lt;Assumptions!$H$28),Assumptions!$H$83/ROUNDUP((Assumptions!$H$27/12),0),0)</f>
        <v>0</v>
      </c>
      <c r="M31" s="22">
        <f>+IF(AND(M30&gt;=Assumptions!$H$26,M30&lt;Assumptions!$H$28),Assumptions!$H$83/ROUNDUP((Assumptions!$H$27/12),0),0)</f>
        <v>0</v>
      </c>
      <c r="N31" s="22">
        <f>+IF(AND(N30&gt;=Assumptions!$H$26,N30&lt;Assumptions!$H$28),Assumptions!$H$83/ROUNDUP((Assumptions!$H$27/12),0),0)</f>
        <v>0</v>
      </c>
      <c r="O31" s="22">
        <f>+IF(AND(O30&gt;=Assumptions!$H$26,O30&lt;Assumptions!$H$28),Assumptions!$H$83/ROUNDUP((Assumptions!$H$27/12),0),0)</f>
        <v>0</v>
      </c>
      <c r="P31" s="22">
        <f>+IF(AND(P30&gt;=Assumptions!$H$26,P30&lt;Assumptions!$H$28),Assumptions!$H$83/ROUNDUP((Assumptions!$H$27/12),0),0)</f>
        <v>0</v>
      </c>
      <c r="Q31" s="22">
        <f>+IF(AND(Q30&gt;=Assumptions!$H$26,Q30&lt;Assumptions!$H$28),Assumptions!$H$83/ROUNDUP((Assumptions!$H$27/12),0),0)</f>
        <v>0</v>
      </c>
      <c r="R31" s="22">
        <f>+IF(AND(R30&gt;=Assumptions!$H$26,R30&lt;Assumptions!$H$28),Assumptions!$H$83/ROUNDUP((Assumptions!$H$27/12),0),0)</f>
        <v>0</v>
      </c>
      <c r="S31" s="22">
        <f>+IF(AND(S30&gt;=Assumptions!$H$26,S30&lt;Assumptions!$H$28),Assumptions!$H$83/ROUNDUP((Assumptions!$H$27/12),0),0)</f>
        <v>0</v>
      </c>
      <c r="T31" s="22">
        <f>+IF(AND(T30&gt;=Assumptions!$H$26,T30&lt;Assumptions!$H$28),Assumptions!$H$83/ROUNDUP((Assumptions!$H$27/12),0),0)</f>
        <v>0</v>
      </c>
      <c r="U31" s="22">
        <f>+IF(AND(U30&gt;=Assumptions!$H$26,U30&lt;Assumptions!$H$28),Assumptions!$H$83/ROUNDUP((Assumptions!$H$27/12),0),0)</f>
        <v>0</v>
      </c>
      <c r="V31" s="22">
        <f>+IF(AND(V30&gt;=Assumptions!$H$26,V30&lt;Assumptions!$H$28),Assumptions!$H$83/ROUNDUP((Assumptions!$H$27/12),0),0)</f>
        <v>0</v>
      </c>
      <c r="W31" s="22">
        <f>+IF(AND(W30&gt;=Assumptions!$H$26,W30&lt;Assumptions!$H$28),Assumptions!$H$83/ROUNDUP((Assumptions!$H$27/12),0),0)</f>
        <v>0</v>
      </c>
      <c r="X31" s="22">
        <f>+IF(AND(X30&gt;=Assumptions!$H$26,X30&lt;Assumptions!$H$28),Assumptions!$H$83/ROUNDUP((Assumptions!$H$27/12),0),0)</f>
        <v>0</v>
      </c>
      <c r="Y31" s="22">
        <f>+IF(AND(Y30&gt;=Assumptions!$H$26,Y30&lt;Assumptions!$H$28),Assumptions!$H$83/ROUNDUP((Assumptions!$H$27/12),0),0)</f>
        <v>0</v>
      </c>
      <c r="Z31" s="22">
        <f>+IF(AND(Z30&gt;=Assumptions!$H$26,Z30&lt;Assumptions!$H$28),Assumptions!$H$83/ROUNDUP((Assumptions!$H$27/12),0),0)</f>
        <v>0</v>
      </c>
    </row>
    <row r="32" spans="2:26">
      <c r="B32" s="15" t="s">
        <v>606</v>
      </c>
      <c r="C32" s="15"/>
      <c r="D32" s="22">
        <v>0</v>
      </c>
      <c r="E32" s="22"/>
      <c r="F32" s="22">
        <f>+D32+F31</f>
        <v>0</v>
      </c>
      <c r="G32" s="22">
        <f t="shared" ref="G32:Z32" si="11">+F32+G31</f>
        <v>0</v>
      </c>
      <c r="H32" s="22">
        <f t="shared" si="11"/>
        <v>0</v>
      </c>
      <c r="I32" s="22">
        <f t="shared" si="11"/>
        <v>155822.91289778787</v>
      </c>
      <c r="J32" s="22">
        <f t="shared" si="11"/>
        <v>311645.82579557574</v>
      </c>
      <c r="K32" s="22">
        <f t="shared" si="11"/>
        <v>311645.82579557574</v>
      </c>
      <c r="L32" s="22">
        <f t="shared" si="11"/>
        <v>311645.82579557574</v>
      </c>
      <c r="M32" s="22">
        <f t="shared" si="11"/>
        <v>311645.82579557574</v>
      </c>
      <c r="N32" s="22">
        <f t="shared" si="11"/>
        <v>311645.82579557574</v>
      </c>
      <c r="O32" s="22">
        <f t="shared" si="11"/>
        <v>311645.82579557574</v>
      </c>
      <c r="P32" s="22">
        <f t="shared" si="11"/>
        <v>311645.82579557574</v>
      </c>
      <c r="Q32" s="22">
        <f t="shared" si="11"/>
        <v>311645.82579557574</v>
      </c>
      <c r="R32" s="22">
        <f t="shared" si="11"/>
        <v>311645.82579557574</v>
      </c>
      <c r="S32" s="22">
        <f t="shared" si="11"/>
        <v>311645.82579557574</v>
      </c>
      <c r="T32" s="22">
        <f t="shared" si="11"/>
        <v>311645.82579557574</v>
      </c>
      <c r="U32" s="22">
        <f t="shared" si="11"/>
        <v>311645.82579557574</v>
      </c>
      <c r="V32" s="22">
        <f t="shared" si="11"/>
        <v>311645.82579557574</v>
      </c>
      <c r="W32" s="22">
        <f t="shared" si="11"/>
        <v>311645.82579557574</v>
      </c>
      <c r="X32" s="22">
        <f t="shared" si="11"/>
        <v>311645.82579557574</v>
      </c>
      <c r="Y32" s="22">
        <f t="shared" si="11"/>
        <v>311645.82579557574</v>
      </c>
      <c r="Z32" s="22">
        <f t="shared" si="11"/>
        <v>311645.82579557574</v>
      </c>
    </row>
    <row r="33" spans="1:26">
      <c r="B33" s="15" t="s">
        <v>607</v>
      </c>
      <c r="C33" s="15"/>
      <c r="D33" s="22"/>
      <c r="E33" s="22"/>
      <c r="F33" s="22">
        <f>+F34-E34</f>
        <v>0</v>
      </c>
      <c r="G33" s="22">
        <f t="shared" ref="G33:Z33" si="12">+G34-F34</f>
        <v>0</v>
      </c>
      <c r="H33" s="22">
        <f t="shared" si="12"/>
        <v>0</v>
      </c>
      <c r="I33" s="22">
        <f t="shared" si="12"/>
        <v>222.04445722018048</v>
      </c>
      <c r="J33" s="22">
        <f t="shared" si="12"/>
        <v>222.04445722018048</v>
      </c>
      <c r="K33" s="22">
        <f t="shared" si="12"/>
        <v>0</v>
      </c>
      <c r="L33" s="22">
        <f t="shared" si="12"/>
        <v>0</v>
      </c>
      <c r="M33" s="22">
        <f t="shared" si="12"/>
        <v>0</v>
      </c>
      <c r="N33" s="22">
        <f t="shared" si="12"/>
        <v>0</v>
      </c>
      <c r="O33" s="22">
        <f t="shared" si="12"/>
        <v>0</v>
      </c>
      <c r="P33" s="22">
        <f t="shared" si="12"/>
        <v>0</v>
      </c>
      <c r="Q33" s="22">
        <f t="shared" si="12"/>
        <v>0</v>
      </c>
      <c r="R33" s="22">
        <f t="shared" si="12"/>
        <v>0</v>
      </c>
      <c r="S33" s="22">
        <f t="shared" si="12"/>
        <v>0</v>
      </c>
      <c r="T33" s="22">
        <f t="shared" si="12"/>
        <v>0</v>
      </c>
      <c r="U33" s="22">
        <f t="shared" si="12"/>
        <v>0</v>
      </c>
      <c r="V33" s="22">
        <f t="shared" si="12"/>
        <v>0</v>
      </c>
      <c r="W33" s="22">
        <f t="shared" si="12"/>
        <v>0</v>
      </c>
      <c r="X33" s="22">
        <f t="shared" si="12"/>
        <v>0</v>
      </c>
      <c r="Y33" s="22">
        <f t="shared" si="12"/>
        <v>0</v>
      </c>
      <c r="Z33" s="22">
        <f t="shared" si="12"/>
        <v>0</v>
      </c>
    </row>
    <row r="34" spans="1:26">
      <c r="B34" s="15" t="s">
        <v>608</v>
      </c>
      <c r="C34" s="15"/>
      <c r="D34" s="22"/>
      <c r="E34" s="22"/>
      <c r="F34" s="22">
        <f>+F35*Assumptions!$H$84</f>
        <v>0</v>
      </c>
      <c r="G34" s="22">
        <f>+G35*Assumptions!$H$84</f>
        <v>0</v>
      </c>
      <c r="H34" s="22">
        <f>+H35*Assumptions!$H$84</f>
        <v>0</v>
      </c>
      <c r="I34" s="22">
        <f>+I35*Assumptions!$H$84</f>
        <v>222.04445722018048</v>
      </c>
      <c r="J34" s="22">
        <f>+J35*Assumptions!$H$84</f>
        <v>444.08891444036095</v>
      </c>
      <c r="K34" s="22">
        <f>+K35*Assumptions!$H$84</f>
        <v>444.08891444036095</v>
      </c>
      <c r="L34" s="22">
        <f>+L35*Assumptions!$H$84</f>
        <v>444.08891444036095</v>
      </c>
      <c r="M34" s="22">
        <f>+M35*Assumptions!$H$84</f>
        <v>444.08891444036095</v>
      </c>
      <c r="N34" s="22">
        <f>+N35*Assumptions!$H$84</f>
        <v>444.08891444036095</v>
      </c>
      <c r="O34" s="22">
        <f>+O35*Assumptions!$H$84</f>
        <v>444.08891444036095</v>
      </c>
      <c r="P34" s="22">
        <f>+P35*Assumptions!$H$84</f>
        <v>444.08891444036095</v>
      </c>
      <c r="Q34" s="22">
        <f>+Q35*Assumptions!$H$84</f>
        <v>444.08891444036095</v>
      </c>
      <c r="R34" s="22">
        <f>+R35*Assumptions!$H$84</f>
        <v>444.08891444036095</v>
      </c>
      <c r="S34" s="22">
        <f>+S35*Assumptions!$H$84</f>
        <v>444.08891444036095</v>
      </c>
      <c r="T34" s="22">
        <f>+T35*Assumptions!$H$84</f>
        <v>444.08891444036095</v>
      </c>
      <c r="U34" s="22">
        <f>+U35*Assumptions!$H$84</f>
        <v>444.08891444036095</v>
      </c>
      <c r="V34" s="22">
        <f>+V35*Assumptions!$H$84</f>
        <v>444.08891444036095</v>
      </c>
      <c r="W34" s="22">
        <f>+W35*Assumptions!$H$84</f>
        <v>444.08891444036095</v>
      </c>
      <c r="X34" s="22">
        <f>+X35*Assumptions!$H$84</f>
        <v>444.08891444036095</v>
      </c>
      <c r="Y34" s="22">
        <f>+Y35*Assumptions!$H$84</f>
        <v>444.08891444036095</v>
      </c>
      <c r="Z34" s="22">
        <f>+Z35*Assumptions!$H$84</f>
        <v>444.08891444036095</v>
      </c>
    </row>
    <row r="35" spans="1:26">
      <c r="B35" s="15" t="s">
        <v>609</v>
      </c>
      <c r="C35" s="15"/>
      <c r="D35" s="22"/>
      <c r="E35" s="22"/>
      <c r="F35" s="49">
        <f>+F32/SUM($F31:$Z31)</f>
        <v>0</v>
      </c>
      <c r="G35" s="49">
        <f t="shared" ref="G35:Z35" si="13">+G32/SUM($F31:$Z31)</f>
        <v>0</v>
      </c>
      <c r="H35" s="49">
        <f t="shared" si="13"/>
        <v>0</v>
      </c>
      <c r="I35" s="49">
        <f t="shared" si="13"/>
        <v>0.5</v>
      </c>
      <c r="J35" s="49">
        <f t="shared" si="13"/>
        <v>1</v>
      </c>
      <c r="K35" s="49">
        <f t="shared" si="13"/>
        <v>1</v>
      </c>
      <c r="L35" s="49">
        <f t="shared" si="13"/>
        <v>1</v>
      </c>
      <c r="M35" s="49">
        <f t="shared" si="13"/>
        <v>1</v>
      </c>
      <c r="N35" s="49">
        <f t="shared" si="13"/>
        <v>1</v>
      </c>
      <c r="O35" s="49">
        <f t="shared" si="13"/>
        <v>1</v>
      </c>
      <c r="P35" s="49">
        <f t="shared" si="13"/>
        <v>1</v>
      </c>
      <c r="Q35" s="49">
        <f t="shared" si="13"/>
        <v>1</v>
      </c>
      <c r="R35" s="49">
        <f t="shared" si="13"/>
        <v>1</v>
      </c>
      <c r="S35" s="49">
        <f t="shared" si="13"/>
        <v>1</v>
      </c>
      <c r="T35" s="49">
        <f t="shared" si="13"/>
        <v>1</v>
      </c>
      <c r="U35" s="49">
        <f t="shared" si="13"/>
        <v>1</v>
      </c>
      <c r="V35" s="49">
        <f t="shared" si="13"/>
        <v>1</v>
      </c>
      <c r="W35" s="49">
        <f t="shared" si="13"/>
        <v>1</v>
      </c>
      <c r="X35" s="49">
        <f t="shared" si="13"/>
        <v>1</v>
      </c>
      <c r="Y35" s="49">
        <f t="shared" si="13"/>
        <v>1</v>
      </c>
      <c r="Z35" s="49">
        <f t="shared" si="13"/>
        <v>1</v>
      </c>
    </row>
    <row r="36" spans="1:26">
      <c r="B36" s="15"/>
      <c r="C36" s="15"/>
      <c r="D36" s="20"/>
      <c r="E36" s="20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</row>
    <row r="37" spans="1:26">
      <c r="B37" s="15" t="s">
        <v>610</v>
      </c>
      <c r="C37" s="15"/>
      <c r="D37" s="22"/>
      <c r="E37" s="22"/>
      <c r="F37" s="49">
        <v>1</v>
      </c>
      <c r="G37" s="49">
        <f>+F37*(1+Assumptions!$P$64)</f>
        <v>1.03</v>
      </c>
      <c r="H37" s="49">
        <f>+G37*(1+Assumptions!$P$64)</f>
        <v>1.0609</v>
      </c>
      <c r="I37" s="49">
        <f>+H37*(1+Assumptions!$P$64)</f>
        <v>1.092727</v>
      </c>
      <c r="J37" s="49">
        <f>+I37*(1+Assumptions!$P$64)</f>
        <v>1.1255088100000001</v>
      </c>
      <c r="K37" s="49">
        <f>+J37*(1+Assumptions!$P$64)</f>
        <v>1.1592740743000001</v>
      </c>
      <c r="L37" s="49">
        <f>+K37*(1+Assumptions!$P$64)</f>
        <v>1.1940522965290001</v>
      </c>
      <c r="M37" s="49">
        <f>+L37*(1+Assumptions!$P$64)</f>
        <v>1.2298738654248702</v>
      </c>
      <c r="N37" s="49">
        <f>+M37*(1+Assumptions!$P$64)</f>
        <v>1.2667700813876164</v>
      </c>
      <c r="O37" s="49">
        <f>+N37*(1+Assumptions!$P$64)</f>
        <v>1.3047731838292449</v>
      </c>
      <c r="P37" s="49">
        <f>+O37*(1+Assumptions!$P$64)</f>
        <v>1.3439163793441222</v>
      </c>
      <c r="Q37" s="49">
        <f>+P37*(1+Assumptions!$P$64)</f>
        <v>1.3842338707244459</v>
      </c>
      <c r="R37" s="49">
        <f>+Q37*(1+Assumptions!$P$64)</f>
        <v>1.4257608868461793</v>
      </c>
      <c r="S37" s="49">
        <f>+R37*(1+Assumptions!$P$64)</f>
        <v>1.4685337134515648</v>
      </c>
      <c r="T37" s="49">
        <f>+S37*(1+Assumptions!$P$64)</f>
        <v>1.5125897248551119</v>
      </c>
      <c r="U37" s="49">
        <f>+T37*(1+Assumptions!$P$64)</f>
        <v>1.5579674166007653</v>
      </c>
      <c r="V37" s="49">
        <f>+U37*(1+Assumptions!$P$64)</f>
        <v>1.6047064390987884</v>
      </c>
      <c r="W37" s="49">
        <f>+V37*(1+Assumptions!$P$64)</f>
        <v>1.652847632271752</v>
      </c>
      <c r="X37" s="49">
        <f>+W37*(1+Assumptions!$P$64)</f>
        <v>1.7024330612399046</v>
      </c>
      <c r="Y37" s="49">
        <f>+X37*(1+Assumptions!$P$64)</f>
        <v>1.7535060530771018</v>
      </c>
      <c r="Z37" s="49">
        <f>+Y37*(1+Assumptions!$P$64)</f>
        <v>1.806111234669415</v>
      </c>
    </row>
    <row r="38" spans="1:26">
      <c r="B38" s="15" t="s">
        <v>611</v>
      </c>
      <c r="C38" s="15"/>
      <c r="D38" s="22"/>
      <c r="E38" s="22"/>
      <c r="F38" s="49">
        <v>1</v>
      </c>
      <c r="G38" s="49">
        <f>+F38*(1+Assumptions!$P$77)</f>
        <v>1.02</v>
      </c>
      <c r="H38" s="49">
        <f>+G38*(1+Assumptions!$P$77)</f>
        <v>1.0404</v>
      </c>
      <c r="I38" s="49">
        <f>+H38*(1+Assumptions!$P$77)</f>
        <v>1.0612079999999999</v>
      </c>
      <c r="J38" s="49">
        <f>+I38*(1+Assumptions!$P$77)</f>
        <v>1.08243216</v>
      </c>
      <c r="K38" s="49">
        <f>+J38*(1+Assumptions!$P$77)</f>
        <v>1.1040808032</v>
      </c>
      <c r="L38" s="49">
        <f>+K38*(1+Assumptions!$P$77)</f>
        <v>1.1261624192640001</v>
      </c>
      <c r="M38" s="49">
        <f>+L38*(1+Assumptions!$P$77)</f>
        <v>1.14868566764928</v>
      </c>
      <c r="N38" s="49">
        <f>+M38*(1+Assumptions!$P$77)</f>
        <v>1.1716593810022657</v>
      </c>
      <c r="O38" s="49">
        <f>+N38*(1+Assumptions!$P$77)</f>
        <v>1.1950925686223111</v>
      </c>
      <c r="P38" s="49">
        <f>+O38*(1+Assumptions!$P$77)</f>
        <v>1.2189944199947573</v>
      </c>
      <c r="Q38" s="49">
        <f>+P38*(1+Assumptions!$P$77)</f>
        <v>1.2433743083946525</v>
      </c>
      <c r="R38" s="49">
        <f>+Q38*(1+Assumptions!$P$77)</f>
        <v>1.2682417945625455</v>
      </c>
      <c r="S38" s="49">
        <f>+R38*(1+Assumptions!$P$77)</f>
        <v>1.2936066304537963</v>
      </c>
      <c r="T38" s="49">
        <f>+S38*(1+Assumptions!$P$77)</f>
        <v>1.3194787630628724</v>
      </c>
      <c r="U38" s="49">
        <f>+T38*(1+Assumptions!$P$77)</f>
        <v>1.3458683383241299</v>
      </c>
      <c r="V38" s="49">
        <f>+U38*(1+Assumptions!$P$77)</f>
        <v>1.3727857050906125</v>
      </c>
      <c r="W38" s="49">
        <f>+V38*(1+Assumptions!$P$77)</f>
        <v>1.4002414191924248</v>
      </c>
      <c r="X38" s="49">
        <f>+W38*(1+Assumptions!$P$77)</f>
        <v>1.4282462475762734</v>
      </c>
      <c r="Y38" s="49">
        <f>+X38*(1+Assumptions!$P$77)</f>
        <v>1.4568111725277988</v>
      </c>
      <c r="Z38" s="49">
        <f>+Y38*(1+Assumptions!$P$77)</f>
        <v>1.4859473959783549</v>
      </c>
    </row>
    <row r="39" spans="1:26">
      <c r="B39" s="15"/>
      <c r="C39" s="15"/>
      <c r="D39" s="20"/>
      <c r="E39" s="20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</row>
    <row r="40" spans="1:26">
      <c r="B40" s="15" t="s">
        <v>612</v>
      </c>
      <c r="C40" s="15"/>
      <c r="D40" s="20"/>
      <c r="E40" s="20"/>
      <c r="F40" s="16">
        <f>+F35*Assumptions!$H$82*F37</f>
        <v>0</v>
      </c>
      <c r="G40" s="16">
        <f>+G35*Assumptions!$H$82*G37</f>
        <v>0</v>
      </c>
      <c r="H40" s="16">
        <f>+H35*Assumptions!$H$82*H37</f>
        <v>0</v>
      </c>
      <c r="I40" s="16">
        <f>+I35*Assumptions!$H$82*I37</f>
        <v>6432663.457461278</v>
      </c>
      <c r="J40" s="16">
        <f>+J35*Assumptions!$H$82*J37</f>
        <v>13251286.722370235</v>
      </c>
      <c r="K40" s="16">
        <f>+K35*Assumptions!$H$82*K37</f>
        <v>13648825.324041341</v>
      </c>
      <c r="L40" s="16">
        <f>+L35*Assumptions!$H$82*L37</f>
        <v>14058290.083762582</v>
      </c>
      <c r="M40" s="16">
        <f>+M35*Assumptions!$H$82*M37</f>
        <v>14480038.786275459</v>
      </c>
      <c r="N40" s="16">
        <f>+N35*Assumptions!$H$82*N37</f>
        <v>14914439.949863724</v>
      </c>
      <c r="O40" s="16">
        <f>+O35*Assumptions!$H$82*O37</f>
        <v>15361873.148359638</v>
      </c>
      <c r="P40" s="16">
        <f>+P35*Assumptions!$H$82*P37</f>
        <v>15822729.342810426</v>
      </c>
      <c r="Q40" s="16">
        <f>+Q35*Assumptions!$H$82*Q37</f>
        <v>16297411.223094739</v>
      </c>
      <c r="R40" s="16">
        <f>+R35*Assumptions!$H$82*R37</f>
        <v>16786333.559787583</v>
      </c>
      <c r="S40" s="16">
        <f>+S35*Assumptions!$H$82*S37</f>
        <v>17289923.566581208</v>
      </c>
      <c r="T40" s="16">
        <f>+T35*Assumptions!$H$82*T37</f>
        <v>17808621.273578648</v>
      </c>
      <c r="U40" s="16">
        <f>+U35*Assumptions!$H$82*U37</f>
        <v>18342879.911786009</v>
      </c>
      <c r="V40" s="16">
        <f>+V35*Assumptions!$H$82*V37</f>
        <v>18893166.309139591</v>
      </c>
      <c r="W40" s="16">
        <f>+W35*Assumptions!$H$82*W37</f>
        <v>19459961.298413776</v>
      </c>
      <c r="X40" s="16">
        <f>+X35*Assumptions!$H$82*X37</f>
        <v>20043760.137366191</v>
      </c>
      <c r="Y40" s="16">
        <f>+Y35*Assumptions!$H$82*Y37</f>
        <v>20645072.941487178</v>
      </c>
      <c r="Z40" s="16">
        <f>+Z35*Assumptions!$H$82*Z37</f>
        <v>21264425.129731793</v>
      </c>
    </row>
    <row r="41" spans="1:26">
      <c r="B41" s="15" t="s">
        <v>613</v>
      </c>
      <c r="C41" s="15"/>
      <c r="D41" s="20"/>
      <c r="E41" s="20"/>
      <c r="F41" s="22">
        <f>-F40*Assumptions!$P$55</f>
        <v>0</v>
      </c>
      <c r="G41" s="22">
        <f>-G40*Assumptions!$P$55</f>
        <v>0</v>
      </c>
      <c r="H41" s="22">
        <f>-H40*Assumptions!$P$55</f>
        <v>0</v>
      </c>
      <c r="I41" s="22">
        <f>-I40*Assumptions!$P$55</f>
        <v>-321633.17287306394</v>
      </c>
      <c r="J41" s="22">
        <f>-J40*Assumptions!$P$55</f>
        <v>-662564.33611851186</v>
      </c>
      <c r="K41" s="22">
        <f>-K40*Assumptions!$P$55</f>
        <v>-682441.26620206703</v>
      </c>
      <c r="L41" s="22">
        <f>-L40*Assumptions!$P$55</f>
        <v>-702914.50418812921</v>
      </c>
      <c r="M41" s="22">
        <f>-M40*Assumptions!$P$55</f>
        <v>-724001.93931377307</v>
      </c>
      <c r="N41" s="22">
        <f>-N40*Assumptions!$P$55</f>
        <v>-745721.99749318627</v>
      </c>
      <c r="O41" s="22">
        <f>-O40*Assumptions!$P$55</f>
        <v>-768093.65741798189</v>
      </c>
      <c r="P41" s="22">
        <f>-P40*Assumptions!$P$55</f>
        <v>-791136.46714052139</v>
      </c>
      <c r="Q41" s="22">
        <f>-Q40*Assumptions!$P$55</f>
        <v>-814870.56115473702</v>
      </c>
      <c r="R41" s="22">
        <f>-R40*Assumptions!$P$55</f>
        <v>-839316.67798937915</v>
      </c>
      <c r="S41" s="22">
        <f>-S40*Assumptions!$P$55</f>
        <v>-864496.17832906044</v>
      </c>
      <c r="T41" s="22">
        <f>-T40*Assumptions!$P$55</f>
        <v>-890431.06367893238</v>
      </c>
      <c r="U41" s="22">
        <f>-U40*Assumptions!$P$55</f>
        <v>-917143.99558930052</v>
      </c>
      <c r="V41" s="22">
        <f>-V40*Assumptions!$P$55</f>
        <v>-944658.31545697956</v>
      </c>
      <c r="W41" s="22">
        <f>-W40*Assumptions!$P$55</f>
        <v>-972998.06492068886</v>
      </c>
      <c r="X41" s="22">
        <f>-X40*Assumptions!$P$55</f>
        <v>-1002188.0068683096</v>
      </c>
      <c r="Y41" s="22">
        <f>-Y40*Assumptions!$P$55</f>
        <v>-1032253.647074359</v>
      </c>
      <c r="Z41" s="22">
        <f>-Z40*Assumptions!$P$55</f>
        <v>-1063221.2564865898</v>
      </c>
    </row>
    <row r="42" spans="1:26">
      <c r="B42" s="15" t="s">
        <v>621</v>
      </c>
      <c r="C42" s="15"/>
      <c r="D42" s="20"/>
      <c r="E42" s="20"/>
      <c r="F42" s="76">
        <f>+F34*Assumptions!$H$90*(1-Assumptions!$P$55)*12</f>
        <v>0</v>
      </c>
      <c r="G42" s="76">
        <f>+G34*Assumptions!$H$90*(1-Assumptions!$P$55)*12</f>
        <v>0</v>
      </c>
      <c r="H42" s="76">
        <f>+H34*Assumptions!$H$90*(1-Assumptions!$P$55)*12</f>
        <v>0</v>
      </c>
      <c r="I42" s="76">
        <f>+I34*Assumptions!$H$90*(1-Assumptions!$P$55)*12</f>
        <v>139221.87467705313</v>
      </c>
      <c r="J42" s="76">
        <f>+J34*Assumptions!$H$90*(1-Assumptions!$P$55)*12</f>
        <v>278443.74935410626</v>
      </c>
      <c r="K42" s="76">
        <f>+K34*Assumptions!$H$90*(1-Assumptions!$P$55)*12</f>
        <v>278443.74935410626</v>
      </c>
      <c r="L42" s="76">
        <f>+L34*Assumptions!$H$90*(1-Assumptions!$P$55)*12</f>
        <v>278443.74935410626</v>
      </c>
      <c r="M42" s="76">
        <f>+M34*Assumptions!$H$90*(1-Assumptions!$P$55)*12</f>
        <v>278443.74935410626</v>
      </c>
      <c r="N42" s="76">
        <f>+N34*Assumptions!$H$90*(1-Assumptions!$P$55)*12</f>
        <v>278443.74935410626</v>
      </c>
      <c r="O42" s="76">
        <f>+O34*Assumptions!$H$90*(1-Assumptions!$P$55)*12</f>
        <v>278443.74935410626</v>
      </c>
      <c r="P42" s="76">
        <f>+P34*Assumptions!$H$90*(1-Assumptions!$P$55)*12</f>
        <v>278443.74935410626</v>
      </c>
      <c r="Q42" s="76">
        <f>+Q34*Assumptions!$H$90*(1-Assumptions!$P$55)*12</f>
        <v>278443.74935410626</v>
      </c>
      <c r="R42" s="76">
        <f>+R34*Assumptions!$H$90*(1-Assumptions!$P$55)*12</f>
        <v>278443.74935410626</v>
      </c>
      <c r="S42" s="76">
        <f>+S34*Assumptions!$H$90*(1-Assumptions!$P$55)*12</f>
        <v>278443.74935410626</v>
      </c>
      <c r="T42" s="76">
        <f>+T34*Assumptions!$H$90*(1-Assumptions!$P$55)*12</f>
        <v>278443.74935410626</v>
      </c>
      <c r="U42" s="76">
        <f>+U34*Assumptions!$H$90*(1-Assumptions!$P$55)*12</f>
        <v>278443.74935410626</v>
      </c>
      <c r="V42" s="76">
        <f>+V34*Assumptions!$H$90*(1-Assumptions!$P$55)*12</f>
        <v>278443.74935410626</v>
      </c>
      <c r="W42" s="76">
        <f>+W34*Assumptions!$H$90*(1-Assumptions!$P$55)*12</f>
        <v>278443.74935410626</v>
      </c>
      <c r="X42" s="76">
        <f>+X34*Assumptions!$H$90*(1-Assumptions!$P$55)*12</f>
        <v>278443.74935410626</v>
      </c>
      <c r="Y42" s="76">
        <f>+Y34*Assumptions!$H$90*(1-Assumptions!$P$55)*12</f>
        <v>278443.74935410626</v>
      </c>
      <c r="Z42" s="76">
        <f>+Z34*Assumptions!$H$90*(1-Assumptions!$P$55)*12</f>
        <v>278443.74935410626</v>
      </c>
    </row>
    <row r="43" spans="1:26">
      <c r="B43" s="62" t="s">
        <v>614</v>
      </c>
      <c r="C43" s="62"/>
      <c r="D43" s="62"/>
      <c r="E43" s="62"/>
      <c r="F43" s="58">
        <f t="shared" ref="F43:Z43" si="14">+SUM(F40:F42)</f>
        <v>0</v>
      </c>
      <c r="G43" s="58">
        <f t="shared" si="14"/>
        <v>0</v>
      </c>
      <c r="H43" s="58">
        <f t="shared" si="14"/>
        <v>0</v>
      </c>
      <c r="I43" s="58">
        <f t="shared" si="14"/>
        <v>6250252.1592652667</v>
      </c>
      <c r="J43" s="58">
        <f t="shared" si="14"/>
        <v>12867166.135605829</v>
      </c>
      <c r="K43" s="58">
        <f t="shared" si="14"/>
        <v>13244827.80719338</v>
      </c>
      <c r="L43" s="58">
        <f t="shared" si="14"/>
        <v>13633819.328928558</v>
      </c>
      <c r="M43" s="58">
        <f t="shared" si="14"/>
        <v>14034480.596315792</v>
      </c>
      <c r="N43" s="58">
        <f t="shared" si="14"/>
        <v>14447161.701724643</v>
      </c>
      <c r="O43" s="58">
        <f t="shared" si="14"/>
        <v>14872223.24029576</v>
      </c>
      <c r="P43" s="58">
        <f t="shared" si="14"/>
        <v>15310036.625024009</v>
      </c>
      <c r="Q43" s="58">
        <f t="shared" si="14"/>
        <v>15760984.411294108</v>
      </c>
      <c r="R43" s="58">
        <f t="shared" si="14"/>
        <v>16225460.631152309</v>
      </c>
      <c r="S43" s="58">
        <f t="shared" si="14"/>
        <v>16703871.137606254</v>
      </c>
      <c r="T43" s="58">
        <f t="shared" si="14"/>
        <v>17196633.959253822</v>
      </c>
      <c r="U43" s="58">
        <f t="shared" si="14"/>
        <v>17704179.665550813</v>
      </c>
      <c r="V43" s="58">
        <f t="shared" si="14"/>
        <v>18226951.743036717</v>
      </c>
      <c r="W43" s="58">
        <f t="shared" si="14"/>
        <v>18765406.982847191</v>
      </c>
      <c r="X43" s="58">
        <f t="shared" si="14"/>
        <v>19320015.879851986</v>
      </c>
      <c r="Y43" s="58">
        <f t="shared" si="14"/>
        <v>19891263.043766923</v>
      </c>
      <c r="Z43" s="58">
        <f t="shared" si="14"/>
        <v>20479647.622599307</v>
      </c>
    </row>
    <row r="45" spans="1:26">
      <c r="B45" s="15" t="s">
        <v>615</v>
      </c>
      <c r="F45" s="16">
        <f>+F34*Assumptions!$P$96*F38</f>
        <v>0</v>
      </c>
      <c r="G45" s="16">
        <f>+G34*Assumptions!$P$96*G38</f>
        <v>0</v>
      </c>
      <c r="H45" s="16">
        <f>+H34*Assumptions!$P$96*H38</f>
        <v>0</v>
      </c>
      <c r="I45" s="16">
        <f>+I34*Assumptions!$P$96*I38</f>
        <v>1530355.71353871</v>
      </c>
      <c r="J45" s="16">
        <f>+J34*Assumptions!$P$96*J38</f>
        <v>3121925.6556189684</v>
      </c>
      <c r="K45" s="16">
        <f>+K34*Assumptions!$P$96*K38</f>
        <v>3184364.1687313481</v>
      </c>
      <c r="L45" s="16">
        <f>+L34*Assumptions!$P$96*L38</f>
        <v>3248051.4521059752</v>
      </c>
      <c r="M45" s="16">
        <f>+M34*Assumptions!$P$96*M38</f>
        <v>3313012.4811480944</v>
      </c>
      <c r="N45" s="16">
        <f>+N34*Assumptions!$P$96*N38</f>
        <v>3379272.7307710568</v>
      </c>
      <c r="O45" s="16">
        <f>+O34*Assumptions!$P$96*O38</f>
        <v>3446858.185386478</v>
      </c>
      <c r="P45" s="16">
        <f>+P34*Assumptions!$P$96*P38</f>
        <v>3515795.3490942074</v>
      </c>
      <c r="Q45" s="16">
        <f>+Q34*Assumptions!$P$96*Q38</f>
        <v>3586111.2560760914</v>
      </c>
      <c r="R45" s="16">
        <f>+R34*Assumptions!$P$96*R38</f>
        <v>3657833.4811976133</v>
      </c>
      <c r="S45" s="16">
        <f>+S34*Assumptions!$P$96*S38</f>
        <v>3730990.1508215652</v>
      </c>
      <c r="T45" s="16">
        <f>+T34*Assumptions!$P$96*T38</f>
        <v>3805609.9538379973</v>
      </c>
      <c r="U45" s="16">
        <f>+U34*Assumptions!$P$96*U38</f>
        <v>3881722.1529147574</v>
      </c>
      <c r="V45" s="16">
        <f>+V34*Assumptions!$P$96*V38</f>
        <v>3959356.5959730526</v>
      </c>
      <c r="W45" s="16">
        <f>+W34*Assumptions!$P$96*W38</f>
        <v>4038543.7278925139</v>
      </c>
      <c r="X45" s="16">
        <f>+X34*Assumptions!$P$96*X38</f>
        <v>4119314.6024503643</v>
      </c>
      <c r="Y45" s="16">
        <f>+Y34*Assumptions!$P$96*Y38</f>
        <v>4201700.8944993708</v>
      </c>
      <c r="Z45" s="16">
        <f>+Z34*Assumptions!$P$96*Z38</f>
        <v>4285734.9123893594</v>
      </c>
    </row>
    <row r="46" spans="1:26">
      <c r="A46" s="15"/>
      <c r="B46" s="15" t="s">
        <v>616</v>
      </c>
      <c r="C46" s="15"/>
      <c r="D46" s="15"/>
      <c r="E46" s="15"/>
      <c r="F46" s="717"/>
      <c r="G46" s="717">
        <v>0</v>
      </c>
      <c r="H46" s="717">
        <v>0</v>
      </c>
      <c r="I46" s="717">
        <f>(('Parcel x Block Info'!$P$17*0.3)*I35)*0.3</f>
        <v>353771.22743855993</v>
      </c>
      <c r="J46" s="717">
        <f>('Parcel x Block Info'!$P$17*0.3)*0.3</f>
        <v>707542.45487711986</v>
      </c>
      <c r="K46" s="717">
        <f t="shared" ref="K46:Z46" si="15">J46*1.02</f>
        <v>721693.30397466233</v>
      </c>
      <c r="L46" s="717">
        <f t="shared" si="15"/>
        <v>736127.17005415563</v>
      </c>
      <c r="M46" s="717">
        <f t="shared" si="15"/>
        <v>750849.71345523873</v>
      </c>
      <c r="N46" s="717">
        <f t="shared" si="15"/>
        <v>765866.70772434352</v>
      </c>
      <c r="O46" s="717">
        <f t="shared" si="15"/>
        <v>781184.04187883041</v>
      </c>
      <c r="P46" s="717">
        <f t="shared" si="15"/>
        <v>796807.72271640704</v>
      </c>
      <c r="Q46" s="717">
        <f t="shared" si="15"/>
        <v>812743.87717073516</v>
      </c>
      <c r="R46" s="717">
        <f t="shared" si="15"/>
        <v>828998.75471414987</v>
      </c>
      <c r="S46" s="717">
        <f t="shared" si="15"/>
        <v>845578.72980843286</v>
      </c>
      <c r="T46" s="717">
        <f t="shared" si="15"/>
        <v>862490.30440460157</v>
      </c>
      <c r="U46" s="717">
        <f t="shared" si="15"/>
        <v>879740.11049269361</v>
      </c>
      <c r="V46" s="717">
        <f t="shared" si="15"/>
        <v>897334.9127025475</v>
      </c>
      <c r="W46" s="717">
        <f t="shared" si="15"/>
        <v>915281.61095659842</v>
      </c>
      <c r="X46" s="717">
        <f t="shared" si="15"/>
        <v>933587.24317573046</v>
      </c>
      <c r="Y46" s="717">
        <f t="shared" si="15"/>
        <v>952258.98803924513</v>
      </c>
      <c r="Z46" s="717">
        <f t="shared" si="15"/>
        <v>971304.16780003009</v>
      </c>
    </row>
    <row r="47" spans="1:26">
      <c r="B47" s="62" t="s">
        <v>617</v>
      </c>
      <c r="C47" s="62"/>
      <c r="D47" s="62"/>
      <c r="E47" s="62"/>
      <c r="F47" s="58">
        <f>+SUM(F45:F46)</f>
        <v>0</v>
      </c>
      <c r="G47" s="58">
        <f t="shared" ref="G47" si="16">+SUM(G45:G46)</f>
        <v>0</v>
      </c>
      <c r="H47" s="58">
        <f t="shared" ref="H47" si="17">+SUM(H45:H46)</f>
        <v>0</v>
      </c>
      <c r="I47" s="58">
        <f t="shared" ref="I47:Z47" si="18">+SUM(I45:I46)</f>
        <v>1884126.94097727</v>
      </c>
      <c r="J47" s="58">
        <f t="shared" si="18"/>
        <v>3829468.1104960884</v>
      </c>
      <c r="K47" s="58">
        <f t="shared" si="18"/>
        <v>3906057.4727060106</v>
      </c>
      <c r="L47" s="58">
        <f t="shared" si="18"/>
        <v>3984178.6221601311</v>
      </c>
      <c r="M47" s="58">
        <f t="shared" si="18"/>
        <v>4063862.1946033332</v>
      </c>
      <c r="N47" s="58">
        <f t="shared" si="18"/>
        <v>4145139.4384954004</v>
      </c>
      <c r="O47" s="58">
        <f t="shared" si="18"/>
        <v>4228042.2272653086</v>
      </c>
      <c r="P47" s="58">
        <f t="shared" si="18"/>
        <v>4312603.0718106143</v>
      </c>
      <c r="Q47" s="58">
        <f t="shared" si="18"/>
        <v>4398855.1332468269</v>
      </c>
      <c r="R47" s="58">
        <f t="shared" si="18"/>
        <v>4486832.2359117633</v>
      </c>
      <c r="S47" s="58">
        <f t="shared" si="18"/>
        <v>4576568.8806299977</v>
      </c>
      <c r="T47" s="58">
        <f t="shared" si="18"/>
        <v>4668100.2582425987</v>
      </c>
      <c r="U47" s="58">
        <f t="shared" si="18"/>
        <v>4761462.2634074511</v>
      </c>
      <c r="V47" s="58">
        <f t="shared" si="18"/>
        <v>4856691.5086756004</v>
      </c>
      <c r="W47" s="58">
        <f t="shared" si="18"/>
        <v>4953825.3388491124</v>
      </c>
      <c r="X47" s="58">
        <f t="shared" si="18"/>
        <v>5052901.8456260944</v>
      </c>
      <c r="Y47" s="58">
        <f t="shared" si="18"/>
        <v>5153959.8825386157</v>
      </c>
      <c r="Z47" s="58">
        <f t="shared" si="18"/>
        <v>5257039.0801893892</v>
      </c>
    </row>
    <row r="48" spans="1:26">
      <c r="B48" s="15"/>
    </row>
    <row r="49" spans="1:26" ht="15.75">
      <c r="A49" s="49"/>
      <c r="B49" s="687" t="s">
        <v>618</v>
      </c>
      <c r="C49" s="687"/>
      <c r="D49" s="687"/>
      <c r="E49" s="687"/>
      <c r="F49" s="550">
        <f>+F43-F47</f>
        <v>0</v>
      </c>
      <c r="G49" s="550">
        <f t="shared" ref="G49:H49" si="19">+G43-G47</f>
        <v>0</v>
      </c>
      <c r="H49" s="550">
        <f t="shared" si="19"/>
        <v>0</v>
      </c>
      <c r="I49" s="550">
        <f t="shared" ref="I49:Z49" si="20">+I43-I47</f>
        <v>4366125.2182879969</v>
      </c>
      <c r="J49" s="550">
        <f t="shared" si="20"/>
        <v>9037698.02510974</v>
      </c>
      <c r="K49" s="550">
        <f t="shared" si="20"/>
        <v>9338770.3344873693</v>
      </c>
      <c r="L49" s="550">
        <f t="shared" si="20"/>
        <v>9649640.706768427</v>
      </c>
      <c r="M49" s="550">
        <f t="shared" si="20"/>
        <v>9970618.4017124586</v>
      </c>
      <c r="N49" s="550">
        <f t="shared" si="20"/>
        <v>10302022.263229243</v>
      </c>
      <c r="O49" s="550">
        <f t="shared" si="20"/>
        <v>10644181.013030451</v>
      </c>
      <c r="P49" s="550">
        <f t="shared" si="20"/>
        <v>10997433.553213395</v>
      </c>
      <c r="Q49" s="550">
        <f t="shared" si="20"/>
        <v>11362129.278047282</v>
      </c>
      <c r="R49" s="550">
        <f t="shared" si="20"/>
        <v>11738628.395240545</v>
      </c>
      <c r="S49" s="550">
        <f t="shared" si="20"/>
        <v>12127302.256976256</v>
      </c>
      <c r="T49" s="550">
        <f t="shared" si="20"/>
        <v>12528533.701011222</v>
      </c>
      <c r="U49" s="550">
        <f t="shared" si="20"/>
        <v>12942717.402143363</v>
      </c>
      <c r="V49" s="550">
        <f t="shared" si="20"/>
        <v>13370260.234361116</v>
      </c>
      <c r="W49" s="550">
        <f t="shared" si="20"/>
        <v>13811581.643998079</v>
      </c>
      <c r="X49" s="550">
        <f t="shared" si="20"/>
        <v>14267114.034225892</v>
      </c>
      <c r="Y49" s="550">
        <f t="shared" si="20"/>
        <v>14737303.161228307</v>
      </c>
      <c r="Z49" s="550">
        <f t="shared" si="20"/>
        <v>15222608.542409919</v>
      </c>
    </row>
    <row r="50" spans="1:26" ht="15.75">
      <c r="B50" s="688" t="s">
        <v>619</v>
      </c>
      <c r="C50" s="689"/>
      <c r="D50" s="689"/>
      <c r="E50" s="689"/>
      <c r="F50" s="690" t="str">
        <f>+IFERROR(F49/F43,"")</f>
        <v/>
      </c>
      <c r="G50" s="690" t="str">
        <f t="shared" ref="G50:H50" si="21">+IFERROR(G49/G43,"")</f>
        <v/>
      </c>
      <c r="H50" s="690" t="str">
        <f t="shared" si="21"/>
        <v/>
      </c>
      <c r="I50" s="691">
        <f t="shared" ref="I50:Z50" si="22">+IFERROR(I49/I43,"")</f>
        <v>0.69855185151461896</v>
      </c>
      <c r="J50" s="691">
        <f t="shared" si="22"/>
        <v>0.70238449786552126</v>
      </c>
      <c r="K50" s="691">
        <f t="shared" si="22"/>
        <v>0.7050880895118472</v>
      </c>
      <c r="L50" s="691">
        <f t="shared" si="22"/>
        <v>0.70777237646780256</v>
      </c>
      <c r="M50" s="691">
        <f t="shared" si="22"/>
        <v>0.71043729287208945</v>
      </c>
      <c r="N50" s="691">
        <f t="shared" si="22"/>
        <v>0.71308278234329103</v>
      </c>
      <c r="O50" s="691">
        <f t="shared" si="22"/>
        <v>0.715708797605352</v>
      </c>
      <c r="P50" s="691">
        <f t="shared" si="22"/>
        <v>0.7183153001239897</v>
      </c>
      <c r="Q50" s="691">
        <f t="shared" si="22"/>
        <v>0.72090225975385991</v>
      </c>
      <c r="R50" s="691">
        <f t="shared" si="22"/>
        <v>0.72346965439630073</v>
      </c>
      <c r="S50" s="691">
        <f t="shared" si="22"/>
        <v>0.72601746966746283</v>
      </c>
      <c r="T50" s="691">
        <f t="shared" si="22"/>
        <v>0.72854569857663276</v>
      </c>
      <c r="U50" s="691">
        <f t="shared" si="22"/>
        <v>0.73105434121455459</v>
      </c>
      <c r="V50" s="691">
        <f t="shared" si="22"/>
        <v>0.73354340445154176</v>
      </c>
      <c r="W50" s="691">
        <f t="shared" si="22"/>
        <v>0.73601290164517974</v>
      </c>
      <c r="X50" s="691">
        <f t="shared" si="22"/>
        <v>0.73846285235740683</v>
      </c>
      <c r="Y50" s="691">
        <f t="shared" si="22"/>
        <v>0.74089328208076521</v>
      </c>
      <c r="Z50" s="691">
        <f t="shared" si="22"/>
        <v>0.74330422197361246</v>
      </c>
    </row>
    <row r="51" spans="1:26" ht="15.75">
      <c r="B51" s="688" t="s">
        <v>568</v>
      </c>
      <c r="C51" s="689"/>
      <c r="D51" s="689"/>
      <c r="E51" s="689"/>
      <c r="F51" s="692">
        <f>+F49/Assumptions!$P$129</f>
        <v>0</v>
      </c>
      <c r="G51" s="692">
        <f>+G49/Assumptions!$P$129</f>
        <v>0</v>
      </c>
      <c r="H51" s="692">
        <f>+H49/Assumptions!$P$129</f>
        <v>0</v>
      </c>
      <c r="I51" s="692">
        <f>+I49/Assumptions!$P$129</f>
        <v>79384094.877963588</v>
      </c>
      <c r="J51" s="692">
        <f>+J49/Assumptions!$P$129</f>
        <v>164321782.27472255</v>
      </c>
      <c r="K51" s="692">
        <f>+K49/Assumptions!$P$129</f>
        <v>169795824.26340672</v>
      </c>
      <c r="L51" s="692">
        <f>+L49/Assumptions!$P$129</f>
        <v>175448012.85033503</v>
      </c>
      <c r="M51" s="692">
        <f>+M49/Assumptions!$P$129</f>
        <v>181283970.94022653</v>
      </c>
      <c r="N51" s="692">
        <f>+N49/Assumptions!$P$129</f>
        <v>187309495.69507715</v>
      </c>
      <c r="O51" s="692">
        <f>+O49/Assumptions!$P$129</f>
        <v>193530563.87328091</v>
      </c>
      <c r="P51" s="692">
        <f>+P49/Assumptions!$P$129</f>
        <v>199953337.33115265</v>
      </c>
      <c r="Q51" s="692">
        <f>+Q49/Assumptions!$P$129</f>
        <v>206584168.69176877</v>
      </c>
      <c r="R51" s="692">
        <f>+R49/Assumptions!$P$129</f>
        <v>213429607.18619174</v>
      </c>
      <c r="S51" s="692">
        <f>+S49/Assumptions!$P$129</f>
        <v>220496404.67229557</v>
      </c>
      <c r="T51" s="692">
        <f>+T49/Assumptions!$P$129</f>
        <v>227791521.83656767</v>
      </c>
      <c r="U51" s="692">
        <f>+U49/Assumptions!$P$129</f>
        <v>235322134.58442479</v>
      </c>
      <c r="V51" s="692">
        <f>+V49/Assumptions!$P$129</f>
        <v>243095640.62474757</v>
      </c>
      <c r="W51" s="692">
        <f>+W49/Assumptions!$P$129</f>
        <v>251119666.25451052</v>
      </c>
      <c r="X51" s="692">
        <f>+X49/Assumptions!$P$129</f>
        <v>259402073.34956169</v>
      </c>
      <c r="Y51" s="692">
        <f>+Y49/Assumptions!$P$129</f>
        <v>267950966.56778738</v>
      </c>
      <c r="Z51" s="692">
        <f>+Z49/Assumptions!$P$129</f>
        <v>276774700.77108943</v>
      </c>
    </row>
    <row r="53" spans="1:26" ht="15.75">
      <c r="B53" s="73" t="s">
        <v>14</v>
      </c>
      <c r="C53" s="74"/>
      <c r="D53" s="74"/>
      <c r="E53" s="74"/>
      <c r="F53" s="75">
        <f>+Assumptions!$H$22</f>
        <v>45657</v>
      </c>
      <c r="G53" s="75">
        <f>+EOMONTH(F53,12)</f>
        <v>46022</v>
      </c>
      <c r="H53" s="75">
        <f t="shared" ref="H53:Z53" si="23">+EOMONTH(G53,12)</f>
        <v>46387</v>
      </c>
      <c r="I53" s="75">
        <f t="shared" si="23"/>
        <v>46752</v>
      </c>
      <c r="J53" s="75">
        <f t="shared" si="23"/>
        <v>47118</v>
      </c>
      <c r="K53" s="75">
        <f t="shared" si="23"/>
        <v>47483</v>
      </c>
      <c r="L53" s="75">
        <f t="shared" si="23"/>
        <v>47848</v>
      </c>
      <c r="M53" s="75">
        <f t="shared" si="23"/>
        <v>48213</v>
      </c>
      <c r="N53" s="75">
        <f t="shared" si="23"/>
        <v>48579</v>
      </c>
      <c r="O53" s="75">
        <f t="shared" si="23"/>
        <v>48944</v>
      </c>
      <c r="P53" s="75">
        <f t="shared" si="23"/>
        <v>49309</v>
      </c>
      <c r="Q53" s="75">
        <f t="shared" si="23"/>
        <v>49674</v>
      </c>
      <c r="R53" s="75">
        <f t="shared" si="23"/>
        <v>50040</v>
      </c>
      <c r="S53" s="75">
        <f t="shared" si="23"/>
        <v>50405</v>
      </c>
      <c r="T53" s="75">
        <f t="shared" si="23"/>
        <v>50770</v>
      </c>
      <c r="U53" s="75">
        <f t="shared" si="23"/>
        <v>51135</v>
      </c>
      <c r="V53" s="75">
        <f t="shared" si="23"/>
        <v>51501</v>
      </c>
      <c r="W53" s="75">
        <f t="shared" si="23"/>
        <v>51866</v>
      </c>
      <c r="X53" s="75">
        <f t="shared" si="23"/>
        <v>52231</v>
      </c>
      <c r="Y53" s="75">
        <f t="shared" si="23"/>
        <v>52596</v>
      </c>
      <c r="Z53" s="75">
        <f t="shared" si="23"/>
        <v>52962</v>
      </c>
    </row>
    <row r="54" spans="1:26">
      <c r="B54" s="15" t="s">
        <v>605</v>
      </c>
      <c r="C54" s="15"/>
      <c r="D54" s="20"/>
      <c r="E54" s="20"/>
      <c r="F54" s="22">
        <f>+IF(AND(F53&gt;=Assumptions!$H$26,F53&lt;Assumptions!$H$28),Assumptions!$H$137/ROUNDUP((Assumptions!$H$27/12),0),0)</f>
        <v>0</v>
      </c>
      <c r="G54" s="22">
        <f>+IF(AND(G53&gt;=Assumptions!$H$26,G53&lt;Assumptions!$H$28),Assumptions!$H$137/ROUNDUP((Assumptions!$H$27/12),0),0)</f>
        <v>0</v>
      </c>
      <c r="H54" s="22">
        <f>+IF(AND(H53&gt;=Assumptions!$H$26,H53&lt;Assumptions!$H$28),Assumptions!$H$137/ROUNDUP((Assumptions!$H$27/12),0),0)</f>
        <v>0</v>
      </c>
      <c r="I54" s="22">
        <f>+IF(AND(I53&gt;=Assumptions!$H$26,I53&lt;Assumptions!$H$28),Assumptions!$H$137/ROUNDUP((Assumptions!$H$27/12),0),0)</f>
        <v>18269.55</v>
      </c>
      <c r="J54" s="22">
        <f>+IF(AND(J53&gt;=Assumptions!$H$26,J53&lt;Assumptions!$H$28),Assumptions!$H$137/ROUNDUP((Assumptions!$H$27/12),0),0)</f>
        <v>18269.55</v>
      </c>
      <c r="K54" s="22">
        <f>+IF(AND(K53&gt;=Assumptions!$H$26,K53&lt;Assumptions!$H$28),Assumptions!$H$137/ROUNDUP((Assumptions!$H$27/12),0),0)</f>
        <v>0</v>
      </c>
      <c r="L54" s="22">
        <f>+IF(AND(L53&gt;=Assumptions!$H$26,L53&lt;Assumptions!$H$28),Assumptions!$H$137/ROUNDUP((Assumptions!$H$27/12),0),0)</f>
        <v>0</v>
      </c>
      <c r="M54" s="22">
        <f>+IF(AND(M53&gt;=Assumptions!$H$26,M53&lt;Assumptions!$H$28),Assumptions!$H$137/ROUNDUP((Assumptions!$H$27/12),0),0)</f>
        <v>0</v>
      </c>
      <c r="N54" s="22">
        <f>+IF(AND(N53&gt;=Assumptions!$H$26,N53&lt;Assumptions!$H$28),Assumptions!$H$137/ROUNDUP((Assumptions!$H$27/12),0),0)</f>
        <v>0</v>
      </c>
      <c r="O54" s="22">
        <f>+IF(AND(O53&gt;=Assumptions!$H$26,O53&lt;Assumptions!$H$28),Assumptions!$H$137/ROUNDUP((Assumptions!$H$27/12),0),0)</f>
        <v>0</v>
      </c>
      <c r="P54" s="22">
        <f>+IF(AND(P53&gt;=Assumptions!$H$26,P53&lt;Assumptions!$H$28),Assumptions!$H$137/ROUNDUP((Assumptions!$H$27/12),0),0)</f>
        <v>0</v>
      </c>
      <c r="Q54" s="22">
        <f>+IF(AND(Q53&gt;=Assumptions!$H$26,Q53&lt;Assumptions!$H$28),Assumptions!$H$137/ROUNDUP((Assumptions!$H$27/12),0),0)</f>
        <v>0</v>
      </c>
      <c r="R54" s="22">
        <f>+IF(AND(R53&gt;=Assumptions!$H$26,R53&lt;Assumptions!$H$28),Assumptions!$H$137/ROUNDUP((Assumptions!$H$27/12),0),0)</f>
        <v>0</v>
      </c>
      <c r="S54" s="22">
        <f>+IF(AND(S53&gt;=Assumptions!$H$26,S53&lt;Assumptions!$H$28),Assumptions!$H$137/ROUNDUP((Assumptions!$H$27/12),0),0)</f>
        <v>0</v>
      </c>
      <c r="T54" s="22">
        <f>+IF(AND(T53&gt;=Assumptions!$H$26,T53&lt;Assumptions!$H$28),Assumptions!$H$137/ROUNDUP((Assumptions!$H$27/12),0),0)</f>
        <v>0</v>
      </c>
      <c r="U54" s="22">
        <f>+IF(AND(U53&gt;=Assumptions!$H$26,U53&lt;Assumptions!$H$28),Assumptions!$H$137/ROUNDUP((Assumptions!$H$27/12),0),0)</f>
        <v>0</v>
      </c>
      <c r="V54" s="22">
        <f>+IF(AND(V53&gt;=Assumptions!$H$26,V53&lt;Assumptions!$H$28),Assumptions!$H$137/ROUNDUP((Assumptions!$H$27/12),0),0)</f>
        <v>0</v>
      </c>
      <c r="W54" s="22">
        <f>+IF(AND(W53&gt;=Assumptions!$H$26,W53&lt;Assumptions!$H$28),Assumptions!$H$137/ROUNDUP((Assumptions!$H$27/12),0),0)</f>
        <v>0</v>
      </c>
      <c r="X54" s="22">
        <f>+IF(AND(X53&gt;=Assumptions!$H$26,X53&lt;Assumptions!$H$28),Assumptions!$H$137/ROUNDUP((Assumptions!$H$27/12),0),0)</f>
        <v>0</v>
      </c>
      <c r="Y54" s="22">
        <f>+IF(AND(Y53&gt;=Assumptions!$H$26,Y53&lt;Assumptions!$H$28),Assumptions!$H$137/ROUNDUP((Assumptions!$H$27/12),0),0)</f>
        <v>0</v>
      </c>
      <c r="Z54" s="22">
        <f>+IF(AND(Z53&gt;=Assumptions!$H$26,Z53&lt;Assumptions!$H$28),Assumptions!$H$137/ROUNDUP((Assumptions!$H$27/12),0),0)</f>
        <v>0</v>
      </c>
    </row>
    <row r="55" spans="1:26">
      <c r="B55" s="15" t="s">
        <v>606</v>
      </c>
      <c r="C55" s="15"/>
      <c r="D55" s="22">
        <v>0</v>
      </c>
      <c r="E55" s="22"/>
      <c r="F55" s="22">
        <f>+D55+F54</f>
        <v>0</v>
      </c>
      <c r="G55" s="22">
        <f t="shared" ref="G55:Z55" si="24">+F55+G54</f>
        <v>0</v>
      </c>
      <c r="H55" s="22">
        <f t="shared" si="24"/>
        <v>0</v>
      </c>
      <c r="I55" s="22">
        <f t="shared" si="24"/>
        <v>18269.55</v>
      </c>
      <c r="J55" s="22">
        <f t="shared" si="24"/>
        <v>36539.1</v>
      </c>
      <c r="K55" s="22">
        <f t="shared" si="24"/>
        <v>36539.1</v>
      </c>
      <c r="L55" s="22">
        <f t="shared" si="24"/>
        <v>36539.1</v>
      </c>
      <c r="M55" s="22">
        <f t="shared" si="24"/>
        <v>36539.1</v>
      </c>
      <c r="N55" s="22">
        <f t="shared" si="24"/>
        <v>36539.1</v>
      </c>
      <c r="O55" s="22">
        <f t="shared" si="24"/>
        <v>36539.1</v>
      </c>
      <c r="P55" s="22">
        <f t="shared" si="24"/>
        <v>36539.1</v>
      </c>
      <c r="Q55" s="22">
        <f t="shared" si="24"/>
        <v>36539.1</v>
      </c>
      <c r="R55" s="22">
        <f t="shared" si="24"/>
        <v>36539.1</v>
      </c>
      <c r="S55" s="22">
        <f t="shared" si="24"/>
        <v>36539.1</v>
      </c>
      <c r="T55" s="22">
        <f t="shared" si="24"/>
        <v>36539.1</v>
      </c>
      <c r="U55" s="22">
        <f t="shared" si="24"/>
        <v>36539.1</v>
      </c>
      <c r="V55" s="22">
        <f t="shared" si="24"/>
        <v>36539.1</v>
      </c>
      <c r="W55" s="22">
        <f t="shared" si="24"/>
        <v>36539.1</v>
      </c>
      <c r="X55" s="22">
        <f t="shared" si="24"/>
        <v>36539.1</v>
      </c>
      <c r="Y55" s="22">
        <f t="shared" si="24"/>
        <v>36539.1</v>
      </c>
      <c r="Z55" s="22">
        <f t="shared" si="24"/>
        <v>36539.1</v>
      </c>
    </row>
    <row r="56" spans="1:26">
      <c r="B56" s="15" t="s">
        <v>609</v>
      </c>
      <c r="C56" s="15"/>
      <c r="D56" s="22"/>
      <c r="E56" s="22"/>
      <c r="F56" s="49">
        <f t="shared" ref="F56:Z56" si="25">+F55/SUM($F54:$Z54)</f>
        <v>0</v>
      </c>
      <c r="G56" s="49">
        <f t="shared" si="25"/>
        <v>0</v>
      </c>
      <c r="H56" s="49">
        <f t="shared" si="25"/>
        <v>0</v>
      </c>
      <c r="I56" s="49">
        <f t="shared" si="25"/>
        <v>0.5</v>
      </c>
      <c r="J56" s="49">
        <f t="shared" si="25"/>
        <v>1</v>
      </c>
      <c r="K56" s="49">
        <f t="shared" si="25"/>
        <v>1</v>
      </c>
      <c r="L56" s="49">
        <f t="shared" si="25"/>
        <v>1</v>
      </c>
      <c r="M56" s="49">
        <f t="shared" si="25"/>
        <v>1</v>
      </c>
      <c r="N56" s="49">
        <f t="shared" si="25"/>
        <v>1</v>
      </c>
      <c r="O56" s="49">
        <f t="shared" si="25"/>
        <v>1</v>
      </c>
      <c r="P56" s="49">
        <f t="shared" si="25"/>
        <v>1</v>
      </c>
      <c r="Q56" s="49">
        <f t="shared" si="25"/>
        <v>1</v>
      </c>
      <c r="R56" s="49">
        <f t="shared" si="25"/>
        <v>1</v>
      </c>
      <c r="S56" s="49">
        <f t="shared" si="25"/>
        <v>1</v>
      </c>
      <c r="T56" s="49">
        <f t="shared" si="25"/>
        <v>1</v>
      </c>
      <c r="U56" s="49">
        <f t="shared" si="25"/>
        <v>1</v>
      </c>
      <c r="V56" s="49">
        <f t="shared" si="25"/>
        <v>1</v>
      </c>
      <c r="W56" s="49">
        <f t="shared" si="25"/>
        <v>1</v>
      </c>
      <c r="X56" s="49">
        <f t="shared" si="25"/>
        <v>1</v>
      </c>
      <c r="Y56" s="49">
        <f t="shared" si="25"/>
        <v>1</v>
      </c>
      <c r="Z56" s="49">
        <f t="shared" si="25"/>
        <v>1</v>
      </c>
    </row>
    <row r="57" spans="1:26">
      <c r="B57" s="15"/>
      <c r="C57" s="15"/>
      <c r="D57" s="20"/>
      <c r="E57" s="20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</row>
    <row r="58" spans="1:26">
      <c r="B58" s="15" t="s">
        <v>610</v>
      </c>
      <c r="C58" s="15"/>
      <c r="D58" s="22"/>
      <c r="E58" s="22"/>
      <c r="F58" s="49">
        <v>1</v>
      </c>
      <c r="G58" s="49">
        <f>+IF(MOD(G$2,Assumptions!$P$66)=(Assumptions!$P$66-1),F58*(1+Assumptions!$P$65),'Phase III Pro Forma'!F58)</f>
        <v>1</v>
      </c>
      <c r="H58" s="49">
        <f>+IF(MOD(H$2,Assumptions!$P$66)=(Assumptions!$P$66-1),G58*(1+Assumptions!$P$65),'Phase III Pro Forma'!G58)</f>
        <v>1</v>
      </c>
      <c r="I58" s="49">
        <f>+IF(MOD(I$2,Assumptions!$P$66)=(Assumptions!$P$66-1),H58*(1+Assumptions!$P$65),'Phase III Pro Forma'!H58)</f>
        <v>1</v>
      </c>
      <c r="J58" s="49">
        <f>+IF(MOD(J$2,Assumptions!$P$66)=(Assumptions!$P$66-1),I58*(1+Assumptions!$P$65),'Phase III Pro Forma'!I58)</f>
        <v>1</v>
      </c>
      <c r="K58" s="49">
        <f>+IF(MOD(K$2,Assumptions!$P$66)=(Assumptions!$P$66-1),J58*(1+Assumptions!$P$65),'Phase III Pro Forma'!J58)</f>
        <v>1</v>
      </c>
      <c r="L58" s="49">
        <f>+IF(MOD(L$2,Assumptions!$P$66)=(Assumptions!$P$66-1),K58*(1+Assumptions!$P$65),'Phase III Pro Forma'!K58)</f>
        <v>1.1000000000000001</v>
      </c>
      <c r="M58" s="49">
        <f>+IF(MOD(M$2,Assumptions!$P$66)=(Assumptions!$P$66-1),L58*(1+Assumptions!$P$65),'Phase III Pro Forma'!L58)</f>
        <v>1.1000000000000001</v>
      </c>
      <c r="N58" s="49">
        <f>+IF(MOD(N$2,Assumptions!$P$66)=(Assumptions!$P$66-1),M58*(1+Assumptions!$P$65),'Phase III Pro Forma'!M58)</f>
        <v>1.1000000000000001</v>
      </c>
      <c r="O58" s="49">
        <f>+IF(MOD(O$2,Assumptions!$P$66)=(Assumptions!$P$66-1),N58*(1+Assumptions!$P$65),'Phase III Pro Forma'!N58)</f>
        <v>1.1000000000000001</v>
      </c>
      <c r="P58" s="49">
        <f>+IF(MOD(P$2,Assumptions!$P$66)=(Assumptions!$P$66-1),O58*(1+Assumptions!$P$65),'Phase III Pro Forma'!O58)</f>
        <v>1.1000000000000001</v>
      </c>
      <c r="Q58" s="49">
        <f>+IF(MOD(Q$2,Assumptions!$P$66)=(Assumptions!$P$66-1),P58*(1+Assumptions!$P$65),'Phase III Pro Forma'!P58)</f>
        <v>1.2100000000000002</v>
      </c>
      <c r="R58" s="49">
        <f>+IF(MOD(R$2,Assumptions!$P$66)=(Assumptions!$P$66-1),Q58*(1+Assumptions!$P$65),'Phase III Pro Forma'!Q58)</f>
        <v>1.2100000000000002</v>
      </c>
      <c r="S58" s="49">
        <f>+IF(MOD(S$2,Assumptions!$P$66)=(Assumptions!$P$66-1),R58*(1+Assumptions!$P$65),'Phase III Pro Forma'!R58)</f>
        <v>1.2100000000000002</v>
      </c>
      <c r="T58" s="49">
        <f>+IF(MOD(T$2,Assumptions!$P$66)=(Assumptions!$P$66-1),S58*(1+Assumptions!$P$65),'Phase III Pro Forma'!S58)</f>
        <v>1.2100000000000002</v>
      </c>
      <c r="U58" s="49">
        <f>+IF(MOD(U$2,Assumptions!$P$66)=(Assumptions!$P$66-1),T58*(1+Assumptions!$P$65),'Phase III Pro Forma'!T58)</f>
        <v>1.2100000000000002</v>
      </c>
      <c r="V58" s="49">
        <f>+IF(MOD(V$2,Assumptions!$P$66)=(Assumptions!$P$66-1),U58*(1+Assumptions!$P$65),'Phase III Pro Forma'!U58)</f>
        <v>1.3310000000000004</v>
      </c>
      <c r="W58" s="49">
        <f>+IF(MOD(W$2,Assumptions!$P$66)=(Assumptions!$P$66-1),V58*(1+Assumptions!$P$65),'Phase III Pro Forma'!V58)</f>
        <v>1.3310000000000004</v>
      </c>
      <c r="X58" s="49">
        <f>+IF(MOD(X$2,Assumptions!$P$66)=(Assumptions!$P$66-1),W58*(1+Assumptions!$P$65),'Phase III Pro Forma'!W58)</f>
        <v>1.3310000000000004</v>
      </c>
      <c r="Y58" s="49">
        <f>+IF(MOD(Y$2,Assumptions!$P$66)=(Assumptions!$P$66-1),X58*(1+Assumptions!$P$65),'Phase III Pro Forma'!X58)</f>
        <v>1.3310000000000004</v>
      </c>
      <c r="Z58" s="49">
        <f>+IF(MOD(Z$2,Assumptions!$P$66)=(Assumptions!$P$66-1),Y58*(1+Assumptions!$P$65),'Phase III Pro Forma'!Y58)</f>
        <v>1.3310000000000004</v>
      </c>
    </row>
    <row r="59" spans="1:26">
      <c r="B59" s="15" t="s">
        <v>611</v>
      </c>
      <c r="C59" s="15"/>
      <c r="D59" s="22"/>
      <c r="E59" s="22"/>
      <c r="F59" s="49">
        <v>1</v>
      </c>
      <c r="G59" s="49">
        <f>+F59*(1+Assumptions!$P$78)</f>
        <v>1.02</v>
      </c>
      <c r="H59" s="49">
        <f>+G59*(1+Assumptions!$P$78)</f>
        <v>1.0404</v>
      </c>
      <c r="I59" s="49">
        <f>+H59*(1+Assumptions!$P$78)</f>
        <v>1.0612079999999999</v>
      </c>
      <c r="J59" s="49">
        <f>+I59*(1+Assumptions!$P$78)</f>
        <v>1.08243216</v>
      </c>
      <c r="K59" s="49">
        <f>+J59*(1+Assumptions!$P$78)</f>
        <v>1.1040808032</v>
      </c>
      <c r="L59" s="49">
        <f>+K59*(1+Assumptions!$P$78)</f>
        <v>1.1261624192640001</v>
      </c>
      <c r="M59" s="49">
        <f>+L59*(1+Assumptions!$P$78)</f>
        <v>1.14868566764928</v>
      </c>
      <c r="N59" s="49">
        <f>+M59*(1+Assumptions!$P$78)</f>
        <v>1.1716593810022657</v>
      </c>
      <c r="O59" s="49">
        <f>+N59*(1+Assumptions!$P$78)</f>
        <v>1.1950925686223111</v>
      </c>
      <c r="P59" s="49">
        <f>+O59*(1+Assumptions!$P$78)</f>
        <v>1.2189944199947573</v>
      </c>
      <c r="Q59" s="49">
        <f>+P59*(1+Assumptions!$P$78)</f>
        <v>1.2433743083946525</v>
      </c>
      <c r="R59" s="49">
        <f>+Q59*(1+Assumptions!$P$78)</f>
        <v>1.2682417945625455</v>
      </c>
      <c r="S59" s="49">
        <f>+R59*(1+Assumptions!$P$78)</f>
        <v>1.2936066304537963</v>
      </c>
      <c r="T59" s="49">
        <f>+S59*(1+Assumptions!$P$78)</f>
        <v>1.3194787630628724</v>
      </c>
      <c r="U59" s="49">
        <f>+T59*(1+Assumptions!$P$78)</f>
        <v>1.3458683383241299</v>
      </c>
      <c r="V59" s="49">
        <f>+U59*(1+Assumptions!$P$78)</f>
        <v>1.3727857050906125</v>
      </c>
      <c r="W59" s="49">
        <f>+V59*(1+Assumptions!$P$78)</f>
        <v>1.4002414191924248</v>
      </c>
      <c r="X59" s="49">
        <f>+W59*(1+Assumptions!$P$78)</f>
        <v>1.4282462475762734</v>
      </c>
      <c r="Y59" s="49">
        <f>+X59*(1+Assumptions!$P$78)</f>
        <v>1.4568111725277988</v>
      </c>
      <c r="Z59" s="49">
        <f>+Y59*(1+Assumptions!$P$78)</f>
        <v>1.4859473959783549</v>
      </c>
    </row>
    <row r="60" spans="1:26">
      <c r="B60" s="15"/>
      <c r="C60" s="15"/>
      <c r="D60" s="20"/>
      <c r="E60" s="20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</row>
    <row r="61" spans="1:26">
      <c r="B61" s="15" t="s">
        <v>612</v>
      </c>
      <c r="C61" s="15"/>
      <c r="D61" s="20"/>
      <c r="E61" s="20"/>
      <c r="F61" s="16">
        <f>+F56*Assumptions!$H$136*F58</f>
        <v>0</v>
      </c>
      <c r="G61" s="16">
        <f>+G56*Assumptions!$H$136*G58</f>
        <v>0</v>
      </c>
      <c r="H61" s="16">
        <f>+H56*Assumptions!$H$136*H58</f>
        <v>0</v>
      </c>
      <c r="I61" s="16">
        <f>+I56*Assumptions!$H$136*I58</f>
        <v>1324961.747404776</v>
      </c>
      <c r="J61" s="16">
        <f>+J56*Assumptions!$H$136*J58</f>
        <v>2649923.4948095521</v>
      </c>
      <c r="K61" s="16">
        <f>+K56*Assumptions!$H$136*K58</f>
        <v>2649923.4948095521</v>
      </c>
      <c r="L61" s="16">
        <f>+L56*Assumptions!$H$136*L58</f>
        <v>2914915.8442905075</v>
      </c>
      <c r="M61" s="16">
        <f>+M56*Assumptions!$H$136*M58</f>
        <v>2914915.8442905075</v>
      </c>
      <c r="N61" s="16">
        <f>+N56*Assumptions!$H$136*N58</f>
        <v>2914915.8442905075</v>
      </c>
      <c r="O61" s="16">
        <f>+O56*Assumptions!$H$136*O58</f>
        <v>2914915.8442905075</v>
      </c>
      <c r="P61" s="16">
        <f>+P56*Assumptions!$H$136*P58</f>
        <v>2914915.8442905075</v>
      </c>
      <c r="Q61" s="16">
        <f>+Q56*Assumptions!$H$136*Q58</f>
        <v>3206407.4287195588</v>
      </c>
      <c r="R61" s="16">
        <f>+R56*Assumptions!$H$136*R58</f>
        <v>3206407.4287195588</v>
      </c>
      <c r="S61" s="16">
        <f>+S56*Assumptions!$H$136*S58</f>
        <v>3206407.4287195588</v>
      </c>
      <c r="T61" s="16">
        <f>+T56*Assumptions!$H$136*T58</f>
        <v>3206407.4287195588</v>
      </c>
      <c r="U61" s="16">
        <f>+U56*Assumptions!$H$136*U58</f>
        <v>3206407.4287195588</v>
      </c>
      <c r="V61" s="16">
        <f>+V56*Assumptions!$H$136*V58</f>
        <v>3527048.1715915147</v>
      </c>
      <c r="W61" s="16">
        <f>+W56*Assumptions!$H$136*W58</f>
        <v>3527048.1715915147</v>
      </c>
      <c r="X61" s="16">
        <f>+X56*Assumptions!$H$136*X58</f>
        <v>3527048.1715915147</v>
      </c>
      <c r="Y61" s="16">
        <f>+Y56*Assumptions!$H$136*Y58</f>
        <v>3527048.1715915147</v>
      </c>
      <c r="Z61" s="16">
        <f>+Z56*Assumptions!$H$136*Z58</f>
        <v>3527048.1715915147</v>
      </c>
    </row>
    <row r="62" spans="1:26">
      <c r="B62" s="15" t="s">
        <v>613</v>
      </c>
      <c r="C62" s="15"/>
      <c r="D62" s="20"/>
      <c r="E62" s="20"/>
      <c r="F62" s="22">
        <f>-F61*Assumptions!$P$56</f>
        <v>0</v>
      </c>
      <c r="G62" s="22">
        <f>-G61*Assumptions!$P$56</f>
        <v>0</v>
      </c>
      <c r="H62" s="22">
        <f>-H61*Assumptions!$P$56</f>
        <v>0</v>
      </c>
      <c r="I62" s="22">
        <f>-I61*Assumptions!$P$56</f>
        <v>-66248.087370238805</v>
      </c>
      <c r="J62" s="22">
        <f>-J61*Assumptions!$P$56</f>
        <v>-132496.17474047761</v>
      </c>
      <c r="K62" s="22">
        <f>-K61*Assumptions!$P$56</f>
        <v>-132496.17474047761</v>
      </c>
      <c r="L62" s="22">
        <f>-L61*Assumptions!$P$56</f>
        <v>-145745.79221452537</v>
      </c>
      <c r="M62" s="22">
        <f>-M61*Assumptions!$P$56</f>
        <v>-145745.79221452537</v>
      </c>
      <c r="N62" s="22">
        <f>-N61*Assumptions!$P$56</f>
        <v>-145745.79221452537</v>
      </c>
      <c r="O62" s="22">
        <f>-O61*Assumptions!$P$56</f>
        <v>-145745.79221452537</v>
      </c>
      <c r="P62" s="22">
        <f>-P61*Assumptions!$P$56</f>
        <v>-145745.79221452537</v>
      </c>
      <c r="Q62" s="22">
        <f>-Q61*Assumptions!$P$56</f>
        <v>-160320.37143597796</v>
      </c>
      <c r="R62" s="22">
        <f>-R61*Assumptions!$P$56</f>
        <v>-160320.37143597796</v>
      </c>
      <c r="S62" s="22">
        <f>-S61*Assumptions!$P$56</f>
        <v>-160320.37143597796</v>
      </c>
      <c r="T62" s="22">
        <f>-T61*Assumptions!$P$56</f>
        <v>-160320.37143597796</v>
      </c>
      <c r="U62" s="22">
        <f>-U61*Assumptions!$P$56</f>
        <v>-160320.37143597796</v>
      </c>
      <c r="V62" s="22">
        <f>-V61*Assumptions!$P$56</f>
        <v>-176352.40857957574</v>
      </c>
      <c r="W62" s="22">
        <f>-W61*Assumptions!$P$56</f>
        <v>-176352.40857957574</v>
      </c>
      <c r="X62" s="22">
        <f>-X61*Assumptions!$P$56</f>
        <v>-176352.40857957574</v>
      </c>
      <c r="Y62" s="22">
        <f>-Y61*Assumptions!$P$56</f>
        <v>-176352.40857957574</v>
      </c>
      <c r="Z62" s="22">
        <f>-Z61*Assumptions!$P$56</f>
        <v>-176352.40857957574</v>
      </c>
    </row>
    <row r="63" spans="1:26">
      <c r="B63" s="15" t="s">
        <v>622</v>
      </c>
      <c r="C63" s="15"/>
      <c r="D63" s="20"/>
      <c r="E63" s="20"/>
      <c r="F63" s="76">
        <f>+F68*Assumptions!$P$89</f>
        <v>0</v>
      </c>
      <c r="G63" s="76">
        <f>+G68*Assumptions!$P$89</f>
        <v>0</v>
      </c>
      <c r="H63" s="76">
        <f>+H68*Assumptions!$P$89</f>
        <v>0</v>
      </c>
      <c r="I63" s="76">
        <f>+I68*Assumptions!$P$89</f>
        <v>485982.83994679194</v>
      </c>
      <c r="J63" s="76">
        <f>+J68*Assumptions!$P$89</f>
        <v>977254.14439391333</v>
      </c>
      <c r="K63" s="76">
        <f>+K68*Assumptions!$P$89</f>
        <v>996799.22728179151</v>
      </c>
      <c r="L63" s="76">
        <f>+L68*Assumptions!$P$89</f>
        <v>1016735.2118274274</v>
      </c>
      <c r="M63" s="76">
        <f>+M68*Assumptions!$P$89</f>
        <v>1037069.9160639758</v>
      </c>
      <c r="N63" s="76">
        <f>+N68*Assumptions!$P$89</f>
        <v>1057811.3143852553</v>
      </c>
      <c r="O63" s="76">
        <f>+O68*Assumptions!$P$89</f>
        <v>1078967.5406729605</v>
      </c>
      <c r="P63" s="76">
        <f>+P68*Assumptions!$P$89</f>
        <v>1100546.8914864198</v>
      </c>
      <c r="Q63" s="76">
        <f>+Q68*Assumptions!$P$89</f>
        <v>1122557.8293161483</v>
      </c>
      <c r="R63" s="76">
        <f>+R68*Assumptions!$P$89</f>
        <v>1145008.9859024712</v>
      </c>
      <c r="S63" s="76">
        <f>+S68*Assumptions!$P$89</f>
        <v>1167909.1656205207</v>
      </c>
      <c r="T63" s="76">
        <f>+T68*Assumptions!$P$89</f>
        <v>1191267.348932931</v>
      </c>
      <c r="U63" s="76">
        <f>+U68*Assumptions!$P$89</f>
        <v>1215092.6959115898</v>
      </c>
      <c r="V63" s="76">
        <f>+V68*Assumptions!$P$89</f>
        <v>1239394.5498298216</v>
      </c>
      <c r="W63" s="76">
        <f>+W68*Assumptions!$P$89</f>
        <v>1264182.4408264181</v>
      </c>
      <c r="X63" s="76">
        <f>+X68*Assumptions!$P$89</f>
        <v>1289466.0896429466</v>
      </c>
      <c r="Y63" s="76">
        <f>+Y68*Assumptions!$P$89</f>
        <v>1315255.4114358055</v>
      </c>
      <c r="Z63" s="76">
        <f>+Z68*Assumptions!$P$89</f>
        <v>1341560.5196645218</v>
      </c>
    </row>
    <row r="64" spans="1:26">
      <c r="B64" s="62" t="s">
        <v>614</v>
      </c>
      <c r="C64" s="62"/>
      <c r="D64" s="62"/>
      <c r="E64" s="62"/>
      <c r="F64" s="58">
        <f t="shared" ref="F64:Z64" si="26">+SUM(F61:F63)</f>
        <v>0</v>
      </c>
      <c r="G64" s="58">
        <f t="shared" si="26"/>
        <v>0</v>
      </c>
      <c r="H64" s="58">
        <f t="shared" si="26"/>
        <v>0</v>
      </c>
      <c r="I64" s="58">
        <f t="shared" si="26"/>
        <v>1744696.4999813293</v>
      </c>
      <c r="J64" s="58">
        <f t="shared" si="26"/>
        <v>3494681.4644629881</v>
      </c>
      <c r="K64" s="58">
        <f>+SUM(K61:K63)</f>
        <v>3514226.5473508663</v>
      </c>
      <c r="L64" s="58">
        <f t="shared" si="26"/>
        <v>3785905.2639034092</v>
      </c>
      <c r="M64" s="58">
        <f t="shared" si="26"/>
        <v>3806239.9681399576</v>
      </c>
      <c r="N64" s="58">
        <f t="shared" si="26"/>
        <v>3826981.3664612374</v>
      </c>
      <c r="O64" s="58">
        <f t="shared" si="26"/>
        <v>3848137.5927489428</v>
      </c>
      <c r="P64" s="58">
        <f t="shared" si="26"/>
        <v>3869716.9435624019</v>
      </c>
      <c r="Q64" s="58">
        <f t="shared" si="26"/>
        <v>4168644.8865997288</v>
      </c>
      <c r="R64" s="58">
        <f t="shared" si="26"/>
        <v>4191096.0431860518</v>
      </c>
      <c r="S64" s="58">
        <f t="shared" si="26"/>
        <v>4213996.222904101</v>
      </c>
      <c r="T64" s="58">
        <f t="shared" si="26"/>
        <v>4237354.4062165115</v>
      </c>
      <c r="U64" s="58">
        <f t="shared" si="26"/>
        <v>4261179.7531951703</v>
      </c>
      <c r="V64" s="58">
        <f t="shared" si="26"/>
        <v>4590090.31284176</v>
      </c>
      <c r="W64" s="58">
        <f t="shared" si="26"/>
        <v>4614878.2038383568</v>
      </c>
      <c r="X64" s="58">
        <f t="shared" si="26"/>
        <v>4640161.8526548855</v>
      </c>
      <c r="Y64" s="58">
        <f t="shared" si="26"/>
        <v>4665951.1744477442</v>
      </c>
      <c r="Z64" s="58">
        <f t="shared" si="26"/>
        <v>4692256.2826764602</v>
      </c>
    </row>
    <row r="66" spans="2:26">
      <c r="B66" s="15" t="s">
        <v>615</v>
      </c>
      <c r="F66" s="16">
        <f>+F55*Assumptions!$P$121*'Phase III Pro Forma'!F59</f>
        <v>0</v>
      </c>
      <c r="G66" s="16">
        <f>+G55*Assumptions!$P$121*'Phase III Pro Forma'!G59</f>
        <v>0</v>
      </c>
      <c r="H66" s="16">
        <f>+H55*Assumptions!$P$121*'Phase III Pro Forma'!H59</f>
        <v>0</v>
      </c>
      <c r="I66" s="16">
        <f>+I55*Assumptions!$P$121*'Phase III Pro Forma'!I59</f>
        <v>146901.79167581332</v>
      </c>
      <c r="J66" s="16">
        <f>+J55*Assumptions!$P$121*'Phase III Pro Forma'!J59</f>
        <v>299679.65501865919</v>
      </c>
      <c r="K66" s="16">
        <f>+K55*Assumptions!$P$121*'Phase III Pro Forma'!K59</f>
        <v>305673.24811903236</v>
      </c>
      <c r="L66" s="16">
        <f>+L55*Assumptions!$P$121*'Phase III Pro Forma'!L59</f>
        <v>311786.71308141307</v>
      </c>
      <c r="M66" s="16">
        <f>+M55*Assumptions!$P$121*'Phase III Pro Forma'!M59</f>
        <v>318022.44734304131</v>
      </c>
      <c r="N66" s="16">
        <f>+N55*Assumptions!$P$121*'Phase III Pro Forma'!N59</f>
        <v>324382.89628990216</v>
      </c>
      <c r="O66" s="16">
        <f>+O55*Assumptions!$P$121*'Phase III Pro Forma'!O59</f>
        <v>330870.55421570019</v>
      </c>
      <c r="P66" s="16">
        <f>+P55*Assumptions!$P$121*'Phase III Pro Forma'!P59</f>
        <v>337487.96530001418</v>
      </c>
      <c r="Q66" s="16">
        <f>+Q55*Assumptions!$P$121*'Phase III Pro Forma'!Q59</f>
        <v>344237.7246060145</v>
      </c>
      <c r="R66" s="16">
        <f>+R55*Assumptions!$P$121*'Phase III Pro Forma'!R59</f>
        <v>351122.47909813479</v>
      </c>
      <c r="S66" s="16">
        <f>+S55*Assumptions!$P$121*'Phase III Pro Forma'!S59</f>
        <v>358144.92868009745</v>
      </c>
      <c r="T66" s="16">
        <f>+T55*Assumptions!$P$121*'Phase III Pro Forma'!T59</f>
        <v>365307.82725369942</v>
      </c>
      <c r="U66" s="16">
        <f>+U55*Assumptions!$P$121*'Phase III Pro Forma'!U59</f>
        <v>372613.98379877344</v>
      </c>
      <c r="V66" s="16">
        <f>+V55*Assumptions!$P$121*'Phase III Pro Forma'!V59</f>
        <v>380066.26347474894</v>
      </c>
      <c r="W66" s="16">
        <f>+W55*Assumptions!$P$121*'Phase III Pro Forma'!W59</f>
        <v>387667.5887442439</v>
      </c>
      <c r="X66" s="16">
        <f>+X55*Assumptions!$P$121*'Phase III Pro Forma'!X59</f>
        <v>395420.94051912881</v>
      </c>
      <c r="Y66" s="16">
        <f>+Y55*Assumptions!$P$121*'Phase III Pro Forma'!Y59</f>
        <v>403329.35932951135</v>
      </c>
      <c r="Z66" s="16">
        <f>+Z55*Assumptions!$P$121*'Phase III Pro Forma'!Z59</f>
        <v>411395.94651610166</v>
      </c>
    </row>
    <row r="67" spans="2:26">
      <c r="B67" s="693" t="s">
        <v>616</v>
      </c>
      <c r="C67" s="693"/>
      <c r="D67" s="693"/>
      <c r="E67" s="693"/>
      <c r="F67" s="734"/>
      <c r="G67" s="734">
        <v>0</v>
      </c>
      <c r="H67" s="734">
        <v>0</v>
      </c>
      <c r="I67" s="734">
        <f>(('Parcel x Block Info'!$P$17*0.1)*I56)</f>
        <v>393079.14159839996</v>
      </c>
      <c r="J67" s="734">
        <f>('Parcel x Block Info'!$P$17*0.1)</f>
        <v>786158.28319679992</v>
      </c>
      <c r="K67" s="734">
        <f t="shared" ref="K67:Z67" si="27">J67*1.02</f>
        <v>801881.44886073598</v>
      </c>
      <c r="L67" s="734">
        <f t="shared" si="27"/>
        <v>817919.07783795067</v>
      </c>
      <c r="M67" s="734">
        <f t="shared" si="27"/>
        <v>834277.45939470967</v>
      </c>
      <c r="N67" s="734">
        <f t="shared" si="27"/>
        <v>850963.00858260388</v>
      </c>
      <c r="O67" s="734">
        <f t="shared" si="27"/>
        <v>867982.26875425596</v>
      </c>
      <c r="P67" s="734">
        <f t="shared" si="27"/>
        <v>885341.91412934114</v>
      </c>
      <c r="Q67" s="734">
        <f t="shared" si="27"/>
        <v>903048.75241192803</v>
      </c>
      <c r="R67" s="734">
        <f t="shared" si="27"/>
        <v>921109.72746016656</v>
      </c>
      <c r="S67" s="734">
        <f t="shared" si="27"/>
        <v>939531.92200936994</v>
      </c>
      <c r="T67" s="734">
        <f t="shared" si="27"/>
        <v>958322.56044955738</v>
      </c>
      <c r="U67" s="734">
        <f t="shared" si="27"/>
        <v>977489.01165854849</v>
      </c>
      <c r="V67" s="734">
        <f t="shared" si="27"/>
        <v>997038.79189171945</v>
      </c>
      <c r="W67" s="734">
        <f t="shared" si="27"/>
        <v>1016979.5677295539</v>
      </c>
      <c r="X67" s="734">
        <f t="shared" si="27"/>
        <v>1037319.159084145</v>
      </c>
      <c r="Y67" s="734">
        <f t="shared" si="27"/>
        <v>1058065.542265828</v>
      </c>
      <c r="Z67" s="734">
        <f t="shared" si="27"/>
        <v>1079226.8531111446</v>
      </c>
    </row>
    <row r="68" spans="2:26">
      <c r="B68" s="62" t="s">
        <v>617</v>
      </c>
      <c r="C68" s="62"/>
      <c r="D68" s="62"/>
      <c r="E68" s="62"/>
      <c r="F68" s="58">
        <f>+SUM(F66:F67)</f>
        <v>0</v>
      </c>
      <c r="G68" s="58">
        <f t="shared" ref="G68" si="28">+SUM(G66:G67)</f>
        <v>0</v>
      </c>
      <c r="H68" s="58">
        <f t="shared" ref="H68" si="29">+SUM(H66:H67)</f>
        <v>0</v>
      </c>
      <c r="I68" s="58">
        <f t="shared" ref="I68:Z68" si="30">+SUM(I66:I67)</f>
        <v>539980.93327421322</v>
      </c>
      <c r="J68" s="58">
        <f t="shared" si="30"/>
        <v>1085837.9382154592</v>
      </c>
      <c r="K68" s="58">
        <f t="shared" si="30"/>
        <v>1107554.6969797683</v>
      </c>
      <c r="L68" s="58">
        <f t="shared" si="30"/>
        <v>1129705.7909193637</v>
      </c>
      <c r="M68" s="58">
        <f t="shared" si="30"/>
        <v>1152299.9067377509</v>
      </c>
      <c r="N68" s="58">
        <f t="shared" si="30"/>
        <v>1175345.9048725059</v>
      </c>
      <c r="O68" s="58">
        <f t="shared" si="30"/>
        <v>1198852.8229699561</v>
      </c>
      <c r="P68" s="58">
        <f t="shared" si="30"/>
        <v>1222829.8794293553</v>
      </c>
      <c r="Q68" s="58">
        <f t="shared" si="30"/>
        <v>1247286.4770179426</v>
      </c>
      <c r="R68" s="58">
        <f t="shared" si="30"/>
        <v>1272232.2065583013</v>
      </c>
      <c r="S68" s="58">
        <f t="shared" si="30"/>
        <v>1297676.8506894675</v>
      </c>
      <c r="T68" s="58">
        <f t="shared" si="30"/>
        <v>1323630.3877032567</v>
      </c>
      <c r="U68" s="58">
        <f t="shared" si="30"/>
        <v>1350102.9954573219</v>
      </c>
      <c r="V68" s="58">
        <f t="shared" si="30"/>
        <v>1377105.0553664684</v>
      </c>
      <c r="W68" s="58">
        <f t="shared" si="30"/>
        <v>1404647.1564737977</v>
      </c>
      <c r="X68" s="58">
        <f t="shared" si="30"/>
        <v>1432740.0996032739</v>
      </c>
      <c r="Y68" s="58">
        <f t="shared" si="30"/>
        <v>1461394.9015953394</v>
      </c>
      <c r="Z68" s="58">
        <f t="shared" si="30"/>
        <v>1490622.7996272463</v>
      </c>
    </row>
    <row r="69" spans="2:26">
      <c r="B69" s="15"/>
    </row>
    <row r="70" spans="2:26" ht="15.75">
      <c r="B70" s="687" t="s">
        <v>618</v>
      </c>
      <c r="C70" s="687"/>
      <c r="D70" s="687"/>
      <c r="E70" s="687"/>
      <c r="F70" s="550">
        <f>+F64-F68</f>
        <v>0</v>
      </c>
      <c r="G70" s="550">
        <f t="shared" ref="G70:H70" si="31">+G64-G68</f>
        <v>0</v>
      </c>
      <c r="H70" s="550">
        <f t="shared" si="31"/>
        <v>0</v>
      </c>
      <c r="I70" s="550">
        <f t="shared" ref="I70:Z70" si="32">+I64-I68</f>
        <v>1204715.5667071161</v>
      </c>
      <c r="J70" s="550">
        <f t="shared" si="32"/>
        <v>2408843.5262475288</v>
      </c>
      <c r="K70" s="550">
        <f t="shared" si="32"/>
        <v>2406671.8503710981</v>
      </c>
      <c r="L70" s="550">
        <f t="shared" si="32"/>
        <v>2656199.4729840457</v>
      </c>
      <c r="M70" s="550">
        <f t="shared" si="32"/>
        <v>2653940.0614022068</v>
      </c>
      <c r="N70" s="550">
        <f t="shared" si="32"/>
        <v>2651635.4615887315</v>
      </c>
      <c r="O70" s="550">
        <f t="shared" si="32"/>
        <v>2649284.7697789865</v>
      </c>
      <c r="P70" s="550">
        <f t="shared" si="32"/>
        <v>2646887.0641330467</v>
      </c>
      <c r="Q70" s="550">
        <f t="shared" si="32"/>
        <v>2921358.409581786</v>
      </c>
      <c r="R70" s="550">
        <f t="shared" si="32"/>
        <v>2918863.8366277507</v>
      </c>
      <c r="S70" s="550">
        <f t="shared" si="32"/>
        <v>2916319.3722146335</v>
      </c>
      <c r="T70" s="550">
        <f t="shared" si="32"/>
        <v>2913724.0185132548</v>
      </c>
      <c r="U70" s="550">
        <f t="shared" si="32"/>
        <v>2911076.7577378484</v>
      </c>
      <c r="V70" s="550">
        <f t="shared" si="32"/>
        <v>3212985.2574752914</v>
      </c>
      <c r="W70" s="550">
        <f t="shared" si="32"/>
        <v>3210231.047364559</v>
      </c>
      <c r="X70" s="550">
        <f t="shared" si="32"/>
        <v>3207421.7530516116</v>
      </c>
      <c r="Y70" s="550">
        <f t="shared" si="32"/>
        <v>3204556.272852405</v>
      </c>
      <c r="Z70" s="550">
        <f t="shared" si="32"/>
        <v>3201633.4830492139</v>
      </c>
    </row>
    <row r="71" spans="2:26" ht="15.75">
      <c r="B71" s="688" t="s">
        <v>619</v>
      </c>
      <c r="C71" s="689"/>
      <c r="D71" s="689"/>
      <c r="E71" s="689"/>
      <c r="F71" s="690" t="str">
        <f>+IFERROR(F70/F64,"")</f>
        <v/>
      </c>
      <c r="G71" s="690" t="str">
        <f t="shared" ref="G71:H71" si="33">+IFERROR(G70/G64,"")</f>
        <v/>
      </c>
      <c r="H71" s="690" t="str">
        <f t="shared" si="33"/>
        <v/>
      </c>
      <c r="I71" s="691">
        <f t="shared" ref="I71:Z71" si="34">+IFERROR(I70/I64,"")</f>
        <v>0.69050150941439281</v>
      </c>
      <c r="J71" s="691">
        <f t="shared" si="34"/>
        <v>0.68928843751362756</v>
      </c>
      <c r="K71" s="691">
        <f t="shared" si="34"/>
        <v>0.68483685327154631</v>
      </c>
      <c r="L71" s="691">
        <f t="shared" si="34"/>
        <v>0.70160220286267949</v>
      </c>
      <c r="M71" s="691">
        <f t="shared" si="34"/>
        <v>0.69726031033695979</v>
      </c>
      <c r="N71" s="691">
        <f t="shared" si="34"/>
        <v>0.69287911481018427</v>
      </c>
      <c r="O71" s="691">
        <f t="shared" si="34"/>
        <v>0.6884589508366441</v>
      </c>
      <c r="P71" s="691">
        <f t="shared" si="34"/>
        <v>0.68400017436323468</v>
      </c>
      <c r="Q71" s="691">
        <f t="shared" si="34"/>
        <v>0.70079330071328605</v>
      </c>
      <c r="R71" s="691">
        <f t="shared" si="34"/>
        <v>0.6964440343411562</v>
      </c>
      <c r="S71" s="691">
        <f t="shared" si="34"/>
        <v>0.69205552590762276</v>
      </c>
      <c r="T71" s="691">
        <f t="shared" si="34"/>
        <v>0.68762811395681389</v>
      </c>
      <c r="U71" s="691">
        <f t="shared" si="34"/>
        <v>0.68316215845037487</v>
      </c>
      <c r="V71" s="691">
        <f t="shared" si="34"/>
        <v>0.69998301525490192</v>
      </c>
      <c r="W71" s="691">
        <f t="shared" si="34"/>
        <v>0.69562638612964844</v>
      </c>
      <c r="X71" s="691">
        <f t="shared" si="34"/>
        <v>0.691230576626648</v>
      </c>
      <c r="Y71" s="691">
        <f t="shared" si="34"/>
        <v>0.68679592928481337</v>
      </c>
      <c r="Z71" s="691">
        <f t="shared" si="34"/>
        <v>0.68232280808477153</v>
      </c>
    </row>
    <row r="72" spans="2:26" ht="15.75">
      <c r="B72" s="688" t="s">
        <v>568</v>
      </c>
      <c r="C72" s="689"/>
      <c r="D72" s="689"/>
      <c r="E72" s="689"/>
      <c r="F72" s="692">
        <f>+F70/Assumptions!$P$130</f>
        <v>0</v>
      </c>
      <c r="G72" s="692">
        <f>+G70/Assumptions!$P$130</f>
        <v>0</v>
      </c>
      <c r="H72" s="692">
        <f>+H70/Assumptions!$P$130</f>
        <v>0</v>
      </c>
      <c r="I72" s="692">
        <f>+I70/Assumptions!$P$130</f>
        <v>20078592.778451934</v>
      </c>
      <c r="J72" s="692">
        <f>+J70/Assumptions!$P$130</f>
        <v>40147392.104125485</v>
      </c>
      <c r="K72" s="692">
        <f>+K70/Assumptions!$P$130</f>
        <v>40111197.506184973</v>
      </c>
      <c r="L72" s="692">
        <f>+L70/Assumptions!$P$130</f>
        <v>44269991.216400765</v>
      </c>
      <c r="M72" s="692">
        <f>+M70/Assumptions!$P$130</f>
        <v>44232334.356703445</v>
      </c>
      <c r="N72" s="692">
        <f>+N70/Assumptions!$P$130</f>
        <v>44193924.359812193</v>
      </c>
      <c r="O72" s="692">
        <f>+O70/Assumptions!$P$130</f>
        <v>44154746.162983112</v>
      </c>
      <c r="P72" s="692">
        <f>+P70/Assumptions!$P$130</f>
        <v>44114784.402217448</v>
      </c>
      <c r="Q72" s="692">
        <f>+Q70/Assumptions!$P$130</f>
        <v>48689306.826363102</v>
      </c>
      <c r="R72" s="692">
        <f>+R70/Assumptions!$P$130</f>
        <v>48647730.610462509</v>
      </c>
      <c r="S72" s="692">
        <f>+S70/Assumptions!$P$130</f>
        <v>48605322.870243892</v>
      </c>
      <c r="T72" s="692">
        <f>+T70/Assumptions!$P$130</f>
        <v>48562066.975220919</v>
      </c>
      <c r="U72" s="692">
        <f>+U70/Assumptions!$P$130</f>
        <v>48517945.962297477</v>
      </c>
      <c r="V72" s="692">
        <f>+V70/Assumptions!$P$130</f>
        <v>53549754.291254856</v>
      </c>
      <c r="W72" s="692">
        <f>+W70/Assumptions!$P$130</f>
        <v>53503850.789409317</v>
      </c>
      <c r="X72" s="692">
        <f>+X70/Assumptions!$P$130</f>
        <v>53457029.217526861</v>
      </c>
      <c r="Y72" s="692">
        <f>+Y70/Assumptions!$P$130</f>
        <v>53409271.214206755</v>
      </c>
      <c r="Z72" s="692">
        <f>+Z70/Assumptions!$P$130</f>
        <v>53360558.050820231</v>
      </c>
    </row>
    <row r="74" spans="2:26" ht="15.75" hidden="1">
      <c r="B74" s="73" t="s">
        <v>15</v>
      </c>
      <c r="C74" s="74"/>
      <c r="D74" s="74"/>
      <c r="E74" s="74"/>
      <c r="F74" s="75">
        <f>+Assumptions!$H$22</f>
        <v>45657</v>
      </c>
      <c r="G74" s="75">
        <f>+EOMONTH(F74,12)</f>
        <v>46022</v>
      </c>
      <c r="H74" s="75">
        <f t="shared" ref="H74:Z74" si="35">+EOMONTH(G74,12)</f>
        <v>46387</v>
      </c>
      <c r="I74" s="75">
        <f t="shared" si="35"/>
        <v>46752</v>
      </c>
      <c r="J74" s="75">
        <f t="shared" si="35"/>
        <v>47118</v>
      </c>
      <c r="K74" s="75">
        <f t="shared" si="35"/>
        <v>47483</v>
      </c>
      <c r="L74" s="75">
        <f t="shared" si="35"/>
        <v>47848</v>
      </c>
      <c r="M74" s="75">
        <f t="shared" si="35"/>
        <v>48213</v>
      </c>
      <c r="N74" s="75">
        <f t="shared" si="35"/>
        <v>48579</v>
      </c>
      <c r="O74" s="75">
        <f t="shared" si="35"/>
        <v>48944</v>
      </c>
      <c r="P74" s="75">
        <f t="shared" si="35"/>
        <v>49309</v>
      </c>
      <c r="Q74" s="75">
        <f t="shared" si="35"/>
        <v>49674</v>
      </c>
      <c r="R74" s="75">
        <f t="shared" si="35"/>
        <v>50040</v>
      </c>
      <c r="S74" s="75">
        <f t="shared" si="35"/>
        <v>50405</v>
      </c>
      <c r="T74" s="75">
        <f t="shared" si="35"/>
        <v>50770</v>
      </c>
      <c r="U74" s="75">
        <f t="shared" si="35"/>
        <v>51135</v>
      </c>
      <c r="V74" s="75">
        <f t="shared" si="35"/>
        <v>51501</v>
      </c>
      <c r="W74" s="75">
        <f t="shared" si="35"/>
        <v>51866</v>
      </c>
      <c r="X74" s="75">
        <f t="shared" si="35"/>
        <v>52231</v>
      </c>
      <c r="Y74" s="75">
        <f t="shared" si="35"/>
        <v>52596</v>
      </c>
      <c r="Z74" s="75">
        <f t="shared" si="35"/>
        <v>52962</v>
      </c>
    </row>
    <row r="75" spans="2:26" hidden="1">
      <c r="B75" s="15" t="s">
        <v>605</v>
      </c>
      <c r="C75" s="15"/>
      <c r="D75" s="20"/>
      <c r="E75" s="20"/>
      <c r="F75" s="22">
        <f>+IF(AND(F74&gt;=Assumptions!$H$26,F74&lt;Assumptions!$H$28),Assumptions!$H$154/ROUNDUP((Assumptions!$H$27/12),0),0)</f>
        <v>0</v>
      </c>
      <c r="G75" s="22">
        <f>+IF(AND(G74&gt;=Assumptions!$H$26,G74&lt;Assumptions!$H$28),Assumptions!$H$154/ROUNDUP((Assumptions!$H$27/12),0),0)</f>
        <v>0</v>
      </c>
      <c r="H75" s="22">
        <f>+IF(AND(H74&gt;=Assumptions!$H$26,H74&lt;Assumptions!$H$28),Assumptions!$H$154/ROUNDUP((Assumptions!$H$27/12),0),0)</f>
        <v>0</v>
      </c>
      <c r="I75" s="22">
        <f>+IF(AND(I74&gt;=Assumptions!$H$26,I74&lt;Assumptions!$H$28),Assumptions!$H$154/ROUNDUP((Assumptions!$H$27/12),0),0)</f>
        <v>0</v>
      </c>
      <c r="J75" s="22">
        <f>+IF(AND(J74&gt;=Assumptions!$H$26,J74&lt;Assumptions!$H$28),Assumptions!$H$154/ROUNDUP((Assumptions!$H$27/12),0),0)</f>
        <v>0</v>
      </c>
      <c r="K75" s="22">
        <f>+IF(AND(K74&gt;=Assumptions!$H$26,K74&lt;Assumptions!$H$28),Assumptions!$H$154/ROUNDUP((Assumptions!$H$27/12),0),0)</f>
        <v>0</v>
      </c>
      <c r="L75" s="22">
        <f>+IF(AND(L74&gt;=Assumptions!$H$26,L74&lt;Assumptions!$H$28),Assumptions!$H$154/ROUNDUP((Assumptions!$H$27/12),0),0)</f>
        <v>0</v>
      </c>
      <c r="M75" s="22">
        <f>+IF(AND(M74&gt;=Assumptions!$H$26,M74&lt;Assumptions!$H$28),Assumptions!$H$154/ROUNDUP((Assumptions!$H$27/12),0),0)</f>
        <v>0</v>
      </c>
      <c r="N75" s="22">
        <f>+IF(AND(N74&gt;=Assumptions!$H$26,N74&lt;Assumptions!$H$28),Assumptions!$H$154/ROUNDUP((Assumptions!$H$27/12),0),0)</f>
        <v>0</v>
      </c>
      <c r="O75" s="22">
        <f>+IF(AND(O74&gt;=Assumptions!$H$26,O74&lt;Assumptions!$H$28),Assumptions!$H$154/ROUNDUP((Assumptions!$H$27/12),0),0)</f>
        <v>0</v>
      </c>
      <c r="P75" s="22">
        <f>+IF(AND(P74&gt;=Assumptions!$H$26,P74&lt;Assumptions!$H$28),Assumptions!$H$154/ROUNDUP((Assumptions!$H$27/12),0),0)</f>
        <v>0</v>
      </c>
      <c r="Q75" s="22">
        <f>+IF(AND(Q74&gt;=Assumptions!$H$26,Q74&lt;Assumptions!$H$28),Assumptions!$H$154/ROUNDUP((Assumptions!$H$27/12),0),0)</f>
        <v>0</v>
      </c>
      <c r="R75" s="22">
        <f>+IF(AND(R74&gt;=Assumptions!$H$26,R74&lt;Assumptions!$H$28),Assumptions!$H$154/ROUNDUP((Assumptions!$H$27/12),0),0)</f>
        <v>0</v>
      </c>
      <c r="S75" s="22">
        <f>+IF(AND(S74&gt;=Assumptions!$H$26,S74&lt;Assumptions!$H$28),Assumptions!$H$154/ROUNDUP((Assumptions!$H$27/12),0),0)</f>
        <v>0</v>
      </c>
      <c r="T75" s="22">
        <f>+IF(AND(T74&gt;=Assumptions!$H$26,T74&lt;Assumptions!$H$28),Assumptions!$H$154/ROUNDUP((Assumptions!$H$27/12),0),0)</f>
        <v>0</v>
      </c>
      <c r="U75" s="22">
        <f>+IF(AND(U74&gt;=Assumptions!$H$26,U74&lt;Assumptions!$H$28),Assumptions!$H$154/ROUNDUP((Assumptions!$H$27/12),0),0)</f>
        <v>0</v>
      </c>
      <c r="V75" s="22">
        <f>+IF(AND(V74&gt;=Assumptions!$H$26,V74&lt;Assumptions!$H$28),Assumptions!$H$154/ROUNDUP((Assumptions!$H$27/12),0),0)</f>
        <v>0</v>
      </c>
      <c r="W75" s="22">
        <f>+IF(AND(W74&gt;=Assumptions!$H$26,W74&lt;Assumptions!$H$28),Assumptions!$H$154/ROUNDUP((Assumptions!$H$27/12),0),0)</f>
        <v>0</v>
      </c>
      <c r="X75" s="22">
        <f>+IF(AND(X74&gt;=Assumptions!$H$26,X74&lt;Assumptions!$H$28),Assumptions!$H$154/ROUNDUP((Assumptions!$H$27/12),0),0)</f>
        <v>0</v>
      </c>
      <c r="Y75" s="22">
        <f>+IF(AND(Y74&gt;=Assumptions!$H$26,Y74&lt;Assumptions!$H$28),Assumptions!$H$154/ROUNDUP((Assumptions!$H$27/12),0),0)</f>
        <v>0</v>
      </c>
      <c r="Z75" s="22">
        <f>+IF(AND(Z74&gt;=Assumptions!$H$26,Z74&lt;Assumptions!$H$28),Assumptions!$H$154/ROUNDUP((Assumptions!$H$27/12),0),0)</f>
        <v>0</v>
      </c>
    </row>
    <row r="76" spans="2:26" hidden="1">
      <c r="B76" s="15" t="s">
        <v>606</v>
      </c>
      <c r="C76" s="15"/>
      <c r="D76" s="22"/>
      <c r="E76" s="22"/>
      <c r="F76" s="22">
        <f>+D76+F75</f>
        <v>0</v>
      </c>
      <c r="G76" s="22">
        <f t="shared" ref="G76:Z76" si="36">+F76+G75</f>
        <v>0</v>
      </c>
      <c r="H76" s="22">
        <f t="shared" si="36"/>
        <v>0</v>
      </c>
      <c r="I76" s="22">
        <f t="shared" si="36"/>
        <v>0</v>
      </c>
      <c r="J76" s="22">
        <f t="shared" si="36"/>
        <v>0</v>
      </c>
      <c r="K76" s="22">
        <f t="shared" si="36"/>
        <v>0</v>
      </c>
      <c r="L76" s="22">
        <f t="shared" si="36"/>
        <v>0</v>
      </c>
      <c r="M76" s="22">
        <f t="shared" si="36"/>
        <v>0</v>
      </c>
      <c r="N76" s="22">
        <f t="shared" si="36"/>
        <v>0</v>
      </c>
      <c r="O76" s="22">
        <f t="shared" si="36"/>
        <v>0</v>
      </c>
      <c r="P76" s="22">
        <f t="shared" si="36"/>
        <v>0</v>
      </c>
      <c r="Q76" s="22">
        <f t="shared" si="36"/>
        <v>0</v>
      </c>
      <c r="R76" s="22">
        <f t="shared" si="36"/>
        <v>0</v>
      </c>
      <c r="S76" s="22">
        <f t="shared" si="36"/>
        <v>0</v>
      </c>
      <c r="T76" s="22">
        <f t="shared" si="36"/>
        <v>0</v>
      </c>
      <c r="U76" s="22">
        <f t="shared" si="36"/>
        <v>0</v>
      </c>
      <c r="V76" s="22">
        <f t="shared" si="36"/>
        <v>0</v>
      </c>
      <c r="W76" s="22">
        <f t="shared" si="36"/>
        <v>0</v>
      </c>
      <c r="X76" s="22">
        <f t="shared" si="36"/>
        <v>0</v>
      </c>
      <c r="Y76" s="22">
        <f t="shared" si="36"/>
        <v>0</v>
      </c>
      <c r="Z76" s="22">
        <f t="shared" si="36"/>
        <v>0</v>
      </c>
    </row>
    <row r="77" spans="2:26" hidden="1">
      <c r="B77" s="15" t="s">
        <v>609</v>
      </c>
      <c r="C77" s="15"/>
      <c r="D77" s="22"/>
      <c r="E77" s="22"/>
      <c r="F77" s="49" t="e">
        <f>+F76/SUM($F75:$Z75)</f>
        <v>#DIV/0!</v>
      </c>
      <c r="G77" s="49" t="e">
        <f t="shared" ref="G77:Z77" si="37">+G76/SUM($F75:$Z75)</f>
        <v>#DIV/0!</v>
      </c>
      <c r="H77" s="49" t="e">
        <f t="shared" si="37"/>
        <v>#DIV/0!</v>
      </c>
      <c r="I77" s="49" t="e">
        <f t="shared" si="37"/>
        <v>#DIV/0!</v>
      </c>
      <c r="J77" s="49" t="e">
        <f t="shared" si="37"/>
        <v>#DIV/0!</v>
      </c>
      <c r="K77" s="49" t="e">
        <f t="shared" si="37"/>
        <v>#DIV/0!</v>
      </c>
      <c r="L77" s="49" t="e">
        <f t="shared" si="37"/>
        <v>#DIV/0!</v>
      </c>
      <c r="M77" s="49" t="e">
        <f t="shared" si="37"/>
        <v>#DIV/0!</v>
      </c>
      <c r="N77" s="49" t="e">
        <f t="shared" si="37"/>
        <v>#DIV/0!</v>
      </c>
      <c r="O77" s="49" t="e">
        <f t="shared" si="37"/>
        <v>#DIV/0!</v>
      </c>
      <c r="P77" s="49" t="e">
        <f t="shared" si="37"/>
        <v>#DIV/0!</v>
      </c>
      <c r="Q77" s="49" t="e">
        <f t="shared" si="37"/>
        <v>#DIV/0!</v>
      </c>
      <c r="R77" s="49" t="e">
        <f t="shared" si="37"/>
        <v>#DIV/0!</v>
      </c>
      <c r="S77" s="49" t="e">
        <f t="shared" si="37"/>
        <v>#DIV/0!</v>
      </c>
      <c r="T77" s="49" t="e">
        <f t="shared" si="37"/>
        <v>#DIV/0!</v>
      </c>
      <c r="U77" s="49" t="e">
        <f t="shared" si="37"/>
        <v>#DIV/0!</v>
      </c>
      <c r="V77" s="49" t="e">
        <f t="shared" si="37"/>
        <v>#DIV/0!</v>
      </c>
      <c r="W77" s="49" t="e">
        <f t="shared" si="37"/>
        <v>#DIV/0!</v>
      </c>
      <c r="X77" s="49" t="e">
        <f t="shared" si="37"/>
        <v>#DIV/0!</v>
      </c>
      <c r="Y77" s="49" t="e">
        <f t="shared" si="37"/>
        <v>#DIV/0!</v>
      </c>
      <c r="Z77" s="49" t="e">
        <f t="shared" si="37"/>
        <v>#DIV/0!</v>
      </c>
    </row>
    <row r="78" spans="2:26" hidden="1">
      <c r="B78" s="15"/>
      <c r="C78" s="15"/>
      <c r="D78" s="20"/>
      <c r="E78" s="20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</row>
    <row r="79" spans="2:26" hidden="1">
      <c r="B79" s="15" t="s">
        <v>610</v>
      </c>
      <c r="C79" s="15"/>
      <c r="D79" s="22"/>
      <c r="E79" s="22"/>
      <c r="F79" s="49">
        <v>1</v>
      </c>
      <c r="G79" s="49">
        <f>+IF(MOD(G$2,Assumptions!$P$69)=(Assumptions!$P$69-1),F79*(1+Assumptions!$P$68),'Phase III Pro Forma'!F79)</f>
        <v>1</v>
      </c>
      <c r="H79" s="49">
        <f>+IF(MOD(H$2,Assumptions!$P$69)=(Assumptions!$P$69-1),G79*(1+Assumptions!$P$68),'Phase III Pro Forma'!G79)</f>
        <v>1</v>
      </c>
      <c r="I79" s="49">
        <f>+IF(MOD(I$2,Assumptions!$P$69)=(Assumptions!$P$69-1),H79*(1+Assumptions!$P$68),'Phase III Pro Forma'!H79)</f>
        <v>1</v>
      </c>
      <c r="J79" s="49">
        <f>+IF(MOD(J$2,Assumptions!$P$69)=(Assumptions!$P$69-1),I79*(1+Assumptions!$P$68),'Phase III Pro Forma'!I79)</f>
        <v>1</v>
      </c>
      <c r="K79" s="49">
        <f>+IF(MOD(K$2,Assumptions!$P$69)=(Assumptions!$P$69-1),J79*(1+Assumptions!$P$68),'Phase III Pro Forma'!J79)</f>
        <v>1</v>
      </c>
      <c r="L79" s="49">
        <f>+IF(MOD(L$2,Assumptions!$P$69)=(Assumptions!$P$69-1),K79*(1+Assumptions!$P$68),'Phase III Pro Forma'!K79)</f>
        <v>1.05</v>
      </c>
      <c r="M79" s="49">
        <f>+IF(MOD(M$2,Assumptions!$P$69)=(Assumptions!$P$69-1),L79*(1+Assumptions!$P$68),'Phase III Pro Forma'!L79)</f>
        <v>1.05</v>
      </c>
      <c r="N79" s="49">
        <f>+IF(MOD(N$2,Assumptions!$P$69)=(Assumptions!$P$69-1),M79*(1+Assumptions!$P$68),'Phase III Pro Forma'!M79)</f>
        <v>1.05</v>
      </c>
      <c r="O79" s="49">
        <f>+IF(MOD(O$2,Assumptions!$P$69)=(Assumptions!$P$69-1),N79*(1+Assumptions!$P$68),'Phase III Pro Forma'!N79)</f>
        <v>1.05</v>
      </c>
      <c r="P79" s="49">
        <f>+IF(MOD(P$2,Assumptions!$P$69)=(Assumptions!$P$69-1),O79*(1+Assumptions!$P$68),'Phase III Pro Forma'!O79)</f>
        <v>1.05</v>
      </c>
      <c r="Q79" s="49">
        <f>+IF(MOD(Q$2,Assumptions!$P$69)=(Assumptions!$P$69-1),P79*(1+Assumptions!$P$68),'Phase III Pro Forma'!P79)</f>
        <v>1.1025</v>
      </c>
      <c r="R79" s="49">
        <f>+IF(MOD(R$2,Assumptions!$P$69)=(Assumptions!$P$69-1),Q79*(1+Assumptions!$P$68),'Phase III Pro Forma'!Q79)</f>
        <v>1.1025</v>
      </c>
      <c r="S79" s="49">
        <f>+IF(MOD(S$2,Assumptions!$P$69)=(Assumptions!$P$69-1),R79*(1+Assumptions!$P$68),'Phase III Pro Forma'!R79)</f>
        <v>1.1025</v>
      </c>
      <c r="T79" s="49">
        <f>+IF(MOD(T$2,Assumptions!$P$69)=(Assumptions!$P$69-1),S79*(1+Assumptions!$P$68),'Phase III Pro Forma'!S79)</f>
        <v>1.1025</v>
      </c>
      <c r="U79" s="49">
        <f>+IF(MOD(U$2,Assumptions!$P$69)=(Assumptions!$P$69-1),T79*(1+Assumptions!$P$68),'Phase III Pro Forma'!T79)</f>
        <v>1.1025</v>
      </c>
      <c r="V79" s="49">
        <f>+IF(MOD(V$2,Assumptions!$P$69)=(Assumptions!$P$69-1),U79*(1+Assumptions!$P$68),'Phase III Pro Forma'!U79)</f>
        <v>1.1576250000000001</v>
      </c>
      <c r="W79" s="49">
        <f>+IF(MOD(W$2,Assumptions!$P$69)=(Assumptions!$P$69-1),V79*(1+Assumptions!$P$68),'Phase III Pro Forma'!V79)</f>
        <v>1.1576250000000001</v>
      </c>
      <c r="X79" s="49">
        <f>+IF(MOD(X$2,Assumptions!$P$69)=(Assumptions!$P$69-1),W79*(1+Assumptions!$P$68),'Phase III Pro Forma'!W79)</f>
        <v>1.1576250000000001</v>
      </c>
      <c r="Y79" s="49">
        <f>+IF(MOD(Y$2,Assumptions!$P$69)=(Assumptions!$P$69-1),X79*(1+Assumptions!$P$68),'Phase III Pro Forma'!X79)</f>
        <v>1.1576250000000001</v>
      </c>
      <c r="Z79" s="49">
        <f>+IF(MOD(Z$2,Assumptions!$P$69)=(Assumptions!$P$69-1),Y79*(1+Assumptions!$P$68),'Phase III Pro Forma'!Y79)</f>
        <v>1.1576250000000001</v>
      </c>
    </row>
    <row r="80" spans="2:26" hidden="1">
      <c r="B80" s="15" t="s">
        <v>611</v>
      </c>
      <c r="C80" s="15"/>
      <c r="D80" s="22"/>
      <c r="E80" s="22"/>
      <c r="F80" s="49">
        <v>1</v>
      </c>
      <c r="G80" s="49">
        <f>+F80*(1+Assumptions!$P$79)</f>
        <v>1.02</v>
      </c>
      <c r="H80" s="49">
        <f>+G80*(1+Assumptions!$P$79)</f>
        <v>1.0404</v>
      </c>
      <c r="I80" s="49">
        <f>+H80*(1+Assumptions!$P$79)</f>
        <v>1.0612079999999999</v>
      </c>
      <c r="J80" s="49">
        <f>+I80*(1+Assumptions!$P$79)</f>
        <v>1.08243216</v>
      </c>
      <c r="K80" s="49">
        <f>+J80*(1+Assumptions!$P$79)</f>
        <v>1.1040808032</v>
      </c>
      <c r="L80" s="49">
        <f>+K80*(1+Assumptions!$P$79)</f>
        <v>1.1261624192640001</v>
      </c>
      <c r="M80" s="49">
        <f>+L80*(1+Assumptions!$P$79)</f>
        <v>1.14868566764928</v>
      </c>
      <c r="N80" s="49">
        <f>+M80*(1+Assumptions!$P$79)</f>
        <v>1.1716593810022657</v>
      </c>
      <c r="O80" s="49">
        <f>+N80*(1+Assumptions!$P$79)</f>
        <v>1.1950925686223111</v>
      </c>
      <c r="P80" s="49">
        <f>+O80*(1+Assumptions!$P$79)</f>
        <v>1.2189944199947573</v>
      </c>
      <c r="Q80" s="49">
        <f>+P80*(1+Assumptions!$P$79)</f>
        <v>1.2433743083946525</v>
      </c>
      <c r="R80" s="49">
        <f>+Q80*(1+Assumptions!$P$79)</f>
        <v>1.2682417945625455</v>
      </c>
      <c r="S80" s="49">
        <f>+R80*(1+Assumptions!$P$79)</f>
        <v>1.2936066304537963</v>
      </c>
      <c r="T80" s="49">
        <f>+S80*(1+Assumptions!$P$79)</f>
        <v>1.3194787630628724</v>
      </c>
      <c r="U80" s="49">
        <f>+T80*(1+Assumptions!$P$79)</f>
        <v>1.3458683383241299</v>
      </c>
      <c r="V80" s="49">
        <f>+U80*(1+Assumptions!$P$79)</f>
        <v>1.3727857050906125</v>
      </c>
      <c r="W80" s="49">
        <f>+V80*(1+Assumptions!$P$79)</f>
        <v>1.4002414191924248</v>
      </c>
      <c r="X80" s="49">
        <f>+W80*(1+Assumptions!$P$79)</f>
        <v>1.4282462475762734</v>
      </c>
      <c r="Y80" s="49">
        <f>+X80*(1+Assumptions!$P$79)</f>
        <v>1.4568111725277988</v>
      </c>
      <c r="Z80" s="49">
        <f>+Y80*(1+Assumptions!$P$79)</f>
        <v>1.4859473959783549</v>
      </c>
    </row>
    <row r="81" spans="2:26" hidden="1">
      <c r="B81" s="15"/>
      <c r="C81" s="15"/>
      <c r="D81" s="20"/>
      <c r="E81" s="20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</row>
    <row r="82" spans="2:26" hidden="1">
      <c r="B82" s="15" t="s">
        <v>612</v>
      </c>
      <c r="C82" s="15"/>
      <c r="D82" s="20"/>
      <c r="E82" s="20"/>
      <c r="F82" s="16" t="e">
        <f>+F77*Assumptions!$H$153*F79</f>
        <v>#DIV/0!</v>
      </c>
      <c r="G82" s="16" t="e">
        <f>+G77*Assumptions!$H$153*G79</f>
        <v>#DIV/0!</v>
      </c>
      <c r="H82" s="16" t="e">
        <f>+H77*Assumptions!$H$153*H79</f>
        <v>#DIV/0!</v>
      </c>
      <c r="I82" s="16" t="e">
        <f>+I77*Assumptions!$H$153*I79</f>
        <v>#DIV/0!</v>
      </c>
      <c r="J82" s="16" t="e">
        <f>+J77*Assumptions!$H$153*J79</f>
        <v>#DIV/0!</v>
      </c>
      <c r="K82" s="16" t="e">
        <f>+K77*Assumptions!$H$153*K79</f>
        <v>#DIV/0!</v>
      </c>
      <c r="L82" s="16" t="e">
        <f>+L77*Assumptions!$H$153*L79</f>
        <v>#DIV/0!</v>
      </c>
      <c r="M82" s="16" t="e">
        <f>+M77*Assumptions!$H$153*M79</f>
        <v>#DIV/0!</v>
      </c>
      <c r="N82" s="16" t="e">
        <f>+N77*Assumptions!$H$153*N79</f>
        <v>#DIV/0!</v>
      </c>
      <c r="O82" s="16" t="e">
        <f>+O77*Assumptions!$H$153*O79</f>
        <v>#DIV/0!</v>
      </c>
      <c r="P82" s="16" t="e">
        <f>+P77*Assumptions!$H$153*P79</f>
        <v>#DIV/0!</v>
      </c>
      <c r="Q82" s="16" t="e">
        <f>+Q77*Assumptions!$H$153*Q79</f>
        <v>#DIV/0!</v>
      </c>
      <c r="R82" s="16" t="e">
        <f>+R77*Assumptions!$H$153*R79</f>
        <v>#DIV/0!</v>
      </c>
      <c r="S82" s="16" t="e">
        <f>+S77*Assumptions!$H$153*S79</f>
        <v>#DIV/0!</v>
      </c>
      <c r="T82" s="16" t="e">
        <f>+T77*Assumptions!$H$153*T79</f>
        <v>#DIV/0!</v>
      </c>
      <c r="U82" s="16" t="e">
        <f>+U77*Assumptions!$H$153*U79</f>
        <v>#DIV/0!</v>
      </c>
      <c r="V82" s="16" t="e">
        <f>+V77*Assumptions!$H$153*V79</f>
        <v>#DIV/0!</v>
      </c>
      <c r="W82" s="16" t="e">
        <f>+W77*Assumptions!$H$153*W79</f>
        <v>#DIV/0!</v>
      </c>
      <c r="X82" s="16" t="e">
        <f>+X77*Assumptions!$H$153*X79</f>
        <v>#DIV/0!</v>
      </c>
      <c r="Y82" s="16" t="e">
        <f>+Y77*Assumptions!$H$153*Y79</f>
        <v>#DIV/0!</v>
      </c>
      <c r="Z82" s="16" t="e">
        <f>+Z77*Assumptions!$H$153*Z79</f>
        <v>#DIV/0!</v>
      </c>
    </row>
    <row r="83" spans="2:26" hidden="1">
      <c r="B83" s="15" t="s">
        <v>613</v>
      </c>
      <c r="C83" s="15"/>
      <c r="D83" s="20"/>
      <c r="E83" s="20"/>
      <c r="F83" s="22" t="e">
        <f>-F82*Assumptions!$P$57</f>
        <v>#DIV/0!</v>
      </c>
      <c r="G83" s="22" t="e">
        <f>-G82*Assumptions!$P$57</f>
        <v>#DIV/0!</v>
      </c>
      <c r="H83" s="22" t="e">
        <f>-H82*Assumptions!$P$57</f>
        <v>#DIV/0!</v>
      </c>
      <c r="I83" s="22" t="e">
        <f>-I82*Assumptions!$P$57</f>
        <v>#DIV/0!</v>
      </c>
      <c r="J83" s="22" t="e">
        <f>-J82*Assumptions!$P$57</f>
        <v>#DIV/0!</v>
      </c>
      <c r="K83" s="22" t="e">
        <f>-K82*Assumptions!$P$57</f>
        <v>#DIV/0!</v>
      </c>
      <c r="L83" s="22" t="e">
        <f>-L82*Assumptions!$P$57</f>
        <v>#DIV/0!</v>
      </c>
      <c r="M83" s="22" t="e">
        <f>-M82*Assumptions!$P$57</f>
        <v>#DIV/0!</v>
      </c>
      <c r="N83" s="22" t="e">
        <f>-N82*Assumptions!$P$57</f>
        <v>#DIV/0!</v>
      </c>
      <c r="O83" s="22" t="e">
        <f>-O82*Assumptions!$P$57</f>
        <v>#DIV/0!</v>
      </c>
      <c r="P83" s="22" t="e">
        <f>-P82*Assumptions!$P$57</f>
        <v>#DIV/0!</v>
      </c>
      <c r="Q83" s="22" t="e">
        <f>-Q82*Assumptions!$P$57</f>
        <v>#DIV/0!</v>
      </c>
      <c r="R83" s="22" t="e">
        <f>-R82*Assumptions!$P$57</f>
        <v>#DIV/0!</v>
      </c>
      <c r="S83" s="22" t="e">
        <f>-S82*Assumptions!$P$57</f>
        <v>#DIV/0!</v>
      </c>
      <c r="T83" s="22" t="e">
        <f>-T82*Assumptions!$P$57</f>
        <v>#DIV/0!</v>
      </c>
      <c r="U83" s="22" t="e">
        <f>-U82*Assumptions!$P$57</f>
        <v>#DIV/0!</v>
      </c>
      <c r="V83" s="22" t="e">
        <f>-V82*Assumptions!$P$57</f>
        <v>#DIV/0!</v>
      </c>
      <c r="W83" s="22" t="e">
        <f>-W82*Assumptions!$P$57</f>
        <v>#DIV/0!</v>
      </c>
      <c r="X83" s="22" t="e">
        <f>-X82*Assumptions!$P$57</f>
        <v>#DIV/0!</v>
      </c>
      <c r="Y83" s="22" t="e">
        <f>-Y82*Assumptions!$P$57</f>
        <v>#DIV/0!</v>
      </c>
      <c r="Z83" s="22" t="e">
        <f>-Z82*Assumptions!$P$57</f>
        <v>#DIV/0!</v>
      </c>
    </row>
    <row r="84" spans="2:26" hidden="1">
      <c r="B84" s="15" t="s">
        <v>622</v>
      </c>
      <c r="C84" s="15"/>
      <c r="D84" s="20"/>
      <c r="E84" s="20"/>
      <c r="F84" s="76" t="e">
        <f>+F89*Assumptions!$P$90</f>
        <v>#DIV/0!</v>
      </c>
      <c r="G84" s="76" t="e">
        <f>+G89*Assumptions!$P$90</f>
        <v>#DIV/0!</v>
      </c>
      <c r="H84" s="76" t="e">
        <f>+H89*Assumptions!$P$90</f>
        <v>#DIV/0!</v>
      </c>
      <c r="I84" s="76" t="e">
        <f>+I89*Assumptions!$P$90</f>
        <v>#DIV/0!</v>
      </c>
      <c r="J84" s="76" t="e">
        <f>+J89*Assumptions!$P$90</f>
        <v>#DIV/0!</v>
      </c>
      <c r="K84" s="76" t="e">
        <f>+K89*Assumptions!$P$90</f>
        <v>#DIV/0!</v>
      </c>
      <c r="L84" s="76" t="e">
        <f>+L89*Assumptions!$P$90</f>
        <v>#DIV/0!</v>
      </c>
      <c r="M84" s="76" t="e">
        <f>+M89*Assumptions!$P$90</f>
        <v>#DIV/0!</v>
      </c>
      <c r="N84" s="76" t="e">
        <f>+N89*Assumptions!$P$90</f>
        <v>#DIV/0!</v>
      </c>
      <c r="O84" s="76" t="e">
        <f>+O89*Assumptions!$P$90</f>
        <v>#DIV/0!</v>
      </c>
      <c r="P84" s="76" t="e">
        <f>+P89*Assumptions!$P$90</f>
        <v>#DIV/0!</v>
      </c>
      <c r="Q84" s="76" t="e">
        <f>+Q89*Assumptions!$P$90</f>
        <v>#DIV/0!</v>
      </c>
      <c r="R84" s="76" t="e">
        <f>+R89*Assumptions!$P$90</f>
        <v>#DIV/0!</v>
      </c>
      <c r="S84" s="76" t="e">
        <f>+S89*Assumptions!$P$90</f>
        <v>#DIV/0!</v>
      </c>
      <c r="T84" s="76" t="e">
        <f>+T89*Assumptions!$P$90</f>
        <v>#DIV/0!</v>
      </c>
      <c r="U84" s="76" t="e">
        <f>+U89*Assumptions!$P$90</f>
        <v>#DIV/0!</v>
      </c>
      <c r="V84" s="76" t="e">
        <f>+V89*Assumptions!$P$90</f>
        <v>#DIV/0!</v>
      </c>
      <c r="W84" s="76" t="e">
        <f>+W89*Assumptions!$P$90</f>
        <v>#DIV/0!</v>
      </c>
      <c r="X84" s="76" t="e">
        <f>+X89*Assumptions!$P$90</f>
        <v>#DIV/0!</v>
      </c>
      <c r="Y84" s="76" t="e">
        <f>+Y89*Assumptions!$P$90</f>
        <v>#DIV/0!</v>
      </c>
      <c r="Z84" s="76" t="e">
        <f>+Z89*Assumptions!$P$90</f>
        <v>#DIV/0!</v>
      </c>
    </row>
    <row r="85" spans="2:26" hidden="1">
      <c r="B85" s="62" t="s">
        <v>614</v>
      </c>
      <c r="C85" s="62"/>
      <c r="D85" s="62"/>
      <c r="E85" s="62"/>
      <c r="F85" s="58" t="e">
        <f t="shared" ref="F85:Z85" si="38">+SUM(F82:F84)</f>
        <v>#DIV/0!</v>
      </c>
      <c r="G85" s="58" t="e">
        <f t="shared" si="38"/>
        <v>#DIV/0!</v>
      </c>
      <c r="H85" s="58" t="e">
        <f t="shared" si="38"/>
        <v>#DIV/0!</v>
      </c>
      <c r="I85" s="58" t="e">
        <f t="shared" si="38"/>
        <v>#DIV/0!</v>
      </c>
      <c r="J85" s="58" t="e">
        <f t="shared" si="38"/>
        <v>#DIV/0!</v>
      </c>
      <c r="K85" s="58" t="e">
        <f t="shared" si="38"/>
        <v>#DIV/0!</v>
      </c>
      <c r="L85" s="58" t="e">
        <f t="shared" si="38"/>
        <v>#DIV/0!</v>
      </c>
      <c r="M85" s="58" t="e">
        <f t="shared" si="38"/>
        <v>#DIV/0!</v>
      </c>
      <c r="N85" s="58" t="e">
        <f t="shared" si="38"/>
        <v>#DIV/0!</v>
      </c>
      <c r="O85" s="58" t="e">
        <f t="shared" si="38"/>
        <v>#DIV/0!</v>
      </c>
      <c r="P85" s="58" t="e">
        <f t="shared" si="38"/>
        <v>#DIV/0!</v>
      </c>
      <c r="Q85" s="58" t="e">
        <f t="shared" si="38"/>
        <v>#DIV/0!</v>
      </c>
      <c r="R85" s="58" t="e">
        <f t="shared" si="38"/>
        <v>#DIV/0!</v>
      </c>
      <c r="S85" s="58" t="e">
        <f t="shared" si="38"/>
        <v>#DIV/0!</v>
      </c>
      <c r="T85" s="58" t="e">
        <f t="shared" si="38"/>
        <v>#DIV/0!</v>
      </c>
      <c r="U85" s="58" t="e">
        <f t="shared" si="38"/>
        <v>#DIV/0!</v>
      </c>
      <c r="V85" s="58" t="e">
        <f t="shared" si="38"/>
        <v>#DIV/0!</v>
      </c>
      <c r="W85" s="58" t="e">
        <f t="shared" si="38"/>
        <v>#DIV/0!</v>
      </c>
      <c r="X85" s="58" t="e">
        <f t="shared" si="38"/>
        <v>#DIV/0!</v>
      </c>
      <c r="Y85" s="58" t="e">
        <f t="shared" si="38"/>
        <v>#DIV/0!</v>
      </c>
      <c r="Z85" s="58" t="e">
        <f t="shared" si="38"/>
        <v>#DIV/0!</v>
      </c>
    </row>
    <row r="86" spans="2:26" hidden="1"/>
    <row r="87" spans="2:26" hidden="1">
      <c r="B87" s="15" t="s">
        <v>615</v>
      </c>
      <c r="F87" s="16">
        <f>+F76*Assumptions!$P$122*'Phase III Pro Forma'!F80</f>
        <v>0</v>
      </c>
      <c r="G87" s="16">
        <f>+G76*Assumptions!$P$122*'Phase III Pro Forma'!G80</f>
        <v>0</v>
      </c>
      <c r="H87" s="16">
        <f>+H76*Assumptions!$P$122*'Phase III Pro Forma'!H80</f>
        <v>0</v>
      </c>
      <c r="I87" s="16">
        <f>+I76*Assumptions!$P$122*'Phase III Pro Forma'!I80</f>
        <v>0</v>
      </c>
      <c r="J87" s="16">
        <f>+J76*Assumptions!$P$122*'Phase III Pro Forma'!J80</f>
        <v>0</v>
      </c>
      <c r="K87" s="16">
        <f>+K76*Assumptions!$P$122*'Phase III Pro Forma'!K80</f>
        <v>0</v>
      </c>
      <c r="L87" s="16">
        <f>+L76*Assumptions!$P$122*'Phase III Pro Forma'!L80</f>
        <v>0</v>
      </c>
      <c r="M87" s="16">
        <f>+M76*Assumptions!$P$122*'Phase III Pro Forma'!M80</f>
        <v>0</v>
      </c>
      <c r="N87" s="16">
        <f>+N76*Assumptions!$P$122*'Phase III Pro Forma'!N80</f>
        <v>0</v>
      </c>
      <c r="O87" s="16">
        <f>+O76*Assumptions!$P$122*'Phase III Pro Forma'!O80</f>
        <v>0</v>
      </c>
      <c r="P87" s="16">
        <f>+P76*Assumptions!$P$122*'Phase III Pro Forma'!P80</f>
        <v>0</v>
      </c>
      <c r="Q87" s="16">
        <f>+Q76*Assumptions!$P$122*'Phase III Pro Forma'!Q80</f>
        <v>0</v>
      </c>
      <c r="R87" s="16">
        <f>+R76*Assumptions!$P$122*'Phase III Pro Forma'!R80</f>
        <v>0</v>
      </c>
      <c r="S87" s="16">
        <f>+S76*Assumptions!$P$122*'Phase III Pro Forma'!S80</f>
        <v>0</v>
      </c>
      <c r="T87" s="16">
        <f>+T76*Assumptions!$P$122*'Phase III Pro Forma'!T80</f>
        <v>0</v>
      </c>
      <c r="U87" s="16">
        <f>+U76*Assumptions!$P$122*'Phase III Pro Forma'!U80</f>
        <v>0</v>
      </c>
      <c r="V87" s="16">
        <f>+V76*Assumptions!$P$122*'Phase III Pro Forma'!V80</f>
        <v>0</v>
      </c>
      <c r="W87" s="16">
        <f>+W76*Assumptions!$P$122*'Phase III Pro Forma'!W80</f>
        <v>0</v>
      </c>
      <c r="X87" s="16">
        <f>+X76*Assumptions!$P$122*'Phase III Pro Forma'!X80</f>
        <v>0</v>
      </c>
      <c r="Y87" s="16">
        <f>+Y76*Assumptions!$P$122*'Phase III Pro Forma'!Y80</f>
        <v>0</v>
      </c>
      <c r="Z87" s="16">
        <f>+Z76*Assumptions!$P$122*'Phase III Pro Forma'!Z80</f>
        <v>0</v>
      </c>
    </row>
    <row r="88" spans="2:26" hidden="1">
      <c r="B88" s="15" t="s">
        <v>616</v>
      </c>
      <c r="F88" s="76" t="e">
        <f>+IFERROR(INDEX(#REF!,MATCH('Phase III Pro Forma'!F$7,#REF!,0)),0)*'Loan Sizing'!$M$18*F77</f>
        <v>#DIV/0!</v>
      </c>
      <c r="G88" s="76" t="e">
        <f>+IFERROR(INDEX(#REF!,MATCH('Phase III Pro Forma'!G$7,#REF!,0)),0)*'Loan Sizing'!$M$18*G77</f>
        <v>#DIV/0!</v>
      </c>
      <c r="H88" s="76" t="e">
        <f>+IFERROR(INDEX(#REF!,MATCH('Phase III Pro Forma'!H$7,#REF!,0)),0)*'Loan Sizing'!$M$18*H77</f>
        <v>#DIV/0!</v>
      </c>
      <c r="I88" s="76" t="e">
        <f>+IFERROR(INDEX(#REF!,MATCH('Phase III Pro Forma'!I$7,#REF!,0)),0)*'Loan Sizing'!$M$18*I77</f>
        <v>#DIV/0!</v>
      </c>
      <c r="J88" s="76" t="e">
        <f>+IFERROR(INDEX(#REF!,MATCH('Phase III Pro Forma'!J$7,#REF!,0)),0)*'Loan Sizing'!$M$18*J77</f>
        <v>#DIV/0!</v>
      </c>
      <c r="K88" s="76" t="e">
        <f>+IFERROR(INDEX(#REF!,MATCH('Phase III Pro Forma'!K$7,#REF!,0)),0)*'Loan Sizing'!$M$18*K77</f>
        <v>#DIV/0!</v>
      </c>
      <c r="L88" s="76" t="e">
        <f>+IFERROR(INDEX(#REF!,MATCH('Phase III Pro Forma'!L$7,#REF!,0)),0)*'Loan Sizing'!$M$18*L77</f>
        <v>#DIV/0!</v>
      </c>
      <c r="M88" s="76" t="e">
        <f>+IFERROR(INDEX(#REF!,MATCH('Phase III Pro Forma'!M$7,#REF!,0)),0)*'Loan Sizing'!$M$18*M77</f>
        <v>#DIV/0!</v>
      </c>
      <c r="N88" s="76" t="e">
        <f>+IFERROR(INDEX(#REF!,MATCH('Phase III Pro Forma'!N$7,#REF!,0)),0)*'Loan Sizing'!$M$18*N77</f>
        <v>#DIV/0!</v>
      </c>
      <c r="O88" s="76" t="e">
        <f>+IFERROR(INDEX(#REF!,MATCH('Phase III Pro Forma'!O$7,#REF!,0)),0)*'Loan Sizing'!$M$18*O77</f>
        <v>#DIV/0!</v>
      </c>
      <c r="P88" s="76" t="e">
        <f>+IFERROR(INDEX(#REF!,MATCH('Phase III Pro Forma'!P$7,#REF!,0)),0)*'Loan Sizing'!$M$18*P77</f>
        <v>#DIV/0!</v>
      </c>
      <c r="Q88" s="76" t="e">
        <f>+IFERROR(INDEX(#REF!,MATCH('Phase III Pro Forma'!Q$7,#REF!,0)),0)*'Loan Sizing'!$M$18*Q77</f>
        <v>#DIV/0!</v>
      </c>
      <c r="R88" s="76" t="e">
        <f>+IFERROR(INDEX(#REF!,MATCH('Phase III Pro Forma'!R$7,#REF!,0)),0)*'Loan Sizing'!$M$18*R77</f>
        <v>#DIV/0!</v>
      </c>
      <c r="S88" s="76" t="e">
        <f>+IFERROR(INDEX(#REF!,MATCH('Phase III Pro Forma'!S$7,#REF!,0)),0)*'Loan Sizing'!$M$18*S77</f>
        <v>#DIV/0!</v>
      </c>
      <c r="T88" s="76" t="e">
        <f>+IFERROR(INDEX(#REF!,MATCH('Phase III Pro Forma'!T$7,#REF!,0)),0)*'Loan Sizing'!$M$18*T77</f>
        <v>#DIV/0!</v>
      </c>
      <c r="U88" s="76" t="e">
        <f>+IFERROR(INDEX(#REF!,MATCH('Phase III Pro Forma'!U$7,#REF!,0)),0)*'Loan Sizing'!$M$18*U77</f>
        <v>#DIV/0!</v>
      </c>
      <c r="V88" s="76" t="e">
        <f>+IFERROR(INDEX(#REF!,MATCH('Phase III Pro Forma'!V$7,#REF!,0)),0)*'Loan Sizing'!$M$18*V77</f>
        <v>#DIV/0!</v>
      </c>
      <c r="W88" s="76" t="e">
        <f>+IFERROR(INDEX(#REF!,MATCH('Phase III Pro Forma'!W$7,#REF!,0)),0)*'Loan Sizing'!$M$18*W77</f>
        <v>#DIV/0!</v>
      </c>
      <c r="X88" s="76" t="e">
        <f>+IFERROR(INDEX(#REF!,MATCH('Phase III Pro Forma'!X$7,#REF!,0)),0)*'Loan Sizing'!$M$18*X77</f>
        <v>#DIV/0!</v>
      </c>
      <c r="Y88" s="76" t="e">
        <f>+IFERROR(INDEX(#REF!,MATCH('Phase III Pro Forma'!Y$7,#REF!,0)),0)*'Loan Sizing'!$M$18*Y77</f>
        <v>#DIV/0!</v>
      </c>
      <c r="Z88" s="76" t="e">
        <f>+IFERROR(INDEX(#REF!,MATCH('Phase III Pro Forma'!Z$7,#REF!,0)),0)*'Loan Sizing'!$M$18*Z77</f>
        <v>#DIV/0!</v>
      </c>
    </row>
    <row r="89" spans="2:26" hidden="1">
      <c r="B89" s="62" t="s">
        <v>617</v>
      </c>
      <c r="C89" s="62"/>
      <c r="D89" s="62"/>
      <c r="E89" s="62"/>
      <c r="F89" s="58" t="e">
        <f>+SUM(F87:F88)</f>
        <v>#DIV/0!</v>
      </c>
      <c r="G89" s="58" t="e">
        <f t="shared" ref="G89" si="39">+SUM(G87:G88)</f>
        <v>#DIV/0!</v>
      </c>
      <c r="H89" s="58" t="e">
        <f t="shared" ref="H89:Z89" si="40">+SUM(H87:H88)</f>
        <v>#DIV/0!</v>
      </c>
      <c r="I89" s="58" t="e">
        <f t="shared" si="40"/>
        <v>#DIV/0!</v>
      </c>
      <c r="J89" s="58" t="e">
        <f t="shared" si="40"/>
        <v>#DIV/0!</v>
      </c>
      <c r="K89" s="58" t="e">
        <f t="shared" si="40"/>
        <v>#DIV/0!</v>
      </c>
      <c r="L89" s="58" t="e">
        <f t="shared" si="40"/>
        <v>#DIV/0!</v>
      </c>
      <c r="M89" s="58" t="e">
        <f t="shared" si="40"/>
        <v>#DIV/0!</v>
      </c>
      <c r="N89" s="58" t="e">
        <f t="shared" si="40"/>
        <v>#DIV/0!</v>
      </c>
      <c r="O89" s="58" t="e">
        <f t="shared" si="40"/>
        <v>#DIV/0!</v>
      </c>
      <c r="P89" s="58" t="e">
        <f t="shared" si="40"/>
        <v>#DIV/0!</v>
      </c>
      <c r="Q89" s="58" t="e">
        <f t="shared" si="40"/>
        <v>#DIV/0!</v>
      </c>
      <c r="R89" s="58" t="e">
        <f t="shared" si="40"/>
        <v>#DIV/0!</v>
      </c>
      <c r="S89" s="58" t="e">
        <f t="shared" si="40"/>
        <v>#DIV/0!</v>
      </c>
      <c r="T89" s="58" t="e">
        <f t="shared" si="40"/>
        <v>#DIV/0!</v>
      </c>
      <c r="U89" s="58" t="e">
        <f t="shared" si="40"/>
        <v>#DIV/0!</v>
      </c>
      <c r="V89" s="58" t="e">
        <f t="shared" si="40"/>
        <v>#DIV/0!</v>
      </c>
      <c r="W89" s="58" t="e">
        <f t="shared" si="40"/>
        <v>#DIV/0!</v>
      </c>
      <c r="X89" s="58" t="e">
        <f t="shared" si="40"/>
        <v>#DIV/0!</v>
      </c>
      <c r="Y89" s="58" t="e">
        <f t="shared" si="40"/>
        <v>#DIV/0!</v>
      </c>
      <c r="Z89" s="58" t="e">
        <f t="shared" si="40"/>
        <v>#DIV/0!</v>
      </c>
    </row>
    <row r="90" spans="2:26" hidden="1">
      <c r="B90" s="15"/>
    </row>
    <row r="91" spans="2:26" ht="15.75" hidden="1">
      <c r="B91" s="63" t="s">
        <v>618</v>
      </c>
      <c r="C91" s="63"/>
      <c r="D91" s="63"/>
      <c r="E91" s="63"/>
      <c r="F91" s="64" t="e">
        <f>+F85-F89</f>
        <v>#DIV/0!</v>
      </c>
      <c r="G91" s="64" t="e">
        <f t="shared" ref="G91:Z91" si="41">+G85-G89</f>
        <v>#DIV/0!</v>
      </c>
      <c r="H91" s="64" t="e">
        <f t="shared" si="41"/>
        <v>#DIV/0!</v>
      </c>
      <c r="I91" s="64" t="e">
        <f t="shared" si="41"/>
        <v>#DIV/0!</v>
      </c>
      <c r="J91" s="64" t="e">
        <f t="shared" si="41"/>
        <v>#DIV/0!</v>
      </c>
      <c r="K91" s="64" t="e">
        <f t="shared" si="41"/>
        <v>#DIV/0!</v>
      </c>
      <c r="L91" s="64" t="e">
        <f t="shared" si="41"/>
        <v>#DIV/0!</v>
      </c>
      <c r="M91" s="64" t="e">
        <f t="shared" si="41"/>
        <v>#DIV/0!</v>
      </c>
      <c r="N91" s="64" t="e">
        <f t="shared" si="41"/>
        <v>#DIV/0!</v>
      </c>
      <c r="O91" s="64" t="e">
        <f t="shared" si="41"/>
        <v>#DIV/0!</v>
      </c>
      <c r="P91" s="64" t="e">
        <f t="shared" si="41"/>
        <v>#DIV/0!</v>
      </c>
      <c r="Q91" s="64" t="e">
        <f t="shared" si="41"/>
        <v>#DIV/0!</v>
      </c>
      <c r="R91" s="64" t="e">
        <f t="shared" si="41"/>
        <v>#DIV/0!</v>
      </c>
      <c r="S91" s="64" t="e">
        <f t="shared" si="41"/>
        <v>#DIV/0!</v>
      </c>
      <c r="T91" s="64" t="e">
        <f t="shared" si="41"/>
        <v>#DIV/0!</v>
      </c>
      <c r="U91" s="64" t="e">
        <f t="shared" si="41"/>
        <v>#DIV/0!</v>
      </c>
      <c r="V91" s="64" t="e">
        <f t="shared" si="41"/>
        <v>#DIV/0!</v>
      </c>
      <c r="W91" s="64" t="e">
        <f t="shared" si="41"/>
        <v>#DIV/0!</v>
      </c>
      <c r="X91" s="64" t="e">
        <f t="shared" si="41"/>
        <v>#DIV/0!</v>
      </c>
      <c r="Y91" s="64" t="e">
        <f t="shared" si="41"/>
        <v>#DIV/0!</v>
      </c>
      <c r="Z91" s="64" t="e">
        <f t="shared" si="41"/>
        <v>#DIV/0!</v>
      </c>
    </row>
    <row r="92" spans="2:26" ht="15.75" hidden="1">
      <c r="B92" s="68" t="s">
        <v>619</v>
      </c>
      <c r="C92" s="66"/>
      <c r="D92" s="66"/>
      <c r="E92" s="66"/>
      <c r="F92" s="69" t="str">
        <f>+IFERROR(F91/F85,"")</f>
        <v/>
      </c>
      <c r="G92" s="69" t="str">
        <f t="shared" ref="G92:Z92" si="42">+IFERROR(G91/G85,"")</f>
        <v/>
      </c>
      <c r="H92" s="69" t="str">
        <f t="shared" si="42"/>
        <v/>
      </c>
      <c r="I92" s="70" t="str">
        <f t="shared" si="42"/>
        <v/>
      </c>
      <c r="J92" s="70" t="str">
        <f t="shared" si="42"/>
        <v/>
      </c>
      <c r="K92" s="70" t="str">
        <f t="shared" si="42"/>
        <v/>
      </c>
      <c r="L92" s="70" t="str">
        <f t="shared" si="42"/>
        <v/>
      </c>
      <c r="M92" s="70" t="str">
        <f t="shared" si="42"/>
        <v/>
      </c>
      <c r="N92" s="70" t="str">
        <f t="shared" si="42"/>
        <v/>
      </c>
      <c r="O92" s="70" t="str">
        <f t="shared" si="42"/>
        <v/>
      </c>
      <c r="P92" s="70" t="str">
        <f t="shared" si="42"/>
        <v/>
      </c>
      <c r="Q92" s="70" t="str">
        <f t="shared" si="42"/>
        <v/>
      </c>
      <c r="R92" s="70" t="str">
        <f t="shared" si="42"/>
        <v/>
      </c>
      <c r="S92" s="70" t="str">
        <f t="shared" si="42"/>
        <v/>
      </c>
      <c r="T92" s="70" t="str">
        <f t="shared" si="42"/>
        <v/>
      </c>
      <c r="U92" s="70" t="str">
        <f t="shared" si="42"/>
        <v/>
      </c>
      <c r="V92" s="70" t="str">
        <f t="shared" si="42"/>
        <v/>
      </c>
      <c r="W92" s="70" t="str">
        <f t="shared" si="42"/>
        <v/>
      </c>
      <c r="X92" s="70" t="str">
        <f t="shared" si="42"/>
        <v/>
      </c>
      <c r="Y92" s="70" t="str">
        <f t="shared" si="42"/>
        <v/>
      </c>
      <c r="Z92" s="70" t="str">
        <f t="shared" si="42"/>
        <v/>
      </c>
    </row>
    <row r="93" spans="2:26" ht="15.75" hidden="1">
      <c r="B93" s="68" t="s">
        <v>568</v>
      </c>
      <c r="C93" s="66"/>
      <c r="D93" s="66"/>
      <c r="E93" s="66"/>
      <c r="F93" s="67" t="e">
        <f>+F91/Assumptions!$P$132</f>
        <v>#DIV/0!</v>
      </c>
      <c r="G93" s="67" t="e">
        <f>+G91/Assumptions!$P$132</f>
        <v>#DIV/0!</v>
      </c>
      <c r="H93" s="67" t="e">
        <f>+H91/Assumptions!$P$132</f>
        <v>#DIV/0!</v>
      </c>
      <c r="I93" s="67" t="e">
        <f>+I91/Assumptions!$P$132</f>
        <v>#DIV/0!</v>
      </c>
      <c r="J93" s="67" t="e">
        <f>+J91/Assumptions!$P$132</f>
        <v>#DIV/0!</v>
      </c>
      <c r="K93" s="67" t="e">
        <f>+K91/Assumptions!$P$132</f>
        <v>#DIV/0!</v>
      </c>
      <c r="L93" s="67" t="e">
        <f>+L91/Assumptions!$P$132</f>
        <v>#DIV/0!</v>
      </c>
      <c r="M93" s="67" t="e">
        <f>+M91/Assumptions!$P$132</f>
        <v>#DIV/0!</v>
      </c>
      <c r="N93" s="67" t="e">
        <f>+N91/Assumptions!$P$132</f>
        <v>#DIV/0!</v>
      </c>
      <c r="O93" s="67" t="e">
        <f>+O91/Assumptions!$P$132</f>
        <v>#DIV/0!</v>
      </c>
      <c r="P93" s="67" t="e">
        <f>+P91/Assumptions!$P$132</f>
        <v>#DIV/0!</v>
      </c>
      <c r="Q93" s="67" t="e">
        <f>+Q91/Assumptions!$P$132</f>
        <v>#DIV/0!</v>
      </c>
      <c r="R93" s="67" t="e">
        <f>+R91/Assumptions!$P$132</f>
        <v>#DIV/0!</v>
      </c>
      <c r="S93" s="67" t="e">
        <f>+S91/Assumptions!$P$132</f>
        <v>#DIV/0!</v>
      </c>
      <c r="T93" s="67" t="e">
        <f>+T91/Assumptions!$P$132</f>
        <v>#DIV/0!</v>
      </c>
      <c r="U93" s="67" t="e">
        <f>+U91/Assumptions!$P$132</f>
        <v>#DIV/0!</v>
      </c>
      <c r="V93" s="67" t="e">
        <f>+V91/Assumptions!$P$132</f>
        <v>#DIV/0!</v>
      </c>
      <c r="W93" s="67" t="e">
        <f>+W91/Assumptions!$P$132</f>
        <v>#DIV/0!</v>
      </c>
      <c r="X93" s="67" t="e">
        <f>+X91/Assumptions!$P$132</f>
        <v>#DIV/0!</v>
      </c>
      <c r="Y93" s="67" t="e">
        <f>+Y91/Assumptions!$P$132</f>
        <v>#DIV/0!</v>
      </c>
      <c r="Z93" s="67" t="e">
        <f>+Z91/Assumptions!$P$132</f>
        <v>#DIV/0!</v>
      </c>
    </row>
    <row r="94" spans="2:26" hidden="1"/>
    <row r="95" spans="2:26" ht="15.75" hidden="1">
      <c r="B95" s="73" t="s">
        <v>137</v>
      </c>
      <c r="C95" s="74"/>
      <c r="D95" s="74"/>
      <c r="E95" s="74"/>
      <c r="F95" s="75">
        <f>+Assumptions!$H$22</f>
        <v>45657</v>
      </c>
      <c r="G95" s="75">
        <f>+EOMONTH(F95,12)</f>
        <v>46022</v>
      </c>
      <c r="H95" s="75">
        <f t="shared" ref="H95:Z95" si="43">+EOMONTH(G95,12)</f>
        <v>46387</v>
      </c>
      <c r="I95" s="75">
        <f t="shared" si="43"/>
        <v>46752</v>
      </c>
      <c r="J95" s="75">
        <f t="shared" si="43"/>
        <v>47118</v>
      </c>
      <c r="K95" s="75">
        <f t="shared" si="43"/>
        <v>47483</v>
      </c>
      <c r="L95" s="75">
        <f t="shared" si="43"/>
        <v>47848</v>
      </c>
      <c r="M95" s="75">
        <f t="shared" si="43"/>
        <v>48213</v>
      </c>
      <c r="N95" s="75">
        <f t="shared" si="43"/>
        <v>48579</v>
      </c>
      <c r="O95" s="75">
        <f t="shared" si="43"/>
        <v>48944</v>
      </c>
      <c r="P95" s="75">
        <f t="shared" si="43"/>
        <v>49309</v>
      </c>
      <c r="Q95" s="75">
        <f t="shared" si="43"/>
        <v>49674</v>
      </c>
      <c r="R95" s="75">
        <f t="shared" si="43"/>
        <v>50040</v>
      </c>
      <c r="S95" s="75">
        <f t="shared" si="43"/>
        <v>50405</v>
      </c>
      <c r="T95" s="75">
        <f t="shared" si="43"/>
        <v>50770</v>
      </c>
      <c r="U95" s="75">
        <f t="shared" si="43"/>
        <v>51135</v>
      </c>
      <c r="V95" s="75">
        <f t="shared" si="43"/>
        <v>51501</v>
      </c>
      <c r="W95" s="75">
        <f t="shared" si="43"/>
        <v>51866</v>
      </c>
      <c r="X95" s="75">
        <f t="shared" si="43"/>
        <v>52231</v>
      </c>
      <c r="Y95" s="75">
        <f t="shared" si="43"/>
        <v>52596</v>
      </c>
      <c r="Z95" s="75">
        <f t="shared" si="43"/>
        <v>52962</v>
      </c>
    </row>
    <row r="96" spans="2:26" hidden="1">
      <c r="B96" s="15" t="s">
        <v>605</v>
      </c>
      <c r="C96" s="15"/>
      <c r="D96" s="20"/>
      <c r="E96" s="20"/>
      <c r="F96" s="22"/>
      <c r="G96" s="22">
        <f>+IF(AND(G95&gt;=Assumptions!$H$26,G95&lt;Assumptions!$H$28),Assumptions!$H$172/ROUNDUP((Assumptions!$H$27/12),0),0)</f>
        <v>0</v>
      </c>
      <c r="H96" s="22">
        <f>+IF(AND(H95&gt;=Assumptions!$H$26,H95&lt;Assumptions!$H$28),Assumptions!$H$172/ROUNDUP((Assumptions!$H$27/12),0),0)</f>
        <v>0</v>
      </c>
      <c r="I96" s="22">
        <v>0</v>
      </c>
      <c r="J96" s="22">
        <v>0</v>
      </c>
      <c r="K96" s="22">
        <f>+IF(AND(K95&gt;=Assumptions!$H$26,K95&lt;Assumptions!$H$28),Assumptions!$H$172/ROUNDUP((Assumptions!$H$27/12),0),0)</f>
        <v>0</v>
      </c>
      <c r="L96" s="22">
        <f>+IF(AND(L95&gt;=Assumptions!$H$26,L95&lt;Assumptions!$H$28),Assumptions!$H$172/ROUNDUP((Assumptions!$H$27/12),0),0)</f>
        <v>0</v>
      </c>
      <c r="M96" s="22">
        <f>+IF(AND(M95&gt;=Assumptions!$H$26,M95&lt;Assumptions!$H$28),Assumptions!$H$172/ROUNDUP((Assumptions!$H$27/12),0),0)</f>
        <v>0</v>
      </c>
      <c r="N96" s="22">
        <f>+IF(AND(N95&gt;=Assumptions!$H$26,N95&lt;Assumptions!$H$28),Assumptions!$H$172/ROUNDUP((Assumptions!$H$27/12),0),0)</f>
        <v>0</v>
      </c>
      <c r="O96" s="22">
        <f>+IF(AND(O95&gt;=Assumptions!$H$26,O95&lt;Assumptions!$H$28),Assumptions!$H$172/ROUNDUP((Assumptions!$H$27/12),0),0)</f>
        <v>0</v>
      </c>
      <c r="P96" s="22">
        <f>+IF(AND(P95&gt;=Assumptions!$H$26,P95&lt;Assumptions!$H$28),Assumptions!$H$172/ROUNDUP((Assumptions!$H$27/12),0),0)</f>
        <v>0</v>
      </c>
      <c r="Q96" s="22">
        <f>+IF(AND(Q95&gt;=Assumptions!$H$26,Q95&lt;Assumptions!$H$28),Assumptions!$H$172/ROUNDUP((Assumptions!$H$27/12),0),0)</f>
        <v>0</v>
      </c>
      <c r="R96" s="22">
        <f>+IF(AND(R95&gt;=Assumptions!$H$26,R95&lt;Assumptions!$H$28),Assumptions!$H$172/ROUNDUP((Assumptions!$H$27/12),0),0)</f>
        <v>0</v>
      </c>
      <c r="S96" s="22">
        <f>+IF(AND(S95&gt;=Assumptions!$H$26,S95&lt;Assumptions!$H$28),Assumptions!$H$172/ROUNDUP((Assumptions!$H$27/12),0),0)</f>
        <v>0</v>
      </c>
      <c r="T96" s="22">
        <f>+IF(AND(T95&gt;=Assumptions!$H$26,T95&lt;Assumptions!$H$28),Assumptions!$H$172/ROUNDUP((Assumptions!$H$27/12),0),0)</f>
        <v>0</v>
      </c>
      <c r="U96" s="22">
        <f>+IF(AND(U95&gt;=Assumptions!$H$26,U95&lt;Assumptions!$H$28),Assumptions!$H$172/ROUNDUP((Assumptions!$H$27/12),0),0)</f>
        <v>0</v>
      </c>
      <c r="V96" s="22">
        <f>+IF(AND(V95&gt;=Assumptions!$H$26,V95&lt;Assumptions!$H$28),Assumptions!$H$172/ROUNDUP((Assumptions!$H$27/12),0),0)</f>
        <v>0</v>
      </c>
      <c r="W96" s="22">
        <f>+IF(AND(W95&gt;=Assumptions!$H$26,W95&lt;Assumptions!$H$28),Assumptions!$H$172/ROUNDUP((Assumptions!$H$27/12),0),0)</f>
        <v>0</v>
      </c>
      <c r="X96" s="22">
        <f>+IF(AND(X95&gt;=Assumptions!$H$26,X95&lt;Assumptions!$H$28),Assumptions!$H$172/ROUNDUP((Assumptions!$H$27/12),0),0)</f>
        <v>0</v>
      </c>
      <c r="Y96" s="22">
        <f>+IF(AND(Y95&gt;=Assumptions!$H$26,Y95&lt;Assumptions!$H$28),Assumptions!$H$172/ROUNDUP((Assumptions!$H$27/12),0),0)</f>
        <v>0</v>
      </c>
      <c r="Z96" s="22">
        <f>+IF(AND(Z95&gt;=Assumptions!$H$26,Z95&lt;Assumptions!$H$28),Assumptions!$H$172/ROUNDUP((Assumptions!$H$27/12),0),0)</f>
        <v>0</v>
      </c>
    </row>
    <row r="97" spans="2:31" hidden="1">
      <c r="B97" s="15" t="s">
        <v>606</v>
      </c>
      <c r="C97" s="15"/>
      <c r="D97" s="22">
        <v>0</v>
      </c>
      <c r="E97" s="22"/>
      <c r="F97" s="22">
        <f>+D97+F96</f>
        <v>0</v>
      </c>
      <c r="G97" s="22">
        <f t="shared" ref="G97" si="44">+F97+G96</f>
        <v>0</v>
      </c>
      <c r="H97" s="22"/>
      <c r="I97" s="22"/>
      <c r="J97" s="22"/>
      <c r="K97" s="22"/>
      <c r="L97" s="22"/>
      <c r="M97" s="22"/>
      <c r="N97" s="22"/>
      <c r="O97" s="22"/>
      <c r="P97" s="22"/>
      <c r="Q97" s="22"/>
      <c r="R97" s="22"/>
      <c r="S97" s="22"/>
      <c r="T97" s="22"/>
      <c r="U97" s="22"/>
      <c r="V97" s="22"/>
      <c r="W97" s="22">
        <v>0</v>
      </c>
      <c r="X97" s="22">
        <v>0</v>
      </c>
      <c r="Y97" s="22">
        <v>0</v>
      </c>
      <c r="Z97" s="22">
        <v>0</v>
      </c>
    </row>
    <row r="98" spans="2:31" hidden="1">
      <c r="B98" s="15" t="s">
        <v>609</v>
      </c>
      <c r="C98" s="15"/>
      <c r="D98" s="22"/>
      <c r="E98" s="22"/>
      <c r="F98" s="49">
        <v>0</v>
      </c>
      <c r="G98" s="49">
        <v>0</v>
      </c>
      <c r="H98" s="49">
        <v>0</v>
      </c>
      <c r="I98" s="49">
        <f>I56</f>
        <v>0.5</v>
      </c>
      <c r="J98" s="49">
        <v>1</v>
      </c>
      <c r="K98" s="49">
        <v>1</v>
      </c>
      <c r="L98" s="49">
        <v>1</v>
      </c>
      <c r="M98" s="49">
        <v>1</v>
      </c>
      <c r="N98" s="49">
        <v>1</v>
      </c>
      <c r="O98" s="49">
        <v>1</v>
      </c>
      <c r="P98" s="49">
        <v>1</v>
      </c>
      <c r="Q98" s="49">
        <v>1</v>
      </c>
      <c r="R98" s="49">
        <v>1</v>
      </c>
      <c r="S98" s="49">
        <v>1</v>
      </c>
      <c r="T98" s="49">
        <v>1</v>
      </c>
      <c r="U98" s="49">
        <v>1</v>
      </c>
      <c r="V98" s="49">
        <v>1</v>
      </c>
      <c r="W98" s="49">
        <v>1</v>
      </c>
      <c r="X98" s="49">
        <v>1</v>
      </c>
      <c r="Y98" s="49">
        <v>1</v>
      </c>
      <c r="Z98" s="49">
        <v>1</v>
      </c>
    </row>
    <row r="99" spans="2:31" hidden="1">
      <c r="B99" s="15"/>
      <c r="C99" s="15"/>
      <c r="D99" s="20"/>
      <c r="E99" s="20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</row>
    <row r="100" spans="2:31" hidden="1">
      <c r="B100" s="15" t="s">
        <v>610</v>
      </c>
      <c r="C100" s="15"/>
      <c r="D100" s="22"/>
      <c r="E100" s="22"/>
      <c r="F100" s="49">
        <v>1</v>
      </c>
      <c r="G100" s="49">
        <f>+IF(MOD(G$2,Assumptions!$P$71)=(Assumptions!$P$71-1),F100*(1+Assumptions!$P$70),'Phase III Pro Forma'!F100)</f>
        <v>1</v>
      </c>
      <c r="H100" s="49">
        <f>+IF(MOD(H$2,Assumptions!$P$71)=(Assumptions!$P$71-1),G100*(1+Assumptions!$P$70),'Phase III Pro Forma'!G100)</f>
        <v>1</v>
      </c>
      <c r="I100" s="49">
        <f>+IF(MOD(I$2,Assumptions!$P$71)=(Assumptions!$P$71-1),H100*(1+Assumptions!$P$70),'Phase III Pro Forma'!H100)</f>
        <v>1</v>
      </c>
      <c r="J100" s="49">
        <f>+IF(MOD(J$2,Assumptions!$P$71)=(Assumptions!$P$71-1),I100*(1+Assumptions!$P$70),'Phase III Pro Forma'!I100)</f>
        <v>1</v>
      </c>
      <c r="K100" s="49">
        <f>+IF(MOD(K$2,Assumptions!$P$71)=(Assumptions!$P$71-1),J100*(1+Assumptions!$P$70),'Phase III Pro Forma'!J100)</f>
        <v>1</v>
      </c>
      <c r="L100" s="49">
        <f>+IF(MOD(L$2,Assumptions!$P$71)=(Assumptions!$P$71-1),K100*(1+Assumptions!$P$70),'Phase III Pro Forma'!K100)</f>
        <v>1.1000000000000001</v>
      </c>
      <c r="M100" s="49">
        <f>+IF(MOD(M$2,Assumptions!$P$71)=(Assumptions!$P$71-1),L100*(1+Assumptions!$P$70),'Phase III Pro Forma'!L100)</f>
        <v>1.1000000000000001</v>
      </c>
      <c r="N100" s="49">
        <f>+IF(MOD(N$2,Assumptions!$P$71)=(Assumptions!$P$71-1),M100*(1+Assumptions!$P$70),'Phase III Pro Forma'!M100)</f>
        <v>1.1000000000000001</v>
      </c>
      <c r="O100" s="49">
        <f>+IF(MOD(O$2,Assumptions!$P$71)=(Assumptions!$P$71-1),N100*(1+Assumptions!$P$70),'Phase III Pro Forma'!N100)</f>
        <v>1.1000000000000001</v>
      </c>
      <c r="P100" s="49">
        <f>+IF(MOD(P$2,Assumptions!$P$71)=(Assumptions!$P$71-1),O100*(1+Assumptions!$P$70),'Phase III Pro Forma'!O100)</f>
        <v>1.1000000000000001</v>
      </c>
      <c r="Q100" s="49">
        <f>+IF(MOD(Q$2,Assumptions!$P$71)=(Assumptions!$P$71-1),P100*(1+Assumptions!$P$70),'Phase III Pro Forma'!P100)</f>
        <v>1.2100000000000002</v>
      </c>
      <c r="R100" s="49">
        <f>+IF(MOD(R$2,Assumptions!$P$71)=(Assumptions!$P$71-1),Q100*(1+Assumptions!$P$70),'Phase III Pro Forma'!Q100)</f>
        <v>1.2100000000000002</v>
      </c>
      <c r="S100" s="49">
        <f>+IF(MOD(S$2,Assumptions!$P$71)=(Assumptions!$P$71-1),R100*(1+Assumptions!$P$70),'Phase III Pro Forma'!R100)</f>
        <v>1.2100000000000002</v>
      </c>
      <c r="T100" s="49">
        <f>+IF(MOD(T$2,Assumptions!$P$71)=(Assumptions!$P$71-1),S100*(1+Assumptions!$P$70),'Phase III Pro Forma'!S100)</f>
        <v>1.2100000000000002</v>
      </c>
      <c r="U100" s="49">
        <f>+IF(MOD(U$2,Assumptions!$P$71)=(Assumptions!$P$71-1),T100*(1+Assumptions!$P$70),'Phase III Pro Forma'!T100)</f>
        <v>1.2100000000000002</v>
      </c>
      <c r="V100" s="49">
        <f>+IF(MOD(V$2,Assumptions!$P$71)=(Assumptions!$P$71-1),U100*(1+Assumptions!$P$70),'Phase III Pro Forma'!U100)</f>
        <v>1.3310000000000004</v>
      </c>
      <c r="W100" s="49">
        <f>+IF(MOD(W$2,Assumptions!$P$71)=(Assumptions!$P$71-1),V100*(1+Assumptions!$P$70),'Phase III Pro Forma'!V100)</f>
        <v>1.3310000000000004</v>
      </c>
      <c r="X100" s="49">
        <f>+IF(MOD(X$2,Assumptions!$P$71)=(Assumptions!$P$71-1),W100*(1+Assumptions!$P$70),'Phase III Pro Forma'!W100)</f>
        <v>1.3310000000000004</v>
      </c>
      <c r="Y100" s="49">
        <f>+IF(MOD(Y$2,Assumptions!$P$71)=(Assumptions!$P$71-1),X100*(1+Assumptions!$P$70),'Phase III Pro Forma'!X100)</f>
        <v>1.3310000000000004</v>
      </c>
      <c r="Z100" s="49">
        <f>+IF(MOD(Z$2,Assumptions!$P$71)=(Assumptions!$P$71-1),Y100*(1+Assumptions!$P$70),'Phase III Pro Forma'!Y100)</f>
        <v>1.3310000000000004</v>
      </c>
    </row>
    <row r="101" spans="2:31" hidden="1">
      <c r="B101" s="15" t="s">
        <v>611</v>
      </c>
      <c r="C101" s="15"/>
      <c r="D101" s="22"/>
      <c r="E101" s="22"/>
      <c r="F101" s="49">
        <v>1</v>
      </c>
      <c r="G101" s="49">
        <f>+F101*(1+Assumptions!$P$80)</f>
        <v>1.02</v>
      </c>
      <c r="H101" s="49">
        <f>+G101*(1+Assumptions!$P$80)</f>
        <v>1.0404</v>
      </c>
      <c r="I101" s="49">
        <f>+H101*(1+Assumptions!$P$80)</f>
        <v>1.0612079999999999</v>
      </c>
      <c r="J101" s="49">
        <f>+I101*(1+Assumptions!$P$80)</f>
        <v>1.08243216</v>
      </c>
      <c r="K101" s="49">
        <f>+J101*(1+Assumptions!$P$80)</f>
        <v>1.1040808032</v>
      </c>
      <c r="L101" s="49">
        <f>+K101*(1+Assumptions!$P$80)</f>
        <v>1.1261624192640001</v>
      </c>
      <c r="M101" s="49">
        <f>+L101*(1+Assumptions!$P$80)</f>
        <v>1.14868566764928</v>
      </c>
      <c r="N101" s="49">
        <f>+M101*(1+Assumptions!$P$80)</f>
        <v>1.1716593810022657</v>
      </c>
      <c r="O101" s="49">
        <f>+N101*(1+Assumptions!$P$80)</f>
        <v>1.1950925686223111</v>
      </c>
      <c r="P101" s="49">
        <f>+O101*(1+Assumptions!$P$80)</f>
        <v>1.2189944199947573</v>
      </c>
      <c r="Q101" s="49">
        <f>+P101*(1+Assumptions!$P$80)</f>
        <v>1.2433743083946525</v>
      </c>
      <c r="R101" s="49">
        <f>+Q101*(1+Assumptions!$P$80)</f>
        <v>1.2682417945625455</v>
      </c>
      <c r="S101" s="49">
        <f>+R101*(1+Assumptions!$P$80)</f>
        <v>1.2936066304537963</v>
      </c>
      <c r="T101" s="49">
        <f>+S101*(1+Assumptions!$P$80)</f>
        <v>1.3194787630628724</v>
      </c>
      <c r="U101" s="49">
        <f>+T101*(1+Assumptions!$P$80)</f>
        <v>1.3458683383241299</v>
      </c>
      <c r="V101" s="49">
        <f>+U101*(1+Assumptions!$P$80)</f>
        <v>1.3727857050906125</v>
      </c>
      <c r="W101" s="49">
        <f>+V101*(1+Assumptions!$P$80)</f>
        <v>1.4002414191924248</v>
      </c>
      <c r="X101" s="49">
        <f>+W101*(1+Assumptions!$P$80)</f>
        <v>1.4282462475762734</v>
      </c>
      <c r="Y101" s="49">
        <f>+X101*(1+Assumptions!$P$80)</f>
        <v>1.4568111725277988</v>
      </c>
      <c r="Z101" s="49">
        <f>+Y101*(1+Assumptions!$P$80)</f>
        <v>1.4859473959783549</v>
      </c>
    </row>
    <row r="102" spans="2:31" hidden="1">
      <c r="B102" s="15"/>
      <c r="C102" s="15"/>
      <c r="D102" s="20"/>
      <c r="E102" s="20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</row>
    <row r="103" spans="2:31" hidden="1">
      <c r="B103" s="15" t="s">
        <v>612</v>
      </c>
      <c r="C103" s="15"/>
      <c r="D103" s="20"/>
      <c r="E103" s="20"/>
      <c r="F103" s="16">
        <f>+F98*Assumptions!$H$171*F100</f>
        <v>0</v>
      </c>
      <c r="G103" s="16">
        <f>+G98*Assumptions!$H$171*G100</f>
        <v>0</v>
      </c>
      <c r="H103" s="16">
        <f>+H98*Assumptions!$H$171*H100</f>
        <v>0</v>
      </c>
      <c r="I103" s="16">
        <f>+I98*Assumptions!$H$171*I100</f>
        <v>0</v>
      </c>
      <c r="J103" s="16">
        <f>+J98*Assumptions!$H$171*J100</f>
        <v>0</v>
      </c>
      <c r="K103" s="16">
        <f>+K98*Assumptions!$H$171*K100</f>
        <v>0</v>
      </c>
      <c r="L103" s="16">
        <f>+L98*Assumptions!$H$171*L100</f>
        <v>0</v>
      </c>
      <c r="M103" s="16">
        <f>+M98*Assumptions!$H$171*M100</f>
        <v>0</v>
      </c>
      <c r="N103" s="16">
        <f>+N98*Assumptions!$H$171*N100</f>
        <v>0</v>
      </c>
      <c r="O103" s="16">
        <f>+O98*Assumptions!$H$171*O100</f>
        <v>0</v>
      </c>
      <c r="P103" s="16">
        <f>+P98*Assumptions!$H$171*P100</f>
        <v>0</v>
      </c>
      <c r="Q103" s="16">
        <f>+Q98*Assumptions!$H$171*Q100</f>
        <v>0</v>
      </c>
      <c r="R103" s="16">
        <f>+R98*Assumptions!$H$171*R100</f>
        <v>0</v>
      </c>
      <c r="S103" s="16">
        <f>+S98*Assumptions!$H$171*S100</f>
        <v>0</v>
      </c>
      <c r="T103" s="16">
        <f>+T98*Assumptions!$H$171*T100</f>
        <v>0</v>
      </c>
      <c r="U103" s="16">
        <f>+U98*Assumptions!$H$171*U100</f>
        <v>0</v>
      </c>
      <c r="V103" s="16">
        <f>+V98*Assumptions!$H$171*V100</f>
        <v>0</v>
      </c>
      <c r="W103" s="16">
        <f>+W98*Assumptions!$H$171*W100</f>
        <v>0</v>
      </c>
      <c r="X103" s="16">
        <f>+X98*Assumptions!$H$171*X100</f>
        <v>0</v>
      </c>
      <c r="Y103" s="16">
        <f>+Y98*Assumptions!$H$171*Y100</f>
        <v>0</v>
      </c>
      <c r="Z103" s="16">
        <f>+Z98*Assumptions!$H$171*Z100</f>
        <v>0</v>
      </c>
    </row>
    <row r="104" spans="2:31" hidden="1">
      <c r="B104" s="15" t="s">
        <v>613</v>
      </c>
      <c r="C104" s="15"/>
      <c r="D104" s="20"/>
      <c r="E104" s="20"/>
      <c r="F104" s="22">
        <f>-F103*Assumptions!$P$58</f>
        <v>0</v>
      </c>
      <c r="G104" s="22">
        <f>-G103*Assumptions!$P$58</f>
        <v>0</v>
      </c>
      <c r="H104" s="22">
        <f>-H103*Assumptions!$P$58</f>
        <v>0</v>
      </c>
      <c r="I104" s="22">
        <f>-I103*Assumptions!$P$58</f>
        <v>0</v>
      </c>
      <c r="J104" s="22">
        <f>-J103*Assumptions!$P$58</f>
        <v>0</v>
      </c>
      <c r="K104" s="22">
        <f>-K103*Assumptions!$P$58</f>
        <v>0</v>
      </c>
      <c r="L104" s="22">
        <f>-L103*Assumptions!$P$58</f>
        <v>0</v>
      </c>
      <c r="M104" s="22">
        <f>-M103*Assumptions!$P$58</f>
        <v>0</v>
      </c>
      <c r="N104" s="22">
        <f>-N103*Assumptions!$P$58</f>
        <v>0</v>
      </c>
      <c r="O104" s="22">
        <f>-O103*Assumptions!$P$58</f>
        <v>0</v>
      </c>
      <c r="P104" s="22">
        <f>-P103*Assumptions!$P$58</f>
        <v>0</v>
      </c>
      <c r="Q104" s="22">
        <f>-Q103*Assumptions!$P$58</f>
        <v>0</v>
      </c>
      <c r="R104" s="22">
        <f>-R103*Assumptions!$P$58</f>
        <v>0</v>
      </c>
      <c r="S104" s="22">
        <f>-S103*Assumptions!$P$58</f>
        <v>0</v>
      </c>
      <c r="T104" s="22">
        <f>-T103*Assumptions!$P$58</f>
        <v>0</v>
      </c>
      <c r="U104" s="22">
        <f>-U103*Assumptions!$P$58</f>
        <v>0</v>
      </c>
      <c r="V104" s="22">
        <f>-V103*Assumptions!$P$58</f>
        <v>0</v>
      </c>
      <c r="W104" s="22">
        <f>-W103*Assumptions!$P$58</f>
        <v>0</v>
      </c>
      <c r="X104" s="22">
        <f>-X103*Assumptions!$P$58</f>
        <v>0</v>
      </c>
      <c r="Y104" s="22">
        <f>-Y103*Assumptions!$P$58</f>
        <v>0</v>
      </c>
      <c r="Z104" s="22">
        <f>-Z103*Assumptions!$P$58</f>
        <v>0</v>
      </c>
    </row>
    <row r="105" spans="2:31" hidden="1">
      <c r="B105" s="15" t="s">
        <v>622</v>
      </c>
      <c r="C105" s="15"/>
      <c r="D105" s="20"/>
      <c r="E105" s="20"/>
      <c r="F105" s="76">
        <f>+F110*Assumptions!$P$91</f>
        <v>0</v>
      </c>
      <c r="G105" s="76">
        <f>+G110*Assumptions!$P$91</f>
        <v>0</v>
      </c>
      <c r="H105" s="76">
        <f>+H110*Assumptions!$P$91</f>
        <v>0</v>
      </c>
      <c r="I105" s="76">
        <v>0</v>
      </c>
      <c r="J105" s="76">
        <v>0</v>
      </c>
      <c r="K105" s="76">
        <v>0</v>
      </c>
      <c r="L105" s="76">
        <v>0</v>
      </c>
      <c r="M105" s="76">
        <v>0</v>
      </c>
      <c r="N105" s="76">
        <v>0</v>
      </c>
      <c r="O105" s="76">
        <v>0</v>
      </c>
      <c r="P105" s="76">
        <v>0</v>
      </c>
      <c r="Q105" s="76">
        <v>0</v>
      </c>
      <c r="R105" s="76">
        <v>0</v>
      </c>
      <c r="S105" s="76">
        <v>0</v>
      </c>
      <c r="T105" s="76">
        <v>0</v>
      </c>
      <c r="U105" s="76">
        <v>0</v>
      </c>
      <c r="V105" s="76">
        <v>0</v>
      </c>
      <c r="W105" s="76">
        <v>0</v>
      </c>
      <c r="X105" s="76">
        <v>0</v>
      </c>
      <c r="Y105" s="76">
        <v>0</v>
      </c>
      <c r="Z105" s="76">
        <v>0</v>
      </c>
    </row>
    <row r="106" spans="2:31" hidden="1">
      <c r="B106" s="62" t="s">
        <v>614</v>
      </c>
      <c r="C106" s="62"/>
      <c r="D106" s="62"/>
      <c r="E106" s="62"/>
      <c r="F106" s="58">
        <f>+SUM(F103:F105)</f>
        <v>0</v>
      </c>
      <c r="G106" s="58">
        <v>0</v>
      </c>
      <c r="H106" s="58">
        <v>0</v>
      </c>
      <c r="I106" s="58">
        <v>0</v>
      </c>
      <c r="J106" s="58">
        <v>0</v>
      </c>
      <c r="K106" s="58">
        <v>0</v>
      </c>
      <c r="L106" s="58">
        <v>0</v>
      </c>
      <c r="M106" s="58">
        <v>0</v>
      </c>
      <c r="N106" s="58">
        <v>0</v>
      </c>
      <c r="O106" s="58">
        <v>0</v>
      </c>
      <c r="P106" s="58">
        <v>0</v>
      </c>
      <c r="Q106" s="58">
        <v>0</v>
      </c>
      <c r="R106" s="58">
        <v>0</v>
      </c>
      <c r="S106" s="58">
        <v>0</v>
      </c>
      <c r="T106" s="58">
        <v>0</v>
      </c>
      <c r="U106" s="58">
        <v>0</v>
      </c>
      <c r="V106" s="58">
        <v>0</v>
      </c>
      <c r="W106" s="58">
        <v>0</v>
      </c>
      <c r="X106" s="58">
        <v>0</v>
      </c>
      <c r="Y106" s="58">
        <v>0</v>
      </c>
      <c r="Z106" s="58">
        <v>0</v>
      </c>
    </row>
    <row r="107" spans="2:31" hidden="1"/>
    <row r="108" spans="2:31" hidden="1">
      <c r="B108" s="15" t="s">
        <v>615</v>
      </c>
      <c r="F108" s="16">
        <f>+F97*Assumptions!$P$123*'Phase III Pro Forma'!F101</f>
        <v>0</v>
      </c>
      <c r="G108" s="16">
        <f>+G97*Assumptions!$P$123*'Phase III Pro Forma'!G101</f>
        <v>0</v>
      </c>
      <c r="H108" s="16">
        <f>+H97*Assumptions!$P$123*'Phase III Pro Forma'!H101</f>
        <v>0</v>
      </c>
      <c r="I108" s="16">
        <v>0</v>
      </c>
      <c r="J108" s="16">
        <v>0</v>
      </c>
      <c r="K108" s="16">
        <v>0</v>
      </c>
      <c r="L108" s="16">
        <v>0</v>
      </c>
      <c r="M108" s="16">
        <v>0</v>
      </c>
      <c r="N108" s="16">
        <v>0</v>
      </c>
      <c r="O108" s="16">
        <v>0</v>
      </c>
      <c r="P108" s="16">
        <v>0</v>
      </c>
      <c r="Q108" s="16">
        <v>0</v>
      </c>
      <c r="R108" s="16">
        <v>0</v>
      </c>
      <c r="S108" s="16">
        <v>0</v>
      </c>
      <c r="T108" s="16">
        <v>0</v>
      </c>
      <c r="U108" s="16">
        <v>0</v>
      </c>
      <c r="V108" s="16">
        <v>0</v>
      </c>
      <c r="W108" s="16">
        <v>0</v>
      </c>
      <c r="X108" s="16">
        <v>0</v>
      </c>
      <c r="Y108" s="16">
        <v>0</v>
      </c>
      <c r="Z108" s="16">
        <v>0</v>
      </c>
      <c r="AE108" s="21">
        <v>0</v>
      </c>
    </row>
    <row r="109" spans="2:31" hidden="1">
      <c r="B109" s="15" t="s">
        <v>616</v>
      </c>
      <c r="F109" s="76">
        <v>0</v>
      </c>
      <c r="G109" s="76">
        <v>0</v>
      </c>
      <c r="H109" s="76">
        <v>0</v>
      </c>
      <c r="I109" s="76">
        <v>0</v>
      </c>
      <c r="J109" s="76">
        <v>0</v>
      </c>
      <c r="K109" s="76">
        <v>0</v>
      </c>
      <c r="L109" s="76">
        <v>0</v>
      </c>
      <c r="M109" s="76">
        <v>0</v>
      </c>
      <c r="N109" s="76">
        <v>0</v>
      </c>
      <c r="O109" s="76">
        <v>0</v>
      </c>
      <c r="P109" s="76">
        <v>0</v>
      </c>
      <c r="Q109" s="76">
        <v>0</v>
      </c>
      <c r="R109" s="76">
        <v>0</v>
      </c>
      <c r="S109" s="76">
        <v>0</v>
      </c>
      <c r="T109" s="76">
        <v>0</v>
      </c>
      <c r="U109" s="76">
        <v>0</v>
      </c>
      <c r="V109" s="76">
        <v>0</v>
      </c>
      <c r="W109" s="76">
        <v>0</v>
      </c>
      <c r="X109" s="76">
        <v>0</v>
      </c>
      <c r="Y109" s="76">
        <v>0</v>
      </c>
      <c r="Z109" s="76">
        <v>0</v>
      </c>
    </row>
    <row r="110" spans="2:31" hidden="1">
      <c r="B110" s="62" t="s">
        <v>617</v>
      </c>
      <c r="C110" s="62"/>
      <c r="D110" s="62">
        <v>0</v>
      </c>
      <c r="E110" s="62">
        <v>0</v>
      </c>
      <c r="F110" s="58">
        <v>0</v>
      </c>
      <c r="G110" s="58">
        <v>0</v>
      </c>
      <c r="H110" s="58">
        <v>0</v>
      </c>
      <c r="I110" s="58">
        <v>0</v>
      </c>
      <c r="J110" s="58">
        <v>0</v>
      </c>
      <c r="K110" s="58">
        <v>0</v>
      </c>
      <c r="L110" s="58">
        <v>0</v>
      </c>
      <c r="M110" s="58">
        <v>0</v>
      </c>
      <c r="N110" s="58">
        <v>0</v>
      </c>
      <c r="O110" s="58">
        <v>0</v>
      </c>
      <c r="P110" s="58">
        <v>0</v>
      </c>
      <c r="Q110" s="58">
        <v>0</v>
      </c>
      <c r="R110" s="58">
        <v>0</v>
      </c>
      <c r="S110" s="58">
        <v>0</v>
      </c>
      <c r="T110" s="58">
        <v>0</v>
      </c>
      <c r="U110" s="58">
        <v>0</v>
      </c>
      <c r="V110" s="58">
        <v>0</v>
      </c>
      <c r="W110" s="58">
        <v>0</v>
      </c>
      <c r="X110" s="58">
        <v>0</v>
      </c>
      <c r="Y110" s="58">
        <v>0</v>
      </c>
      <c r="Z110" s="58">
        <v>0</v>
      </c>
    </row>
    <row r="111" spans="2:31" hidden="1">
      <c r="B111" s="15"/>
    </row>
    <row r="112" spans="2:31" ht="15.75" hidden="1">
      <c r="B112" s="63" t="s">
        <v>618</v>
      </c>
      <c r="C112" s="63"/>
      <c r="D112" s="63"/>
      <c r="E112" s="63"/>
      <c r="F112" s="64">
        <v>0</v>
      </c>
      <c r="G112" s="64">
        <v>0</v>
      </c>
      <c r="H112" s="64">
        <v>0</v>
      </c>
      <c r="I112" s="64">
        <v>0</v>
      </c>
      <c r="J112" s="64">
        <v>0</v>
      </c>
      <c r="K112" s="64">
        <v>0</v>
      </c>
      <c r="L112" s="64">
        <v>0</v>
      </c>
      <c r="M112" s="64">
        <v>0</v>
      </c>
      <c r="N112" s="64">
        <v>0</v>
      </c>
      <c r="O112" s="64">
        <v>0</v>
      </c>
      <c r="P112" s="64">
        <v>0</v>
      </c>
      <c r="Q112" s="64">
        <v>0</v>
      </c>
      <c r="R112" s="64">
        <v>0</v>
      </c>
      <c r="S112" s="64">
        <v>0</v>
      </c>
      <c r="T112" s="64">
        <v>0</v>
      </c>
      <c r="U112" s="64">
        <v>0</v>
      </c>
      <c r="V112" s="64">
        <v>0</v>
      </c>
      <c r="W112" s="64">
        <v>0</v>
      </c>
      <c r="X112" s="64">
        <v>0</v>
      </c>
      <c r="Y112" s="64">
        <v>0</v>
      </c>
      <c r="Z112" s="64">
        <v>0</v>
      </c>
    </row>
    <row r="113" spans="2:26" ht="15.75" hidden="1">
      <c r="B113" s="68" t="s">
        <v>619</v>
      </c>
      <c r="C113" s="66"/>
      <c r="D113" s="66"/>
      <c r="E113" s="66"/>
      <c r="F113" s="69" t="str">
        <f>+IFERROR(F112/F106,"")</f>
        <v/>
      </c>
      <c r="G113" s="69" t="str">
        <f t="shared" ref="G113:Z113" si="45">+IFERROR(G112/G106,"")</f>
        <v/>
      </c>
      <c r="H113" s="69" t="str">
        <f t="shared" si="45"/>
        <v/>
      </c>
      <c r="I113" s="70" t="str">
        <f t="shared" si="45"/>
        <v/>
      </c>
      <c r="J113" s="70" t="str">
        <f t="shared" si="45"/>
        <v/>
      </c>
      <c r="K113" s="70" t="str">
        <f t="shared" si="45"/>
        <v/>
      </c>
      <c r="L113" s="70" t="str">
        <f t="shared" si="45"/>
        <v/>
      </c>
      <c r="M113" s="70" t="str">
        <f t="shared" si="45"/>
        <v/>
      </c>
      <c r="N113" s="70" t="str">
        <f t="shared" si="45"/>
        <v/>
      </c>
      <c r="O113" s="70" t="str">
        <f t="shared" si="45"/>
        <v/>
      </c>
      <c r="P113" s="70" t="str">
        <f t="shared" si="45"/>
        <v/>
      </c>
      <c r="Q113" s="70" t="str">
        <f t="shared" si="45"/>
        <v/>
      </c>
      <c r="R113" s="70" t="str">
        <f t="shared" si="45"/>
        <v/>
      </c>
      <c r="S113" s="70" t="str">
        <f t="shared" si="45"/>
        <v/>
      </c>
      <c r="T113" s="70" t="str">
        <f t="shared" si="45"/>
        <v/>
      </c>
      <c r="U113" s="70" t="str">
        <f t="shared" si="45"/>
        <v/>
      </c>
      <c r="V113" s="70" t="str">
        <f t="shared" si="45"/>
        <v/>
      </c>
      <c r="W113" s="70" t="str">
        <f t="shared" si="45"/>
        <v/>
      </c>
      <c r="X113" s="70" t="str">
        <f t="shared" si="45"/>
        <v/>
      </c>
      <c r="Y113" s="70" t="str">
        <f t="shared" si="45"/>
        <v/>
      </c>
      <c r="Z113" s="70" t="str">
        <f t="shared" si="45"/>
        <v/>
      </c>
    </row>
    <row r="114" spans="2:26" ht="15.75" hidden="1">
      <c r="B114" s="68" t="s">
        <v>568</v>
      </c>
      <c r="C114" s="66"/>
      <c r="D114" s="66"/>
      <c r="E114" s="66"/>
      <c r="F114" s="67">
        <f>+F112/Assumptions!$P$133</f>
        <v>0</v>
      </c>
      <c r="G114" s="67">
        <f>+G112/Assumptions!$P$133</f>
        <v>0</v>
      </c>
      <c r="H114" s="67">
        <f>+H112/Assumptions!$P$133</f>
        <v>0</v>
      </c>
      <c r="I114" s="67">
        <f>+I112/Assumptions!$P$133</f>
        <v>0</v>
      </c>
      <c r="J114" s="67">
        <f>+J112/Assumptions!$P$133</f>
        <v>0</v>
      </c>
      <c r="K114" s="67">
        <f>+K112/Assumptions!$P$133</f>
        <v>0</v>
      </c>
      <c r="L114" s="67">
        <f>+L112/Assumptions!$P$133</f>
        <v>0</v>
      </c>
      <c r="M114" s="67">
        <f>+M112/Assumptions!$P$133</f>
        <v>0</v>
      </c>
      <c r="N114" s="67">
        <f>+N112/Assumptions!$P$133</f>
        <v>0</v>
      </c>
      <c r="O114" s="67">
        <f>+O112/Assumptions!$P$133</f>
        <v>0</v>
      </c>
      <c r="P114" s="67">
        <f>+P112/Assumptions!$P$133</f>
        <v>0</v>
      </c>
      <c r="Q114" s="67">
        <f>+Q112/Assumptions!$P$133</f>
        <v>0</v>
      </c>
      <c r="R114" s="67">
        <f>+R112/Assumptions!$P$133</f>
        <v>0</v>
      </c>
      <c r="S114" s="67">
        <f>+S112/Assumptions!$P$133</f>
        <v>0</v>
      </c>
      <c r="T114" s="67">
        <f>+T112/Assumptions!$P$133</f>
        <v>0</v>
      </c>
      <c r="U114" s="67">
        <f>+U112/Assumptions!$P$133</f>
        <v>0</v>
      </c>
      <c r="V114" s="67">
        <f>+V112/Assumptions!$P$133</f>
        <v>0</v>
      </c>
      <c r="W114" s="67">
        <f>+W112/Assumptions!$P$133</f>
        <v>0</v>
      </c>
      <c r="X114" s="67">
        <f>+X112/Assumptions!$P$133</f>
        <v>0</v>
      </c>
      <c r="Y114" s="67">
        <f>+Y112/Assumptions!$P$133</f>
        <v>0</v>
      </c>
      <c r="Z114" s="67">
        <f>+Z112/Assumptions!$P$133</f>
        <v>0</v>
      </c>
    </row>
    <row r="115" spans="2:26" hidden="1"/>
    <row r="116" spans="2:26" ht="15.75">
      <c r="B116" s="73" t="s">
        <v>201</v>
      </c>
      <c r="C116" s="74"/>
      <c r="D116" s="74"/>
      <c r="E116" s="74"/>
      <c r="F116" s="75">
        <f>+Assumptions!$H$22</f>
        <v>45657</v>
      </c>
      <c r="G116" s="75">
        <f>+EOMONTH(F116,12)</f>
        <v>46022</v>
      </c>
      <c r="H116" s="75">
        <f t="shared" ref="H116:Z116" si="46">+EOMONTH(G116,12)</f>
        <v>46387</v>
      </c>
      <c r="I116" s="75">
        <f t="shared" si="46"/>
        <v>46752</v>
      </c>
      <c r="J116" s="75">
        <f t="shared" si="46"/>
        <v>47118</v>
      </c>
      <c r="K116" s="75">
        <f t="shared" si="46"/>
        <v>47483</v>
      </c>
      <c r="L116" s="75">
        <f t="shared" si="46"/>
        <v>47848</v>
      </c>
      <c r="M116" s="75">
        <f t="shared" si="46"/>
        <v>48213</v>
      </c>
      <c r="N116" s="75">
        <f t="shared" si="46"/>
        <v>48579</v>
      </c>
      <c r="O116" s="75">
        <f t="shared" si="46"/>
        <v>48944</v>
      </c>
      <c r="P116" s="75">
        <f t="shared" si="46"/>
        <v>49309</v>
      </c>
      <c r="Q116" s="75">
        <f t="shared" si="46"/>
        <v>49674</v>
      </c>
      <c r="R116" s="75">
        <f t="shared" si="46"/>
        <v>50040</v>
      </c>
      <c r="S116" s="75">
        <f t="shared" si="46"/>
        <v>50405</v>
      </c>
      <c r="T116" s="75">
        <f t="shared" si="46"/>
        <v>50770</v>
      </c>
      <c r="U116" s="75">
        <f t="shared" si="46"/>
        <v>51135</v>
      </c>
      <c r="V116" s="75">
        <f t="shared" si="46"/>
        <v>51501</v>
      </c>
      <c r="W116" s="75">
        <f t="shared" si="46"/>
        <v>51866</v>
      </c>
      <c r="X116" s="75">
        <f t="shared" si="46"/>
        <v>52231</v>
      </c>
      <c r="Y116" s="75">
        <f t="shared" si="46"/>
        <v>52596</v>
      </c>
      <c r="Z116" s="75">
        <f t="shared" si="46"/>
        <v>52962</v>
      </c>
    </row>
    <row r="117" spans="2:26">
      <c r="B117" s="15" t="s">
        <v>605</v>
      </c>
      <c r="C117" s="15"/>
      <c r="D117" s="20"/>
      <c r="E117" s="20"/>
      <c r="F117" s="22">
        <f>+IF(AND(F116&gt;=Assumptions!$H$26,F116&lt;Assumptions!$H$28),SUM(Assumptions!$H$204:$H$205)/ROUNDUP((Assumptions!$H$27/12),0),0)</f>
        <v>0</v>
      </c>
      <c r="G117" s="22">
        <f>+IF(AND(G116&gt;=Assumptions!$H$26,G116&lt;Assumptions!$H$28),SUM(Assumptions!$H$204:$H$205)/ROUNDUP((Assumptions!$H$27/12),0),0)</f>
        <v>0</v>
      </c>
      <c r="H117" s="22">
        <f>+IF(AND(H116&gt;=Assumptions!$H$26,H116&lt;Assumptions!$H$28),SUM(Assumptions!$H$204:$H$205)/ROUNDUP((Assumptions!$H$27/12),0),0)</f>
        <v>0</v>
      </c>
      <c r="I117" s="22">
        <f>+IF(AND(I116&gt;=Assumptions!$H$26,I116&lt;Assumptions!$H$28),SUM(Assumptions!$H$204:$H$205)/ROUNDUP((Assumptions!$H$27/12),0),0)</f>
        <v>59245</v>
      </c>
      <c r="J117" s="22">
        <f>+IF(AND(J116&gt;=Assumptions!$H$26,J116&lt;Assumptions!$H$28),SUM(Assumptions!$H$204:$H$205)/ROUNDUP((Assumptions!$H$27/12),0),0)</f>
        <v>59245</v>
      </c>
      <c r="K117" s="22">
        <f>+IF(AND(K116&gt;=Assumptions!$H$26,K116&lt;Assumptions!$H$28),SUM(Assumptions!$H$204:$H$205)/ROUNDUP((Assumptions!$H$27/12),0),0)</f>
        <v>0</v>
      </c>
      <c r="L117" s="22">
        <f>+IF(AND(L116&gt;=Assumptions!$H$26,L116&lt;Assumptions!$H$28),SUM(Assumptions!$H$204:$H$205)/ROUNDUP((Assumptions!$H$27/12),0),0)</f>
        <v>0</v>
      </c>
      <c r="M117" s="22">
        <f>+IF(AND(M116&gt;=Assumptions!$H$26,M116&lt;Assumptions!$H$28),SUM(Assumptions!$H$204:$H$205)/ROUNDUP((Assumptions!$H$27/12),0),0)</f>
        <v>0</v>
      </c>
      <c r="N117" s="22">
        <f>+IF(AND(N116&gt;=Assumptions!$H$26,N116&lt;Assumptions!$H$28),SUM(Assumptions!$H$204:$H$205)/ROUNDUP((Assumptions!$H$27/12),0),0)</f>
        <v>0</v>
      </c>
      <c r="O117" s="22">
        <f>+IF(AND(O116&gt;=Assumptions!$H$26,O116&lt;Assumptions!$H$28),SUM(Assumptions!$H$204:$H$205)/ROUNDUP((Assumptions!$H$27/12),0),0)</f>
        <v>0</v>
      </c>
      <c r="P117" s="22">
        <f>+IF(AND(P116&gt;=Assumptions!$H$26,P116&lt;Assumptions!$H$28),SUM(Assumptions!$H$204:$H$205)/ROUNDUP((Assumptions!$H$27/12),0),0)</f>
        <v>0</v>
      </c>
      <c r="Q117" s="22">
        <f>+IF(AND(Q116&gt;=Assumptions!$H$26,Q116&lt;Assumptions!$H$28),SUM(Assumptions!$H$204:$H$205)/ROUNDUP((Assumptions!$H$27/12),0),0)</f>
        <v>0</v>
      </c>
      <c r="R117" s="22">
        <f>+IF(AND(R116&gt;=Assumptions!$H$26,R116&lt;Assumptions!$H$28),SUM(Assumptions!$H$204:$H$205)/ROUNDUP((Assumptions!$H$27/12),0),0)</f>
        <v>0</v>
      </c>
      <c r="S117" s="22">
        <f>+IF(AND(S116&gt;=Assumptions!$H$26,S116&lt;Assumptions!$H$28),SUM(Assumptions!$H$204:$H$205)/ROUNDUP((Assumptions!$H$27/12),0),0)</f>
        <v>0</v>
      </c>
      <c r="T117" s="22">
        <f>+IF(AND(T116&gt;=Assumptions!$H$26,T116&lt;Assumptions!$H$28),SUM(Assumptions!$H$204:$H$205)/ROUNDUP((Assumptions!$H$27/12),0),0)</f>
        <v>0</v>
      </c>
      <c r="U117" s="22">
        <f>+IF(AND(U116&gt;=Assumptions!$H$26,U116&lt;Assumptions!$H$28),SUM(Assumptions!$H$204:$H$205)/ROUNDUP((Assumptions!$H$27/12),0),0)</f>
        <v>0</v>
      </c>
      <c r="V117" s="22">
        <f>+IF(AND(V116&gt;=Assumptions!$H$26,V116&lt;Assumptions!$H$28),SUM(Assumptions!$H$204:$H$205)/ROUNDUP((Assumptions!$H$27/12),0),0)</f>
        <v>0</v>
      </c>
      <c r="W117" s="22">
        <f>+IF(AND(W116&gt;=Assumptions!$H$26,W116&lt;Assumptions!$H$28),SUM(Assumptions!$H$204:$H$205)/ROUNDUP((Assumptions!$H$27/12),0),0)</f>
        <v>0</v>
      </c>
      <c r="X117" s="22">
        <f>+IF(AND(X116&gt;=Assumptions!$H$26,X116&lt;Assumptions!$H$28),SUM(Assumptions!$H$204:$H$205)/ROUNDUP((Assumptions!$H$27/12),0),0)</f>
        <v>0</v>
      </c>
      <c r="Y117" s="22">
        <f>+IF(AND(Y116&gt;=Assumptions!$H$26,Y116&lt;Assumptions!$H$28),SUM(Assumptions!$H$204:$H$205)/ROUNDUP((Assumptions!$H$27/12),0),0)</f>
        <v>0</v>
      </c>
      <c r="Z117" s="22">
        <f>+IF(AND(Z116&gt;=Assumptions!$H$26,Z116&lt;Assumptions!$H$28),SUM(Assumptions!$H$204:$H$205)/ROUNDUP((Assumptions!$H$27/12),0),0)</f>
        <v>0</v>
      </c>
    </row>
    <row r="118" spans="2:26">
      <c r="B118" s="15" t="s">
        <v>607</v>
      </c>
      <c r="C118" s="15"/>
      <c r="D118" s="22"/>
      <c r="E118" s="22"/>
      <c r="F118" s="22">
        <f>+F119-E119</f>
        <v>0</v>
      </c>
      <c r="G118" s="22">
        <f t="shared" ref="G118:Z118" si="47">+G119-F119</f>
        <v>0</v>
      </c>
      <c r="H118" s="22">
        <f t="shared" si="47"/>
        <v>0</v>
      </c>
      <c r="I118" s="22">
        <f t="shared" si="47"/>
        <v>236.98</v>
      </c>
      <c r="J118" s="22">
        <f t="shared" si="47"/>
        <v>236.98</v>
      </c>
      <c r="K118" s="22">
        <f t="shared" si="47"/>
        <v>0</v>
      </c>
      <c r="L118" s="22">
        <f t="shared" si="47"/>
        <v>0</v>
      </c>
      <c r="M118" s="22">
        <f t="shared" si="47"/>
        <v>0</v>
      </c>
      <c r="N118" s="22">
        <f t="shared" si="47"/>
        <v>0</v>
      </c>
      <c r="O118" s="22">
        <f t="shared" si="47"/>
        <v>0</v>
      </c>
      <c r="P118" s="22">
        <f t="shared" si="47"/>
        <v>0</v>
      </c>
      <c r="Q118" s="22">
        <f t="shared" si="47"/>
        <v>0</v>
      </c>
      <c r="R118" s="22">
        <f t="shared" si="47"/>
        <v>0</v>
      </c>
      <c r="S118" s="22">
        <f t="shared" si="47"/>
        <v>0</v>
      </c>
      <c r="T118" s="22">
        <f t="shared" si="47"/>
        <v>0</v>
      </c>
      <c r="U118" s="22">
        <f t="shared" si="47"/>
        <v>0</v>
      </c>
      <c r="V118" s="22">
        <f t="shared" si="47"/>
        <v>0</v>
      </c>
      <c r="W118" s="22">
        <f t="shared" si="47"/>
        <v>0</v>
      </c>
      <c r="X118" s="22">
        <f t="shared" si="47"/>
        <v>0</v>
      </c>
      <c r="Y118" s="22">
        <f t="shared" si="47"/>
        <v>0</v>
      </c>
      <c r="Z118" s="22">
        <f t="shared" si="47"/>
        <v>0</v>
      </c>
    </row>
    <row r="119" spans="2:26">
      <c r="B119" s="15" t="s">
        <v>608</v>
      </c>
      <c r="C119" s="15"/>
      <c r="D119" s="20"/>
      <c r="E119" s="20"/>
      <c r="F119" s="22">
        <f>+F121*SUM(Assumptions!$P$49:$P$50)</f>
        <v>0</v>
      </c>
      <c r="G119" s="22">
        <f>+G121*SUM(Assumptions!$P$49:$P$50)</f>
        <v>0</v>
      </c>
      <c r="H119" s="22">
        <f>+H121*SUM(Assumptions!$P$49:$P$50)</f>
        <v>0</v>
      </c>
      <c r="I119" s="22">
        <f>+I121*SUM(Assumptions!$P$49:$P$50)</f>
        <v>236.98</v>
      </c>
      <c r="J119" s="22">
        <f>+J121*SUM(Assumptions!$P$49:$P$50)</f>
        <v>473.96</v>
      </c>
      <c r="K119" s="22">
        <f>+K121*SUM(Assumptions!$P$49:$P$50)</f>
        <v>473.96</v>
      </c>
      <c r="L119" s="22">
        <f>+L121*SUM(Assumptions!$P$49:$P$50)</f>
        <v>473.96</v>
      </c>
      <c r="M119" s="22">
        <f>+M121*SUM(Assumptions!$P$49:$P$50)</f>
        <v>473.96</v>
      </c>
      <c r="N119" s="22">
        <f>+N121*SUM(Assumptions!$P$49:$P$50)</f>
        <v>473.96</v>
      </c>
      <c r="O119" s="22">
        <f>+O121*SUM(Assumptions!$P$49:$P$50)</f>
        <v>473.96</v>
      </c>
      <c r="P119" s="22">
        <f>+P121*SUM(Assumptions!$P$49:$P$50)</f>
        <v>473.96</v>
      </c>
      <c r="Q119" s="22">
        <f>+Q121*SUM(Assumptions!$P$49:$P$50)</f>
        <v>473.96</v>
      </c>
      <c r="R119" s="22">
        <f>+R121*SUM(Assumptions!$P$49:$P$50)</f>
        <v>473.96</v>
      </c>
      <c r="S119" s="22">
        <f>+S121*SUM(Assumptions!$P$49:$P$50)</f>
        <v>473.96</v>
      </c>
      <c r="T119" s="22">
        <f>+T121*SUM(Assumptions!$P$49:$P$50)</f>
        <v>473.96</v>
      </c>
      <c r="U119" s="22">
        <f>+U121*SUM(Assumptions!$P$49:$P$50)</f>
        <v>473.96</v>
      </c>
      <c r="V119" s="22">
        <f>+V121*SUM(Assumptions!$P$49:$P$50)</f>
        <v>473.96</v>
      </c>
      <c r="W119" s="22">
        <f>+W121*SUM(Assumptions!$P$49:$P$50)</f>
        <v>473.96</v>
      </c>
      <c r="X119" s="22">
        <f>+X121*SUM(Assumptions!$P$49:$P$50)</f>
        <v>473.96</v>
      </c>
      <c r="Y119" s="22">
        <f>+Y121*SUM(Assumptions!$P$49:$P$50)</f>
        <v>473.96</v>
      </c>
      <c r="Z119" s="22">
        <f>+Z121*SUM(Assumptions!$P$49:$P$50)</f>
        <v>473.96</v>
      </c>
    </row>
    <row r="120" spans="2:26">
      <c r="B120" s="15" t="s">
        <v>606</v>
      </c>
      <c r="C120" s="15"/>
      <c r="D120" s="22">
        <v>0</v>
      </c>
      <c r="E120" s="22"/>
      <c r="F120" s="22">
        <f>+D120+F117</f>
        <v>0</v>
      </c>
      <c r="G120" s="22">
        <f t="shared" ref="G120:Z120" si="48">+F120+G117</f>
        <v>0</v>
      </c>
      <c r="H120" s="22">
        <f t="shared" si="48"/>
        <v>0</v>
      </c>
      <c r="I120" s="22">
        <f t="shared" si="48"/>
        <v>59245</v>
      </c>
      <c r="J120" s="22">
        <f t="shared" si="48"/>
        <v>118490</v>
      </c>
      <c r="K120" s="22">
        <f t="shared" si="48"/>
        <v>118490</v>
      </c>
      <c r="L120" s="22">
        <f t="shared" si="48"/>
        <v>118490</v>
      </c>
      <c r="M120" s="22">
        <f t="shared" si="48"/>
        <v>118490</v>
      </c>
      <c r="N120" s="22">
        <f t="shared" si="48"/>
        <v>118490</v>
      </c>
      <c r="O120" s="22">
        <f t="shared" si="48"/>
        <v>118490</v>
      </c>
      <c r="P120" s="22">
        <f t="shared" si="48"/>
        <v>118490</v>
      </c>
      <c r="Q120" s="22">
        <f t="shared" si="48"/>
        <v>118490</v>
      </c>
      <c r="R120" s="22">
        <f t="shared" si="48"/>
        <v>118490</v>
      </c>
      <c r="S120" s="22">
        <f t="shared" si="48"/>
        <v>118490</v>
      </c>
      <c r="T120" s="22">
        <f t="shared" si="48"/>
        <v>118490</v>
      </c>
      <c r="U120" s="22">
        <f t="shared" si="48"/>
        <v>118490</v>
      </c>
      <c r="V120" s="22">
        <f t="shared" si="48"/>
        <v>118490</v>
      </c>
      <c r="W120" s="22">
        <f t="shared" si="48"/>
        <v>118490</v>
      </c>
      <c r="X120" s="22">
        <f t="shared" si="48"/>
        <v>118490</v>
      </c>
      <c r="Y120" s="22">
        <f t="shared" si="48"/>
        <v>118490</v>
      </c>
      <c r="Z120" s="22">
        <f t="shared" si="48"/>
        <v>118490</v>
      </c>
    </row>
    <row r="121" spans="2:26">
      <c r="B121" s="15" t="s">
        <v>609</v>
      </c>
      <c r="C121" s="15"/>
      <c r="D121" s="22"/>
      <c r="E121" s="22"/>
      <c r="F121" s="49">
        <f t="shared" ref="F121:Z121" si="49">+F120/SUM($F117:$Z117)</f>
        <v>0</v>
      </c>
      <c r="G121" s="49">
        <f t="shared" si="49"/>
        <v>0</v>
      </c>
      <c r="H121" s="49">
        <f t="shared" si="49"/>
        <v>0</v>
      </c>
      <c r="I121" s="49">
        <f t="shared" si="49"/>
        <v>0.5</v>
      </c>
      <c r="J121" s="49">
        <f t="shared" si="49"/>
        <v>1</v>
      </c>
      <c r="K121" s="49">
        <f t="shared" si="49"/>
        <v>1</v>
      </c>
      <c r="L121" s="49">
        <f t="shared" si="49"/>
        <v>1</v>
      </c>
      <c r="M121" s="49">
        <f t="shared" si="49"/>
        <v>1</v>
      </c>
      <c r="N121" s="49">
        <f t="shared" si="49"/>
        <v>1</v>
      </c>
      <c r="O121" s="49">
        <f t="shared" si="49"/>
        <v>1</v>
      </c>
      <c r="P121" s="49">
        <f t="shared" si="49"/>
        <v>1</v>
      </c>
      <c r="Q121" s="49">
        <f t="shared" si="49"/>
        <v>1</v>
      </c>
      <c r="R121" s="49">
        <f t="shared" si="49"/>
        <v>1</v>
      </c>
      <c r="S121" s="49">
        <f t="shared" si="49"/>
        <v>1</v>
      </c>
      <c r="T121" s="49">
        <f t="shared" si="49"/>
        <v>1</v>
      </c>
      <c r="U121" s="49">
        <f t="shared" si="49"/>
        <v>1</v>
      </c>
      <c r="V121" s="49">
        <f t="shared" si="49"/>
        <v>1</v>
      </c>
      <c r="W121" s="49">
        <f t="shared" si="49"/>
        <v>1</v>
      </c>
      <c r="X121" s="49">
        <f t="shared" si="49"/>
        <v>1</v>
      </c>
      <c r="Y121" s="49">
        <f t="shared" si="49"/>
        <v>1</v>
      </c>
      <c r="Z121" s="49">
        <f t="shared" si="49"/>
        <v>1</v>
      </c>
    </row>
    <row r="122" spans="2:26">
      <c r="B122" s="15"/>
      <c r="C122" s="15"/>
      <c r="D122" s="20"/>
      <c r="E122" s="20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</row>
    <row r="123" spans="2:26">
      <c r="B123" s="15" t="s">
        <v>610</v>
      </c>
      <c r="C123" s="15"/>
      <c r="D123" s="22"/>
      <c r="E123" s="22"/>
      <c r="F123" s="49">
        <v>1</v>
      </c>
      <c r="G123" s="49">
        <f>+F123*(1+Assumptions!$P$74)</f>
        <v>1.02</v>
      </c>
      <c r="H123" s="49">
        <f>+G123*(1+Assumptions!$P$74)</f>
        <v>1.0404</v>
      </c>
      <c r="I123" s="49">
        <f>+H123*(1+Assumptions!$P$74)</f>
        <v>1.0612079999999999</v>
      </c>
      <c r="J123" s="49">
        <f>+I123*(1+Assumptions!$P$74)</f>
        <v>1.08243216</v>
      </c>
      <c r="K123" s="49">
        <f>+J123*(1+Assumptions!$P$74)</f>
        <v>1.1040808032</v>
      </c>
      <c r="L123" s="49">
        <f>+K123*(1+Assumptions!$P$74)</f>
        <v>1.1261624192640001</v>
      </c>
      <c r="M123" s="49">
        <f>+L123*(1+Assumptions!$P$74)</f>
        <v>1.14868566764928</v>
      </c>
      <c r="N123" s="49">
        <f>+M123*(1+Assumptions!$P$74)</f>
        <v>1.1716593810022657</v>
      </c>
      <c r="O123" s="49">
        <f>+N123*(1+Assumptions!$P$74)</f>
        <v>1.1950925686223111</v>
      </c>
      <c r="P123" s="49">
        <f>+O123*(1+Assumptions!$P$74)</f>
        <v>1.2189944199947573</v>
      </c>
      <c r="Q123" s="49">
        <f>+P123*(1+Assumptions!$P$74)</f>
        <v>1.2433743083946525</v>
      </c>
      <c r="R123" s="49">
        <f>+Q123*(1+Assumptions!$P$74)</f>
        <v>1.2682417945625455</v>
      </c>
      <c r="S123" s="49">
        <f>+R123*(1+Assumptions!$P$74)</f>
        <v>1.2936066304537963</v>
      </c>
      <c r="T123" s="49">
        <f>+S123*(1+Assumptions!$P$74)</f>
        <v>1.3194787630628724</v>
      </c>
      <c r="U123" s="49">
        <f>+T123*(1+Assumptions!$P$74)</f>
        <v>1.3458683383241299</v>
      </c>
      <c r="V123" s="49">
        <f>+U123*(1+Assumptions!$P$74)</f>
        <v>1.3727857050906125</v>
      </c>
      <c r="W123" s="49">
        <f>+V123*(1+Assumptions!$P$74)</f>
        <v>1.4002414191924248</v>
      </c>
      <c r="X123" s="49">
        <f>+W123*(1+Assumptions!$P$74)</f>
        <v>1.4282462475762734</v>
      </c>
      <c r="Y123" s="49">
        <f>+X123*(1+Assumptions!$P$74)</f>
        <v>1.4568111725277988</v>
      </c>
      <c r="Z123" s="49">
        <f>+Y123*(1+Assumptions!$P$74)</f>
        <v>1.4859473959783549</v>
      </c>
    </row>
    <row r="124" spans="2:26">
      <c r="B124" s="15" t="s">
        <v>611</v>
      </c>
      <c r="C124" s="15"/>
      <c r="D124" s="22"/>
      <c r="E124" s="22"/>
      <c r="F124" s="49">
        <v>1</v>
      </c>
      <c r="G124" s="49">
        <f>+F124*(1+Assumptions!$P$82)</f>
        <v>1.02</v>
      </c>
      <c r="H124" s="49">
        <f>+G124*(1+Assumptions!$P$82)</f>
        <v>1.0404</v>
      </c>
      <c r="I124" s="49">
        <f>+H124*(1+Assumptions!$P$82)</f>
        <v>1.0612079999999999</v>
      </c>
      <c r="J124" s="49">
        <f>+I124*(1+Assumptions!$P$82)</f>
        <v>1.08243216</v>
      </c>
      <c r="K124" s="49">
        <f>+J124*(1+Assumptions!$P$82)</f>
        <v>1.1040808032</v>
      </c>
      <c r="L124" s="49">
        <f>+K124*(1+Assumptions!$P$82)</f>
        <v>1.1261624192640001</v>
      </c>
      <c r="M124" s="49">
        <f>+L124*(1+Assumptions!$P$82)</f>
        <v>1.14868566764928</v>
      </c>
      <c r="N124" s="49">
        <f>+M124*(1+Assumptions!$P$82)</f>
        <v>1.1716593810022657</v>
      </c>
      <c r="O124" s="49">
        <f>+N124*(1+Assumptions!$P$82)</f>
        <v>1.1950925686223111</v>
      </c>
      <c r="P124" s="49">
        <f>+O124*(1+Assumptions!$P$82)</f>
        <v>1.2189944199947573</v>
      </c>
      <c r="Q124" s="49">
        <f>+P124*(1+Assumptions!$P$82)</f>
        <v>1.2433743083946525</v>
      </c>
      <c r="R124" s="49">
        <f>+Q124*(1+Assumptions!$P$82)</f>
        <v>1.2682417945625455</v>
      </c>
      <c r="S124" s="49">
        <f>+R124*(1+Assumptions!$P$82)</f>
        <v>1.2936066304537963</v>
      </c>
      <c r="T124" s="49">
        <f>+S124*(1+Assumptions!$P$82)</f>
        <v>1.3194787630628724</v>
      </c>
      <c r="U124" s="49">
        <f>+T124*(1+Assumptions!$P$82)</f>
        <v>1.3458683383241299</v>
      </c>
      <c r="V124" s="49">
        <f>+U124*(1+Assumptions!$P$82)</f>
        <v>1.3727857050906125</v>
      </c>
      <c r="W124" s="49">
        <f>+V124*(1+Assumptions!$P$82)</f>
        <v>1.4002414191924248</v>
      </c>
      <c r="X124" s="49">
        <f>+W124*(1+Assumptions!$P$82)</f>
        <v>1.4282462475762734</v>
      </c>
      <c r="Y124" s="49">
        <f>+X124*(1+Assumptions!$P$82)</f>
        <v>1.4568111725277988</v>
      </c>
      <c r="Z124" s="49">
        <f>+Y124*(1+Assumptions!$P$82)</f>
        <v>1.4859473959783549</v>
      </c>
    </row>
    <row r="125" spans="2:26">
      <c r="B125" s="15"/>
      <c r="C125" s="15"/>
      <c r="D125" s="20"/>
      <c r="E125" s="20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</row>
    <row r="126" spans="2:26">
      <c r="B126" s="15" t="s">
        <v>612</v>
      </c>
      <c r="C126" s="15"/>
      <c r="D126" s="20"/>
      <c r="E126" s="20"/>
      <c r="F126" s="16">
        <f>+F121*Assumptions!$H$203*F123</f>
        <v>0</v>
      </c>
      <c r="G126" s="16">
        <f>+G121*Assumptions!$H$203*G123</f>
        <v>0</v>
      </c>
      <c r="H126" s="16">
        <f>+H121*Assumptions!$H$203*H123</f>
        <v>0</v>
      </c>
      <c r="I126" s="16">
        <f>+I121*Assumptions!$H$203*I123</f>
        <v>620651.40730452014</v>
      </c>
      <c r="J126" s="16">
        <f>+J121*Assumptions!$H$203*J123</f>
        <v>1266128.8709012209</v>
      </c>
      <c r="K126" s="16">
        <f>+K121*Assumptions!$H$203*K123</f>
        <v>1291451.4483192456</v>
      </c>
      <c r="L126" s="16">
        <f>+L121*Assumptions!$H$203*L123</f>
        <v>1317280.4772856305</v>
      </c>
      <c r="M126" s="16">
        <f>+M121*Assumptions!$H$203*M123</f>
        <v>1343626.0868313431</v>
      </c>
      <c r="N126" s="16">
        <f>+N121*Assumptions!$H$203*N123</f>
        <v>1370498.6085679701</v>
      </c>
      <c r="O126" s="16">
        <f>+O121*Assumptions!$H$203*O123</f>
        <v>1397908.5807393293</v>
      </c>
      <c r="P126" s="16">
        <f>+P121*Assumptions!$H$203*P123</f>
        <v>1425866.7523541162</v>
      </c>
      <c r="Q126" s="16">
        <f>+Q121*Assumptions!$H$203*Q123</f>
        <v>1454384.0874011985</v>
      </c>
      <c r="R126" s="16">
        <f>+R121*Assumptions!$H$203*R123</f>
        <v>1483471.7691492224</v>
      </c>
      <c r="S126" s="16">
        <f>+S121*Assumptions!$H$203*S123</f>
        <v>1513141.2045322068</v>
      </c>
      <c r="T126" s="16">
        <f>+T121*Assumptions!$H$203*T123</f>
        <v>1543404.028622851</v>
      </c>
      <c r="U126" s="16">
        <f>+U121*Assumptions!$H$203*U123</f>
        <v>1574272.1091953081</v>
      </c>
      <c r="V126" s="16">
        <f>+V121*Assumptions!$H$203*V123</f>
        <v>1605757.5513792143</v>
      </c>
      <c r="W126" s="16">
        <f>+W121*Assumptions!$H$203*W123</f>
        <v>1637872.7024067987</v>
      </c>
      <c r="X126" s="16">
        <f>+X121*Assumptions!$H$203*X123</f>
        <v>1670630.1564549347</v>
      </c>
      <c r="Y126" s="16">
        <f>+Y121*Assumptions!$H$203*Y123</f>
        <v>1704042.7595840332</v>
      </c>
      <c r="Z126" s="16">
        <f>+Z121*Assumptions!$H$203*Z123</f>
        <v>1738123.614775714</v>
      </c>
    </row>
    <row r="127" spans="2:26">
      <c r="B127" s="15" t="s">
        <v>613</v>
      </c>
      <c r="C127" s="15"/>
      <c r="D127" s="20"/>
      <c r="E127" s="20"/>
      <c r="F127" s="22">
        <f>-F126*Assumptions!$P$60</f>
        <v>0</v>
      </c>
      <c r="G127" s="22">
        <f>-G126*Assumptions!$P$60</f>
        <v>0</v>
      </c>
      <c r="H127" s="22">
        <f>-H126*Assumptions!$P$60</f>
        <v>0</v>
      </c>
      <c r="I127" s="22">
        <f>-I126*Assumptions!$P$60</f>
        <v>-62065.140730452018</v>
      </c>
      <c r="J127" s="22">
        <f>-J126*Assumptions!$P$60</f>
        <v>-126612.88709012209</v>
      </c>
      <c r="K127" s="22">
        <f>-K126*Assumptions!$P$60</f>
        <v>-129145.14483192457</v>
      </c>
      <c r="L127" s="22">
        <f>-L126*Assumptions!$P$60</f>
        <v>-131728.04772856305</v>
      </c>
      <c r="M127" s="22">
        <f>-M126*Assumptions!$P$60</f>
        <v>-134362.60868313431</v>
      </c>
      <c r="N127" s="22">
        <f>-N126*Assumptions!$P$60</f>
        <v>-137049.86085679702</v>
      </c>
      <c r="O127" s="22">
        <f>-O126*Assumptions!$P$60</f>
        <v>-139790.85807393293</v>
      </c>
      <c r="P127" s="22">
        <f>-P126*Assumptions!$P$60</f>
        <v>-142586.67523541162</v>
      </c>
      <c r="Q127" s="22">
        <f>-Q126*Assumptions!$P$60</f>
        <v>-145438.40874011986</v>
      </c>
      <c r="R127" s="22">
        <f>-R126*Assumptions!$P$60</f>
        <v>-148347.17691492225</v>
      </c>
      <c r="S127" s="22">
        <f>-S126*Assumptions!$P$60</f>
        <v>-151314.12045322068</v>
      </c>
      <c r="T127" s="22">
        <f>-T126*Assumptions!$P$60</f>
        <v>-154340.40286228512</v>
      </c>
      <c r="U127" s="22">
        <f>-U126*Assumptions!$P$60</f>
        <v>-157427.21091953083</v>
      </c>
      <c r="V127" s="22">
        <f>-V126*Assumptions!$P$60</f>
        <v>-160575.75513792143</v>
      </c>
      <c r="W127" s="22">
        <f>-W126*Assumptions!$P$60</f>
        <v>-163787.27024067988</v>
      </c>
      <c r="X127" s="22">
        <f>-X126*Assumptions!$P$60</f>
        <v>-167063.01564549349</v>
      </c>
      <c r="Y127" s="22">
        <f>-Y126*Assumptions!$P$60</f>
        <v>-170404.27595840333</v>
      </c>
      <c r="Z127" s="22">
        <f>-Z126*Assumptions!$P$60</f>
        <v>-173812.36147757142</v>
      </c>
    </row>
    <row r="128" spans="2:26">
      <c r="B128" s="62" t="s">
        <v>614</v>
      </c>
      <c r="C128" s="62"/>
      <c r="D128" s="62"/>
      <c r="E128" s="62"/>
      <c r="F128" s="58">
        <f t="shared" ref="F128:Z128" si="50">+SUM(F126:F127)</f>
        <v>0</v>
      </c>
      <c r="G128" s="58">
        <f t="shared" si="50"/>
        <v>0</v>
      </c>
      <c r="H128" s="58">
        <f t="shared" si="50"/>
        <v>0</v>
      </c>
      <c r="I128" s="58">
        <f t="shared" si="50"/>
        <v>558586.26657406811</v>
      </c>
      <c r="J128" s="58">
        <f t="shared" si="50"/>
        <v>1139515.9838110988</v>
      </c>
      <c r="K128" s="58">
        <f t="shared" si="50"/>
        <v>1162306.3034873211</v>
      </c>
      <c r="L128" s="58">
        <f t="shared" si="50"/>
        <v>1185552.4295570676</v>
      </c>
      <c r="M128" s="58">
        <f t="shared" si="50"/>
        <v>1209263.4781482089</v>
      </c>
      <c r="N128" s="58">
        <f t="shared" si="50"/>
        <v>1233448.747711173</v>
      </c>
      <c r="O128" s="58">
        <f t="shared" si="50"/>
        <v>1258117.7226653965</v>
      </c>
      <c r="P128" s="58">
        <f t="shared" si="50"/>
        <v>1283280.0771187046</v>
      </c>
      <c r="Q128" s="58">
        <f t="shared" si="50"/>
        <v>1308945.6786610787</v>
      </c>
      <c r="R128" s="58">
        <f t="shared" si="50"/>
        <v>1335124.5922343002</v>
      </c>
      <c r="S128" s="58">
        <f t="shared" si="50"/>
        <v>1361827.0840789862</v>
      </c>
      <c r="T128" s="58">
        <f t="shared" si="50"/>
        <v>1389063.625760566</v>
      </c>
      <c r="U128" s="58">
        <f t="shared" si="50"/>
        <v>1416844.8982757772</v>
      </c>
      <c r="V128" s="58">
        <f t="shared" si="50"/>
        <v>1445181.7962412927</v>
      </c>
      <c r="W128" s="58">
        <f t="shared" si="50"/>
        <v>1474085.4321661189</v>
      </c>
      <c r="X128" s="58">
        <f t="shared" si="50"/>
        <v>1503567.1408094412</v>
      </c>
      <c r="Y128" s="58">
        <f t="shared" si="50"/>
        <v>1533638.4836256299</v>
      </c>
      <c r="Z128" s="58">
        <f t="shared" si="50"/>
        <v>1564311.2532981425</v>
      </c>
    </row>
    <row r="130" spans="2:26">
      <c r="B130" s="15" t="s">
        <v>615</v>
      </c>
      <c r="F130" s="16">
        <f>+F119*Assumptions!$P$97*'Phase III Pro Forma'!F124</f>
        <v>0</v>
      </c>
      <c r="G130" s="16">
        <f>+G119*Assumptions!$P$97*'Phase III Pro Forma'!G124</f>
        <v>0</v>
      </c>
      <c r="H130" s="16">
        <f>+H119*Assumptions!$P$97*'Phase III Pro Forma'!H124</f>
        <v>0</v>
      </c>
      <c r="I130" s="16">
        <f>+I119*Assumptions!$P$97*'Phase III Pro Forma'!I124</f>
        <v>136107.76475976317</v>
      </c>
      <c r="J130" s="16">
        <f>+J119*Assumptions!$P$97*'Phase III Pro Forma'!J124</f>
        <v>277659.84010991687</v>
      </c>
      <c r="K130" s="16">
        <f>+K119*Assumptions!$P$97*'Phase III Pro Forma'!K124</f>
        <v>283213.03691211523</v>
      </c>
      <c r="L130" s="16">
        <f>+L119*Assumptions!$P$97*'Phase III Pro Forma'!L124</f>
        <v>288877.29765035753</v>
      </c>
      <c r="M130" s="16">
        <f>+M119*Assumptions!$P$97*'Phase III Pro Forma'!M124</f>
        <v>294654.84360336472</v>
      </c>
      <c r="N130" s="16">
        <f>+N119*Assumptions!$P$97*'Phase III Pro Forma'!N124</f>
        <v>300547.94047543203</v>
      </c>
      <c r="O130" s="16">
        <f>+O119*Assumptions!$P$97*'Phase III Pro Forma'!O124</f>
        <v>306558.89928494068</v>
      </c>
      <c r="P130" s="16">
        <f>+P119*Assumptions!$P$97*'Phase III Pro Forma'!P124</f>
        <v>312690.07727063948</v>
      </c>
      <c r="Q130" s="16">
        <f>+Q119*Assumptions!$P$97*'Phase III Pro Forma'!Q124</f>
        <v>318943.87881605228</v>
      </c>
      <c r="R130" s="16">
        <f>+R119*Assumptions!$P$97*'Phase III Pro Forma'!R124</f>
        <v>325322.7563923733</v>
      </c>
      <c r="S130" s="16">
        <f>+S119*Assumptions!$P$97*'Phase III Pro Forma'!S124</f>
        <v>331829.21152022074</v>
      </c>
      <c r="T130" s="16">
        <f>+T119*Assumptions!$P$97*'Phase III Pro Forma'!T124</f>
        <v>338465.7957506252</v>
      </c>
      <c r="U130" s="16">
        <f>+U119*Assumptions!$P$97*'Phase III Pro Forma'!U124</f>
        <v>345235.11166563776</v>
      </c>
      <c r="V130" s="16">
        <f>+V119*Assumptions!$P$97*'Phase III Pro Forma'!V124</f>
        <v>352139.81389895047</v>
      </c>
      <c r="W130" s="16">
        <f>+W119*Assumptions!$P$97*'Phase III Pro Forma'!W124</f>
        <v>359182.61017692951</v>
      </c>
      <c r="X130" s="16">
        <f>+X119*Assumptions!$P$97*'Phase III Pro Forma'!X124</f>
        <v>366366.26238046814</v>
      </c>
      <c r="Y130" s="16">
        <f>+Y119*Assumptions!$P$97*'Phase III Pro Forma'!Y124</f>
        <v>373693.58762807748</v>
      </c>
      <c r="Z130" s="16">
        <f>+Z119*Assumptions!$P$97*'Phase III Pro Forma'!Z124</f>
        <v>381167.45938063908</v>
      </c>
    </row>
    <row r="131" spans="2:26">
      <c r="B131" s="693" t="s">
        <v>616</v>
      </c>
      <c r="C131" s="693"/>
      <c r="D131" s="693"/>
      <c r="E131" s="693"/>
      <c r="F131" s="734"/>
      <c r="G131" s="734">
        <v>0</v>
      </c>
      <c r="H131" s="734">
        <v>0</v>
      </c>
      <c r="I131" s="734">
        <f>(('Parcel x Block Info'!$P$17*0.12)*I121)*0.5</f>
        <v>235847.48495903995</v>
      </c>
      <c r="J131" s="734">
        <f t="shared" ref="J131:Z131" si="51">I131*1.02</f>
        <v>240564.43465822077</v>
      </c>
      <c r="K131" s="734">
        <f t="shared" si="51"/>
        <v>245375.72335138518</v>
      </c>
      <c r="L131" s="734">
        <f t="shared" si="51"/>
        <v>250283.23781841289</v>
      </c>
      <c r="M131" s="734">
        <f t="shared" si="51"/>
        <v>255288.90257478115</v>
      </c>
      <c r="N131" s="734">
        <f t="shared" si="51"/>
        <v>260394.68062627679</v>
      </c>
      <c r="O131" s="734">
        <f t="shared" si="51"/>
        <v>265602.57423880231</v>
      </c>
      <c r="P131" s="743">
        <f t="shared" si="51"/>
        <v>270914.62572357839</v>
      </c>
      <c r="Q131" s="743">
        <f t="shared" si="51"/>
        <v>276332.91823804996</v>
      </c>
      <c r="R131" s="734">
        <f t="shared" si="51"/>
        <v>281859.57660281094</v>
      </c>
      <c r="S131" s="734">
        <f t="shared" si="51"/>
        <v>287496.76813486713</v>
      </c>
      <c r="T131" s="734">
        <f t="shared" si="51"/>
        <v>293246.70349756448</v>
      </c>
      <c r="U131" s="734">
        <f t="shared" si="51"/>
        <v>299111.63756751578</v>
      </c>
      <c r="V131" s="734">
        <f t="shared" si="51"/>
        <v>305093.8703188661</v>
      </c>
      <c r="W131" s="734">
        <f t="shared" si="51"/>
        <v>311195.74772524345</v>
      </c>
      <c r="X131" s="734">
        <f t="shared" si="51"/>
        <v>317419.66267974832</v>
      </c>
      <c r="Y131" s="734">
        <f t="shared" si="51"/>
        <v>323768.0559333433</v>
      </c>
      <c r="Z131" s="734">
        <f t="shared" si="51"/>
        <v>330243.41705201019</v>
      </c>
    </row>
    <row r="132" spans="2:26">
      <c r="B132" s="62" t="s">
        <v>617</v>
      </c>
      <c r="C132" s="62"/>
      <c r="D132" s="62"/>
      <c r="E132" s="62"/>
      <c r="F132" s="58">
        <f>+SUM(F130:F131)</f>
        <v>0</v>
      </c>
      <c r="G132" s="58">
        <f t="shared" ref="G132" si="52">+SUM(G130:G131)</f>
        <v>0</v>
      </c>
      <c r="H132" s="58">
        <f t="shared" ref="H132:Z132" si="53">+SUM(H130:H131)</f>
        <v>0</v>
      </c>
      <c r="I132" s="58">
        <f t="shared" si="53"/>
        <v>371955.2497188031</v>
      </c>
      <c r="J132" s="58">
        <f t="shared" si="53"/>
        <v>518224.27476813761</v>
      </c>
      <c r="K132" s="58">
        <f t="shared" si="53"/>
        <v>528588.76026350039</v>
      </c>
      <c r="L132" s="58">
        <f t="shared" si="53"/>
        <v>539160.53546877042</v>
      </c>
      <c r="M132" s="58">
        <f t="shared" si="53"/>
        <v>549943.74617814587</v>
      </c>
      <c r="N132" s="58">
        <f t="shared" si="53"/>
        <v>560942.62110170885</v>
      </c>
      <c r="O132" s="58">
        <f t="shared" si="53"/>
        <v>572161.47352374298</v>
      </c>
      <c r="P132" s="58">
        <f t="shared" si="53"/>
        <v>583604.70299421786</v>
      </c>
      <c r="Q132" s="58">
        <f t="shared" si="53"/>
        <v>595276.79705410218</v>
      </c>
      <c r="R132" s="58">
        <f t="shared" si="53"/>
        <v>607182.33299518423</v>
      </c>
      <c r="S132" s="58">
        <f t="shared" si="53"/>
        <v>619325.97965508793</v>
      </c>
      <c r="T132" s="58">
        <f t="shared" si="53"/>
        <v>631712.49924818962</v>
      </c>
      <c r="U132" s="58">
        <f t="shared" si="53"/>
        <v>644346.74923315353</v>
      </c>
      <c r="V132" s="58">
        <f t="shared" si="53"/>
        <v>657233.68421781657</v>
      </c>
      <c r="W132" s="58">
        <f t="shared" si="53"/>
        <v>670378.35790217295</v>
      </c>
      <c r="X132" s="58">
        <f t="shared" si="53"/>
        <v>683785.92506021645</v>
      </c>
      <c r="Y132" s="58">
        <f t="shared" si="53"/>
        <v>697461.64356142073</v>
      </c>
      <c r="Z132" s="58">
        <f t="shared" si="53"/>
        <v>711410.87643264933</v>
      </c>
    </row>
    <row r="133" spans="2:26">
      <c r="B133" s="15"/>
    </row>
    <row r="134" spans="2:26" ht="15.75">
      <c r="B134" s="687" t="s">
        <v>618</v>
      </c>
      <c r="C134" s="687"/>
      <c r="D134" s="687"/>
      <c r="E134" s="687"/>
      <c r="F134" s="550">
        <f>+F128-F132</f>
        <v>0</v>
      </c>
      <c r="G134" s="550">
        <f t="shared" ref="G134" si="54">+G128-G132</f>
        <v>0</v>
      </c>
      <c r="H134" s="550">
        <f t="shared" ref="H134:Z134" si="55">+H128-H132</f>
        <v>0</v>
      </c>
      <c r="I134" s="550">
        <f t="shared" si="55"/>
        <v>186631.01685526501</v>
      </c>
      <c r="J134" s="550">
        <f t="shared" si="55"/>
        <v>621291.70904296124</v>
      </c>
      <c r="K134" s="550">
        <f t="shared" si="55"/>
        <v>633717.54322382074</v>
      </c>
      <c r="L134" s="550">
        <f t="shared" si="55"/>
        <v>646391.89408829715</v>
      </c>
      <c r="M134" s="550">
        <f t="shared" si="55"/>
        <v>659319.73197006306</v>
      </c>
      <c r="N134" s="550">
        <f t="shared" si="55"/>
        <v>672506.12660946418</v>
      </c>
      <c r="O134" s="550">
        <f t="shared" si="55"/>
        <v>685956.24914165353</v>
      </c>
      <c r="P134" s="550">
        <f t="shared" si="55"/>
        <v>699675.3741244867</v>
      </c>
      <c r="Q134" s="550">
        <f t="shared" si="55"/>
        <v>713668.8816069765</v>
      </c>
      <c r="R134" s="550">
        <f t="shared" si="55"/>
        <v>727942.25923911599</v>
      </c>
      <c r="S134" s="550">
        <f t="shared" si="55"/>
        <v>742501.10442389827</v>
      </c>
      <c r="T134" s="550">
        <f t="shared" si="55"/>
        <v>757351.12651237636</v>
      </c>
      <c r="U134" s="550">
        <f t="shared" si="55"/>
        <v>772498.1490426237</v>
      </c>
      <c r="V134" s="550">
        <f t="shared" si="55"/>
        <v>787948.11202347616</v>
      </c>
      <c r="W134" s="550">
        <f t="shared" si="55"/>
        <v>803707.07426394592</v>
      </c>
      <c r="X134" s="550">
        <f t="shared" si="55"/>
        <v>819781.21574922476</v>
      </c>
      <c r="Y134" s="550">
        <f t="shared" si="55"/>
        <v>836176.84006420919</v>
      </c>
      <c r="Z134" s="550">
        <f t="shared" si="55"/>
        <v>852900.37686549313</v>
      </c>
    </row>
    <row r="135" spans="2:26" ht="15.75">
      <c r="B135" s="688" t="s">
        <v>619</v>
      </c>
      <c r="C135" s="689"/>
      <c r="D135" s="689"/>
      <c r="E135" s="689"/>
      <c r="F135" s="690" t="str">
        <f>+IFERROR(F134/F128,"")</f>
        <v/>
      </c>
      <c r="G135" s="690" t="str">
        <f t="shared" ref="G135:H135" si="56">+IFERROR(G134/G128,"")</f>
        <v/>
      </c>
      <c r="H135" s="690" t="str">
        <f t="shared" si="56"/>
        <v/>
      </c>
      <c r="I135" s="691">
        <f t="shared" ref="I135:Z135" si="57">+IFERROR(I134/I128,"")</f>
        <v>0.33411314961234889</v>
      </c>
      <c r="J135" s="691">
        <f t="shared" si="57"/>
        <v>0.54522421613171046</v>
      </c>
      <c r="K135" s="691">
        <f t="shared" si="57"/>
        <v>0.54522421613171057</v>
      </c>
      <c r="L135" s="691">
        <f t="shared" si="57"/>
        <v>0.54522421613171057</v>
      </c>
      <c r="M135" s="691">
        <f t="shared" si="57"/>
        <v>0.54522421613171046</v>
      </c>
      <c r="N135" s="691">
        <f t="shared" si="57"/>
        <v>0.54522421613171046</v>
      </c>
      <c r="O135" s="691">
        <f t="shared" si="57"/>
        <v>0.54522421613171046</v>
      </c>
      <c r="P135" s="691">
        <f t="shared" si="57"/>
        <v>0.54522421613171046</v>
      </c>
      <c r="Q135" s="691">
        <f t="shared" si="57"/>
        <v>0.54522421613171057</v>
      </c>
      <c r="R135" s="691">
        <f t="shared" si="57"/>
        <v>0.54522421613171057</v>
      </c>
      <c r="S135" s="691">
        <f t="shared" si="57"/>
        <v>0.54522421613171046</v>
      </c>
      <c r="T135" s="691">
        <f t="shared" si="57"/>
        <v>0.54522421613171057</v>
      </c>
      <c r="U135" s="691">
        <f t="shared" si="57"/>
        <v>0.54522421613171046</v>
      </c>
      <c r="V135" s="691">
        <f t="shared" si="57"/>
        <v>0.54522421613171046</v>
      </c>
      <c r="W135" s="691">
        <f t="shared" si="57"/>
        <v>0.54522421613171057</v>
      </c>
      <c r="X135" s="691">
        <f t="shared" si="57"/>
        <v>0.54522421613171046</v>
      </c>
      <c r="Y135" s="691">
        <f t="shared" si="57"/>
        <v>0.54522421613171046</v>
      </c>
      <c r="Z135" s="691">
        <f t="shared" si="57"/>
        <v>0.54522421613171035</v>
      </c>
    </row>
    <row r="136" spans="2:26" ht="15.75">
      <c r="B136" s="688" t="s">
        <v>568</v>
      </c>
      <c r="C136" s="689"/>
      <c r="D136" s="689"/>
      <c r="E136" s="689"/>
      <c r="F136" s="692">
        <f>+F134/Assumptions!$P$135</f>
        <v>0</v>
      </c>
      <c r="G136" s="692">
        <f>+G134/Assumptions!$P$135</f>
        <v>0</v>
      </c>
      <c r="H136" s="692">
        <f>+H134/Assumptions!$P$135</f>
        <v>0</v>
      </c>
      <c r="I136" s="692">
        <f>+I134/Assumptions!$P$135</f>
        <v>2871246.4131579231</v>
      </c>
      <c r="J136" s="692">
        <f>+J134/Assumptions!$P$135</f>
        <v>9558333.9852763265</v>
      </c>
      <c r="K136" s="692">
        <f>+K134/Assumptions!$P$135</f>
        <v>9749500.6649818569</v>
      </c>
      <c r="L136" s="692">
        <f>+L134/Assumptions!$P$135</f>
        <v>9944490.6782814935</v>
      </c>
      <c r="M136" s="692">
        <f>+M134/Assumptions!$P$135</f>
        <v>10143380.491847124</v>
      </c>
      <c r="N136" s="692">
        <f>+N134/Assumptions!$P$135</f>
        <v>10346248.101684064</v>
      </c>
      <c r="O136" s="692">
        <f>+O134/Assumptions!$P$135</f>
        <v>10553173.063717747</v>
      </c>
      <c r="P136" s="692">
        <f>+P134/Assumptions!$P$135</f>
        <v>10764236.524992103</v>
      </c>
      <c r="Q136" s="692">
        <f>+Q134/Assumptions!$P$135</f>
        <v>10979521.255491946</v>
      </c>
      <c r="R136" s="692">
        <f>+R134/Assumptions!$P$135</f>
        <v>11199111.680601783</v>
      </c>
      <c r="S136" s="692">
        <f>+S134/Assumptions!$P$135</f>
        <v>11423093.914213819</v>
      </c>
      <c r="T136" s="692">
        <f>+T134/Assumptions!$P$135</f>
        <v>11651555.792498097</v>
      </c>
      <c r="U136" s="692">
        <f>+U134/Assumptions!$P$135</f>
        <v>11884586.908348057</v>
      </c>
      <c r="V136" s="692">
        <f>+V134/Assumptions!$P$135</f>
        <v>12122278.646515017</v>
      </c>
      <c r="W136" s="692">
        <f>+W134/Assumptions!$P$135</f>
        <v>12364724.219445322</v>
      </c>
      <c r="X136" s="692">
        <f>+X134/Assumptions!$P$135</f>
        <v>12612018.703834226</v>
      </c>
      <c r="Y136" s="692">
        <f>+Y134/Assumptions!$P$135</f>
        <v>12864259.077910909</v>
      </c>
      <c r="Z136" s="692">
        <f>+Z134/Assumptions!$P$135</f>
        <v>13121544.259469125</v>
      </c>
    </row>
    <row r="138" spans="2:26" ht="15.75">
      <c r="B138" s="687" t="s">
        <v>624</v>
      </c>
      <c r="C138" s="687"/>
      <c r="D138" s="687"/>
      <c r="E138" s="687"/>
      <c r="F138" s="550">
        <v>0</v>
      </c>
      <c r="G138" s="550">
        <v>0</v>
      </c>
      <c r="H138" s="550">
        <v>0</v>
      </c>
      <c r="I138" s="550">
        <f t="shared" ref="I138:Z138" si="58">I134+I70+I49+I26</f>
        <v>6713283.6074656695</v>
      </c>
      <c r="J138" s="550">
        <f t="shared" si="58"/>
        <v>14017341.178146504</v>
      </c>
      <c r="K138" s="550">
        <f t="shared" si="58"/>
        <v>14367309.638474565</v>
      </c>
      <c r="L138" s="550">
        <f t="shared" si="58"/>
        <v>14979796.816731973</v>
      </c>
      <c r="M138" s="550">
        <f t="shared" si="58"/>
        <v>15351646.067124832</v>
      </c>
      <c r="N138" s="550">
        <f t="shared" si="58"/>
        <v>15734938.915199425</v>
      </c>
      <c r="O138" s="550">
        <f t="shared" si="58"/>
        <v>16130024.431289595</v>
      </c>
      <c r="P138" s="550">
        <f t="shared" si="58"/>
        <v>16537262.273087282</v>
      </c>
      <c r="Q138" s="550">
        <f t="shared" si="58"/>
        <v>17233940.010775801</v>
      </c>
      <c r="R138" s="550">
        <f t="shared" si="58"/>
        <v>17666605.435769044</v>
      </c>
      <c r="S138" s="550">
        <f t="shared" si="58"/>
        <v>18112568.931460731</v>
      </c>
      <c r="T138" s="550">
        <f t="shared" si="58"/>
        <v>18572235.802130796</v>
      </c>
      <c r="U138" s="550">
        <f t="shared" si="58"/>
        <v>19046023.638430733</v>
      </c>
      <c r="V138" s="550">
        <f t="shared" si="58"/>
        <v>19838971.394247998</v>
      </c>
      <c r="W138" s="550">
        <f t="shared" si="58"/>
        <v>20342304.946113538</v>
      </c>
      <c r="X138" s="550">
        <f t="shared" si="58"/>
        <v>20861089.721414503</v>
      </c>
      <c r="Y138" s="550">
        <f t="shared" si="58"/>
        <v>21395796.281191532</v>
      </c>
      <c r="Z138" s="550">
        <f t="shared" si="58"/>
        <v>21946909.443803247</v>
      </c>
    </row>
    <row r="140" spans="2:26" ht="15.75">
      <c r="B140" s="73" t="s">
        <v>625</v>
      </c>
      <c r="F140" s="75">
        <f>+Assumptions!$H$22</f>
        <v>45657</v>
      </c>
      <c r="G140" s="75">
        <f>+EOMONTH(F140,12)</f>
        <v>46022</v>
      </c>
      <c r="H140" s="75">
        <f t="shared" ref="H140:Z140" si="59">+EOMONTH(G140,12)</f>
        <v>46387</v>
      </c>
      <c r="I140" s="75">
        <f t="shared" si="59"/>
        <v>46752</v>
      </c>
      <c r="J140" s="75">
        <f t="shared" si="59"/>
        <v>47118</v>
      </c>
      <c r="K140" s="75">
        <f t="shared" si="59"/>
        <v>47483</v>
      </c>
      <c r="L140" s="75">
        <f t="shared" si="59"/>
        <v>47848</v>
      </c>
      <c r="M140" s="75">
        <f t="shared" si="59"/>
        <v>48213</v>
      </c>
      <c r="N140" s="75">
        <f t="shared" si="59"/>
        <v>48579</v>
      </c>
      <c r="O140" s="75">
        <f t="shared" si="59"/>
        <v>48944</v>
      </c>
      <c r="P140" s="75">
        <f t="shared" si="59"/>
        <v>49309</v>
      </c>
      <c r="Q140" s="75">
        <f t="shared" si="59"/>
        <v>49674</v>
      </c>
      <c r="R140" s="75">
        <f t="shared" si="59"/>
        <v>50040</v>
      </c>
      <c r="S140" s="75">
        <f t="shared" si="59"/>
        <v>50405</v>
      </c>
      <c r="T140" s="75">
        <f t="shared" si="59"/>
        <v>50770</v>
      </c>
      <c r="U140" s="75">
        <f t="shared" si="59"/>
        <v>51135</v>
      </c>
      <c r="V140" s="75">
        <f t="shared" si="59"/>
        <v>51501</v>
      </c>
      <c r="W140" s="75">
        <f t="shared" si="59"/>
        <v>51866</v>
      </c>
      <c r="X140" s="75">
        <f t="shared" si="59"/>
        <v>52231</v>
      </c>
      <c r="Y140" s="75">
        <f t="shared" si="59"/>
        <v>52596</v>
      </c>
      <c r="Z140" s="75">
        <f t="shared" si="59"/>
        <v>52962</v>
      </c>
    </row>
    <row r="141" spans="2:26">
      <c r="B141" s="15" t="s">
        <v>626</v>
      </c>
      <c r="F141" s="16">
        <v>0</v>
      </c>
      <c r="G141" s="16">
        <f t="shared" ref="G141:I141" si="60">+F144</f>
        <v>0</v>
      </c>
      <c r="H141" s="16">
        <f t="shared" si="60"/>
        <v>0</v>
      </c>
      <c r="I141" s="16">
        <f t="shared" si="60"/>
        <v>0</v>
      </c>
      <c r="J141" s="16">
        <f>+I144</f>
        <v>0</v>
      </c>
      <c r="K141" s="16">
        <v>0</v>
      </c>
      <c r="L141" s="16">
        <v>0</v>
      </c>
      <c r="M141" s="16">
        <v>0</v>
      </c>
      <c r="N141" s="16">
        <v>0</v>
      </c>
      <c r="O141" s="16">
        <v>0</v>
      </c>
      <c r="P141" s="16">
        <v>0</v>
      </c>
      <c r="Q141" s="16">
        <v>0</v>
      </c>
      <c r="R141" s="16">
        <v>0</v>
      </c>
      <c r="S141" s="16">
        <v>0</v>
      </c>
      <c r="T141" s="16">
        <v>0</v>
      </c>
      <c r="U141" s="16">
        <v>0</v>
      </c>
      <c r="V141" s="16">
        <v>0</v>
      </c>
      <c r="W141" s="16">
        <v>0</v>
      </c>
      <c r="X141" s="16">
        <v>0</v>
      </c>
      <c r="Y141" s="16">
        <v>0</v>
      </c>
      <c r="Z141" s="16">
        <v>0</v>
      </c>
    </row>
    <row r="142" spans="2:26">
      <c r="B142" s="15" t="s">
        <v>627</v>
      </c>
      <c r="F142" s="76">
        <f>+IF(YEAR(F$140)=YEAR(Assumptions!$H$26),'S&amp;U'!$T$17,0)</f>
        <v>0</v>
      </c>
      <c r="G142" s="76">
        <f>+IF(YEAR(G$140)=YEAR(Assumptions!$H$26),'S&amp;U'!$T$17,0)</f>
        <v>0</v>
      </c>
      <c r="H142" s="76">
        <f>+IF(YEAR(H$140)=YEAR(Assumptions!$H$26),'S&amp;U'!$T$17,0)</f>
        <v>0</v>
      </c>
      <c r="I142" s="76">
        <v>0</v>
      </c>
      <c r="J142" s="76">
        <f>+IF(YEAR(J$140)=YEAR(Assumptions!$H$26),'S&amp;U'!$T$17,0)</f>
        <v>0</v>
      </c>
      <c r="K142" s="76">
        <f>+IF(YEAR(K$140)=YEAR(Assumptions!$H$26),'S&amp;U'!$T$17,0)</f>
        <v>0</v>
      </c>
      <c r="L142" s="76">
        <f>+IF(YEAR(L$140)=YEAR(Assumptions!$H$26),'S&amp;U'!$T$17,0)</f>
        <v>0</v>
      </c>
      <c r="M142" s="76">
        <f>+IF(YEAR(M$140)=YEAR(Assumptions!$H$26),'S&amp;U'!$T$17,0)</f>
        <v>0</v>
      </c>
      <c r="N142" s="76">
        <f>+IF(YEAR(N$140)=YEAR(Assumptions!$H$26),'S&amp;U'!$T$17,0)</f>
        <v>0</v>
      </c>
      <c r="O142" s="76">
        <f>+IF(YEAR(O$140)=YEAR(Assumptions!$H$26),'S&amp;U'!$T$17,0)</f>
        <v>0</v>
      </c>
      <c r="P142" s="76">
        <f>+IF(YEAR(P$140)=YEAR(Assumptions!$H$26),'S&amp;U'!$T$17,0)</f>
        <v>0</v>
      </c>
      <c r="Q142" s="76">
        <f>+IF(YEAR(Q$140)=YEAR(Assumptions!$H$26),'S&amp;U'!$T$17,0)</f>
        <v>0</v>
      </c>
      <c r="R142" s="76">
        <f>+IF(YEAR(R$140)=YEAR(Assumptions!$H$26),'S&amp;U'!$T$17,0)</f>
        <v>0</v>
      </c>
      <c r="S142" s="76">
        <f>+IF(YEAR(S$140)=YEAR(Assumptions!$H$26),'S&amp;U'!$T$17,0)</f>
        <v>0</v>
      </c>
      <c r="T142" s="76">
        <f>+IF(YEAR(T$140)=YEAR(Assumptions!$H$26),'S&amp;U'!$T$17,0)</f>
        <v>0</v>
      </c>
      <c r="U142" s="76">
        <f>+IF(YEAR(U$140)=YEAR(Assumptions!$H$26),'S&amp;U'!$T$17,0)</f>
        <v>0</v>
      </c>
      <c r="V142" s="76">
        <f>+IF(YEAR(V$140)=YEAR(Assumptions!$H$26),'S&amp;U'!$T$17,0)</f>
        <v>0</v>
      </c>
      <c r="W142" s="76">
        <f>+IF(YEAR(W$140)=YEAR(Assumptions!$H$26),'S&amp;U'!$T$17,0)</f>
        <v>0</v>
      </c>
      <c r="X142" s="76">
        <f>+IF(YEAR(X$140)=YEAR(Assumptions!$H$26),'S&amp;U'!$T$17,0)</f>
        <v>0</v>
      </c>
      <c r="Y142" s="76">
        <f>+IF(YEAR(Y$140)=YEAR(Assumptions!$H$26),'S&amp;U'!$T$17,0)</f>
        <v>0</v>
      </c>
      <c r="Z142" s="76">
        <f>+IF(YEAR(Z$140)=YEAR(Assumptions!$H$26),'S&amp;U'!$T$17,0)</f>
        <v>0</v>
      </c>
    </row>
    <row r="143" spans="2:26">
      <c r="B143" s="15" t="s">
        <v>261</v>
      </c>
      <c r="F143" s="76">
        <f>+IFERROR(PPMT(Assumptions!$P$151,F2,Assumptions!$P$153,'S&amp;U'!$T$17),0)</f>
        <v>0</v>
      </c>
      <c r="G143" s="76">
        <f>+IFERROR(PPMT(Assumptions!$P$151,G2,Assumptions!$P$153,'S&amp;U'!$T$17),0)</f>
        <v>0</v>
      </c>
      <c r="H143" s="76">
        <f>+IFERROR(PPMT(Assumptions!$P$151,H2,Assumptions!$P$153,'S&amp;U'!$T$17),0)</f>
        <v>0</v>
      </c>
      <c r="I143" s="76">
        <f>+IFERROR(PPMT(Assumptions!$P$151,I2,Assumptions!$P$153,'S&amp;U'!$T$17),0)</f>
        <v>-1737709.6198580489</v>
      </c>
      <c r="J143" s="76">
        <f>+IFERROR(PPMT(Assumptions!$P$151,J2,Assumptions!$P$153,'S&amp;U'!$T$17),0)</f>
        <v>-1850660.7451488215</v>
      </c>
      <c r="K143" s="76">
        <f>+IFERROR(PPMT(Assumptions!$P$151,K2,Assumptions!$P$153,'S&amp;U'!$T$17),0)</f>
        <v>-1970953.6935834952</v>
      </c>
      <c r="L143" s="76">
        <f>+IFERROR(PPMT(Assumptions!$P$151,L2,Assumptions!$P$153,'S&amp;U'!$T$17),0)</f>
        <v>-2099065.6836664225</v>
      </c>
      <c r="M143" s="76">
        <f>+IFERROR(PPMT(Assumptions!$P$151,M2,Assumptions!$P$153,'S&amp;U'!$T$17),0)</f>
        <v>-2235504.95310474</v>
      </c>
      <c r="N143" s="76">
        <f>+IFERROR(PPMT(Assumptions!$P$151,N2,Assumptions!$P$153,'S&amp;U'!$T$17),0)</f>
        <v>-2380812.775056548</v>
      </c>
      <c r="O143" s="76">
        <f>+IFERROR(PPMT(Assumptions!$P$151,O2,Assumptions!$P$153,'S&amp;U'!$T$17),0)</f>
        <v>-2535565.6054352233</v>
      </c>
      <c r="P143" s="76">
        <f>+IFERROR(PPMT(Assumptions!$P$151,P2,Assumptions!$P$153,'S&amp;U'!$T$17),0)</f>
        <v>-2700377.3697885131</v>
      </c>
      <c r="Q143" s="76">
        <f>+IFERROR(PPMT(Assumptions!$P$151,Q2,Assumptions!$P$153,'S&amp;U'!$T$17),0)</f>
        <v>-2875901.8988247663</v>
      </c>
      <c r="R143" s="76">
        <f>+IFERROR(PPMT(Assumptions!$P$151,R2,Assumptions!$P$153,'S&amp;U'!$T$17),0)</f>
        <v>-3062835.5222483762</v>
      </c>
      <c r="S143" s="76">
        <f>+IFERROR(PPMT(Assumptions!$P$151,S2,Assumptions!$P$153,'S&amp;U'!$T$17),0)</f>
        <v>-3261919.8311945214</v>
      </c>
      <c r="T143" s="76">
        <f>+IFERROR(PPMT(Assumptions!$P$151,T2,Assumptions!$P$153,'S&amp;U'!$T$17),0)</f>
        <v>-3473944.6202221652</v>
      </c>
      <c r="U143" s="76">
        <f>+IFERROR(PPMT(Assumptions!$P$151,U2,Assumptions!$P$153,'S&amp;U'!$T$17),0)</f>
        <v>-3699751.0205366057</v>
      </c>
      <c r="V143" s="76">
        <f>+IFERROR(PPMT(Assumptions!$P$151,V2,Assumptions!$P$153,'S&amp;U'!$T$17),0)</f>
        <v>-3940234.8368714848</v>
      </c>
      <c r="W143" s="76">
        <f>+IFERROR(PPMT(Assumptions!$P$151,W2,Assumptions!$P$153,'S&amp;U'!$T$17),0)</f>
        <v>-4196350.1012681322</v>
      </c>
      <c r="X143" s="76">
        <f>+IFERROR(PPMT(Assumptions!$P$151,X2,Assumptions!$P$153,'S&amp;U'!$T$17),0)</f>
        <v>-4469112.85785056</v>
      </c>
      <c r="Y143" s="76">
        <f>+IFERROR(PPMT(Assumptions!$P$151,Y2,Assumptions!$P$153,'S&amp;U'!$T$17),0)</f>
        <v>-4759605.193610847</v>
      </c>
      <c r="Z143" s="76">
        <f>+IFERROR(PPMT(Assumptions!$P$151,Z2,Assumptions!$P$153,'S&amp;U'!$T$17),0)</f>
        <v>-5068979.5311955521</v>
      </c>
    </row>
    <row r="144" spans="2:26">
      <c r="B144" s="15" t="s">
        <v>628</v>
      </c>
      <c r="F144" s="76">
        <f t="shared" ref="F144:H144" si="61">+SUM(F141:F143)</f>
        <v>0</v>
      </c>
      <c r="G144" s="76">
        <f t="shared" si="61"/>
        <v>0</v>
      </c>
      <c r="H144" s="76">
        <f t="shared" si="61"/>
        <v>0</v>
      </c>
      <c r="I144" s="76">
        <v>0</v>
      </c>
      <c r="J144" s="76">
        <v>0</v>
      </c>
      <c r="K144" s="76">
        <v>0</v>
      </c>
      <c r="L144" s="76">
        <v>0</v>
      </c>
      <c r="M144" s="76">
        <v>0</v>
      </c>
      <c r="N144" s="76">
        <v>0</v>
      </c>
      <c r="O144" s="76">
        <v>0</v>
      </c>
      <c r="P144" s="76">
        <v>0</v>
      </c>
      <c r="Q144" s="76">
        <v>0</v>
      </c>
      <c r="R144" s="76">
        <v>0</v>
      </c>
      <c r="S144" s="76">
        <v>0</v>
      </c>
      <c r="T144" s="76">
        <v>0</v>
      </c>
      <c r="U144" s="76">
        <v>0</v>
      </c>
      <c r="V144" s="76">
        <v>0</v>
      </c>
      <c r="W144" s="76">
        <v>0</v>
      </c>
      <c r="X144" s="76">
        <v>0</v>
      </c>
      <c r="Y144" s="76">
        <v>0</v>
      </c>
      <c r="Z144" s="76">
        <v>0</v>
      </c>
    </row>
    <row r="146" spans="2:26">
      <c r="B146" s="21" t="s">
        <v>629</v>
      </c>
      <c r="F146" s="16">
        <f>-IFERROR(IPMT(Assumptions!$P$151,F2,Assumptions!$P$153,'S&amp;U'!$T$17),0)</f>
        <v>0</v>
      </c>
      <c r="G146" s="16">
        <f>-IFERROR(IPMT(Assumptions!$P$151,G2,Assumptions!$P$153,'S&amp;U'!$T$17),0)</f>
        <v>0</v>
      </c>
      <c r="H146" s="16">
        <f>-IFERROR(IPMT(Assumptions!$P$151,H2,Assumptions!$P$153,'S&amp;U'!$T$17),0)</f>
        <v>0</v>
      </c>
      <c r="I146" s="16">
        <f>-IFERROR(IPMT(Assumptions!$P$151,I2,Assumptions!$P$153,'S&amp;U'!$T$17),0)</f>
        <v>9756138.0909215976</v>
      </c>
      <c r="J146" s="16">
        <f>-IFERROR(IPMT(Assumptions!$P$151,J2,Assumptions!$P$153,'S&amp;U'!$T$17),0)</f>
        <v>9643186.9656308256</v>
      </c>
      <c r="K146" s="16">
        <f>-IFERROR(IPMT(Assumptions!$P$151,K2,Assumptions!$P$153,'S&amp;U'!$T$17),0)</f>
        <v>9522894.0171961505</v>
      </c>
      <c r="L146" s="16">
        <f>-IFERROR(IPMT(Assumptions!$P$151,L2,Assumptions!$P$153,'S&amp;U'!$T$17),0)</f>
        <v>9394782.0271132253</v>
      </c>
      <c r="M146" s="16">
        <f>-IFERROR(IPMT(Assumptions!$P$151,M2,Assumptions!$P$153,'S&amp;U'!$T$17),0)</f>
        <v>9258342.7576749064</v>
      </c>
      <c r="N146" s="16">
        <f>-IFERROR(IPMT(Assumptions!$P$151,N2,Assumptions!$P$153,'S&amp;U'!$T$17),0)</f>
        <v>9113034.935723098</v>
      </c>
      <c r="O146" s="16">
        <f>-IFERROR(IPMT(Assumptions!$P$151,O2,Assumptions!$P$153,'S&amp;U'!$T$17),0)</f>
        <v>8958282.1053444222</v>
      </c>
      <c r="P146" s="16">
        <f>-IFERROR(IPMT(Assumptions!$P$151,P2,Assumptions!$P$153,'S&amp;U'!$T$17),0)</f>
        <v>8793470.3409911338</v>
      </c>
      <c r="Q146" s="16">
        <f>-IFERROR(IPMT(Assumptions!$P$151,Q2,Assumptions!$P$153,'S&amp;U'!$T$17),0)</f>
        <v>8617945.8119548801</v>
      </c>
      <c r="R146" s="16">
        <f>-IFERROR(IPMT(Assumptions!$P$151,R2,Assumptions!$P$153,'S&amp;U'!$T$17),0)</f>
        <v>8431012.1885312703</v>
      </c>
      <c r="S146" s="16">
        <f>-IFERROR(IPMT(Assumptions!$P$151,S2,Assumptions!$P$153,'S&amp;U'!$T$17),0)</f>
        <v>8231927.8795851255</v>
      </c>
      <c r="T146" s="16">
        <f>-IFERROR(IPMT(Assumptions!$P$151,T2,Assumptions!$P$153,'S&amp;U'!$T$17),0)</f>
        <v>8019903.0905574812</v>
      </c>
      <c r="U146" s="16">
        <f>-IFERROR(IPMT(Assumptions!$P$151,U2,Assumptions!$P$153,'S&amp;U'!$T$17),0)</f>
        <v>7794096.6902430402</v>
      </c>
      <c r="V146" s="16">
        <f>-IFERROR(IPMT(Assumptions!$P$151,V2,Assumptions!$P$153,'S&amp;U'!$T$17),0)</f>
        <v>7553612.8739081612</v>
      </c>
      <c r="W146" s="16">
        <f>-IFERROR(IPMT(Assumptions!$P$151,W2,Assumptions!$P$153,'S&amp;U'!$T$17),0)</f>
        <v>7297497.6095115151</v>
      </c>
      <c r="X146" s="16">
        <f>-IFERROR(IPMT(Assumptions!$P$151,X2,Assumptions!$P$153,'S&amp;U'!$T$17),0)</f>
        <v>7024734.8529290846</v>
      </c>
      <c r="Y146" s="16">
        <f>-IFERROR(IPMT(Assumptions!$P$151,Y2,Assumptions!$P$153,'S&amp;U'!$T$17),0)</f>
        <v>6734242.5171687985</v>
      </c>
      <c r="Z146" s="16">
        <f>-IFERROR(IPMT(Assumptions!$P$151,Z2,Assumptions!$P$153,'S&amp;U'!$T$17),0)</f>
        <v>6424868.1795840943</v>
      </c>
    </row>
    <row r="147" spans="2:26">
      <c r="B147" s="62" t="s">
        <v>630</v>
      </c>
      <c r="C147" s="62"/>
      <c r="D147" s="62"/>
      <c r="E147" s="62"/>
      <c r="F147" s="58">
        <f t="shared" ref="F147:K147" si="62">+F146-F143</f>
        <v>0</v>
      </c>
      <c r="G147" s="58">
        <f t="shared" si="62"/>
        <v>0</v>
      </c>
      <c r="H147" s="58">
        <f t="shared" si="62"/>
        <v>0</v>
      </c>
      <c r="I147" s="58">
        <f t="shared" si="62"/>
        <v>11493847.710779646</v>
      </c>
      <c r="J147" s="58">
        <f t="shared" si="62"/>
        <v>11493847.710779646</v>
      </c>
      <c r="K147" s="58">
        <f t="shared" si="62"/>
        <v>11493847.710779646</v>
      </c>
      <c r="L147" s="58">
        <f>+L146-L143</f>
        <v>11493847.710779648</v>
      </c>
      <c r="M147" s="58">
        <f t="shared" ref="M147:Z147" si="63">+M146-M143</f>
        <v>11493847.710779646</v>
      </c>
      <c r="N147" s="58">
        <f t="shared" si="63"/>
        <v>11493847.710779646</v>
      </c>
      <c r="O147" s="58">
        <f t="shared" si="63"/>
        <v>11493847.710779645</v>
      </c>
      <c r="P147" s="58">
        <f t="shared" si="63"/>
        <v>11493847.710779646</v>
      </c>
      <c r="Q147" s="58">
        <f t="shared" si="63"/>
        <v>11493847.710779646</v>
      </c>
      <c r="R147" s="58">
        <f t="shared" si="63"/>
        <v>11493847.710779646</v>
      </c>
      <c r="S147" s="58">
        <f t="shared" si="63"/>
        <v>11493847.710779646</v>
      </c>
      <c r="T147" s="58">
        <f t="shared" si="63"/>
        <v>11493847.710779646</v>
      </c>
      <c r="U147" s="58">
        <f t="shared" si="63"/>
        <v>11493847.710779646</v>
      </c>
      <c r="V147" s="58">
        <f t="shared" si="63"/>
        <v>11493847.710779646</v>
      </c>
      <c r="W147" s="58">
        <f t="shared" si="63"/>
        <v>11493847.710779648</v>
      </c>
      <c r="X147" s="58">
        <f t="shared" si="63"/>
        <v>11493847.710779645</v>
      </c>
      <c r="Y147" s="58">
        <f t="shared" si="63"/>
        <v>11493847.710779645</v>
      </c>
      <c r="Z147" s="58">
        <f t="shared" si="63"/>
        <v>11493847.710779646</v>
      </c>
    </row>
    <row r="148" spans="2:26">
      <c r="B148" s="71" t="s">
        <v>259</v>
      </c>
      <c r="F148" s="90" t="str">
        <f>+IFERROR(F138/F147,"")</f>
        <v/>
      </c>
      <c r="G148" s="90" t="str">
        <f t="shared" ref="G148:Z148" si="64">+IFERROR(G138/G147,"")</f>
        <v/>
      </c>
      <c r="H148" s="90" t="str">
        <f t="shared" si="64"/>
        <v/>
      </c>
      <c r="I148" s="90">
        <f t="shared" si="64"/>
        <v>0.58407626204839425</v>
      </c>
      <c r="J148" s="90">
        <f t="shared" si="64"/>
        <v>1.2195516706733611</v>
      </c>
      <c r="K148" s="90">
        <f t="shared" si="64"/>
        <v>1.2500000000000007</v>
      </c>
      <c r="L148" s="90">
        <f t="shared" si="64"/>
        <v>1.3032882628750146</v>
      </c>
      <c r="M148" s="90">
        <f t="shared" si="64"/>
        <v>1.3356402880409755</v>
      </c>
      <c r="N148" s="90">
        <f t="shared" si="64"/>
        <v>1.3689879413003028</v>
      </c>
      <c r="O148" s="90">
        <f t="shared" si="64"/>
        <v>1.4033615928425653</v>
      </c>
      <c r="P148" s="90">
        <f t="shared" si="64"/>
        <v>1.4387925339899541</v>
      </c>
      <c r="Q148" s="90">
        <f t="shared" si="64"/>
        <v>1.4994056337298378</v>
      </c>
      <c r="R148" s="90">
        <f t="shared" si="64"/>
        <v>1.5370488525961763</v>
      </c>
      <c r="S148" s="90">
        <f t="shared" si="64"/>
        <v>1.5758490443956061</v>
      </c>
      <c r="T148" s="90">
        <f t="shared" si="64"/>
        <v>1.6158414718434626</v>
      </c>
      <c r="U148" s="90">
        <f t="shared" si="64"/>
        <v>1.6570624666070863</v>
      </c>
      <c r="V148" s="90">
        <f t="shared" si="64"/>
        <v>1.7260513531636386</v>
      </c>
      <c r="W148" s="90">
        <f t="shared" si="64"/>
        <v>1.7698429157918329</v>
      </c>
      <c r="X148" s="90">
        <f t="shared" si="64"/>
        <v>1.8149787822444938</v>
      </c>
      <c r="Y148" s="90">
        <f t="shared" si="64"/>
        <v>1.8614998927752648</v>
      </c>
      <c r="Z148" s="90">
        <f t="shared" si="64"/>
        <v>1.9094484280681803</v>
      </c>
    </row>
    <row r="150" spans="2:26">
      <c r="B150" s="21" t="s">
        <v>255</v>
      </c>
      <c r="F150" s="16">
        <f>+F142*Assumptions!$P$152</f>
        <v>0</v>
      </c>
      <c r="G150" s="16">
        <f>+G142*Assumptions!$P$152</f>
        <v>0</v>
      </c>
      <c r="H150" s="16">
        <f>+H142*Assumptions!$P$152</f>
        <v>0</v>
      </c>
      <c r="I150" s="16">
        <v>0</v>
      </c>
      <c r="J150" s="16">
        <f>+J142*Assumptions!$P$152</f>
        <v>0</v>
      </c>
      <c r="K150" s="16">
        <f>+K142*Assumptions!$P$152</f>
        <v>0</v>
      </c>
      <c r="L150" s="16">
        <f>+L142*Assumptions!$P$152</f>
        <v>0</v>
      </c>
      <c r="M150" s="16">
        <f>+M142*Assumptions!$P$152</f>
        <v>0</v>
      </c>
      <c r="N150" s="16">
        <f>+N142*Assumptions!$P$152</f>
        <v>0</v>
      </c>
      <c r="O150" s="16">
        <f>+O142*Assumptions!$P$152</f>
        <v>0</v>
      </c>
      <c r="P150" s="16">
        <f>+P142*Assumptions!$P$152</f>
        <v>0</v>
      </c>
      <c r="Q150" s="16">
        <f>+Q142*Assumptions!$P$152</f>
        <v>0</v>
      </c>
      <c r="R150" s="16">
        <f>+R142*Assumptions!$P$152</f>
        <v>0</v>
      </c>
      <c r="S150" s="16">
        <f>+S142*Assumptions!$P$152</f>
        <v>0</v>
      </c>
      <c r="T150" s="16">
        <f>+T142*Assumptions!$P$152</f>
        <v>0</v>
      </c>
      <c r="U150" s="16">
        <f>+U142*Assumptions!$P$152</f>
        <v>0</v>
      </c>
      <c r="V150" s="16">
        <f>+V142*Assumptions!$P$152</f>
        <v>0</v>
      </c>
      <c r="W150" s="16">
        <f>+W142*Assumptions!$P$152</f>
        <v>0</v>
      </c>
      <c r="X150" s="16">
        <f>+X142*Assumptions!$P$152</f>
        <v>0</v>
      </c>
      <c r="Y150" s="16">
        <f>+Y142*Assumptions!$P$152</f>
        <v>0</v>
      </c>
      <c r="Z150" s="16">
        <f>+Z142*Assumptions!$P$152</f>
        <v>0</v>
      </c>
    </row>
    <row r="152" spans="2:26" s="82" customFormat="1">
      <c r="B152" s="62" t="s">
        <v>631</v>
      </c>
      <c r="C152" s="62"/>
      <c r="D152" s="62"/>
      <c r="E152" s="62"/>
      <c r="F152" s="58">
        <f>+F138-F147-F150</f>
        <v>0</v>
      </c>
      <c r="G152" s="58">
        <f>+G138-G147-G150</f>
        <v>0</v>
      </c>
      <c r="H152" s="58">
        <f t="shared" ref="G152:Z152" si="65">+H138-H147-H150</f>
        <v>0</v>
      </c>
      <c r="I152" s="58">
        <v>0</v>
      </c>
      <c r="J152" s="58">
        <f t="shared" si="65"/>
        <v>2523493.4673668575</v>
      </c>
      <c r="K152" s="58">
        <f t="shared" si="65"/>
        <v>2873461.9276949186</v>
      </c>
      <c r="L152" s="58">
        <f t="shared" si="65"/>
        <v>3485949.1059523243</v>
      </c>
      <c r="M152" s="58">
        <f t="shared" si="65"/>
        <v>3857798.356345186</v>
      </c>
      <c r="N152" s="58">
        <f t="shared" si="65"/>
        <v>4241091.2044197787</v>
      </c>
      <c r="O152" s="58">
        <f t="shared" si="65"/>
        <v>4636176.7205099501</v>
      </c>
      <c r="P152" s="58">
        <f t="shared" si="65"/>
        <v>5043414.5623076353</v>
      </c>
      <c r="Q152" s="58">
        <f t="shared" si="65"/>
        <v>5740092.2999961544</v>
      </c>
      <c r="R152" s="58">
        <f t="shared" si="65"/>
        <v>6172757.7249893975</v>
      </c>
      <c r="S152" s="58">
        <f t="shared" si="65"/>
        <v>6618721.2206810843</v>
      </c>
      <c r="T152" s="58">
        <f t="shared" si="65"/>
        <v>7078388.0913511496</v>
      </c>
      <c r="U152" s="58">
        <f t="shared" si="65"/>
        <v>7552175.9276510868</v>
      </c>
      <c r="V152" s="58">
        <f t="shared" si="65"/>
        <v>8345123.6834683511</v>
      </c>
      <c r="W152" s="58">
        <f t="shared" si="65"/>
        <v>8848457.2353338897</v>
      </c>
      <c r="X152" s="58">
        <f t="shared" si="65"/>
        <v>9367242.0106348582</v>
      </c>
      <c r="Y152" s="58">
        <f t="shared" si="65"/>
        <v>9901948.570411887</v>
      </c>
      <c r="Z152" s="58">
        <f t="shared" si="65"/>
        <v>10453061.733023601</v>
      </c>
    </row>
    <row r="154" spans="2:26" ht="15.75">
      <c r="B154" s="73" t="s">
        <v>632</v>
      </c>
    </row>
    <row r="155" spans="2:26">
      <c r="B155" s="15" t="s">
        <v>24</v>
      </c>
      <c r="F155" s="16">
        <f>+IF(YEAR(F$140)=YEAR(Assumptions!$H$30),F136+F114+F93+F72+F51+F28,0)</f>
        <v>0</v>
      </c>
      <c r="G155" s="16">
        <f>+IF(YEAR(G$140)=YEAR(Assumptions!$H$30),G136+G114+G93+G72+G51+G28,0)</f>
        <v>0</v>
      </c>
      <c r="H155" s="16">
        <f>+IF(YEAR(H$140)=YEAR(Assumptions!$H$30),H136+H114+H93+H72+H51+H28,0)</f>
        <v>0</v>
      </c>
      <c r="I155" s="16">
        <f>+IF(YEAR(I$140)=YEAR(Assumptions!$H$30),I136+I114+I93+I72+I51+I28,0)</f>
        <v>0</v>
      </c>
      <c r="J155" s="16">
        <f>+IF(YEAR(J$140)=YEAR(Assumptions!$H$30),J136+J114+J93+J72+J51+J28,0)</f>
        <v>0</v>
      </c>
      <c r="K155" s="16">
        <f>+IF(YEAR(K$140)=YEAR(Assumptions!$H$30),K136+K114+K93+K72+K51+K28,0)</f>
        <v>0</v>
      </c>
      <c r="L155" s="16">
        <f>+IF(YEAR(L$140)=YEAR(Assumptions!$H$30),L136+L114+L93+L72+L51+L28,0)</f>
        <v>0</v>
      </c>
      <c r="M155" s="16">
        <v>0</v>
      </c>
      <c r="N155" s="16">
        <f>+IF(YEAR(N$140)=YEAR(Assumptions!$H$30),N136+N114+N93+N72+N51+N28,0)</f>
        <v>0</v>
      </c>
      <c r="O155" s="16">
        <f>+IF(YEAR(O$140)=YEAR(Assumptions!$H$30),O136+O114+O93+O72+O51+O28,0)</f>
        <v>0</v>
      </c>
      <c r="P155" s="16">
        <f>+IF(YEAR(P$140)=YEAR(Assumptions!$H$30),P136+P114+P93+P72+P51+P28,0)</f>
        <v>0</v>
      </c>
      <c r="Q155" s="16">
        <f>+IF(YEAR(Q$140)=YEAR(Assumptions!$H$30),Q136+Q114+Q93+Q72+Q51+Q28,0)</f>
        <v>0</v>
      </c>
      <c r="R155" s="16">
        <f>+IF(YEAR(R$140)=YEAR(Assumptions!$H$30),R136+R114+R93+R72+R51+R28,0)</f>
        <v>0</v>
      </c>
      <c r="S155" s="16">
        <f>+IF(YEAR(S$140)=YEAR(Assumptions!$H$30),S136+S114+S93+S72+S51+S28,0)</f>
        <v>0</v>
      </c>
      <c r="T155" s="16">
        <f>+IF(YEAR(T$140)=YEAR(Assumptions!$H$30),T136+T114+T93+T72+T51+T28,0)</f>
        <v>0</v>
      </c>
      <c r="U155" s="16">
        <f>+IF(YEAR(U$140)=YEAR(Assumptions!$H$30),U136+U114+U93+U72+U51+U28,0)</f>
        <v>0</v>
      </c>
      <c r="V155" s="16">
        <f>+IF(YEAR(V$140)=YEAR(Assumptions!$H$30),V136+V114+V93+V72+V51+V28,0)</f>
        <v>0</v>
      </c>
      <c r="W155" s="16">
        <f>+IF(YEAR(W$140)=YEAR(Assumptions!$H$30),W136+W114+W93+W72+W51+W28,0)</f>
        <v>0</v>
      </c>
      <c r="X155" s="16">
        <f>+IF(YEAR(X$140)=YEAR(Assumptions!$H$30),X136+X114+X93+X72+X51+X28,0)</f>
        <v>0</v>
      </c>
      <c r="Y155" s="16">
        <f>+IF(YEAR(Y$140)=YEAR(Assumptions!$H$30),Y136+Y114+Y93+Y72+Y51+Y28,0)</f>
        <v>0</v>
      </c>
      <c r="Z155" s="16">
        <f>+IF(YEAR(Z$140)=YEAR(Assumptions!$H$30),Z136+Z114+Z93+Z72+Z51+Z28,0)</f>
        <v>0</v>
      </c>
    </row>
    <row r="156" spans="2:26" ht="18">
      <c r="B156" s="100" t="s">
        <v>633</v>
      </c>
      <c r="C156" s="100"/>
      <c r="D156" s="100"/>
      <c r="E156" s="100"/>
      <c r="F156" s="76">
        <f>+IF(YEAR(F$140)=YEAR(Assumptions!$H$26),('S&amp;U'!$J$23-'S&amp;U'!$T$25),0)</f>
        <v>0</v>
      </c>
      <c r="G156" s="76">
        <f>+IF(YEAR(G$140)=YEAR(Assumptions!$H$26),('S&amp;U'!$J$23-'S&amp;U'!$T$25),0)</f>
        <v>0</v>
      </c>
      <c r="H156" s="76">
        <f>+IF(YEAR(H$140)=YEAR(Assumptions!$H$26),('S&amp;U'!$J$23-'S&amp;U'!$T$25),0)</f>
        <v>0</v>
      </c>
      <c r="I156" s="76">
        <f ca="1">+IF(YEAR(I$140)=YEAR(Assumptions!$H$26),('S&amp;U'!$J$23-'S&amp;U'!$T$25),0)</f>
        <v>69981700.404558539</v>
      </c>
      <c r="J156" s="76">
        <f>+IF(YEAR(J$140)=YEAR(Assumptions!$H$26),('S&amp;U'!$J$23-'S&amp;U'!$T$25),0)</f>
        <v>0</v>
      </c>
      <c r="K156" s="76">
        <f>+IF(YEAR(K$140)=YEAR(Assumptions!$H$26),('S&amp;U'!$J$23-'S&amp;U'!$T$25),0)</f>
        <v>0</v>
      </c>
      <c r="L156" s="76">
        <f>+IF(YEAR(L$140)=YEAR(Assumptions!$H$26),('S&amp;U'!$J$23-'S&amp;U'!$T$25),0)</f>
        <v>0</v>
      </c>
      <c r="M156" s="76">
        <f>+IF(YEAR(M$140)=YEAR(Assumptions!$H$26),('S&amp;U'!$J$23-'S&amp;U'!$T$25),0)</f>
        <v>0</v>
      </c>
      <c r="N156" s="76">
        <f>+IF(YEAR(N$140)=YEAR(Assumptions!$H$26),('S&amp;U'!$J$23-'S&amp;U'!$T$25),0)</f>
        <v>0</v>
      </c>
      <c r="O156" s="76">
        <f>+IF(YEAR(O$140)=YEAR(Assumptions!$H$26),('S&amp;U'!$J$23-'S&amp;U'!$T$25),0)</f>
        <v>0</v>
      </c>
      <c r="P156" s="76">
        <f>+IF(YEAR(P$140)=YEAR(Assumptions!$H$26),('S&amp;U'!$J$23-'S&amp;U'!$T$25),0)</f>
        <v>0</v>
      </c>
      <c r="Q156" s="76">
        <f>+IF(YEAR(Q$140)=YEAR(Assumptions!$H$26),('S&amp;U'!$J$23-'S&amp;U'!$T$25),0)</f>
        <v>0</v>
      </c>
      <c r="R156" s="76">
        <f>+IF(YEAR(R$140)=YEAR(Assumptions!$H$26),('S&amp;U'!$J$23-'S&amp;U'!$T$25),0)</f>
        <v>0</v>
      </c>
      <c r="S156" s="76">
        <f>+IF(YEAR(S$140)=YEAR(Assumptions!$H$26),('S&amp;U'!$J$23-'S&amp;U'!$T$25),0)</f>
        <v>0</v>
      </c>
      <c r="T156" s="76">
        <f>+IF(YEAR(T$140)=YEAR(Assumptions!$H$26),('S&amp;U'!$J$23-'S&amp;U'!$T$25),0)</f>
        <v>0</v>
      </c>
      <c r="U156" s="76">
        <f>+IF(YEAR(U$140)=YEAR(Assumptions!$H$26),('S&amp;U'!$J$23-'S&amp;U'!$T$25),0)</f>
        <v>0</v>
      </c>
      <c r="V156" s="76">
        <f>+IF(YEAR(V$140)=YEAR(Assumptions!$H$26),('S&amp;U'!$J$23-'S&amp;U'!$T$25),0)</f>
        <v>0</v>
      </c>
      <c r="W156" s="76">
        <f>+IF(YEAR(W$140)=YEAR(Assumptions!$H$26),('S&amp;U'!$J$23-'S&amp;U'!$T$25),0)</f>
        <v>0</v>
      </c>
      <c r="X156" s="76">
        <f>+IF(YEAR(X$140)=YEAR(Assumptions!$H$26),('S&amp;U'!$J$23-'S&amp;U'!$T$25),0)</f>
        <v>0</v>
      </c>
      <c r="Y156" s="76">
        <f>+IF(YEAR(Y$140)=YEAR(Assumptions!$H$26),('S&amp;U'!$J$23-'S&amp;U'!$T$25),0)</f>
        <v>0</v>
      </c>
      <c r="Z156" s="76">
        <f>+IF(YEAR(Z$140)=YEAR(Assumptions!$H$26),('S&amp;U'!$J$23-'S&amp;U'!$T$25),0)</f>
        <v>0</v>
      </c>
    </row>
    <row r="157" spans="2:26">
      <c r="B157" s="15" t="s">
        <v>634</v>
      </c>
      <c r="F157" s="76">
        <f>-F155*Assumptions!$P$136</f>
        <v>0</v>
      </c>
      <c r="G157" s="76">
        <f>-G155*Assumptions!$P$136</f>
        <v>0</v>
      </c>
      <c r="H157" s="76">
        <f>-H155*Assumptions!$P$136</f>
        <v>0</v>
      </c>
      <c r="I157" s="76">
        <f>-I155*Assumptions!$P$136</f>
        <v>0</v>
      </c>
      <c r="J157" s="76">
        <f>-J155*Assumptions!$P$136</f>
        <v>0</v>
      </c>
      <c r="K157" s="76">
        <f>-K155*Assumptions!$P$136</f>
        <v>0</v>
      </c>
      <c r="L157" s="76">
        <f>-L155*Assumptions!$P$136</f>
        <v>0</v>
      </c>
      <c r="M157" s="76">
        <f>-M155*Assumptions!$P$136</f>
        <v>0</v>
      </c>
      <c r="N157" s="76">
        <f>-N155*Assumptions!$P$136</f>
        <v>0</v>
      </c>
      <c r="O157" s="76">
        <f>-O155*Assumptions!$P$136</f>
        <v>0</v>
      </c>
      <c r="P157" s="76">
        <f>-P155*Assumptions!$P$136</f>
        <v>0</v>
      </c>
      <c r="Q157" s="76">
        <f>-Q155*Assumptions!$P$136</f>
        <v>0</v>
      </c>
      <c r="R157" s="76">
        <f>-R155*Assumptions!$P$136</f>
        <v>0</v>
      </c>
      <c r="S157" s="76">
        <f>-S155*Assumptions!$P$136</f>
        <v>0</v>
      </c>
      <c r="T157" s="76">
        <f>-T155*Assumptions!$P$136</f>
        <v>0</v>
      </c>
      <c r="U157" s="76">
        <f>-U155*Assumptions!$P$136</f>
        <v>0</v>
      </c>
      <c r="V157" s="76">
        <f>-V155*Assumptions!$P$136</f>
        <v>0</v>
      </c>
      <c r="W157" s="76">
        <f>-W155*Assumptions!$P$136</f>
        <v>0</v>
      </c>
      <c r="X157" s="76">
        <f>-X155*Assumptions!$P$136</f>
        <v>0</v>
      </c>
      <c r="Y157" s="76">
        <f>-Y155*Assumptions!$P$136</f>
        <v>0</v>
      </c>
      <c r="Z157" s="76">
        <f>-Z155*Assumptions!$P$136</f>
        <v>0</v>
      </c>
    </row>
    <row r="158" spans="2:26">
      <c r="B158" s="15" t="s">
        <v>635</v>
      </c>
      <c r="F158" s="76">
        <f>+IF(YEAR(F$140)=YEAR(Assumptions!$H$30),-F144,0)</f>
        <v>0</v>
      </c>
      <c r="G158" s="76">
        <f>+IF(YEAR(G$140)=YEAR(Assumptions!$H$30),-G144,0)</f>
        <v>0</v>
      </c>
      <c r="H158" s="76">
        <f>+IF(YEAR(H$140)=YEAR(Assumptions!$H$30),-H144,0)</f>
        <v>0</v>
      </c>
      <c r="I158" s="76">
        <f>+IF(YEAR(I$140)=YEAR(Assumptions!$H$30),-I144,0)</f>
        <v>0</v>
      </c>
      <c r="J158" s="76">
        <f>+IF(YEAR(J$140)=YEAR(Assumptions!$H$30),-J144,0)</f>
        <v>0</v>
      </c>
      <c r="K158" s="76">
        <f>+IF(YEAR(K$140)=YEAR(Assumptions!$H$30),-K144,0)</f>
        <v>0</v>
      </c>
      <c r="L158" s="76">
        <f>+IF(YEAR(L$140)=YEAR(Assumptions!$H$30),-L144,0)</f>
        <v>0</v>
      </c>
      <c r="M158" s="76">
        <f>+IF(YEAR(M$140)=YEAR(Assumptions!$H$30),-M144,0)</f>
        <v>0</v>
      </c>
      <c r="N158" s="76">
        <f>+IF(YEAR(N$140)=YEAR(Assumptions!$H$30),-N144,0)</f>
        <v>0</v>
      </c>
      <c r="O158" s="76">
        <f>+IF(YEAR(O$140)=YEAR(Assumptions!$H$30),-O144,0)</f>
        <v>0</v>
      </c>
      <c r="P158" s="76">
        <f>+IF(YEAR(P$140)=YEAR(Assumptions!$H$30),-P144,0)</f>
        <v>0</v>
      </c>
      <c r="Q158" s="76">
        <f>+IF(YEAR(Q$140)=YEAR(Assumptions!$H$30),-Q144,0)</f>
        <v>0</v>
      </c>
      <c r="R158" s="76">
        <f>+IF(YEAR(R$140)=YEAR(Assumptions!$H$30),-R144,0)</f>
        <v>0</v>
      </c>
      <c r="S158" s="76">
        <f>+IF(YEAR(S$140)=YEAR(Assumptions!$H$30),-S144,0)</f>
        <v>0</v>
      </c>
      <c r="T158" s="76">
        <f>+IF(YEAR(T$140)=YEAR(Assumptions!$H$30),-T144,0)</f>
        <v>0</v>
      </c>
      <c r="U158" s="76">
        <f>+IF(YEAR(U$140)=YEAR(Assumptions!$H$30),-U144,0)</f>
        <v>0</v>
      </c>
      <c r="V158" s="76">
        <f>+IF(YEAR(V$140)=YEAR(Assumptions!$H$30),-V144,0)</f>
        <v>0</v>
      </c>
      <c r="W158" s="76">
        <f>+IF(YEAR(W$140)=YEAR(Assumptions!$H$30),-W144,0)</f>
        <v>0</v>
      </c>
      <c r="X158" s="76">
        <f>+IF(YEAR(X$140)=YEAR(Assumptions!$H$30),-X144,0)</f>
        <v>0</v>
      </c>
      <c r="Y158" s="76">
        <f>+IF(YEAR(Y$140)=YEAR(Assumptions!$H$30),-Y144,0)</f>
        <v>0</v>
      </c>
      <c r="Z158" s="76">
        <f>+IF(YEAR(Z$140)=YEAR(Assumptions!$H$30),-Z144,0)</f>
        <v>0</v>
      </c>
    </row>
    <row r="159" spans="2:26">
      <c r="B159" s="62" t="s">
        <v>636</v>
      </c>
      <c r="C159" s="62"/>
      <c r="D159" s="62"/>
      <c r="E159" s="62"/>
      <c r="F159" s="58">
        <f>+SUM(F155:F158)</f>
        <v>0</v>
      </c>
      <c r="G159" s="58">
        <f t="shared" ref="G159:Z159" si="66">+SUM(G155:G158)</f>
        <v>0</v>
      </c>
      <c r="H159" s="58">
        <f t="shared" si="66"/>
        <v>0</v>
      </c>
      <c r="I159" s="58">
        <f t="shared" ca="1" si="66"/>
        <v>69981700.404558539</v>
      </c>
      <c r="J159" s="58">
        <f t="shared" si="66"/>
        <v>0</v>
      </c>
      <c r="K159" s="58">
        <f t="shared" si="66"/>
        <v>0</v>
      </c>
      <c r="L159" s="58">
        <f t="shared" si="66"/>
        <v>0</v>
      </c>
      <c r="M159" s="58">
        <f>M155</f>
        <v>0</v>
      </c>
      <c r="N159" s="58">
        <f t="shared" si="66"/>
        <v>0</v>
      </c>
      <c r="O159" s="58">
        <f t="shared" si="66"/>
        <v>0</v>
      </c>
      <c r="P159" s="58">
        <f t="shared" si="66"/>
        <v>0</v>
      </c>
      <c r="Q159" s="58">
        <f t="shared" si="66"/>
        <v>0</v>
      </c>
      <c r="R159" s="58">
        <f t="shared" si="66"/>
        <v>0</v>
      </c>
      <c r="S159" s="58">
        <f t="shared" si="66"/>
        <v>0</v>
      </c>
      <c r="T159" s="58">
        <f t="shared" si="66"/>
        <v>0</v>
      </c>
      <c r="U159" s="58">
        <f t="shared" si="66"/>
        <v>0</v>
      </c>
      <c r="V159" s="58">
        <f t="shared" si="66"/>
        <v>0</v>
      </c>
      <c r="W159" s="58">
        <f t="shared" si="66"/>
        <v>0</v>
      </c>
      <c r="X159" s="58">
        <f t="shared" si="66"/>
        <v>0</v>
      </c>
      <c r="Y159" s="58">
        <f t="shared" si="66"/>
        <v>0</v>
      </c>
      <c r="Z159" s="58">
        <f t="shared" si="66"/>
        <v>0</v>
      </c>
    </row>
    <row r="160" spans="2:26">
      <c r="B160" s="101" t="s">
        <v>637</v>
      </c>
    </row>
    <row r="162" spans="2:26" ht="15.75">
      <c r="B162" s="687" t="s">
        <v>638</v>
      </c>
      <c r="C162" s="687"/>
      <c r="D162" s="687"/>
      <c r="E162" s="687"/>
      <c r="F162" s="550">
        <f>+IF(YEAR(F$140)&lt;=YEAR(Assumptions!$H$30),'Phase III Pro Forma'!F159+'Phase III Pro Forma'!F152,0)</f>
        <v>0</v>
      </c>
      <c r="G162" s="550">
        <f>+IF(YEAR(G$140)&lt;=YEAR(Assumptions!$H$30),'Phase III Pro Forma'!G159+'Phase III Pro Forma'!G152,0)</f>
        <v>0</v>
      </c>
      <c r="H162" s="550">
        <f>+IF(YEAR(H$140)&lt;=YEAR(Assumptions!$H$30),'Phase III Pro Forma'!H159+'Phase III Pro Forma'!H152,0)</f>
        <v>0</v>
      </c>
      <c r="I162" s="550">
        <f ca="1">I159</f>
        <v>69981700.404558539</v>
      </c>
      <c r="J162" s="550">
        <f>+IF(YEAR(J$140)&lt;=YEAR(Assumptions!$H$30),'Phase III Pro Forma'!J159+'Phase III Pro Forma'!J152,0)</f>
        <v>2523493.4673668575</v>
      </c>
      <c r="K162" s="550">
        <f>+IF(YEAR(K$140)&lt;=YEAR(Assumptions!$H$30),'Phase III Pro Forma'!K159+'Phase III Pro Forma'!K152,0)</f>
        <v>2873461.9276949186</v>
      </c>
      <c r="L162" s="550">
        <f>+IF(YEAR(L$140)&lt;=YEAR(Assumptions!$H$30),'Phase III Pro Forma'!L159+'Phase III Pro Forma'!L152,0)</f>
        <v>3485949.1059523243</v>
      </c>
      <c r="M162" s="550">
        <f>+IF(YEAR(M$140)&lt;=YEAR(Assumptions!$H$30),'Phase III Pro Forma'!M159+'Phase III Pro Forma'!M152,0)</f>
        <v>3857798.356345186</v>
      </c>
      <c r="N162" s="550">
        <f>+IF(YEAR(N$140)&lt;=YEAR(Assumptions!$H$30),'Phase III Pro Forma'!N159+'Phase III Pro Forma'!N152,0)</f>
        <v>0</v>
      </c>
      <c r="O162" s="550">
        <f>+IF(YEAR(O$140)&lt;=YEAR(Assumptions!$H$30),'Phase III Pro Forma'!O159+'Phase III Pro Forma'!O152,0)</f>
        <v>0</v>
      </c>
      <c r="P162" s="550">
        <f>+IF(YEAR(P$140)&lt;=YEAR(Assumptions!$H$30),'Phase III Pro Forma'!P159+'Phase III Pro Forma'!P152,0)</f>
        <v>0</v>
      </c>
      <c r="Q162" s="550">
        <f>+IF(YEAR(Q$140)&lt;=YEAR(Assumptions!$H$30),'Phase III Pro Forma'!Q159+'Phase III Pro Forma'!Q152,0)</f>
        <v>0</v>
      </c>
      <c r="R162" s="550">
        <f>+IF(YEAR(R$140)&lt;=YEAR(Assumptions!$H$30),'Phase III Pro Forma'!R159+'Phase III Pro Forma'!R152,0)</f>
        <v>0</v>
      </c>
      <c r="S162" s="550">
        <f>+IF(YEAR(S$140)&lt;=YEAR(Assumptions!$H$30),'Phase III Pro Forma'!S159+'Phase III Pro Forma'!S152,0)</f>
        <v>0</v>
      </c>
      <c r="T162" s="550">
        <f>+IF(YEAR(T$140)&lt;=YEAR(Assumptions!$H$30),'Phase III Pro Forma'!T159+'Phase III Pro Forma'!T152,0)</f>
        <v>0</v>
      </c>
      <c r="U162" s="550">
        <f>+IF(YEAR(U$140)&lt;=YEAR(Assumptions!$H$30),'Phase III Pro Forma'!U159+'Phase III Pro Forma'!U152,0)</f>
        <v>0</v>
      </c>
      <c r="V162" s="550">
        <f>+IF(YEAR(V$140)&lt;=YEAR(Assumptions!$H$30),'Phase III Pro Forma'!V159+'Phase III Pro Forma'!V152,0)</f>
        <v>0</v>
      </c>
      <c r="W162" s="550">
        <f>+IF(YEAR(W$140)&lt;=YEAR(Assumptions!$H$30),'Phase III Pro Forma'!W159+'Phase III Pro Forma'!W152,0)</f>
        <v>0</v>
      </c>
      <c r="X162" s="550">
        <f>+IF(YEAR(X$140)&lt;=YEAR(Assumptions!$H$30),'Phase III Pro Forma'!X159+'Phase III Pro Forma'!X152,0)</f>
        <v>0</v>
      </c>
      <c r="Y162" s="550">
        <f>+IF(YEAR(Y$140)&lt;=YEAR(Assumptions!$H$30),'Phase III Pro Forma'!Y159+'Phase III Pro Forma'!Y152,0)</f>
        <v>0</v>
      </c>
      <c r="Z162" s="550">
        <f>+IF(YEAR(Z$140)&lt;=YEAR(Assumptions!$H$30),'Phase III Pro Forma'!Z159+'Phase III Pro Forma'!Z152,0)</f>
        <v>0</v>
      </c>
    </row>
    <row r="163" spans="2:26" s="544" customFormat="1" ht="15.75">
      <c r="B163" s="713"/>
      <c r="C163" s="713"/>
      <c r="D163" s="713"/>
      <c r="E163" s="713"/>
      <c r="F163" s="714"/>
      <c r="G163" s="714"/>
      <c r="H163" s="714"/>
      <c r="I163" s="714"/>
      <c r="J163" s="714"/>
      <c r="K163" s="714"/>
      <c r="L163" s="714"/>
      <c r="M163" s="714"/>
      <c r="N163" s="714"/>
      <c r="O163" s="714"/>
      <c r="P163" s="714"/>
      <c r="Q163" s="714"/>
      <c r="R163" s="714"/>
      <c r="S163" s="714"/>
      <c r="T163" s="714"/>
      <c r="U163" s="714"/>
      <c r="V163" s="714"/>
      <c r="W163" s="714"/>
      <c r="X163" s="714"/>
      <c r="Y163" s="714"/>
      <c r="Z163" s="714"/>
    </row>
    <row r="165" spans="2:26" ht="15.75">
      <c r="B165" s="73" t="s">
        <v>656</v>
      </c>
    </row>
    <row r="166" spans="2:26">
      <c r="B166" s="15" t="s">
        <v>24</v>
      </c>
      <c r="F166" s="16">
        <f>+IF(YEAR(F$140)=YEAR(Assumptions!$H$30),#REF!,0)</f>
        <v>0</v>
      </c>
      <c r="G166" s="16">
        <f>+IF(YEAR(G$140)=YEAR(Assumptions!$H$30),#REF!,0)</f>
        <v>0</v>
      </c>
      <c r="H166" s="16">
        <f>+IF(YEAR(H$140)=YEAR(Assumptions!$H$30),#REF!,0)</f>
        <v>0</v>
      </c>
      <c r="I166" s="16">
        <f>+IF(YEAR(I$140)=YEAR(Assumptions!$H$30),#REF!,0)</f>
        <v>0</v>
      </c>
      <c r="J166" s="16">
        <f>+IF(YEAR(J$140)=YEAR(Assumptions!$H$30),#REF!,0)</f>
        <v>0</v>
      </c>
      <c r="K166" s="16">
        <f>+IF(YEAR(K$140)=YEAR(Assumptions!$H$30),#REF!,0)</f>
        <v>0</v>
      </c>
      <c r="L166" s="16">
        <f>+IF(YEAR(L$140)=YEAR(Assumptions!$H$30),#REF!,0)</f>
        <v>0</v>
      </c>
      <c r="M166" s="16">
        <v>0</v>
      </c>
      <c r="N166" s="16">
        <f>+IF(YEAR(N$140)=YEAR(Assumptions!$H$30),#REF!,0)</f>
        <v>0</v>
      </c>
      <c r="O166" s="16">
        <f>+IF(YEAR(O$140)=YEAR(Assumptions!$H$30),#REF!,0)</f>
        <v>0</v>
      </c>
      <c r="P166" s="16">
        <f>+IF(YEAR(P$140)=YEAR(Assumptions!$H$30),#REF!,0)</f>
        <v>0</v>
      </c>
      <c r="Q166" s="16">
        <f>+IF(YEAR(Q$140)=YEAR(Assumptions!$H$30),#REF!,0)</f>
        <v>0</v>
      </c>
      <c r="R166" s="16">
        <f>+IF(YEAR(R$140)=YEAR(Assumptions!$H$30),#REF!,0)</f>
        <v>0</v>
      </c>
      <c r="S166" s="16">
        <f>+IF(YEAR(S$140)=YEAR(Assumptions!$H$30),#REF!,0)</f>
        <v>0</v>
      </c>
      <c r="T166" s="16">
        <f>+IF(YEAR(T$140)=YEAR(Assumptions!$H$30),#REF!,0)</f>
        <v>0</v>
      </c>
      <c r="U166" s="16">
        <f>+IF(YEAR(U$140)=YEAR(Assumptions!$H$30),#REF!,0)</f>
        <v>0</v>
      </c>
      <c r="V166" s="16">
        <f>+IF(YEAR(V$140)=YEAR(Assumptions!$H$30),#REF!,0)</f>
        <v>0</v>
      </c>
      <c r="W166" s="16">
        <f>+IF(YEAR(W$140)=YEAR(Assumptions!$H$30),#REF!,0)</f>
        <v>0</v>
      </c>
      <c r="X166" s="16">
        <f>+IF(YEAR(X$140)=YEAR(Assumptions!$H$30),#REF!,0)</f>
        <v>0</v>
      </c>
      <c r="Y166" s="16">
        <f>+IF(YEAR(Y$140)=YEAR(Assumptions!$H$30),#REF!,0)</f>
        <v>0</v>
      </c>
      <c r="Z166" s="16">
        <f>+IF(YEAR(Z$140)=YEAR(Assumptions!$H$30),#REF!,0)</f>
        <v>0</v>
      </c>
    </row>
    <row r="167" spans="2:26">
      <c r="B167" s="15" t="s">
        <v>634</v>
      </c>
      <c r="F167" s="76">
        <f>-F166*Assumptions!$P$136</f>
        <v>0</v>
      </c>
      <c r="G167" s="76">
        <f>-G166*Assumptions!$P$136</f>
        <v>0</v>
      </c>
      <c r="H167" s="76">
        <f>-H166*Assumptions!$P$136</f>
        <v>0</v>
      </c>
      <c r="I167" s="76">
        <f>-I166*Assumptions!$P$136</f>
        <v>0</v>
      </c>
      <c r="J167" s="76">
        <f>-J166*Assumptions!$P$136</f>
        <v>0</v>
      </c>
      <c r="K167" s="76">
        <f>-K166*Assumptions!$P$136</f>
        <v>0</v>
      </c>
      <c r="L167" s="76">
        <f>-L166*Assumptions!$P$136</f>
        <v>0</v>
      </c>
      <c r="M167" s="76">
        <v>0</v>
      </c>
      <c r="N167" s="76">
        <f>-N166*Assumptions!$P$136</f>
        <v>0</v>
      </c>
      <c r="O167" s="76">
        <f>-O166*Assumptions!$P$136</f>
        <v>0</v>
      </c>
      <c r="P167" s="76">
        <f>-P166*Assumptions!$P$136</f>
        <v>0</v>
      </c>
      <c r="Q167" s="76">
        <f>-Q166*Assumptions!$P$136</f>
        <v>0</v>
      </c>
      <c r="R167" s="76">
        <f>-R166*Assumptions!$P$136</f>
        <v>0</v>
      </c>
      <c r="S167" s="76">
        <f>-S166*Assumptions!$P$136</f>
        <v>0</v>
      </c>
      <c r="T167" s="76">
        <f>-T166*Assumptions!$P$136</f>
        <v>0</v>
      </c>
      <c r="U167" s="76">
        <f>-U166*Assumptions!$P$136</f>
        <v>0</v>
      </c>
      <c r="V167" s="76">
        <f>-V166*Assumptions!$P$136</f>
        <v>0</v>
      </c>
      <c r="W167" s="76">
        <f>-W166*Assumptions!$P$136</f>
        <v>0</v>
      </c>
      <c r="X167" s="76">
        <f>-X166*Assumptions!$P$136</f>
        <v>0</v>
      </c>
      <c r="Y167" s="76">
        <f>-Y166*Assumptions!$P$136</f>
        <v>0</v>
      </c>
      <c r="Z167" s="76">
        <f>-Z166*Assumptions!$P$136</f>
        <v>0</v>
      </c>
    </row>
    <row r="168" spans="2:26">
      <c r="B168" s="15" t="s">
        <v>635</v>
      </c>
      <c r="F168" s="76">
        <f>+IF(YEAR(F$140)=YEAR(Assumptions!$H$30),-#REF!,0)</f>
        <v>0</v>
      </c>
      <c r="G168" s="76">
        <f>+IF(YEAR(G$140)=YEAR(Assumptions!$H$30),-#REF!,0)</f>
        <v>0</v>
      </c>
      <c r="H168" s="76">
        <f>+IF(YEAR(H$140)=YEAR(Assumptions!$H$30),-#REF!,0)</f>
        <v>0</v>
      </c>
      <c r="I168" s="76">
        <f>+IF(YEAR(I$140)=YEAR(Assumptions!$H$30),-#REF!,0)</f>
        <v>0</v>
      </c>
      <c r="J168" s="76">
        <f>+IF(YEAR(J$140)=YEAR(Assumptions!$H$30),-#REF!,0)</f>
        <v>0</v>
      </c>
      <c r="K168" s="76">
        <f>+IF(YEAR(K$140)=YEAR(Assumptions!$H$30),-#REF!,0)</f>
        <v>0</v>
      </c>
      <c r="L168" s="76">
        <f>+IF(YEAR(L$140)=YEAR(Assumptions!$H$30),-#REF!,0)</f>
        <v>0</v>
      </c>
      <c r="M168" s="76">
        <v>0</v>
      </c>
      <c r="N168" s="76">
        <f>+IF(YEAR(N$140)=YEAR(Assumptions!$H$30),-#REF!,0)</f>
        <v>0</v>
      </c>
      <c r="O168" s="76">
        <f>+IF(YEAR(O$140)=YEAR(Assumptions!$H$30),-#REF!,0)</f>
        <v>0</v>
      </c>
      <c r="P168" s="76">
        <f>+IF(YEAR(P$140)=YEAR(Assumptions!$H$30),-#REF!,0)</f>
        <v>0</v>
      </c>
      <c r="Q168" s="76">
        <f>+IF(YEAR(Q$140)=YEAR(Assumptions!$H$30),-#REF!,0)</f>
        <v>0</v>
      </c>
      <c r="R168" s="76">
        <f>+IF(YEAR(R$140)=YEAR(Assumptions!$H$30),-#REF!,0)</f>
        <v>0</v>
      </c>
      <c r="S168" s="76">
        <f>+IF(YEAR(S$140)=YEAR(Assumptions!$H$30),-#REF!,0)</f>
        <v>0</v>
      </c>
      <c r="T168" s="76">
        <f>+IF(YEAR(T$140)=YEAR(Assumptions!$H$30),-#REF!,0)</f>
        <v>0</v>
      </c>
      <c r="U168" s="76">
        <f>+IF(YEAR(U$140)=YEAR(Assumptions!$H$30),-#REF!,0)</f>
        <v>0</v>
      </c>
      <c r="V168" s="76">
        <f>+IF(YEAR(V$140)=YEAR(Assumptions!$H$30),-#REF!,0)</f>
        <v>0</v>
      </c>
      <c r="W168" s="76">
        <f>+IF(YEAR(W$140)=YEAR(Assumptions!$H$30),-#REF!,0)</f>
        <v>0</v>
      </c>
      <c r="X168" s="76">
        <f>+IF(YEAR(X$140)=YEAR(Assumptions!$H$30),-#REF!,0)</f>
        <v>0</v>
      </c>
      <c r="Y168" s="76">
        <f>+IF(YEAR(Y$140)=YEAR(Assumptions!$H$30),-#REF!,0)</f>
        <v>0</v>
      </c>
      <c r="Z168" s="76">
        <f>+IF(YEAR(Z$140)=YEAR(Assumptions!$H$30),-#REF!,0)</f>
        <v>0</v>
      </c>
    </row>
    <row r="169" spans="2:26">
      <c r="B169" s="62" t="s">
        <v>636</v>
      </c>
      <c r="C169" s="62"/>
      <c r="D169" s="62"/>
      <c r="E169" s="62"/>
      <c r="F169" s="58">
        <f t="shared" ref="F169:Z169" si="67">+SUM(F166:F168)</f>
        <v>0</v>
      </c>
      <c r="G169" s="58">
        <f t="shared" si="67"/>
        <v>0</v>
      </c>
      <c r="H169" s="58">
        <f t="shared" si="67"/>
        <v>0</v>
      </c>
      <c r="I169" s="58">
        <f t="shared" si="67"/>
        <v>0</v>
      </c>
      <c r="J169" s="58">
        <f t="shared" si="67"/>
        <v>0</v>
      </c>
      <c r="K169" s="58">
        <f t="shared" si="67"/>
        <v>0</v>
      </c>
      <c r="L169" s="58">
        <f t="shared" si="67"/>
        <v>0</v>
      </c>
      <c r="M169" s="58">
        <v>0</v>
      </c>
      <c r="N169" s="58">
        <f t="shared" si="67"/>
        <v>0</v>
      </c>
      <c r="O169" s="58">
        <f t="shared" si="67"/>
        <v>0</v>
      </c>
      <c r="P169" s="58">
        <f t="shared" si="67"/>
        <v>0</v>
      </c>
      <c r="Q169" s="58">
        <f t="shared" si="67"/>
        <v>0</v>
      </c>
      <c r="R169" s="58">
        <f t="shared" si="67"/>
        <v>0</v>
      </c>
      <c r="S169" s="58">
        <f t="shared" si="67"/>
        <v>0</v>
      </c>
      <c r="T169" s="58">
        <f t="shared" si="67"/>
        <v>0</v>
      </c>
      <c r="U169" s="58">
        <f t="shared" si="67"/>
        <v>0</v>
      </c>
      <c r="V169" s="58">
        <f t="shared" si="67"/>
        <v>0</v>
      </c>
      <c r="W169" s="58">
        <f t="shared" si="67"/>
        <v>0</v>
      </c>
      <c r="X169" s="58">
        <f t="shared" si="67"/>
        <v>0</v>
      </c>
      <c r="Y169" s="58">
        <f t="shared" si="67"/>
        <v>0</v>
      </c>
      <c r="Z169" s="58">
        <f t="shared" si="67"/>
        <v>0</v>
      </c>
    </row>
    <row r="171" spans="2:26" ht="15.75">
      <c r="B171" s="687" t="s">
        <v>638</v>
      </c>
      <c r="C171" s="687"/>
      <c r="D171" s="687"/>
      <c r="E171" s="687"/>
      <c r="F171" s="550">
        <v>0</v>
      </c>
      <c r="G171" s="550">
        <v>0</v>
      </c>
      <c r="H171" s="550">
        <v>0</v>
      </c>
      <c r="I171" s="550">
        <v>0</v>
      </c>
      <c r="J171" s="550">
        <v>0</v>
      </c>
      <c r="K171" s="550">
        <v>0</v>
      </c>
      <c r="L171" s="550">
        <v>0</v>
      </c>
      <c r="M171" s="550">
        <v>0</v>
      </c>
      <c r="N171" s="550">
        <f>+IF(YEAR(N$140)&lt;=YEAR(Assumptions!$H$30),'Phase III Pro Forma'!N169+'Phase III Pro Forma'!#REF!,0)</f>
        <v>0</v>
      </c>
      <c r="O171" s="550">
        <f>+IF(YEAR(O$140)&lt;=YEAR(Assumptions!$H$30),'Phase III Pro Forma'!O169+'Phase III Pro Forma'!#REF!,0)</f>
        <v>0</v>
      </c>
      <c r="P171" s="550">
        <f>+IF(YEAR(P$140)&lt;=YEAR(Assumptions!$H$30),'Phase III Pro Forma'!P169+'Phase III Pro Forma'!#REF!,0)</f>
        <v>0</v>
      </c>
      <c r="Q171" s="550">
        <f>+IF(YEAR(Q$140)&lt;=YEAR(Assumptions!$H$30),'Phase III Pro Forma'!Q169+'Phase III Pro Forma'!#REF!,0)</f>
        <v>0</v>
      </c>
      <c r="R171" s="550">
        <f>+IF(YEAR(R$140)&lt;=YEAR(Assumptions!$H$30),'Phase III Pro Forma'!R169+'Phase III Pro Forma'!#REF!,0)</f>
        <v>0</v>
      </c>
      <c r="S171" s="550">
        <f>+IF(YEAR(S$140)&lt;=YEAR(Assumptions!$H$30),'Phase III Pro Forma'!S169+'Phase III Pro Forma'!#REF!,0)</f>
        <v>0</v>
      </c>
      <c r="T171" s="550">
        <f>+IF(YEAR(T$140)&lt;=YEAR(Assumptions!$H$30),'Phase III Pro Forma'!T169+'Phase III Pro Forma'!#REF!,0)</f>
        <v>0</v>
      </c>
      <c r="U171" s="550">
        <f>+IF(YEAR(U$140)&lt;=YEAR(Assumptions!$H$30),'Phase III Pro Forma'!U169+'Phase III Pro Forma'!#REF!,0)</f>
        <v>0</v>
      </c>
      <c r="V171" s="550">
        <f>+IF(YEAR(V$140)&lt;=YEAR(Assumptions!$H$30),'Phase III Pro Forma'!V169+'Phase III Pro Forma'!#REF!,0)</f>
        <v>0</v>
      </c>
      <c r="W171" s="550">
        <f>+IF(YEAR(W$140)&lt;=YEAR(Assumptions!$H$30),'Phase III Pro Forma'!W169+'Phase III Pro Forma'!#REF!,0)</f>
        <v>0</v>
      </c>
      <c r="X171" s="550">
        <f>+IF(YEAR(X$140)&lt;=YEAR(Assumptions!$H$30),'Phase III Pro Forma'!X169+'Phase III Pro Forma'!#REF!,0)</f>
        <v>0</v>
      </c>
      <c r="Y171" s="550">
        <f>+IF(YEAR(Y$140)&lt;=YEAR(Assumptions!$H$30),'Phase III Pro Forma'!Y169+'Phase III Pro Forma'!#REF!,0)</f>
        <v>0</v>
      </c>
      <c r="Z171" s="550">
        <f>+IF(YEAR(Z$140)&lt;=YEAR(Assumptions!$H$30),'Phase III Pro Forma'!Z169+'Phase III Pro Forma'!#REF!,0)</f>
        <v>0</v>
      </c>
    </row>
    <row r="173" spans="2:26" ht="15.75">
      <c r="B173" s="687" t="s">
        <v>657</v>
      </c>
      <c r="C173" s="687"/>
      <c r="D173" s="687"/>
      <c r="E173" s="687"/>
      <c r="F173" s="550">
        <f>+F171+F162</f>
        <v>0</v>
      </c>
      <c r="G173" s="550">
        <f>+G171+G162</f>
        <v>0</v>
      </c>
      <c r="H173" s="550">
        <f t="shared" ref="F173:Z173" si="68">+H171+H162</f>
        <v>0</v>
      </c>
      <c r="I173" s="550">
        <f t="shared" ca="1" si="68"/>
        <v>69981700.404558539</v>
      </c>
      <c r="J173" s="550">
        <f t="shared" si="68"/>
        <v>2523493.4673668575</v>
      </c>
      <c r="K173" s="550">
        <f t="shared" si="68"/>
        <v>2873461.9276949186</v>
      </c>
      <c r="L173" s="550">
        <f t="shared" si="68"/>
        <v>3485949.1059523243</v>
      </c>
      <c r="M173" s="550">
        <f>+M171+M162</f>
        <v>3857798.356345186</v>
      </c>
      <c r="N173" s="550">
        <f t="shared" si="68"/>
        <v>0</v>
      </c>
      <c r="O173" s="550">
        <f t="shared" si="68"/>
        <v>0</v>
      </c>
      <c r="P173" s="550">
        <f t="shared" si="68"/>
        <v>0</v>
      </c>
      <c r="Q173" s="550">
        <f t="shared" si="68"/>
        <v>0</v>
      </c>
      <c r="R173" s="550">
        <f t="shared" si="68"/>
        <v>0</v>
      </c>
      <c r="S173" s="550">
        <f t="shared" si="68"/>
        <v>0</v>
      </c>
      <c r="T173" s="550">
        <f t="shared" si="68"/>
        <v>0</v>
      </c>
      <c r="U173" s="550">
        <f t="shared" si="68"/>
        <v>0</v>
      </c>
      <c r="V173" s="550">
        <f t="shared" si="68"/>
        <v>0</v>
      </c>
      <c r="W173" s="550">
        <f t="shared" si="68"/>
        <v>0</v>
      </c>
      <c r="X173" s="550">
        <f t="shared" si="68"/>
        <v>0</v>
      </c>
      <c r="Y173" s="550">
        <f t="shared" si="68"/>
        <v>0</v>
      </c>
      <c r="Z173" s="550">
        <f t="shared" si="68"/>
        <v>0</v>
      </c>
    </row>
    <row r="175" spans="2:26">
      <c r="B175" s="21" t="s">
        <v>658</v>
      </c>
      <c r="F175" s="16">
        <f>+F156+F196</f>
        <v>0</v>
      </c>
      <c r="G175" s="16">
        <v>0</v>
      </c>
      <c r="H175" s="16">
        <f>+H156+H196</f>
        <v>0</v>
      </c>
      <c r="I175" s="16">
        <v>0</v>
      </c>
      <c r="J175" s="16">
        <v>0</v>
      </c>
      <c r="K175" s="16">
        <f t="shared" ref="K175:Z175" si="69">+K156+K196</f>
        <v>0</v>
      </c>
      <c r="L175" s="16">
        <f t="shared" si="69"/>
        <v>0</v>
      </c>
      <c r="M175" s="16">
        <f t="shared" si="69"/>
        <v>0</v>
      </c>
      <c r="N175" s="16">
        <f t="shared" si="69"/>
        <v>0</v>
      </c>
      <c r="O175" s="16">
        <f t="shared" si="69"/>
        <v>0</v>
      </c>
      <c r="P175" s="16">
        <f t="shared" si="69"/>
        <v>0</v>
      </c>
      <c r="Q175" s="16">
        <f t="shared" si="69"/>
        <v>0</v>
      </c>
      <c r="R175" s="16">
        <f t="shared" si="69"/>
        <v>0</v>
      </c>
      <c r="S175" s="16">
        <f t="shared" si="69"/>
        <v>0</v>
      </c>
      <c r="T175" s="16">
        <f t="shared" si="69"/>
        <v>0</v>
      </c>
      <c r="U175" s="16">
        <f t="shared" si="69"/>
        <v>0</v>
      </c>
      <c r="V175" s="16">
        <f t="shared" si="69"/>
        <v>0</v>
      </c>
      <c r="W175" s="16">
        <f t="shared" si="69"/>
        <v>0</v>
      </c>
      <c r="X175" s="16">
        <f t="shared" si="69"/>
        <v>0</v>
      </c>
      <c r="Y175" s="16">
        <f t="shared" si="69"/>
        <v>0</v>
      </c>
      <c r="Z175" s="16">
        <f t="shared" si="69"/>
        <v>0</v>
      </c>
    </row>
    <row r="176" spans="2:26">
      <c r="B176" s="21" t="s">
        <v>630</v>
      </c>
      <c r="F176" s="16">
        <f>-F168-F158+F147+F150</f>
        <v>0</v>
      </c>
      <c r="G176" s="16">
        <f t="shared" ref="G176:Y176" si="70">-G168-G158+G147+G150</f>
        <v>0</v>
      </c>
      <c r="H176" s="16">
        <f t="shared" si="70"/>
        <v>0</v>
      </c>
      <c r="I176" s="16">
        <f t="shared" si="70"/>
        <v>11493847.710779646</v>
      </c>
      <c r="J176" s="16">
        <f t="shared" si="70"/>
        <v>11493847.710779646</v>
      </c>
      <c r="K176" s="16">
        <f t="shared" si="70"/>
        <v>11493847.710779646</v>
      </c>
      <c r="L176" s="16">
        <f t="shared" si="70"/>
        <v>11493847.710779648</v>
      </c>
      <c r="M176" s="16">
        <f t="shared" si="70"/>
        <v>11493847.710779646</v>
      </c>
      <c r="N176" s="16">
        <f t="shared" si="70"/>
        <v>11493847.710779646</v>
      </c>
      <c r="O176" s="16">
        <f t="shared" si="70"/>
        <v>11493847.710779645</v>
      </c>
      <c r="P176" s="16">
        <f t="shared" si="70"/>
        <v>11493847.710779646</v>
      </c>
      <c r="Q176" s="16">
        <f t="shared" si="70"/>
        <v>11493847.710779646</v>
      </c>
      <c r="R176" s="16">
        <f t="shared" si="70"/>
        <v>11493847.710779646</v>
      </c>
      <c r="S176" s="16">
        <f t="shared" si="70"/>
        <v>11493847.710779646</v>
      </c>
      <c r="T176" s="16">
        <f t="shared" si="70"/>
        <v>11493847.710779646</v>
      </c>
      <c r="U176" s="16">
        <f t="shared" si="70"/>
        <v>11493847.710779646</v>
      </c>
      <c r="V176" s="16">
        <f t="shared" si="70"/>
        <v>11493847.710779646</v>
      </c>
      <c r="W176" s="16">
        <f t="shared" si="70"/>
        <v>11493847.710779648</v>
      </c>
      <c r="X176" s="16">
        <f t="shared" si="70"/>
        <v>11493847.710779645</v>
      </c>
      <c r="Y176" s="16">
        <f t="shared" si="70"/>
        <v>11493847.710779645</v>
      </c>
      <c r="Z176" s="16">
        <v>0</v>
      </c>
    </row>
    <row r="178" spans="2:26" ht="15.75">
      <c r="B178" s="444" t="s">
        <v>660</v>
      </c>
      <c r="C178" s="445"/>
      <c r="D178" s="445"/>
      <c r="E178" s="445"/>
      <c r="F178" s="640"/>
      <c r="G178" s="640"/>
      <c r="H178" s="640"/>
      <c r="I178" s="640"/>
      <c r="J178" s="640"/>
      <c r="K178" s="640"/>
      <c r="L178" s="640"/>
      <c r="M178" s="640"/>
      <c r="N178" s="640"/>
      <c r="O178" s="640"/>
      <c r="P178" s="640"/>
      <c r="Q178" s="640"/>
      <c r="R178" s="640"/>
      <c r="S178" s="640"/>
      <c r="T178" s="640"/>
      <c r="U178" s="640"/>
      <c r="V178" s="640"/>
      <c r="W178" s="640"/>
      <c r="X178" s="640"/>
      <c r="Y178" s="640"/>
      <c r="Z178" s="640"/>
    </row>
    <row r="180" spans="2:26" ht="15.75">
      <c r="B180" s="73" t="s">
        <v>661</v>
      </c>
      <c r="F180" s="75">
        <f>+Assumptions!$H$22</f>
        <v>45657</v>
      </c>
      <c r="G180" s="75">
        <f>+EOMONTH(F180,12)</f>
        <v>46022</v>
      </c>
      <c r="H180" s="75">
        <f t="shared" ref="H180:Z180" si="71">+EOMONTH(G180,12)</f>
        <v>46387</v>
      </c>
      <c r="I180" s="75">
        <f t="shared" si="71"/>
        <v>46752</v>
      </c>
      <c r="J180" s="75">
        <f t="shared" si="71"/>
        <v>47118</v>
      </c>
      <c r="K180" s="75">
        <f t="shared" si="71"/>
        <v>47483</v>
      </c>
      <c r="L180" s="75">
        <f t="shared" si="71"/>
        <v>47848</v>
      </c>
      <c r="M180" s="75">
        <f t="shared" si="71"/>
        <v>48213</v>
      </c>
      <c r="N180" s="75">
        <f t="shared" si="71"/>
        <v>48579</v>
      </c>
      <c r="O180" s="75">
        <f t="shared" si="71"/>
        <v>48944</v>
      </c>
      <c r="P180" s="75">
        <f t="shared" si="71"/>
        <v>49309</v>
      </c>
      <c r="Q180" s="75">
        <f t="shared" si="71"/>
        <v>49674</v>
      </c>
      <c r="R180" s="75">
        <f t="shared" si="71"/>
        <v>50040</v>
      </c>
      <c r="S180" s="75">
        <f t="shared" si="71"/>
        <v>50405</v>
      </c>
      <c r="T180" s="75">
        <f t="shared" si="71"/>
        <v>50770</v>
      </c>
      <c r="U180" s="75">
        <f t="shared" si="71"/>
        <v>51135</v>
      </c>
      <c r="V180" s="75">
        <f t="shared" si="71"/>
        <v>51501</v>
      </c>
      <c r="W180" s="75">
        <f t="shared" si="71"/>
        <v>51866</v>
      </c>
      <c r="X180" s="75">
        <f t="shared" si="71"/>
        <v>52231</v>
      </c>
      <c r="Y180" s="75">
        <f t="shared" si="71"/>
        <v>52596</v>
      </c>
      <c r="Z180" s="75">
        <f t="shared" si="71"/>
        <v>52962</v>
      </c>
    </row>
    <row r="181" spans="2:26" ht="15.75">
      <c r="B181" s="15" t="s">
        <v>342</v>
      </c>
      <c r="D181" s="26">
        <f>+SUM(F181:Z181)</f>
        <v>0</v>
      </c>
      <c r="E181" s="26"/>
      <c r="F181" s="16">
        <f>+IF(AND(F$180&gt;=Assumptions!$H$22,F$180&lt;Assumptions!$H$24),'S&amp;U'!$J7/ROUNDUP(Assumptions!$H$23/12,0),IF(AND(F$180&gt;=Assumptions!$H$24,F$180&lt;Assumptions!$H$26),'S&amp;U'!$J39/ROUNDUP(Assumptions!$H$25/12,0),0))</f>
        <v>0</v>
      </c>
      <c r="G181" s="16">
        <f>+IF(AND(G$180&gt;=Assumptions!$H$22,G$180&lt;Assumptions!$H$24),'S&amp;U'!$J7/ROUNDUP(Assumptions!$H$23/12,0),IF(AND(G$180&gt;=Assumptions!$H$24,G$180&lt;Assumptions!$H$26),'S&amp;U'!$J39/ROUNDUP(Assumptions!$H$25/12,0),0))</f>
        <v>0</v>
      </c>
      <c r="H181" s="16">
        <f>+IF(AND(H$180&gt;=Assumptions!$H$22,H$180&lt;Assumptions!$H$24),'S&amp;U'!$J7/ROUNDUP(Assumptions!$H$23/12,0),IF(AND(H$180&gt;=Assumptions!$H$24,H$180&lt;Assumptions!$H$26),'S&amp;U'!$J39/ROUNDUP(Assumptions!$H$25/12,0),0))</f>
        <v>0</v>
      </c>
      <c r="I181" s="16">
        <f>+IF(AND(I$180&gt;=Assumptions!$H$22,I$180&lt;Assumptions!$H$24),'S&amp;U'!$J7/ROUNDUP(Assumptions!$H$23/12,0),IF(AND(I$180&gt;=Assumptions!$H$24,I$180&lt;Assumptions!$H$26),'S&amp;U'!$J39/ROUNDUP(Assumptions!$H$25/12,0),0))</f>
        <v>0</v>
      </c>
      <c r="J181" s="16">
        <f>+IF(AND(J$180&gt;=Assumptions!$H$22,J$180&lt;Assumptions!$H$24),'S&amp;U'!$J7/ROUNDUP(Assumptions!$H$23/12,0),IF(AND(J$180&gt;=Assumptions!$H$24,J$180&lt;Assumptions!$H$26),'S&amp;U'!$J39/ROUNDUP(Assumptions!$H$25/12,0),0))</f>
        <v>0</v>
      </c>
      <c r="K181" s="16">
        <f>+IF(AND(K$180&gt;=Assumptions!$H$22,K$180&lt;Assumptions!$H$24),'S&amp;U'!$J7/ROUNDUP(Assumptions!$H$23/12,0),IF(AND(K$180&gt;=Assumptions!$H$24,K$180&lt;Assumptions!$H$26),'S&amp;U'!$J39/ROUNDUP(Assumptions!$H$25/12,0),0))</f>
        <v>0</v>
      </c>
      <c r="L181" s="16">
        <f>+IF(AND(L$180&gt;=Assumptions!$H$22,L$180&lt;Assumptions!$H$24),'S&amp;U'!$J7/ROUNDUP(Assumptions!$H$23/12,0),IF(AND(L$180&gt;=Assumptions!$H$24,L$180&lt;Assumptions!$H$26),'S&amp;U'!$J39/ROUNDUP(Assumptions!$H$25/12,0),0))</f>
        <v>0</v>
      </c>
      <c r="M181" s="16">
        <f>+IF(AND(M$180&gt;=Assumptions!$H$22,M$180&lt;Assumptions!$H$24),'S&amp;U'!$J7/ROUNDUP(Assumptions!$H$23/12,0),IF(AND(M$180&gt;=Assumptions!$H$24,M$180&lt;Assumptions!$H$26),'S&amp;U'!$J39/ROUNDUP(Assumptions!$H$25/12,0),0))</f>
        <v>0</v>
      </c>
      <c r="N181" s="16">
        <f>+IF(AND(N$180&gt;=Assumptions!$H$22,N$180&lt;Assumptions!$H$24),'S&amp;U'!$J7/ROUNDUP(Assumptions!$H$23/12,0),IF(AND(N$180&gt;=Assumptions!$H$24,N$180&lt;Assumptions!$H$26),'S&amp;U'!$J39/ROUNDUP(Assumptions!$H$25/12,0),0))</f>
        <v>0</v>
      </c>
      <c r="O181" s="16">
        <f>+IF(AND(O$180&gt;=Assumptions!$H$22,O$180&lt;Assumptions!$H$24),'S&amp;U'!$J7/ROUNDUP(Assumptions!$H$23/12,0),IF(AND(O$180&gt;=Assumptions!$H$24,O$180&lt;Assumptions!$H$26),'S&amp;U'!$J39/ROUNDUP(Assumptions!$H$25/12,0),0))</f>
        <v>0</v>
      </c>
      <c r="P181" s="16">
        <f>+IF(AND(P$180&gt;=Assumptions!$H$22,P$180&lt;Assumptions!$H$24),'S&amp;U'!$J7/ROUNDUP(Assumptions!$H$23/12,0),IF(AND(P$180&gt;=Assumptions!$H$24,P$180&lt;Assumptions!$H$26),'S&amp;U'!$J39/ROUNDUP(Assumptions!$H$25/12,0),0))</f>
        <v>0</v>
      </c>
      <c r="Q181" s="16">
        <f>+IF(AND(Q$180&gt;=Assumptions!$H$22,Q$180&lt;Assumptions!$H$24),'S&amp;U'!$J7/ROUNDUP(Assumptions!$H$23/12,0),IF(AND(Q$180&gt;=Assumptions!$H$24,Q$180&lt;Assumptions!$H$26),'S&amp;U'!$J39/ROUNDUP(Assumptions!$H$25/12,0),0))</f>
        <v>0</v>
      </c>
      <c r="R181" s="16">
        <f>+IF(AND(R$180&gt;=Assumptions!$H$22,R$180&lt;Assumptions!$H$24),'S&amp;U'!$J7/ROUNDUP(Assumptions!$H$23/12,0),IF(AND(R$180&gt;=Assumptions!$H$24,R$180&lt;Assumptions!$H$26),'S&amp;U'!$J39/ROUNDUP(Assumptions!$H$25/12,0),0))</f>
        <v>0</v>
      </c>
      <c r="S181" s="16">
        <f>+IF(AND(S$180&gt;=Assumptions!$H$22,S$180&lt;Assumptions!$H$24),'S&amp;U'!$J7/ROUNDUP(Assumptions!$H$23/12,0),IF(AND(S$180&gt;=Assumptions!$H$24,S$180&lt;Assumptions!$H$26),'S&amp;U'!$J39/ROUNDUP(Assumptions!$H$25/12,0),0))</f>
        <v>0</v>
      </c>
      <c r="T181" s="16">
        <f>+IF(AND(T$180&gt;=Assumptions!$H$22,T$180&lt;Assumptions!$H$24),'S&amp;U'!$J7/ROUNDUP(Assumptions!$H$23/12,0),IF(AND(T$180&gt;=Assumptions!$H$24,T$180&lt;Assumptions!$H$26),'S&amp;U'!$J39/ROUNDUP(Assumptions!$H$25/12,0),0))</f>
        <v>0</v>
      </c>
      <c r="U181" s="16">
        <f>+IF(AND(U$180&gt;=Assumptions!$H$22,U$180&lt;Assumptions!$H$24),'S&amp;U'!$J7/ROUNDUP(Assumptions!$H$23/12,0),IF(AND(U$180&gt;=Assumptions!$H$24,U$180&lt;Assumptions!$H$26),'S&amp;U'!$J39/ROUNDUP(Assumptions!$H$25/12,0),0))</f>
        <v>0</v>
      </c>
      <c r="V181" s="16">
        <f>+IF(AND(V$180&gt;=Assumptions!$H$22,V$180&lt;Assumptions!$H$24),'S&amp;U'!$J7/ROUNDUP(Assumptions!$H$23/12,0),IF(AND(V$180&gt;=Assumptions!$H$24,V$180&lt;Assumptions!$H$26),'S&amp;U'!$J39/ROUNDUP(Assumptions!$H$25/12,0),0))</f>
        <v>0</v>
      </c>
      <c r="W181" s="16">
        <f>+IF(AND(W$180&gt;=Assumptions!$H$22,W$180&lt;Assumptions!$H$24),'S&amp;U'!$J7/ROUNDUP(Assumptions!$H$23/12,0),IF(AND(W$180&gt;=Assumptions!$H$24,W$180&lt;Assumptions!$H$26),'S&amp;U'!$J39/ROUNDUP(Assumptions!$H$25/12,0),0))</f>
        <v>0</v>
      </c>
      <c r="X181" s="16">
        <f>+IF(AND(X$180&gt;=Assumptions!$H$22,X$180&lt;Assumptions!$H$24),'S&amp;U'!$J7/ROUNDUP(Assumptions!$H$23/12,0),IF(AND(X$180&gt;=Assumptions!$H$24,X$180&lt;Assumptions!$H$26),'S&amp;U'!$J39/ROUNDUP(Assumptions!$H$25/12,0),0))</f>
        <v>0</v>
      </c>
      <c r="Y181" s="16">
        <f>+IF(AND(Y$180&gt;=Assumptions!$H$22,Y$180&lt;Assumptions!$H$24),'S&amp;U'!$J7/ROUNDUP(Assumptions!$H$23/12,0),IF(AND(Y$180&gt;=Assumptions!$H$24,Y$180&lt;Assumptions!$H$26),'S&amp;U'!$J39/ROUNDUP(Assumptions!$H$25/12,0),0))</f>
        <v>0</v>
      </c>
      <c r="Z181" s="16">
        <f>+IF(AND(Z$180&gt;=Assumptions!$H$22,Z$180&lt;Assumptions!$H$24),'S&amp;U'!$J7/ROUNDUP(Assumptions!$H$23/12,0),IF(AND(Z$180&gt;=Assumptions!$H$24,Z$180&lt;Assumptions!$H$26),'S&amp;U'!$J39/ROUNDUP(Assumptions!$H$25/12,0),0))</f>
        <v>0</v>
      </c>
    </row>
    <row r="182" spans="2:26" ht="15.75">
      <c r="B182" s="15" t="s">
        <v>90</v>
      </c>
      <c r="D182" s="26">
        <f t="shared" ref="D182:D187" si="72">+SUM(F182:Z182)</f>
        <v>1652345</v>
      </c>
      <c r="E182" s="26"/>
      <c r="F182" s="76">
        <f>+IF(AND(F$180&gt;=Assumptions!$H$22,F$180&lt;Assumptions!$H$24),'S&amp;U'!$J8/ROUNDUP(Assumptions!$H$23/12,0),IF(AND(F$180&gt;=Assumptions!$H$24,F$180&lt;Assumptions!$H$26),'S&amp;U'!$J40/ROUNDUP(Assumptions!$H$25/12,0),0))</f>
        <v>1652345</v>
      </c>
      <c r="G182" s="76">
        <f>+IF(AND(G$180&gt;=Assumptions!$H$22,G$180&lt;Assumptions!$H$24),'S&amp;U'!$J8/ROUNDUP(Assumptions!$H$23/12,0),IF(AND(G$180&gt;=Assumptions!$H$24,G$180&lt;Assumptions!$H$26),'S&amp;U'!$J40/ROUNDUP(Assumptions!$H$25/12,0),0))</f>
        <v>0</v>
      </c>
      <c r="H182" s="76">
        <f>+IF(AND(H$180&gt;=Assumptions!$H$22,H$180&lt;Assumptions!$H$24),'S&amp;U'!$J8/ROUNDUP(Assumptions!$H$23/12,0),IF(AND(H$180&gt;=Assumptions!$H$24,H$180&lt;Assumptions!$H$26),'S&amp;U'!$J40/ROUNDUP(Assumptions!$H$25/12,0),0))</f>
        <v>0</v>
      </c>
      <c r="I182" s="76">
        <f>+IF(AND(I$180&gt;=Assumptions!$H$22,I$180&lt;Assumptions!$H$24),'S&amp;U'!$J8/ROUNDUP(Assumptions!$H$23/12,0),IF(AND(I$180&gt;=Assumptions!$H$24,I$180&lt;Assumptions!$H$26),'S&amp;U'!$J40/ROUNDUP(Assumptions!$H$25/12,0),0))</f>
        <v>0</v>
      </c>
      <c r="J182" s="76">
        <f>+IF(AND(J$180&gt;=Assumptions!$H$22,J$180&lt;Assumptions!$H$24),'S&amp;U'!$J8/ROUNDUP(Assumptions!$H$23/12,0),IF(AND(J$180&gt;=Assumptions!$H$24,J$180&lt;Assumptions!$H$26),'S&amp;U'!$J40/ROUNDUP(Assumptions!$H$25/12,0),0))</f>
        <v>0</v>
      </c>
      <c r="K182" s="76">
        <f>+IF(AND(K$180&gt;=Assumptions!$H$22,K$180&lt;Assumptions!$H$24),'S&amp;U'!$J8/ROUNDUP(Assumptions!$H$23/12,0),IF(AND(K$180&gt;=Assumptions!$H$24,K$180&lt;Assumptions!$H$26),'S&amp;U'!$J40/ROUNDUP(Assumptions!$H$25/12,0),0))</f>
        <v>0</v>
      </c>
      <c r="L182" s="76">
        <f>+IF(AND(L$180&gt;=Assumptions!$H$22,L$180&lt;Assumptions!$H$24),'S&amp;U'!$J8/ROUNDUP(Assumptions!$H$23/12,0),IF(AND(L$180&gt;=Assumptions!$H$24,L$180&lt;Assumptions!$H$26),'S&amp;U'!$J40/ROUNDUP(Assumptions!$H$25/12,0),0))</f>
        <v>0</v>
      </c>
      <c r="M182" s="76">
        <f>+IF(AND(M$180&gt;=Assumptions!$H$22,M$180&lt;Assumptions!$H$24),'S&amp;U'!$J8/ROUNDUP(Assumptions!$H$23/12,0),IF(AND(M$180&gt;=Assumptions!$H$24,M$180&lt;Assumptions!$H$26),'S&amp;U'!$J40/ROUNDUP(Assumptions!$H$25/12,0),0))</f>
        <v>0</v>
      </c>
      <c r="N182" s="76">
        <f>+IF(AND(N$180&gt;=Assumptions!$H$22,N$180&lt;Assumptions!$H$24),'S&amp;U'!$J8/ROUNDUP(Assumptions!$H$23/12,0),IF(AND(N$180&gt;=Assumptions!$H$24,N$180&lt;Assumptions!$H$26),'S&amp;U'!$J40/ROUNDUP(Assumptions!$H$25/12,0),0))</f>
        <v>0</v>
      </c>
      <c r="O182" s="76">
        <f>+IF(AND(O$180&gt;=Assumptions!$H$22,O$180&lt;Assumptions!$H$24),'S&amp;U'!$J8/ROUNDUP(Assumptions!$H$23/12,0),IF(AND(O$180&gt;=Assumptions!$H$24,O$180&lt;Assumptions!$H$26),'S&amp;U'!$J40/ROUNDUP(Assumptions!$H$25/12,0),0))</f>
        <v>0</v>
      </c>
      <c r="P182" s="76">
        <f>+IF(AND(P$180&gt;=Assumptions!$H$22,P$180&lt;Assumptions!$H$24),'S&amp;U'!$J8/ROUNDUP(Assumptions!$H$23/12,0),IF(AND(P$180&gt;=Assumptions!$H$24,P$180&lt;Assumptions!$H$26),'S&amp;U'!$J40/ROUNDUP(Assumptions!$H$25/12,0),0))</f>
        <v>0</v>
      </c>
      <c r="Q182" s="76">
        <f>+IF(AND(Q$180&gt;=Assumptions!$H$22,Q$180&lt;Assumptions!$H$24),'S&amp;U'!$J8/ROUNDUP(Assumptions!$H$23/12,0),IF(AND(Q$180&gt;=Assumptions!$H$24,Q$180&lt;Assumptions!$H$26),'S&amp;U'!$J40/ROUNDUP(Assumptions!$H$25/12,0),0))</f>
        <v>0</v>
      </c>
      <c r="R182" s="76">
        <f>+IF(AND(R$180&gt;=Assumptions!$H$22,R$180&lt;Assumptions!$H$24),'S&amp;U'!$J8/ROUNDUP(Assumptions!$H$23/12,0),IF(AND(R$180&gt;=Assumptions!$H$24,R$180&lt;Assumptions!$H$26),'S&amp;U'!$J40/ROUNDUP(Assumptions!$H$25/12,0),0))</f>
        <v>0</v>
      </c>
      <c r="S182" s="76">
        <f>+IF(AND(S$180&gt;=Assumptions!$H$22,S$180&lt;Assumptions!$H$24),'S&amp;U'!$J8/ROUNDUP(Assumptions!$H$23/12,0),IF(AND(S$180&gt;=Assumptions!$H$24,S$180&lt;Assumptions!$H$26),'S&amp;U'!$J40/ROUNDUP(Assumptions!$H$25/12,0),0))</f>
        <v>0</v>
      </c>
      <c r="T182" s="76">
        <f>+IF(AND(T$180&gt;=Assumptions!$H$22,T$180&lt;Assumptions!$H$24),'S&amp;U'!$J8/ROUNDUP(Assumptions!$H$23/12,0),IF(AND(T$180&gt;=Assumptions!$H$24,T$180&lt;Assumptions!$H$26),'S&amp;U'!$J40/ROUNDUP(Assumptions!$H$25/12,0),0))</f>
        <v>0</v>
      </c>
      <c r="U182" s="76">
        <f>+IF(AND(U$180&gt;=Assumptions!$H$22,U$180&lt;Assumptions!$H$24),'S&amp;U'!$J8/ROUNDUP(Assumptions!$H$23/12,0),IF(AND(U$180&gt;=Assumptions!$H$24,U$180&lt;Assumptions!$H$26),'S&amp;U'!$J40/ROUNDUP(Assumptions!$H$25/12,0),0))</f>
        <v>0</v>
      </c>
      <c r="V182" s="76">
        <f>+IF(AND(V$180&gt;=Assumptions!$H$22,V$180&lt;Assumptions!$H$24),'S&amp;U'!$J8/ROUNDUP(Assumptions!$H$23/12,0),IF(AND(V$180&gt;=Assumptions!$H$24,V$180&lt;Assumptions!$H$26),'S&amp;U'!$J40/ROUNDUP(Assumptions!$H$25/12,0),0))</f>
        <v>0</v>
      </c>
      <c r="W182" s="76">
        <f>+IF(AND(W$180&gt;=Assumptions!$H$22,W$180&lt;Assumptions!$H$24),'S&amp;U'!$J8/ROUNDUP(Assumptions!$H$23/12,0),IF(AND(W$180&gt;=Assumptions!$H$24,W$180&lt;Assumptions!$H$26),'S&amp;U'!$J40/ROUNDUP(Assumptions!$H$25/12,0),0))</f>
        <v>0</v>
      </c>
      <c r="X182" s="76">
        <f>+IF(AND(X$180&gt;=Assumptions!$H$22,X$180&lt;Assumptions!$H$24),'S&amp;U'!$J8/ROUNDUP(Assumptions!$H$23/12,0),IF(AND(X$180&gt;=Assumptions!$H$24,X$180&lt;Assumptions!$H$26),'S&amp;U'!$J40/ROUNDUP(Assumptions!$H$25/12,0),0))</f>
        <v>0</v>
      </c>
      <c r="Y182" s="76">
        <f>+IF(AND(Y$180&gt;=Assumptions!$H$22,Y$180&lt;Assumptions!$H$24),'S&amp;U'!$J8/ROUNDUP(Assumptions!$H$23/12,0),IF(AND(Y$180&gt;=Assumptions!$H$24,Y$180&lt;Assumptions!$H$26),'S&amp;U'!$J40/ROUNDUP(Assumptions!$H$25/12,0),0))</f>
        <v>0</v>
      </c>
      <c r="Z182" s="76">
        <f>+IF(AND(Z$180&gt;=Assumptions!$H$22,Z$180&lt;Assumptions!$H$24),'S&amp;U'!$J8/ROUNDUP(Assumptions!$H$23/12,0),IF(AND(Z$180&gt;=Assumptions!$H$24,Z$180&lt;Assumptions!$H$26),'S&amp;U'!$J40/ROUNDUP(Assumptions!$H$25/12,0),0))</f>
        <v>0</v>
      </c>
    </row>
    <row r="183" spans="2:26" ht="15.75">
      <c r="B183" s="15" t="s">
        <v>28</v>
      </c>
      <c r="D183" s="26">
        <f t="shared" ca="1" si="72"/>
        <v>203994617.4096579</v>
      </c>
      <c r="E183" s="26"/>
      <c r="F183" s="76">
        <f>+IF(AND(F$180&gt;=Assumptions!$H$22,F$180&lt;Assumptions!$H$24),'S&amp;U'!$J9/ROUNDUP(Assumptions!$H$23/12,0),IF(AND(F$180&gt;=Assumptions!$H$24,F$180&lt;Assumptions!$H$26),'S&amp;U'!$J41/ROUNDUP(Assumptions!$H$25/12,0),0))</f>
        <v>0</v>
      </c>
      <c r="G183" s="76">
        <f ca="1">+IF(AND(G$180&gt;=Assumptions!$H$22,G$180&lt;Assumptions!$H$24),'S&amp;U'!$J9/ROUNDUP(Assumptions!$H$23/12,0),IF(AND(G$180&gt;=Assumptions!$H$24,G$180&lt;Assumptions!$H$26),'S&amp;U'!$J41/ROUNDUP(Assumptions!$H$25/12,0),0))</f>
        <v>101997308.70482895</v>
      </c>
      <c r="H183" s="76">
        <f ca="1">+IF(AND(H$180&gt;=Assumptions!$H$22,H$180&lt;Assumptions!$H$24),'S&amp;U'!$J9/ROUNDUP(Assumptions!$H$23/12,0),IF(AND(H$180&gt;=Assumptions!$H$24,H$180&lt;Assumptions!$H$26),'S&amp;U'!$J41/ROUNDUP(Assumptions!$H$25/12,0),0))</f>
        <v>101997308.70482895</v>
      </c>
      <c r="I183" s="76">
        <f>+IF(AND(I$180&gt;=Assumptions!$H$22,I$180&lt;Assumptions!$H$24),'S&amp;U'!$J9/ROUNDUP(Assumptions!$H$23/12,0),IF(AND(I$180&gt;=Assumptions!$H$24,I$180&lt;Assumptions!$H$26),'S&amp;U'!$J41/ROUNDUP(Assumptions!$H$25/12,0),0))</f>
        <v>0</v>
      </c>
      <c r="J183" s="76">
        <f>+IF(AND(J$180&gt;=Assumptions!$H$22,J$180&lt;Assumptions!$H$24),'S&amp;U'!$J9/ROUNDUP(Assumptions!$H$23/12,0),IF(AND(J$180&gt;=Assumptions!$H$24,J$180&lt;Assumptions!$H$26),'S&amp;U'!$J41/ROUNDUP(Assumptions!$H$25/12,0),0))</f>
        <v>0</v>
      </c>
      <c r="K183" s="76">
        <f>+IF(AND(K$180&gt;=Assumptions!$H$22,K$180&lt;Assumptions!$H$24),'S&amp;U'!$J9/ROUNDUP(Assumptions!$H$23/12,0),IF(AND(K$180&gt;=Assumptions!$H$24,K$180&lt;Assumptions!$H$26),'S&amp;U'!$J41/ROUNDUP(Assumptions!$H$25/12,0),0))</f>
        <v>0</v>
      </c>
      <c r="L183" s="76">
        <f>+IF(AND(L$180&gt;=Assumptions!$H$22,L$180&lt;Assumptions!$H$24),'S&amp;U'!$J9/ROUNDUP(Assumptions!$H$23/12,0),IF(AND(L$180&gt;=Assumptions!$H$24,L$180&lt;Assumptions!$H$26),'S&amp;U'!$J41/ROUNDUP(Assumptions!$H$25/12,0),0))</f>
        <v>0</v>
      </c>
      <c r="M183" s="76">
        <f>+IF(AND(M$180&gt;=Assumptions!$H$22,M$180&lt;Assumptions!$H$24),'S&amp;U'!$J9/ROUNDUP(Assumptions!$H$23/12,0),IF(AND(M$180&gt;=Assumptions!$H$24,M$180&lt;Assumptions!$H$26),'S&amp;U'!$J41/ROUNDUP(Assumptions!$H$25/12,0),0))</f>
        <v>0</v>
      </c>
      <c r="N183" s="76">
        <f>+IF(AND(N$180&gt;=Assumptions!$H$22,N$180&lt;Assumptions!$H$24),'S&amp;U'!$J9/ROUNDUP(Assumptions!$H$23/12,0),IF(AND(N$180&gt;=Assumptions!$H$24,N$180&lt;Assumptions!$H$26),'S&amp;U'!$J41/ROUNDUP(Assumptions!$H$25/12,0),0))</f>
        <v>0</v>
      </c>
      <c r="O183" s="76">
        <f>+IF(AND(O$180&gt;=Assumptions!$H$22,O$180&lt;Assumptions!$H$24),'S&amp;U'!$J9/ROUNDUP(Assumptions!$H$23/12,0),IF(AND(O$180&gt;=Assumptions!$H$24,O$180&lt;Assumptions!$H$26),'S&amp;U'!$J41/ROUNDUP(Assumptions!$H$25/12,0),0))</f>
        <v>0</v>
      </c>
      <c r="P183" s="76">
        <f>+IF(AND(P$180&gt;=Assumptions!$H$22,P$180&lt;Assumptions!$H$24),'S&amp;U'!$J9/ROUNDUP(Assumptions!$H$23/12,0),IF(AND(P$180&gt;=Assumptions!$H$24,P$180&lt;Assumptions!$H$26),'S&amp;U'!$J41/ROUNDUP(Assumptions!$H$25/12,0),0))</f>
        <v>0</v>
      </c>
      <c r="Q183" s="76">
        <f>+IF(AND(Q$180&gt;=Assumptions!$H$22,Q$180&lt;Assumptions!$H$24),'S&amp;U'!$J9/ROUNDUP(Assumptions!$H$23/12,0),IF(AND(Q$180&gt;=Assumptions!$H$24,Q$180&lt;Assumptions!$H$26),'S&amp;U'!$J41/ROUNDUP(Assumptions!$H$25/12,0),0))</f>
        <v>0</v>
      </c>
      <c r="R183" s="76">
        <f>+IF(AND(R$180&gt;=Assumptions!$H$22,R$180&lt;Assumptions!$H$24),'S&amp;U'!$J9/ROUNDUP(Assumptions!$H$23/12,0),IF(AND(R$180&gt;=Assumptions!$H$24,R$180&lt;Assumptions!$H$26),'S&amp;U'!$J41/ROUNDUP(Assumptions!$H$25/12,0),0))</f>
        <v>0</v>
      </c>
      <c r="S183" s="76">
        <f>+IF(AND(S$180&gt;=Assumptions!$H$22,S$180&lt;Assumptions!$H$24),'S&amp;U'!$J9/ROUNDUP(Assumptions!$H$23/12,0),IF(AND(S$180&gt;=Assumptions!$H$24,S$180&lt;Assumptions!$H$26),'S&amp;U'!$J41/ROUNDUP(Assumptions!$H$25/12,0),0))</f>
        <v>0</v>
      </c>
      <c r="T183" s="76">
        <f>+IF(AND(T$180&gt;=Assumptions!$H$22,T$180&lt;Assumptions!$H$24),'S&amp;U'!$J9/ROUNDUP(Assumptions!$H$23/12,0),IF(AND(T$180&gt;=Assumptions!$H$24,T$180&lt;Assumptions!$H$26),'S&amp;U'!$J41/ROUNDUP(Assumptions!$H$25/12,0),0))</f>
        <v>0</v>
      </c>
      <c r="U183" s="76">
        <f>+IF(AND(U$180&gt;=Assumptions!$H$22,U$180&lt;Assumptions!$H$24),'S&amp;U'!$J9/ROUNDUP(Assumptions!$H$23/12,0),IF(AND(U$180&gt;=Assumptions!$H$24,U$180&lt;Assumptions!$H$26),'S&amp;U'!$J41/ROUNDUP(Assumptions!$H$25/12,0),0))</f>
        <v>0</v>
      </c>
      <c r="V183" s="76">
        <f>+IF(AND(V$180&gt;=Assumptions!$H$22,V$180&lt;Assumptions!$H$24),'S&amp;U'!$J9/ROUNDUP(Assumptions!$H$23/12,0),IF(AND(V$180&gt;=Assumptions!$H$24,V$180&lt;Assumptions!$H$26),'S&amp;U'!$J41/ROUNDUP(Assumptions!$H$25/12,0),0))</f>
        <v>0</v>
      </c>
      <c r="W183" s="76">
        <f>+IF(AND(W$180&gt;=Assumptions!$H$22,W$180&lt;Assumptions!$H$24),'S&amp;U'!$J9/ROUNDUP(Assumptions!$H$23/12,0),IF(AND(W$180&gt;=Assumptions!$H$24,W$180&lt;Assumptions!$H$26),'S&amp;U'!$J41/ROUNDUP(Assumptions!$H$25/12,0),0))</f>
        <v>0</v>
      </c>
      <c r="X183" s="76">
        <f>+IF(AND(X$180&gt;=Assumptions!$H$22,X$180&lt;Assumptions!$H$24),'S&amp;U'!$J9/ROUNDUP(Assumptions!$H$23/12,0),IF(AND(X$180&gt;=Assumptions!$H$24,X$180&lt;Assumptions!$H$26),'S&amp;U'!$J41/ROUNDUP(Assumptions!$H$25/12,0),0))</f>
        <v>0</v>
      </c>
      <c r="Y183" s="76">
        <f>+IF(AND(Y$180&gt;=Assumptions!$H$22,Y$180&lt;Assumptions!$H$24),'S&amp;U'!$J9/ROUNDUP(Assumptions!$H$23/12,0),IF(AND(Y$180&gt;=Assumptions!$H$24,Y$180&lt;Assumptions!$H$26),'S&amp;U'!$J41/ROUNDUP(Assumptions!$H$25/12,0),0))</f>
        <v>0</v>
      </c>
      <c r="Z183" s="76">
        <f>+IF(AND(Z$180&gt;=Assumptions!$H$22,Z$180&lt;Assumptions!$H$24),'S&amp;U'!$J9/ROUNDUP(Assumptions!$H$23/12,0),IF(AND(Z$180&gt;=Assumptions!$H$24,Z$180&lt;Assumptions!$H$26),'S&amp;U'!$J41/ROUNDUP(Assumptions!$H$25/12,0),0))</f>
        <v>0</v>
      </c>
    </row>
    <row r="184" spans="2:26" ht="15.75">
      <c r="B184" s="15" t="s">
        <v>349</v>
      </c>
      <c r="D184" s="26">
        <f ca="1">+SUM(F184:Z184)</f>
        <v>383738652.20296258</v>
      </c>
      <c r="E184" s="26"/>
      <c r="F184" s="76">
        <f ca="1">+IF(AND(F$180&gt;=Assumptions!$H$22,F$180&lt;Assumptions!$H$24),'S&amp;U'!$J10/ROUNDUP(Assumptions!$H$23/12,0),IF(AND(F$180&gt;=Assumptions!$H$24,F$180&lt;Assumptions!$H$26),'S&amp;U'!$J42/ROUNDUP(Assumptions!$H$25/12,0),0))</f>
        <v>8901590.8766152505</v>
      </c>
      <c r="G184" s="76">
        <f ca="1">+IF(AND(G$180&gt;=Assumptions!$H$22,G$180&lt;Assumptions!$H$24),'S&amp;U'!$J10/ROUNDUP(Assumptions!$H$23/12,0),IF(AND(G$180&gt;=Assumptions!$H$24,G$180&lt;Assumptions!$H$26),'S&amp;U'!$J42/ROUNDUP(Assumptions!$H$25/12,0),0))</f>
        <v>365528381.05388778</v>
      </c>
      <c r="H184" s="76">
        <f ca="1">+IF(AND(H$180&gt;=Assumptions!$H$22,H$180&lt;Assumptions!$H$24),'S&amp;U'!$J10/ROUNDUP(Assumptions!$H$23/12,0),IF(AND(H$180&gt;=Assumptions!$H$24,H$180&lt;Assumptions!$H$26),'S&amp;U'!$J42/ROUNDUP(Assumptions!$H$25/12,0),0))</f>
        <v>9308680.2724595498</v>
      </c>
      <c r="I184" s="76">
        <f>+IF(AND(I$180&gt;=Assumptions!$H$22,I$180&lt;Assumptions!$H$24),'S&amp;U'!$J10/ROUNDUP(Assumptions!$H$23/12,0),IF(AND(I$180&gt;=Assumptions!$H$24,I$180&lt;Assumptions!$H$26),'S&amp;U'!$J42/ROUNDUP(Assumptions!$H$25/12,0),0))</f>
        <v>0</v>
      </c>
      <c r="J184" s="76">
        <f>+IF(AND(J$180&gt;=Assumptions!$H$22,J$180&lt;Assumptions!$H$24),'S&amp;U'!$J10/ROUNDUP(Assumptions!$H$23/12,0),IF(AND(J$180&gt;=Assumptions!$H$24,J$180&lt;Assumptions!$H$26),'S&amp;U'!$J42/ROUNDUP(Assumptions!$H$25/12,0),0))</f>
        <v>0</v>
      </c>
      <c r="K184" s="76">
        <f>+IF(AND(K$180&gt;=Assumptions!$H$22,K$180&lt;Assumptions!$H$24),'S&amp;U'!$J10/ROUNDUP(Assumptions!$H$23/12,0),IF(AND(K$180&gt;=Assumptions!$H$24,K$180&lt;Assumptions!$H$26),'S&amp;U'!$J42/ROUNDUP(Assumptions!$H$25/12,0),0))</f>
        <v>0</v>
      </c>
      <c r="L184" s="76">
        <f>+IF(AND(L$180&gt;=Assumptions!$H$22,L$180&lt;Assumptions!$H$24),'S&amp;U'!$J10/ROUNDUP(Assumptions!$H$23/12,0),IF(AND(L$180&gt;=Assumptions!$H$24,L$180&lt;Assumptions!$H$26),'S&amp;U'!$J42/ROUNDUP(Assumptions!$H$25/12,0),0))</f>
        <v>0</v>
      </c>
      <c r="M184" s="76">
        <f>+IF(AND(M$180&gt;=Assumptions!$H$22,M$180&lt;Assumptions!$H$24),'S&amp;U'!$J10/ROUNDUP(Assumptions!$H$23/12,0),IF(AND(M$180&gt;=Assumptions!$H$24,M$180&lt;Assumptions!$H$26),'S&amp;U'!$J42/ROUNDUP(Assumptions!$H$25/12,0),0))</f>
        <v>0</v>
      </c>
      <c r="N184" s="76">
        <f>+IF(AND(N$180&gt;=Assumptions!$H$22,N$180&lt;Assumptions!$H$24),'S&amp;U'!$J10/ROUNDUP(Assumptions!$H$23/12,0),IF(AND(N$180&gt;=Assumptions!$H$24,N$180&lt;Assumptions!$H$26),'S&amp;U'!$J42/ROUNDUP(Assumptions!$H$25/12,0),0))</f>
        <v>0</v>
      </c>
      <c r="O184" s="76">
        <f>+IF(AND(O$180&gt;=Assumptions!$H$22,O$180&lt;Assumptions!$H$24),'S&amp;U'!$J10/ROUNDUP(Assumptions!$H$23/12,0),IF(AND(O$180&gt;=Assumptions!$H$24,O$180&lt;Assumptions!$H$26),'S&amp;U'!$J42/ROUNDUP(Assumptions!$H$25/12,0),0))</f>
        <v>0</v>
      </c>
      <c r="P184" s="76">
        <f>+IF(AND(P$180&gt;=Assumptions!$H$22,P$180&lt;Assumptions!$H$24),'S&amp;U'!$J10/ROUNDUP(Assumptions!$H$23/12,0),IF(AND(P$180&gt;=Assumptions!$H$24,P$180&lt;Assumptions!$H$26),'S&amp;U'!$J42/ROUNDUP(Assumptions!$H$25/12,0),0))</f>
        <v>0</v>
      </c>
      <c r="Q184" s="76">
        <f>+IF(AND(Q$180&gt;=Assumptions!$H$22,Q$180&lt;Assumptions!$H$24),'S&amp;U'!$J10/ROUNDUP(Assumptions!$H$23/12,0),IF(AND(Q$180&gt;=Assumptions!$H$24,Q$180&lt;Assumptions!$H$26),'S&amp;U'!$J42/ROUNDUP(Assumptions!$H$25/12,0),0))</f>
        <v>0</v>
      </c>
      <c r="R184" s="76">
        <f>+IF(AND(R$180&gt;=Assumptions!$H$22,R$180&lt;Assumptions!$H$24),'S&amp;U'!$J10/ROUNDUP(Assumptions!$H$23/12,0),IF(AND(R$180&gt;=Assumptions!$H$24,R$180&lt;Assumptions!$H$26),'S&amp;U'!$J42/ROUNDUP(Assumptions!$H$25/12,0),0))</f>
        <v>0</v>
      </c>
      <c r="S184" s="76">
        <f>+IF(AND(S$180&gt;=Assumptions!$H$22,S$180&lt;Assumptions!$H$24),'S&amp;U'!$J10/ROUNDUP(Assumptions!$H$23/12,0),IF(AND(S$180&gt;=Assumptions!$H$24,S$180&lt;Assumptions!$H$26),'S&amp;U'!$J42/ROUNDUP(Assumptions!$H$25/12,0),0))</f>
        <v>0</v>
      </c>
      <c r="T184" s="76">
        <f>+IF(AND(T$180&gt;=Assumptions!$H$22,T$180&lt;Assumptions!$H$24),'S&amp;U'!$J10/ROUNDUP(Assumptions!$H$23/12,0),IF(AND(T$180&gt;=Assumptions!$H$24,T$180&lt;Assumptions!$H$26),'S&amp;U'!$J42/ROUNDUP(Assumptions!$H$25/12,0),0))</f>
        <v>0</v>
      </c>
      <c r="U184" s="76">
        <f>+IF(AND(U$180&gt;=Assumptions!$H$22,U$180&lt;Assumptions!$H$24),'S&amp;U'!$J10/ROUNDUP(Assumptions!$H$23/12,0),IF(AND(U$180&gt;=Assumptions!$H$24,U$180&lt;Assumptions!$H$26),'S&amp;U'!$J42/ROUNDUP(Assumptions!$H$25/12,0),0))</f>
        <v>0</v>
      </c>
      <c r="V184" s="76">
        <f>+IF(AND(V$180&gt;=Assumptions!$H$22,V$180&lt;Assumptions!$H$24),'S&amp;U'!$J10/ROUNDUP(Assumptions!$H$23/12,0),IF(AND(V$180&gt;=Assumptions!$H$24,V$180&lt;Assumptions!$H$26),'S&amp;U'!$J42/ROUNDUP(Assumptions!$H$25/12,0),0))</f>
        <v>0</v>
      </c>
      <c r="W184" s="76">
        <f>+IF(AND(W$180&gt;=Assumptions!$H$22,W$180&lt;Assumptions!$H$24),'S&amp;U'!$J10/ROUNDUP(Assumptions!$H$23/12,0),IF(AND(W$180&gt;=Assumptions!$H$24,W$180&lt;Assumptions!$H$26),'S&amp;U'!$J42/ROUNDUP(Assumptions!$H$25/12,0),0))</f>
        <v>0</v>
      </c>
      <c r="X184" s="76">
        <f>+IF(AND(X$180&gt;=Assumptions!$H$22,X$180&lt;Assumptions!$H$24),'S&amp;U'!$J10/ROUNDUP(Assumptions!$H$23/12,0),IF(AND(X$180&gt;=Assumptions!$H$24,X$180&lt;Assumptions!$H$26),'S&amp;U'!$J42/ROUNDUP(Assumptions!$H$25/12,0),0))</f>
        <v>0</v>
      </c>
      <c r="Y184" s="76">
        <f>+IF(AND(Y$180&gt;=Assumptions!$H$22,Y$180&lt;Assumptions!$H$24),'S&amp;U'!$J10/ROUNDUP(Assumptions!$H$23/12,0),IF(AND(Y$180&gt;=Assumptions!$H$24,Y$180&lt;Assumptions!$H$26),'S&amp;U'!$J42/ROUNDUP(Assumptions!$H$25/12,0),0))</f>
        <v>0</v>
      </c>
      <c r="Z184" s="76">
        <f>+IF(AND(Z$180&gt;=Assumptions!$H$22,Z$180&lt;Assumptions!$H$24),'S&amp;U'!$J10/ROUNDUP(Assumptions!$H$23/12,0),IF(AND(Z$180&gt;=Assumptions!$H$24,Z$180&lt;Assumptions!$H$26),'S&amp;U'!$J42/ROUNDUP(Assumptions!$H$25/12,0),0))</f>
        <v>0</v>
      </c>
    </row>
    <row r="185" spans="2:26" ht="15.75">
      <c r="B185" s="15" t="s">
        <v>37</v>
      </c>
      <c r="D185" s="26">
        <f t="shared" ca="1" si="72"/>
        <v>27580752.127430357</v>
      </c>
      <c r="E185" s="26"/>
      <c r="F185" s="76">
        <f>+IF(AND(F$180&gt;=Assumptions!$H$22,F$180&lt;Assumptions!$H$24),'S&amp;U'!$J11/ROUNDUP(Assumptions!$H$23/12,0),IF(AND(F$180&gt;=Assumptions!$H$24,F$180&lt;Assumptions!$H$26),'S&amp;U'!$J43/ROUNDUP(Assumptions!$H$25/12,0),0))</f>
        <v>0</v>
      </c>
      <c r="G185" s="76">
        <f ca="1">+IF(AND(G$180&gt;=Assumptions!$H$22,G$180&lt;Assumptions!$H$24),'S&amp;U'!$J11/ROUNDUP(Assumptions!$H$23/12,0),IF(AND(G$180&gt;=Assumptions!$H$24,G$180&lt;Assumptions!$H$26),'S&amp;U'!$J43/ROUNDUP(Assumptions!$H$25/12,0),0))</f>
        <v>13790376.063715179</v>
      </c>
      <c r="H185" s="76">
        <f ca="1">+IF(AND(H$180&gt;=Assumptions!$H$22,H$180&lt;Assumptions!$H$24),'S&amp;U'!$J11/ROUNDUP(Assumptions!$H$23/12,0),IF(AND(H$180&gt;=Assumptions!$H$24,H$180&lt;Assumptions!$H$26),'S&amp;U'!$J43/ROUNDUP(Assumptions!$H$25/12,0),0))</f>
        <v>13790376.063715179</v>
      </c>
      <c r="I185" s="76">
        <f>+IF(AND(I$180&gt;=Assumptions!$H$22,I$180&lt;Assumptions!$H$24),'S&amp;U'!$J11/ROUNDUP(Assumptions!$H$23/12,0),IF(AND(I$180&gt;=Assumptions!$H$24,I$180&lt;Assumptions!$H$26),'S&amp;U'!$J43/ROUNDUP(Assumptions!$H$25/12,0),0))</f>
        <v>0</v>
      </c>
      <c r="J185" s="76">
        <f>+IF(AND(J$180&gt;=Assumptions!$H$22,J$180&lt;Assumptions!$H$24),'S&amp;U'!$J11/ROUNDUP(Assumptions!$H$23/12,0),IF(AND(J$180&gt;=Assumptions!$H$24,J$180&lt;Assumptions!$H$26),'S&amp;U'!$J43/ROUNDUP(Assumptions!$H$25/12,0),0))</f>
        <v>0</v>
      </c>
      <c r="K185" s="76">
        <f>+IF(AND(K$180&gt;=Assumptions!$H$22,K$180&lt;Assumptions!$H$24),'S&amp;U'!$J11/ROUNDUP(Assumptions!$H$23/12,0),IF(AND(K$180&gt;=Assumptions!$H$24,K$180&lt;Assumptions!$H$26),'S&amp;U'!$J43/ROUNDUP(Assumptions!$H$25/12,0),0))</f>
        <v>0</v>
      </c>
      <c r="L185" s="76">
        <f>+IF(AND(L$180&gt;=Assumptions!$H$22,L$180&lt;Assumptions!$H$24),'S&amp;U'!$J11/ROUNDUP(Assumptions!$H$23/12,0),IF(AND(L$180&gt;=Assumptions!$H$24,L$180&lt;Assumptions!$H$26),'S&amp;U'!$J43/ROUNDUP(Assumptions!$H$25/12,0),0))</f>
        <v>0</v>
      </c>
      <c r="M185" s="76">
        <f>+IF(AND(M$180&gt;=Assumptions!$H$22,M$180&lt;Assumptions!$H$24),'S&amp;U'!$J11/ROUNDUP(Assumptions!$H$23/12,0),IF(AND(M$180&gt;=Assumptions!$H$24,M$180&lt;Assumptions!$H$26),'S&amp;U'!$J43/ROUNDUP(Assumptions!$H$25/12,0),0))</f>
        <v>0</v>
      </c>
      <c r="N185" s="76">
        <f>+IF(AND(N$180&gt;=Assumptions!$H$22,N$180&lt;Assumptions!$H$24),'S&amp;U'!$J11/ROUNDUP(Assumptions!$H$23/12,0),IF(AND(N$180&gt;=Assumptions!$H$24,N$180&lt;Assumptions!$H$26),'S&amp;U'!$J43/ROUNDUP(Assumptions!$H$25/12,0),0))</f>
        <v>0</v>
      </c>
      <c r="O185" s="76">
        <f>+IF(AND(O$180&gt;=Assumptions!$H$22,O$180&lt;Assumptions!$H$24),'S&amp;U'!$J11/ROUNDUP(Assumptions!$H$23/12,0),IF(AND(O$180&gt;=Assumptions!$H$24,O$180&lt;Assumptions!$H$26),'S&amp;U'!$J43/ROUNDUP(Assumptions!$H$25/12,0),0))</f>
        <v>0</v>
      </c>
      <c r="P185" s="76">
        <f>+IF(AND(P$180&gt;=Assumptions!$H$22,P$180&lt;Assumptions!$H$24),'S&amp;U'!$J11/ROUNDUP(Assumptions!$H$23/12,0),IF(AND(P$180&gt;=Assumptions!$H$24,P$180&lt;Assumptions!$H$26),'S&amp;U'!$J43/ROUNDUP(Assumptions!$H$25/12,0),0))</f>
        <v>0</v>
      </c>
      <c r="Q185" s="76">
        <f>+IF(AND(Q$180&gt;=Assumptions!$H$22,Q$180&lt;Assumptions!$H$24),'S&amp;U'!$J11/ROUNDUP(Assumptions!$H$23/12,0),IF(AND(Q$180&gt;=Assumptions!$H$24,Q$180&lt;Assumptions!$H$26),'S&amp;U'!$J43/ROUNDUP(Assumptions!$H$25/12,0),0))</f>
        <v>0</v>
      </c>
      <c r="R185" s="76">
        <f>+IF(AND(R$180&gt;=Assumptions!$H$22,R$180&lt;Assumptions!$H$24),'S&amp;U'!$J11/ROUNDUP(Assumptions!$H$23/12,0),IF(AND(R$180&gt;=Assumptions!$H$24,R$180&lt;Assumptions!$H$26),'S&amp;U'!$J43/ROUNDUP(Assumptions!$H$25/12,0),0))</f>
        <v>0</v>
      </c>
      <c r="S185" s="76">
        <f>+IF(AND(S$180&gt;=Assumptions!$H$22,S$180&lt;Assumptions!$H$24),'S&amp;U'!$J11/ROUNDUP(Assumptions!$H$23/12,0),IF(AND(S$180&gt;=Assumptions!$H$24,S$180&lt;Assumptions!$H$26),'S&amp;U'!$J43/ROUNDUP(Assumptions!$H$25/12,0),0))</f>
        <v>0</v>
      </c>
      <c r="T185" s="76">
        <f>+IF(AND(T$180&gt;=Assumptions!$H$22,T$180&lt;Assumptions!$H$24),'S&amp;U'!$J11/ROUNDUP(Assumptions!$H$23/12,0),IF(AND(T$180&gt;=Assumptions!$H$24,T$180&lt;Assumptions!$H$26),'S&amp;U'!$J43/ROUNDUP(Assumptions!$H$25/12,0),0))</f>
        <v>0</v>
      </c>
      <c r="U185" s="76">
        <f>+IF(AND(U$180&gt;=Assumptions!$H$22,U$180&lt;Assumptions!$H$24),'S&amp;U'!$J11/ROUNDUP(Assumptions!$H$23/12,0),IF(AND(U$180&gt;=Assumptions!$H$24,U$180&lt;Assumptions!$H$26),'S&amp;U'!$J43/ROUNDUP(Assumptions!$H$25/12,0),0))</f>
        <v>0</v>
      </c>
      <c r="V185" s="76">
        <f>+IF(AND(V$180&gt;=Assumptions!$H$22,V$180&lt;Assumptions!$H$24),'S&amp;U'!$J11/ROUNDUP(Assumptions!$H$23/12,0),IF(AND(V$180&gt;=Assumptions!$H$24,V$180&lt;Assumptions!$H$26),'S&amp;U'!$J43/ROUNDUP(Assumptions!$H$25/12,0),0))</f>
        <v>0</v>
      </c>
      <c r="W185" s="76">
        <f>+IF(AND(W$180&gt;=Assumptions!$H$22,W$180&lt;Assumptions!$H$24),'S&amp;U'!$J11/ROUNDUP(Assumptions!$H$23/12,0),IF(AND(W$180&gt;=Assumptions!$H$24,W$180&lt;Assumptions!$H$26),'S&amp;U'!$J43/ROUNDUP(Assumptions!$H$25/12,0),0))</f>
        <v>0</v>
      </c>
      <c r="X185" s="76">
        <f>+IF(AND(X$180&gt;=Assumptions!$H$22,X$180&lt;Assumptions!$H$24),'S&amp;U'!$J11/ROUNDUP(Assumptions!$H$23/12,0),IF(AND(X$180&gt;=Assumptions!$H$24,X$180&lt;Assumptions!$H$26),'S&amp;U'!$J43/ROUNDUP(Assumptions!$H$25/12,0),0))</f>
        <v>0</v>
      </c>
      <c r="Y185" s="76">
        <f>+IF(AND(Y$180&gt;=Assumptions!$H$22,Y$180&lt;Assumptions!$H$24),'S&amp;U'!$J11/ROUNDUP(Assumptions!$H$23/12,0),IF(AND(Y$180&gt;=Assumptions!$H$24,Y$180&lt;Assumptions!$H$26),'S&amp;U'!$J43/ROUNDUP(Assumptions!$H$25/12,0),0))</f>
        <v>0</v>
      </c>
      <c r="Z185" s="76">
        <f>+IF(AND(Z$180&gt;=Assumptions!$H$22,Z$180&lt;Assumptions!$H$24),'S&amp;U'!$J11/ROUNDUP(Assumptions!$H$23/12,0),IF(AND(Z$180&gt;=Assumptions!$H$24,Z$180&lt;Assumptions!$H$26),'S&amp;U'!$J43/ROUNDUP(Assumptions!$H$25/12,0),0))</f>
        <v>0</v>
      </c>
    </row>
    <row r="186" spans="2:26" ht="15.75">
      <c r="B186" s="15" t="s">
        <v>350</v>
      </c>
      <c r="D186" s="26">
        <f t="shared" ca="1" si="72"/>
        <v>489128.6509354015</v>
      </c>
      <c r="E186" s="26"/>
      <c r="F186" s="76">
        <f>+IF(AND(F$180&gt;=Assumptions!$H$22,F$180&lt;Assumptions!$H$24),'S&amp;U'!$J12/ROUNDUP(Assumptions!$H$23/12,0),IF(AND(F$180&gt;=Assumptions!$H$24,F$180&lt;Assumptions!$H$26),'S&amp;U'!$J44/ROUNDUP(Assumptions!$H$25/12,0),0))</f>
        <v>0</v>
      </c>
      <c r="G186" s="76">
        <f ca="1">+IF(AND(G$180&gt;=Assumptions!$H$22,G$180&lt;Assumptions!$H$24),'S&amp;U'!$J12/ROUNDUP(Assumptions!$H$23/12,0),IF(AND(G$180&gt;=Assumptions!$H$24,G$180&lt;Assumptions!$H$26),'S&amp;U'!$J44/ROUNDUP(Assumptions!$H$25/12,0),0))</f>
        <v>244564.32546770075</v>
      </c>
      <c r="H186" s="76">
        <f ca="1">+IF(AND(H$180&gt;=Assumptions!$H$22,H$180&lt;Assumptions!$H$24),'S&amp;U'!$J12/ROUNDUP(Assumptions!$H$23/12,0),IF(AND(H$180&gt;=Assumptions!$H$24,H$180&lt;Assumptions!$H$26),'S&amp;U'!$J44/ROUNDUP(Assumptions!$H$25/12,0),0))</f>
        <v>244564.32546770075</v>
      </c>
      <c r="I186" s="76">
        <f>+IF(AND(I$180&gt;=Assumptions!$H$22,I$180&lt;Assumptions!$H$24),'S&amp;U'!$J12/ROUNDUP(Assumptions!$H$23/12,0),IF(AND(I$180&gt;=Assumptions!$H$24,I$180&lt;Assumptions!$H$26),'S&amp;U'!$J44/ROUNDUP(Assumptions!$H$25/12,0),0))</f>
        <v>0</v>
      </c>
      <c r="J186" s="76">
        <f>+IF(AND(J$180&gt;=Assumptions!$H$22,J$180&lt;Assumptions!$H$24),'S&amp;U'!$J12/ROUNDUP(Assumptions!$H$23/12,0),IF(AND(J$180&gt;=Assumptions!$H$24,J$180&lt;Assumptions!$H$26),'S&amp;U'!$J44/ROUNDUP(Assumptions!$H$25/12,0),0))</f>
        <v>0</v>
      </c>
      <c r="K186" s="76">
        <f>+IF(AND(K$180&gt;=Assumptions!$H$22,K$180&lt;Assumptions!$H$24),'S&amp;U'!$J12/ROUNDUP(Assumptions!$H$23/12,0),IF(AND(K$180&gt;=Assumptions!$H$24,K$180&lt;Assumptions!$H$26),'S&amp;U'!$J44/ROUNDUP(Assumptions!$H$25/12,0),0))</f>
        <v>0</v>
      </c>
      <c r="L186" s="76">
        <f>+IF(AND(L$180&gt;=Assumptions!$H$22,L$180&lt;Assumptions!$H$24),'S&amp;U'!$J12/ROUNDUP(Assumptions!$H$23/12,0),IF(AND(L$180&gt;=Assumptions!$H$24,L$180&lt;Assumptions!$H$26),'S&amp;U'!$J44/ROUNDUP(Assumptions!$H$25/12,0),0))</f>
        <v>0</v>
      </c>
      <c r="M186" s="76">
        <f>+IF(AND(M$180&gt;=Assumptions!$H$22,M$180&lt;Assumptions!$H$24),'S&amp;U'!$J12/ROUNDUP(Assumptions!$H$23/12,0),IF(AND(M$180&gt;=Assumptions!$H$24,M$180&lt;Assumptions!$H$26),'S&amp;U'!$J44/ROUNDUP(Assumptions!$H$25/12,0),0))</f>
        <v>0</v>
      </c>
      <c r="N186" s="76">
        <f>+IF(AND(N$180&gt;=Assumptions!$H$22,N$180&lt;Assumptions!$H$24),'S&amp;U'!$J12/ROUNDUP(Assumptions!$H$23/12,0),IF(AND(N$180&gt;=Assumptions!$H$24,N$180&lt;Assumptions!$H$26),'S&amp;U'!$J44/ROUNDUP(Assumptions!$H$25/12,0),0))</f>
        <v>0</v>
      </c>
      <c r="O186" s="76">
        <f>+IF(AND(O$180&gt;=Assumptions!$H$22,O$180&lt;Assumptions!$H$24),'S&amp;U'!$J12/ROUNDUP(Assumptions!$H$23/12,0),IF(AND(O$180&gt;=Assumptions!$H$24,O$180&lt;Assumptions!$H$26),'S&amp;U'!$J44/ROUNDUP(Assumptions!$H$25/12,0),0))</f>
        <v>0</v>
      </c>
      <c r="P186" s="76">
        <f>+IF(AND(P$180&gt;=Assumptions!$H$22,P$180&lt;Assumptions!$H$24),'S&amp;U'!$J12/ROUNDUP(Assumptions!$H$23/12,0),IF(AND(P$180&gt;=Assumptions!$H$24,P$180&lt;Assumptions!$H$26),'S&amp;U'!$J44/ROUNDUP(Assumptions!$H$25/12,0),0))</f>
        <v>0</v>
      </c>
      <c r="Q186" s="76">
        <f>+IF(AND(Q$180&gt;=Assumptions!$H$22,Q$180&lt;Assumptions!$H$24),'S&amp;U'!$J12/ROUNDUP(Assumptions!$H$23/12,0),IF(AND(Q$180&gt;=Assumptions!$H$24,Q$180&lt;Assumptions!$H$26),'S&amp;U'!$J44/ROUNDUP(Assumptions!$H$25/12,0),0))</f>
        <v>0</v>
      </c>
      <c r="R186" s="76">
        <f>+IF(AND(R$180&gt;=Assumptions!$H$22,R$180&lt;Assumptions!$H$24),'S&amp;U'!$J12/ROUNDUP(Assumptions!$H$23/12,0),IF(AND(R$180&gt;=Assumptions!$H$24,R$180&lt;Assumptions!$H$26),'S&amp;U'!$J44/ROUNDUP(Assumptions!$H$25/12,0),0))</f>
        <v>0</v>
      </c>
      <c r="S186" s="76">
        <f>+IF(AND(S$180&gt;=Assumptions!$H$22,S$180&lt;Assumptions!$H$24),'S&amp;U'!$J12/ROUNDUP(Assumptions!$H$23/12,0),IF(AND(S$180&gt;=Assumptions!$H$24,S$180&lt;Assumptions!$H$26),'S&amp;U'!$J44/ROUNDUP(Assumptions!$H$25/12,0),0))</f>
        <v>0</v>
      </c>
      <c r="T186" s="76">
        <f>+IF(AND(T$180&gt;=Assumptions!$H$22,T$180&lt;Assumptions!$H$24),'S&amp;U'!$J12/ROUNDUP(Assumptions!$H$23/12,0),IF(AND(T$180&gt;=Assumptions!$H$24,T$180&lt;Assumptions!$H$26),'S&amp;U'!$J44/ROUNDUP(Assumptions!$H$25/12,0),0))</f>
        <v>0</v>
      </c>
      <c r="U186" s="76">
        <f>+IF(AND(U$180&gt;=Assumptions!$H$22,U$180&lt;Assumptions!$H$24),'S&amp;U'!$J12/ROUNDUP(Assumptions!$H$23/12,0),IF(AND(U$180&gt;=Assumptions!$H$24,U$180&lt;Assumptions!$H$26),'S&amp;U'!$J44/ROUNDUP(Assumptions!$H$25/12,0),0))</f>
        <v>0</v>
      </c>
      <c r="V186" s="76">
        <f>+IF(AND(V$180&gt;=Assumptions!$H$22,V$180&lt;Assumptions!$H$24),'S&amp;U'!$J12/ROUNDUP(Assumptions!$H$23/12,0),IF(AND(V$180&gt;=Assumptions!$H$24,V$180&lt;Assumptions!$H$26),'S&amp;U'!$J44/ROUNDUP(Assumptions!$H$25/12,0),0))</f>
        <v>0</v>
      </c>
      <c r="W186" s="76">
        <f>+IF(AND(W$180&gt;=Assumptions!$H$22,W$180&lt;Assumptions!$H$24),'S&amp;U'!$J12/ROUNDUP(Assumptions!$H$23/12,0),IF(AND(W$180&gt;=Assumptions!$H$24,W$180&lt;Assumptions!$H$26),'S&amp;U'!$J44/ROUNDUP(Assumptions!$H$25/12,0),0))</f>
        <v>0</v>
      </c>
      <c r="X186" s="76">
        <f>+IF(AND(X$180&gt;=Assumptions!$H$22,X$180&lt;Assumptions!$H$24),'S&amp;U'!$J12/ROUNDUP(Assumptions!$H$23/12,0),IF(AND(X$180&gt;=Assumptions!$H$24,X$180&lt;Assumptions!$H$26),'S&amp;U'!$J44/ROUNDUP(Assumptions!$H$25/12,0),0))</f>
        <v>0</v>
      </c>
      <c r="Y186" s="76">
        <f>+IF(AND(Y$180&gt;=Assumptions!$H$22,Y$180&lt;Assumptions!$H$24),'S&amp;U'!$J12/ROUNDUP(Assumptions!$H$23/12,0),IF(AND(Y$180&gt;=Assumptions!$H$24,Y$180&lt;Assumptions!$H$26),'S&amp;U'!$J44/ROUNDUP(Assumptions!$H$25/12,0),0))</f>
        <v>0</v>
      </c>
      <c r="Z186" s="76">
        <f>+IF(AND(Z$180&gt;=Assumptions!$H$22,Z$180&lt;Assumptions!$H$24),'S&amp;U'!$J12/ROUNDUP(Assumptions!$H$23/12,0),IF(AND(Z$180&gt;=Assumptions!$H$24,Z$180&lt;Assumptions!$H$26),'S&amp;U'!$J44/ROUNDUP(Assumptions!$H$25/12,0),0))</f>
        <v>0</v>
      </c>
    </row>
    <row r="187" spans="2:26" ht="15.75">
      <c r="B187" s="15" t="s">
        <v>351</v>
      </c>
      <c r="D187" s="26">
        <f t="shared" ca="1" si="72"/>
        <v>11196868.616116071</v>
      </c>
      <c r="E187" s="26"/>
      <c r="F187" s="76">
        <f ca="1">+IF(AND(F$180&gt;=Assumptions!$H$22,F$180&lt;Assumptions!$H$24),'S&amp;U'!$J13/ROUNDUP(Assumptions!$H$23/12,0),IF(AND(F$180&gt;=Assumptions!$H$24,F$180&lt;Assumptions!$H$28),'S&amp;U'!$J45/ROUNDUP((Assumptions!$H$25+Assumptions!$H$27)/12,0),0))</f>
        <v>0</v>
      </c>
      <c r="G187" s="76">
        <f ca="1">+IF(AND(G$180&gt;=Assumptions!$H$22,G$180&lt;Assumptions!$H$24),'S&amp;U'!$J13/ROUNDUP(Assumptions!$H$23/12,0),IF(AND(G$180&gt;=Assumptions!$H$24,G$180&lt;Assumptions!$H$28),'S&amp;U'!$J45/ROUNDUP((Assumptions!$H$25+Assumptions!$H$27)/12,0),0))</f>
        <v>2799217.1540290178</v>
      </c>
      <c r="H187" s="76">
        <f ca="1">+IF(AND(H$180&gt;=Assumptions!$H$22,H$180&lt;Assumptions!$H$24),'S&amp;U'!$J13/ROUNDUP(Assumptions!$H$23/12,0),IF(AND(H$180&gt;=Assumptions!$H$24,H$180&lt;Assumptions!$H$28),'S&amp;U'!$J45/ROUNDUP((Assumptions!$H$25+Assumptions!$H$27)/12,0),0))</f>
        <v>2799217.1540290178</v>
      </c>
      <c r="I187" s="76">
        <f ca="1">+IF(AND(I$180&gt;=Assumptions!$H$22,I$180&lt;Assumptions!$H$24),'S&amp;U'!$J13/ROUNDUP(Assumptions!$H$23/12,0),IF(AND(I$180&gt;=Assumptions!$H$24,I$180&lt;Assumptions!$H$28),'S&amp;U'!$J45/ROUNDUP((Assumptions!$H$25+Assumptions!$H$27)/12,0),0))</f>
        <v>2799217.1540290178</v>
      </c>
      <c r="J187" s="76">
        <f ca="1">+IF(AND(J$180&gt;=Assumptions!$H$22,J$180&lt;Assumptions!$H$24),'S&amp;U'!$J13/ROUNDUP(Assumptions!$H$23/12,0),IF(AND(J$180&gt;=Assumptions!$H$24,J$180&lt;Assumptions!$H$28),'S&amp;U'!$J45/ROUNDUP((Assumptions!$H$25+Assumptions!$H$27)/12,0),0))</f>
        <v>2799217.1540290178</v>
      </c>
      <c r="K187" s="76">
        <f>+IF(AND(K$180&gt;=Assumptions!$H$22,K$180&lt;Assumptions!$H$24),'S&amp;U'!$J13/ROUNDUP(Assumptions!$H$23/12,0),IF(AND(K$180&gt;=Assumptions!$H$24,K$180&lt;Assumptions!$H$28),'S&amp;U'!$J45/ROUNDUP((Assumptions!$H$25+Assumptions!$H$27)/12,0),0))</f>
        <v>0</v>
      </c>
      <c r="L187" s="76">
        <f>+IF(AND(L$180&gt;=Assumptions!$H$22,L$180&lt;Assumptions!$H$24),'S&amp;U'!$J13/ROUNDUP(Assumptions!$H$23/12,0),IF(AND(L$180&gt;=Assumptions!$H$24,L$180&lt;Assumptions!$H$28),'S&amp;U'!$J45/ROUNDUP((Assumptions!$H$25+Assumptions!$H$27)/12,0),0))</f>
        <v>0</v>
      </c>
      <c r="M187" s="76">
        <f>+IF(AND(M$180&gt;=Assumptions!$H$22,M$180&lt;Assumptions!$H$24),'S&amp;U'!$J13/ROUNDUP(Assumptions!$H$23/12,0),IF(AND(M$180&gt;=Assumptions!$H$24,M$180&lt;Assumptions!$H$28),'S&amp;U'!$J45/ROUNDUP((Assumptions!$H$25+Assumptions!$H$27)/12,0),0))</f>
        <v>0</v>
      </c>
      <c r="N187" s="76">
        <f>+IF(AND(N$180&gt;=Assumptions!$H$22,N$180&lt;Assumptions!$H$24),'S&amp;U'!$J13/ROUNDUP(Assumptions!$H$23/12,0),IF(AND(N$180&gt;=Assumptions!$H$24,N$180&lt;Assumptions!$H$28),'S&amp;U'!$J45/ROUNDUP((Assumptions!$H$25+Assumptions!$H$27)/12,0),0))</f>
        <v>0</v>
      </c>
      <c r="O187" s="76">
        <f>+IF(AND(O$180&gt;=Assumptions!$H$22,O$180&lt;Assumptions!$H$24),'S&amp;U'!$J13/ROUNDUP(Assumptions!$H$23/12,0),IF(AND(O$180&gt;=Assumptions!$H$24,O$180&lt;Assumptions!$H$28),'S&amp;U'!$J45/ROUNDUP((Assumptions!$H$25+Assumptions!$H$27)/12,0),0))</f>
        <v>0</v>
      </c>
      <c r="P187" s="76">
        <f>+IF(AND(P$180&gt;=Assumptions!$H$22,P$180&lt;Assumptions!$H$24),'S&amp;U'!$J13/ROUNDUP(Assumptions!$H$23/12,0),IF(AND(P$180&gt;=Assumptions!$H$24,P$180&lt;Assumptions!$H$28),'S&amp;U'!$J45/ROUNDUP((Assumptions!$H$25+Assumptions!$H$27)/12,0),0))</f>
        <v>0</v>
      </c>
      <c r="Q187" s="76">
        <f>+IF(AND(Q$180&gt;=Assumptions!$H$22,Q$180&lt;Assumptions!$H$24),'S&amp;U'!$J13/ROUNDUP(Assumptions!$H$23/12,0),IF(AND(Q$180&gt;=Assumptions!$H$24,Q$180&lt;Assumptions!$H$28),'S&amp;U'!$J45/ROUNDUP((Assumptions!$H$25+Assumptions!$H$27)/12,0),0))</f>
        <v>0</v>
      </c>
      <c r="R187" s="76">
        <f>+IF(AND(R$180&gt;=Assumptions!$H$22,R$180&lt;Assumptions!$H$24),'S&amp;U'!$J13/ROUNDUP(Assumptions!$H$23/12,0),IF(AND(R$180&gt;=Assumptions!$H$24,R$180&lt;Assumptions!$H$28),'S&amp;U'!$J45/ROUNDUP((Assumptions!$H$25+Assumptions!$H$27)/12,0),0))</f>
        <v>0</v>
      </c>
      <c r="S187" s="76">
        <f>+IF(AND(S$180&gt;=Assumptions!$H$22,S$180&lt;Assumptions!$H$24),'S&amp;U'!$J13/ROUNDUP(Assumptions!$H$23/12,0),IF(AND(S$180&gt;=Assumptions!$H$24,S$180&lt;Assumptions!$H$28),'S&amp;U'!$J45/ROUNDUP((Assumptions!$H$25+Assumptions!$H$27)/12,0),0))</f>
        <v>0</v>
      </c>
      <c r="T187" s="76">
        <f>+IF(AND(T$180&gt;=Assumptions!$H$22,T$180&lt;Assumptions!$H$24),'S&amp;U'!$J13/ROUNDUP(Assumptions!$H$23/12,0),IF(AND(T$180&gt;=Assumptions!$H$24,T$180&lt;Assumptions!$H$28),'S&amp;U'!$J45/ROUNDUP((Assumptions!$H$25+Assumptions!$H$27)/12,0),0))</f>
        <v>0</v>
      </c>
      <c r="U187" s="76">
        <f>+IF(AND(U$180&gt;=Assumptions!$H$22,U$180&lt;Assumptions!$H$24),'S&amp;U'!$J13/ROUNDUP(Assumptions!$H$23/12,0),IF(AND(U$180&gt;=Assumptions!$H$24,U$180&lt;Assumptions!$H$28),'S&amp;U'!$J45/ROUNDUP((Assumptions!$H$25+Assumptions!$H$27)/12,0),0))</f>
        <v>0</v>
      </c>
      <c r="V187" s="76">
        <f>+IF(AND(V$180&gt;=Assumptions!$H$22,V$180&lt;Assumptions!$H$24),'S&amp;U'!$J13/ROUNDUP(Assumptions!$H$23/12,0),IF(AND(V$180&gt;=Assumptions!$H$24,V$180&lt;Assumptions!$H$28),'S&amp;U'!$J45/ROUNDUP((Assumptions!$H$25+Assumptions!$H$27)/12,0),0))</f>
        <v>0</v>
      </c>
      <c r="W187" s="76">
        <f>+IF(AND(W$180&gt;=Assumptions!$H$22,W$180&lt;Assumptions!$H$24),'S&amp;U'!$J13/ROUNDUP(Assumptions!$H$23/12,0),IF(AND(W$180&gt;=Assumptions!$H$24,W$180&lt;Assumptions!$H$28),'S&amp;U'!$J45/ROUNDUP((Assumptions!$H$25+Assumptions!$H$27)/12,0),0))</f>
        <v>0</v>
      </c>
      <c r="X187" s="76">
        <f>+IF(AND(X$180&gt;=Assumptions!$H$22,X$180&lt;Assumptions!$H$24),'S&amp;U'!$J13/ROUNDUP(Assumptions!$H$23/12,0),IF(AND(X$180&gt;=Assumptions!$H$24,X$180&lt;Assumptions!$H$28),'S&amp;U'!$J45/ROUNDUP((Assumptions!$H$25+Assumptions!$H$27)/12,0),0))</f>
        <v>0</v>
      </c>
      <c r="Y187" s="76">
        <f>+IF(AND(Y$180&gt;=Assumptions!$H$22,Y$180&lt;Assumptions!$H$24),'S&amp;U'!$J13/ROUNDUP(Assumptions!$H$23/12,0),IF(AND(Y$180&gt;=Assumptions!$H$24,Y$180&lt;Assumptions!$H$28),'S&amp;U'!$J45/ROUNDUP((Assumptions!$H$25+Assumptions!$H$27)/12,0),0))</f>
        <v>0</v>
      </c>
      <c r="Z187" s="76">
        <f>+IF(AND(Z$180&gt;=Assumptions!$H$22,Z$180&lt;Assumptions!$H$24),'S&amp;U'!$J13/ROUNDUP(Assumptions!$H$23/12,0),IF(AND(Z$180&gt;=Assumptions!$H$24,Z$180&lt;Assumptions!$H$28),'S&amp;U'!$J45/ROUNDUP((Assumptions!$H$25+Assumptions!$H$27)/12,0),0))</f>
        <v>0</v>
      </c>
    </row>
    <row r="188" spans="2:26" ht="15.75">
      <c r="B188" s="687" t="s">
        <v>662</v>
      </c>
      <c r="C188" s="687"/>
      <c r="D188" s="550">
        <f ca="1">+SUM(F188:Z188)</f>
        <v>628652364.00710225</v>
      </c>
      <c r="E188" s="550"/>
      <c r="F188" s="550">
        <f ca="1">+SUM(F181:F187)</f>
        <v>10553935.87661525</v>
      </c>
      <c r="G188" s="550">
        <f ca="1">+SUM(G181:G187)</f>
        <v>484359847.30192858</v>
      </c>
      <c r="H188" s="550">
        <f ca="1">+SUM(H181:H187)</f>
        <v>128140146.52050039</v>
      </c>
      <c r="I188" s="550">
        <f t="shared" ref="I188:Z188" ca="1" si="73">+SUM(I181:I187)</f>
        <v>2799217.1540290178</v>
      </c>
      <c r="J188" s="550">
        <f t="shared" ca="1" si="73"/>
        <v>2799217.1540290178</v>
      </c>
      <c r="K188" s="550">
        <f t="shared" si="73"/>
        <v>0</v>
      </c>
      <c r="L188" s="550">
        <f t="shared" si="73"/>
        <v>0</v>
      </c>
      <c r="M188" s="550">
        <f t="shared" si="73"/>
        <v>0</v>
      </c>
      <c r="N188" s="550">
        <f t="shared" si="73"/>
        <v>0</v>
      </c>
      <c r="O188" s="550">
        <f t="shared" si="73"/>
        <v>0</v>
      </c>
      <c r="P188" s="550">
        <f t="shared" si="73"/>
        <v>0</v>
      </c>
      <c r="Q188" s="550">
        <f t="shared" si="73"/>
        <v>0</v>
      </c>
      <c r="R188" s="550">
        <f t="shared" si="73"/>
        <v>0</v>
      </c>
      <c r="S188" s="550">
        <f t="shared" si="73"/>
        <v>0</v>
      </c>
      <c r="T188" s="550">
        <f t="shared" si="73"/>
        <v>0</v>
      </c>
      <c r="U188" s="550">
        <f t="shared" si="73"/>
        <v>0</v>
      </c>
      <c r="V188" s="550">
        <f t="shared" si="73"/>
        <v>0</v>
      </c>
      <c r="W188" s="550">
        <f t="shared" si="73"/>
        <v>0</v>
      </c>
      <c r="X188" s="550">
        <f t="shared" si="73"/>
        <v>0</v>
      </c>
      <c r="Y188" s="550">
        <f t="shared" si="73"/>
        <v>0</v>
      </c>
      <c r="Z188" s="550">
        <f t="shared" si="73"/>
        <v>0</v>
      </c>
    </row>
    <row r="190" spans="2:26" ht="15.75">
      <c r="B190" s="73" t="s">
        <v>663</v>
      </c>
      <c r="F190" s="75">
        <f>+Assumptions!$H$22</f>
        <v>45657</v>
      </c>
      <c r="G190" s="75">
        <f>+EOMONTH(F190,12)</f>
        <v>46022</v>
      </c>
      <c r="H190" s="75">
        <f t="shared" ref="H190:Z190" si="74">+EOMONTH(G190,12)</f>
        <v>46387</v>
      </c>
      <c r="I190" s="75">
        <f t="shared" si="74"/>
        <v>46752</v>
      </c>
      <c r="J190" s="75">
        <f t="shared" si="74"/>
        <v>47118</v>
      </c>
      <c r="K190" s="75">
        <f t="shared" si="74"/>
        <v>47483</v>
      </c>
      <c r="L190" s="75">
        <f t="shared" si="74"/>
        <v>47848</v>
      </c>
      <c r="M190" s="75">
        <f t="shared" si="74"/>
        <v>48213</v>
      </c>
      <c r="N190" s="75">
        <f t="shared" si="74"/>
        <v>48579</v>
      </c>
      <c r="O190" s="75">
        <f t="shared" si="74"/>
        <v>48944</v>
      </c>
      <c r="P190" s="75">
        <f t="shared" si="74"/>
        <v>49309</v>
      </c>
      <c r="Q190" s="75">
        <f t="shared" si="74"/>
        <v>49674</v>
      </c>
      <c r="R190" s="75">
        <f t="shared" si="74"/>
        <v>50040</v>
      </c>
      <c r="S190" s="75">
        <f t="shared" si="74"/>
        <v>50405</v>
      </c>
      <c r="T190" s="75">
        <f t="shared" si="74"/>
        <v>50770</v>
      </c>
      <c r="U190" s="75">
        <f t="shared" si="74"/>
        <v>51135</v>
      </c>
      <c r="V190" s="75">
        <f t="shared" si="74"/>
        <v>51501</v>
      </c>
      <c r="W190" s="75">
        <f t="shared" si="74"/>
        <v>51866</v>
      </c>
      <c r="X190" s="75">
        <f t="shared" si="74"/>
        <v>52231</v>
      </c>
      <c r="Y190" s="75">
        <f t="shared" si="74"/>
        <v>52596</v>
      </c>
      <c r="Z190" s="75">
        <f t="shared" si="74"/>
        <v>52962</v>
      </c>
    </row>
    <row r="191" spans="2:26" ht="15.75">
      <c r="B191" s="15" t="s">
        <v>664</v>
      </c>
      <c r="D191" s="26">
        <f t="shared" ref="D191" ca="1" si="75">+SUM(F191:Z191)</f>
        <v>76981700.404558539</v>
      </c>
      <c r="E191" s="26"/>
      <c r="F191" s="16">
        <v>76981700</v>
      </c>
      <c r="G191" s="16">
        <v>0</v>
      </c>
      <c r="H191" s="16">
        <v>0</v>
      </c>
      <c r="I191" s="16">
        <f ca="1">+MIN('S&amp;U'!$J23-SUM('Phase III Pro Forma'!$E191:H191),'Phase III Pro Forma'!I$188)</f>
        <v>0</v>
      </c>
      <c r="J191" s="16">
        <f ca="1">+MIN('S&amp;U'!$J23-SUM('Phase III Pro Forma'!$E191:I191),'Phase III Pro Forma'!J$188)</f>
        <v>0</v>
      </c>
      <c r="K191" s="16">
        <v>0</v>
      </c>
      <c r="L191" s="16">
        <f ca="1">+MIN('S&amp;U'!$J23-SUM('Phase III Pro Forma'!$E191:K191),'Phase III Pro Forma'!L$188)</f>
        <v>0</v>
      </c>
      <c r="M191" s="16">
        <v>0</v>
      </c>
      <c r="N191" s="16">
        <v>0</v>
      </c>
      <c r="O191" s="16">
        <v>0</v>
      </c>
      <c r="P191" s="16">
        <v>0</v>
      </c>
      <c r="Q191" s="16">
        <v>0</v>
      </c>
      <c r="R191" s="16">
        <v>0</v>
      </c>
      <c r="S191" s="16">
        <f ca="1">+MIN('S&amp;U'!$J23-SUM('Phase III Pro Forma'!$E191:R191),'Phase III Pro Forma'!S$188)</f>
        <v>0</v>
      </c>
      <c r="T191" s="16">
        <v>0</v>
      </c>
      <c r="U191" s="16">
        <v>0</v>
      </c>
      <c r="V191" s="16">
        <f ca="1">+MIN('S&amp;U'!$J23-SUM('Phase III Pro Forma'!$E191:U191),'Phase III Pro Forma'!V$188)</f>
        <v>0</v>
      </c>
      <c r="W191" s="16">
        <f ca="1">+MIN('S&amp;U'!$J23-SUM('Phase III Pro Forma'!$E191:V191),'Phase III Pro Forma'!W$188)</f>
        <v>0</v>
      </c>
      <c r="X191" s="16">
        <f ca="1">+MIN('S&amp;U'!$J23-SUM('Phase III Pro Forma'!$E191:W191),'Phase III Pro Forma'!X$188)</f>
        <v>0</v>
      </c>
      <c r="Y191" s="16">
        <f ca="1">+MIN('S&amp;U'!$J23-SUM('Phase III Pro Forma'!$E191:X191),'Phase III Pro Forma'!Y$188)</f>
        <v>0</v>
      </c>
      <c r="Z191" s="16">
        <f ca="1">+MIN('S&amp;U'!$J23-SUM('Phase III Pro Forma'!$E191:Y191),'Phase III Pro Forma'!Z$188)</f>
        <v>0</v>
      </c>
    </row>
    <row r="192" spans="2:26" ht="15.75">
      <c r="B192" s="15" t="s">
        <v>97</v>
      </c>
      <c r="D192" s="26">
        <v>10000000</v>
      </c>
      <c r="E192" s="26"/>
      <c r="F192" s="76">
        <v>10000000</v>
      </c>
      <c r="G192" s="76">
        <v>10000000</v>
      </c>
      <c r="H192" s="76">
        <v>0</v>
      </c>
      <c r="I192" s="76">
        <v>0</v>
      </c>
      <c r="J192" s="76">
        <v>0</v>
      </c>
      <c r="K192" s="76">
        <v>0</v>
      </c>
      <c r="L192" s="76">
        <v>0</v>
      </c>
      <c r="M192" s="76">
        <v>0</v>
      </c>
      <c r="N192" s="76">
        <v>0</v>
      </c>
      <c r="O192" s="76">
        <v>0</v>
      </c>
      <c r="P192" s="76">
        <v>0</v>
      </c>
      <c r="Q192" s="76">
        <v>0</v>
      </c>
      <c r="R192" s="76">
        <v>0</v>
      </c>
      <c r="S192" s="76">
        <f ca="1">+MIN('S&amp;U'!$J19-SUM('Phase III Pro Forma'!$E192:R192),'Phase III Pro Forma'!S$188-SUM(S$191:S191))</f>
        <v>0</v>
      </c>
      <c r="T192" s="76">
        <v>0</v>
      </c>
      <c r="U192" s="76">
        <v>0</v>
      </c>
      <c r="V192" s="76">
        <v>0</v>
      </c>
      <c r="W192" s="76">
        <f ca="1">+MIN('S&amp;U'!$J19-SUM('Phase III Pro Forma'!$E192:V192),'Phase III Pro Forma'!W$188-SUM(W$191:W191))</f>
        <v>0</v>
      </c>
      <c r="X192" s="76">
        <v>0</v>
      </c>
      <c r="Y192" s="76">
        <f ca="1">+MIN('S&amp;U'!$J19-SUM('Phase III Pro Forma'!$E192:X192),'Phase III Pro Forma'!Y$188-SUM(Y$191:Y191))</f>
        <v>0</v>
      </c>
      <c r="Z192" s="76">
        <v>0</v>
      </c>
    </row>
    <row r="193" spans="2:26" ht="15.75">
      <c r="B193" s="15" t="s">
        <v>392</v>
      </c>
      <c r="D193" s="26">
        <v>5598343</v>
      </c>
      <c r="E193" s="26"/>
      <c r="F193" s="76">
        <v>0</v>
      </c>
      <c r="G193" s="76">
        <v>0</v>
      </c>
      <c r="H193" s="76">
        <v>0</v>
      </c>
      <c r="I193" s="76">
        <v>2799217</v>
      </c>
      <c r="J193" s="76">
        <f ca="1">+MIN('S&amp;U'!$J20-SUM('Phase III Pro Forma'!$E193:I193),'Phase III Pro Forma'!J$188-SUM(J$191:J192))</f>
        <v>2799217.1540290178</v>
      </c>
      <c r="K193" s="76">
        <v>0</v>
      </c>
      <c r="L193" s="76">
        <f ca="1">+MIN('S&amp;U'!$J20-SUM('Phase III Pro Forma'!$E193:K193),'Phase III Pro Forma'!L$188-SUM(L$191:L192))</f>
        <v>0</v>
      </c>
      <c r="M193" s="76">
        <v>0</v>
      </c>
      <c r="N193" s="76">
        <v>0</v>
      </c>
      <c r="O193" s="76">
        <v>0</v>
      </c>
      <c r="P193" s="76">
        <v>0</v>
      </c>
      <c r="Q193" s="76">
        <f ca="1">+MIN('S&amp;U'!$J20-SUM('Phase III Pro Forma'!$E193:P193),'Phase III Pro Forma'!Q$188-SUM(Q$191:Q192))</f>
        <v>0</v>
      </c>
      <c r="R193" s="76">
        <v>0</v>
      </c>
      <c r="S193" s="76">
        <v>0</v>
      </c>
      <c r="T193" s="76">
        <f ca="1">+MIN('S&amp;U'!$J20-SUM('Phase III Pro Forma'!$E193:S193),'Phase III Pro Forma'!T$188-SUM(T$191:T192))</f>
        <v>0</v>
      </c>
      <c r="U193" s="76">
        <v>0</v>
      </c>
      <c r="V193" s="76">
        <f ca="1">+MIN('S&amp;U'!$J20-SUM('Phase III Pro Forma'!$E193:U193),'Phase III Pro Forma'!V$188-SUM(V$191:V192))</f>
        <v>0</v>
      </c>
      <c r="W193" s="76">
        <v>0</v>
      </c>
      <c r="X193" s="76">
        <f ca="1">+MIN('S&amp;U'!$J20-SUM('Phase III Pro Forma'!$E193:W193),'Phase III Pro Forma'!X$188-SUM(X$191:X192))</f>
        <v>0</v>
      </c>
      <c r="Y193" s="76">
        <f ca="1">+MIN('S&amp;U'!$J20-SUM('Phase III Pro Forma'!$E193:X193),'Phase III Pro Forma'!Y$188-SUM(Y$191:Y192))</f>
        <v>0</v>
      </c>
      <c r="Z193" s="76">
        <v>0</v>
      </c>
    </row>
    <row r="194" spans="2:26" ht="15.75">
      <c r="B194" s="15" t="s">
        <v>393</v>
      </c>
      <c r="D194" s="26">
        <v>0</v>
      </c>
      <c r="E194" s="26"/>
      <c r="F194" s="76">
        <v>0</v>
      </c>
      <c r="G194" s="76">
        <v>0</v>
      </c>
      <c r="H194" s="76">
        <v>0</v>
      </c>
      <c r="I194" s="76" t="s">
        <v>464</v>
      </c>
      <c r="J194" s="76">
        <v>0</v>
      </c>
      <c r="K194" s="76">
        <v>0</v>
      </c>
      <c r="L194" s="76">
        <v>0</v>
      </c>
      <c r="M194" s="76">
        <v>0</v>
      </c>
      <c r="N194" s="76">
        <v>0</v>
      </c>
      <c r="O194" s="76">
        <v>0</v>
      </c>
      <c r="P194" s="76">
        <v>0</v>
      </c>
      <c r="Q194" s="76">
        <v>0</v>
      </c>
      <c r="R194" s="76">
        <v>0</v>
      </c>
      <c r="S194" s="76">
        <v>0</v>
      </c>
      <c r="T194" s="76">
        <v>0</v>
      </c>
      <c r="U194" s="76">
        <v>0</v>
      </c>
      <c r="V194" s="76">
        <v>0</v>
      </c>
      <c r="W194" s="76">
        <v>0</v>
      </c>
      <c r="X194" s="76">
        <v>0</v>
      </c>
      <c r="Y194" s="76">
        <v>0</v>
      </c>
      <c r="Z194" s="76">
        <v>0</v>
      </c>
    </row>
    <row r="195" spans="2:26" ht="15.75">
      <c r="B195" s="15" t="s">
        <v>394</v>
      </c>
      <c r="D195" s="26">
        <v>0</v>
      </c>
      <c r="E195" s="26"/>
      <c r="F195" s="76">
        <v>0</v>
      </c>
      <c r="G195" s="76">
        <v>0</v>
      </c>
      <c r="H195" s="76">
        <v>0</v>
      </c>
      <c r="I195" s="76">
        <v>0</v>
      </c>
      <c r="J195" s="76">
        <v>0</v>
      </c>
      <c r="K195" s="76">
        <v>0</v>
      </c>
      <c r="L195" s="76">
        <v>0</v>
      </c>
      <c r="M195" s="76">
        <v>0</v>
      </c>
      <c r="N195" s="76">
        <v>0</v>
      </c>
      <c r="O195" s="76">
        <v>0</v>
      </c>
      <c r="P195" s="76">
        <v>0</v>
      </c>
      <c r="Q195" s="76">
        <v>0</v>
      </c>
      <c r="R195" s="76">
        <v>0</v>
      </c>
      <c r="S195" s="76">
        <v>0</v>
      </c>
      <c r="T195" s="76">
        <v>0</v>
      </c>
      <c r="U195" s="76">
        <v>0</v>
      </c>
      <c r="V195" s="76">
        <v>0</v>
      </c>
      <c r="W195" s="76">
        <v>0</v>
      </c>
      <c r="X195" s="76">
        <v>0</v>
      </c>
      <c r="Y195" s="76">
        <v>0</v>
      </c>
      <c r="Z195" s="76">
        <v>0</v>
      </c>
    </row>
    <row r="196" spans="2:26" ht="15.75">
      <c r="B196" s="15" t="s">
        <v>356</v>
      </c>
      <c r="D196" s="26">
        <v>0</v>
      </c>
      <c r="E196" s="26"/>
      <c r="F196" s="76">
        <v>0</v>
      </c>
      <c r="G196" s="76">
        <v>0</v>
      </c>
      <c r="H196" s="76">
        <v>0</v>
      </c>
      <c r="I196" s="76">
        <v>0</v>
      </c>
      <c r="J196" s="76">
        <v>0</v>
      </c>
      <c r="K196" s="76">
        <v>0</v>
      </c>
      <c r="L196" s="76">
        <v>0</v>
      </c>
      <c r="M196" s="76">
        <v>0</v>
      </c>
      <c r="N196" s="76">
        <v>0</v>
      </c>
      <c r="O196" s="76">
        <v>0</v>
      </c>
      <c r="P196" s="76">
        <v>0</v>
      </c>
      <c r="Q196" s="76">
        <v>0</v>
      </c>
      <c r="R196" s="76">
        <v>0</v>
      </c>
      <c r="S196" s="76">
        <v>0</v>
      </c>
      <c r="T196" s="76">
        <v>0</v>
      </c>
      <c r="U196" s="76">
        <v>0</v>
      </c>
      <c r="V196" s="76">
        <v>0</v>
      </c>
      <c r="W196" s="76">
        <v>0</v>
      </c>
      <c r="X196" s="76">
        <v>0</v>
      </c>
      <c r="Y196" s="76">
        <v>0</v>
      </c>
      <c r="Z196" s="76">
        <v>0</v>
      </c>
    </row>
    <row r="197" spans="2:26" ht="15.75">
      <c r="B197" s="15" t="s">
        <v>791</v>
      </c>
      <c r="D197" s="26">
        <v>350000</v>
      </c>
      <c r="E197" s="26"/>
      <c r="F197" s="76">
        <v>0</v>
      </c>
      <c r="G197" s="76">
        <v>0</v>
      </c>
      <c r="H197" s="76">
        <v>0</v>
      </c>
      <c r="I197" s="76">
        <v>0</v>
      </c>
      <c r="J197" s="76">
        <v>0</v>
      </c>
      <c r="K197" s="76">
        <v>0</v>
      </c>
      <c r="L197" s="76">
        <v>0</v>
      </c>
      <c r="M197" s="76">
        <v>0</v>
      </c>
      <c r="N197" s="76">
        <v>0</v>
      </c>
      <c r="O197" s="76">
        <v>0</v>
      </c>
      <c r="P197" s="76">
        <v>0</v>
      </c>
      <c r="Q197" s="76">
        <v>0</v>
      </c>
      <c r="R197" s="76">
        <v>0</v>
      </c>
      <c r="S197" s="76">
        <v>0</v>
      </c>
      <c r="T197" s="76">
        <v>0</v>
      </c>
      <c r="U197" s="76">
        <v>0</v>
      </c>
      <c r="V197" s="76">
        <v>0</v>
      </c>
      <c r="W197" s="76">
        <v>0</v>
      </c>
      <c r="X197" s="76">
        <v>0</v>
      </c>
      <c r="Y197" s="76">
        <v>0</v>
      </c>
      <c r="Z197" s="76">
        <v>0</v>
      </c>
    </row>
    <row r="198" spans="2:26" ht="15.75">
      <c r="B198" s="687" t="s">
        <v>665</v>
      </c>
      <c r="C198" s="687"/>
      <c r="D198" s="550">
        <f ca="1">+SUM(F198:Z198)</f>
        <v>102580134.15402901</v>
      </c>
      <c r="E198" s="550"/>
      <c r="F198" s="550">
        <f>+SUM(F191:F197)</f>
        <v>86981700</v>
      </c>
      <c r="G198" s="550">
        <f>+SUM(G191:G197)</f>
        <v>10000000</v>
      </c>
      <c r="H198" s="550">
        <v>0</v>
      </c>
      <c r="I198" s="550">
        <f>I193</f>
        <v>2799217</v>
      </c>
      <c r="J198" s="550">
        <f ca="1">J193</f>
        <v>2799217.1540290178</v>
      </c>
      <c r="K198" s="550">
        <v>0</v>
      </c>
      <c r="L198" s="550">
        <v>0</v>
      </c>
      <c r="M198" s="550">
        <v>0</v>
      </c>
      <c r="N198" s="550">
        <v>0</v>
      </c>
      <c r="O198" s="550">
        <v>0</v>
      </c>
      <c r="P198" s="550">
        <v>0</v>
      </c>
      <c r="Q198" s="550">
        <v>0</v>
      </c>
      <c r="R198" s="550">
        <v>0</v>
      </c>
      <c r="S198" s="550">
        <v>0</v>
      </c>
      <c r="T198" s="550">
        <v>0</v>
      </c>
      <c r="U198" s="550">
        <v>0</v>
      </c>
      <c r="V198" s="550">
        <v>0</v>
      </c>
      <c r="W198" s="550">
        <v>0</v>
      </c>
      <c r="X198" s="550">
        <v>0</v>
      </c>
      <c r="Y198" s="550">
        <v>0</v>
      </c>
      <c r="Z198" s="550">
        <v>0</v>
      </c>
    </row>
    <row r="199" spans="2:26">
      <c r="P199" s="21">
        <v>0</v>
      </c>
      <c r="V199" s="21">
        <v>0</v>
      </c>
      <c r="W199" s="21">
        <v>0</v>
      </c>
    </row>
    <row r="200" spans="2:26" ht="15.75">
      <c r="B200" s="15" t="s">
        <v>666</v>
      </c>
      <c r="D200" s="26">
        <f ca="1">+SUM(F200:Z200)</f>
        <v>25598434.154029019</v>
      </c>
      <c r="F200" s="22">
        <f ca="1">F192+I193+J193</f>
        <v>15598434.154029017</v>
      </c>
      <c r="G200" s="22">
        <f>G198</f>
        <v>10000000</v>
      </c>
      <c r="H200" s="22">
        <v>0</v>
      </c>
      <c r="I200" s="22">
        <v>0</v>
      </c>
      <c r="J200" s="22">
        <v>0</v>
      </c>
      <c r="K200" s="22">
        <v>0</v>
      </c>
      <c r="L200" s="22">
        <v>0</v>
      </c>
      <c r="M200" s="22">
        <v>0</v>
      </c>
      <c r="N200" s="22">
        <v>0</v>
      </c>
      <c r="O200" s="22">
        <v>0</v>
      </c>
      <c r="P200" s="22">
        <v>0</v>
      </c>
      <c r="Q200" s="22">
        <v>0</v>
      </c>
      <c r="R200" s="22">
        <v>0</v>
      </c>
      <c r="S200" s="22">
        <v>0</v>
      </c>
      <c r="T200" s="22">
        <v>0</v>
      </c>
      <c r="U200" s="22">
        <v>0</v>
      </c>
      <c r="V200" s="22">
        <v>0</v>
      </c>
      <c r="W200" s="22">
        <v>0</v>
      </c>
      <c r="X200" s="22">
        <v>0</v>
      </c>
      <c r="Y200" s="22">
        <v>0</v>
      </c>
      <c r="Z200" s="22">
        <v>0</v>
      </c>
    </row>
    <row r="201" spans="2:26">
      <c r="M201" s="21">
        <v>0</v>
      </c>
    </row>
    <row r="202" spans="2:26" ht="15.75">
      <c r="B202" s="73" t="s">
        <v>667</v>
      </c>
      <c r="K202" s="21">
        <v>0</v>
      </c>
    </row>
    <row r="203" spans="2:26" ht="15.75">
      <c r="B203" s="15" t="s">
        <v>668</v>
      </c>
      <c r="D203" s="26">
        <f ca="1">+SUM(F203:Z203)</f>
        <v>-76981700.404558539</v>
      </c>
      <c r="E203" s="26"/>
      <c r="F203" s="16">
        <f t="shared" ref="F203:Z203" si="76">-F191</f>
        <v>-76981700</v>
      </c>
      <c r="G203" s="16">
        <f t="shared" si="76"/>
        <v>0</v>
      </c>
      <c r="H203" s="16">
        <v>0</v>
      </c>
      <c r="I203" s="16">
        <f t="shared" ca="1" si="76"/>
        <v>0</v>
      </c>
      <c r="J203" s="16">
        <f t="shared" ca="1" si="76"/>
        <v>0</v>
      </c>
      <c r="K203" s="16">
        <v>0</v>
      </c>
      <c r="L203" s="16">
        <f t="shared" ca="1" si="76"/>
        <v>0</v>
      </c>
      <c r="M203" s="16">
        <v>0</v>
      </c>
      <c r="N203" s="16">
        <v>0</v>
      </c>
      <c r="O203" s="16">
        <v>0</v>
      </c>
      <c r="P203" s="16">
        <f t="shared" si="76"/>
        <v>0</v>
      </c>
      <c r="Q203" s="16">
        <v>0</v>
      </c>
      <c r="R203" s="16">
        <v>0</v>
      </c>
      <c r="S203" s="16">
        <f t="shared" ca="1" si="76"/>
        <v>0</v>
      </c>
      <c r="T203" s="16">
        <v>0</v>
      </c>
      <c r="U203" s="16">
        <v>0</v>
      </c>
      <c r="V203" s="16">
        <f t="shared" ca="1" si="76"/>
        <v>0</v>
      </c>
      <c r="W203" s="16">
        <f t="shared" ca="1" si="76"/>
        <v>0</v>
      </c>
      <c r="X203" s="16">
        <f t="shared" ca="1" si="76"/>
        <v>0</v>
      </c>
      <c r="Y203" s="16">
        <f t="shared" ca="1" si="76"/>
        <v>0</v>
      </c>
      <c r="Z203" s="16">
        <f t="shared" ca="1" si="76"/>
        <v>0</v>
      </c>
    </row>
    <row r="204" spans="2:26" ht="15.75">
      <c r="B204" s="15" t="s">
        <v>669</v>
      </c>
      <c r="D204" s="26">
        <f ca="1">+SUM(F204:Z204)</f>
        <v>233119258.51407295</v>
      </c>
      <c r="E204" s="26"/>
      <c r="F204" s="76">
        <v>0</v>
      </c>
      <c r="G204" s="76"/>
      <c r="H204" s="76">
        <f t="shared" ref="H204:K204" si="77">+H173</f>
        <v>0</v>
      </c>
      <c r="I204" s="76">
        <f t="shared" ca="1" si="77"/>
        <v>36663039.119011164</v>
      </c>
      <c r="J204" s="76">
        <f t="shared" si="77"/>
        <v>2523493.4673668575</v>
      </c>
      <c r="K204" s="76">
        <f t="shared" si="77"/>
        <v>2873461.9276949186</v>
      </c>
      <c r="L204" s="76">
        <v>191059264</v>
      </c>
      <c r="M204" s="76">
        <v>0</v>
      </c>
      <c r="N204" s="76">
        <v>0</v>
      </c>
      <c r="O204" s="76">
        <v>0</v>
      </c>
      <c r="P204" s="76">
        <v>0</v>
      </c>
      <c r="Q204" s="76">
        <v>0</v>
      </c>
      <c r="R204" s="76">
        <v>0</v>
      </c>
      <c r="S204" s="76">
        <v>0</v>
      </c>
      <c r="T204" s="76">
        <v>0</v>
      </c>
      <c r="U204" s="76">
        <v>0</v>
      </c>
      <c r="V204" s="76">
        <v>0</v>
      </c>
      <c r="W204" s="76">
        <v>0</v>
      </c>
      <c r="X204" s="76">
        <v>0</v>
      </c>
      <c r="Y204" s="76">
        <v>0</v>
      </c>
      <c r="Z204" s="76">
        <v>0</v>
      </c>
    </row>
    <row r="205" spans="2:26" ht="15.75">
      <c r="B205" s="687" t="s">
        <v>670</v>
      </c>
      <c r="C205" s="687"/>
      <c r="D205" s="550">
        <f ca="1">+SUM(F205:Z205)</f>
        <v>158777771.86143625</v>
      </c>
      <c r="E205" s="550"/>
      <c r="F205" s="550">
        <f>+SUM(F203:F204)</f>
        <v>-76981700</v>
      </c>
      <c r="G205" s="550">
        <f>+SUM(G203:G204)</f>
        <v>0</v>
      </c>
      <c r="H205" s="550">
        <f t="shared" ref="H205:Z205" si="78">+SUM(H203:H204)</f>
        <v>0</v>
      </c>
      <c r="I205" s="550">
        <f t="shared" ca="1" si="78"/>
        <v>36663039.119011164</v>
      </c>
      <c r="J205" s="550">
        <f t="shared" ca="1" si="78"/>
        <v>5163707.0895398315</v>
      </c>
      <c r="K205" s="550">
        <f>K204</f>
        <v>2873461.9276949186</v>
      </c>
      <c r="L205" s="550">
        <f t="shared" ca="1" si="78"/>
        <v>191059263.72519034</v>
      </c>
      <c r="M205" s="550">
        <v>0</v>
      </c>
      <c r="N205" s="550">
        <f t="shared" si="78"/>
        <v>0</v>
      </c>
      <c r="O205" s="550">
        <f t="shared" si="78"/>
        <v>0</v>
      </c>
      <c r="P205" s="550">
        <f t="shared" si="78"/>
        <v>0</v>
      </c>
      <c r="Q205" s="550">
        <f t="shared" si="78"/>
        <v>0</v>
      </c>
      <c r="R205" s="550">
        <f t="shared" si="78"/>
        <v>0</v>
      </c>
      <c r="S205" s="550">
        <f t="shared" ca="1" si="78"/>
        <v>0</v>
      </c>
      <c r="T205" s="550">
        <f t="shared" si="78"/>
        <v>0</v>
      </c>
      <c r="U205" s="550">
        <f t="shared" si="78"/>
        <v>0</v>
      </c>
      <c r="V205" s="550">
        <f t="shared" ca="1" si="78"/>
        <v>0</v>
      </c>
      <c r="W205" s="550">
        <f t="shared" ca="1" si="78"/>
        <v>0</v>
      </c>
      <c r="X205" s="550">
        <f t="shared" ca="1" si="78"/>
        <v>0</v>
      </c>
      <c r="Y205" s="550">
        <f t="shared" ca="1" si="78"/>
        <v>0</v>
      </c>
      <c r="Z205" s="550">
        <f t="shared" ca="1" si="78"/>
        <v>0</v>
      </c>
    </row>
    <row r="207" spans="2:26" ht="15.75">
      <c r="B207" s="706" t="s">
        <v>110</v>
      </c>
      <c r="C207" s="706"/>
      <c r="D207" s="707">
        <f ca="1">+IRR(F205:Z205)</f>
        <v>0.23359811410389453</v>
      </c>
    </row>
    <row r="208" spans="2:26" ht="15.75">
      <c r="B208" s="689" t="s">
        <v>671</v>
      </c>
      <c r="C208" s="533"/>
      <c r="D208" s="692">
        <f ca="1">+SUM(F205:Z205)</f>
        <v>158777771.86143625</v>
      </c>
    </row>
    <row r="209" spans="2:26" ht="15.75">
      <c r="B209" s="708" t="s">
        <v>120</v>
      </c>
      <c r="C209" s="536"/>
      <c r="D209" s="709">
        <f ca="1">+D204/-D203</f>
        <v>3.0959629373556088</v>
      </c>
    </row>
    <row r="211" spans="2:26" ht="15.75">
      <c r="B211" s="444" t="s">
        <v>672</v>
      </c>
      <c r="C211" s="445"/>
      <c r="D211" s="445"/>
      <c r="E211" s="445"/>
      <c r="F211" s="640"/>
      <c r="G211" s="640"/>
      <c r="H211" s="640"/>
      <c r="I211" s="640"/>
      <c r="J211" s="640"/>
      <c r="K211" s="640"/>
      <c r="L211" s="640"/>
      <c r="M211" s="640"/>
      <c r="N211" s="640"/>
      <c r="O211" s="640"/>
      <c r="P211" s="640"/>
      <c r="Q211" s="640"/>
      <c r="R211" s="640"/>
      <c r="S211" s="640"/>
      <c r="T211" s="640"/>
      <c r="U211" s="640"/>
      <c r="V211" s="640"/>
      <c r="W211" s="640"/>
      <c r="X211" s="640"/>
      <c r="Y211" s="640"/>
      <c r="Z211" s="640"/>
    </row>
    <row r="213" spans="2:26" ht="15.75">
      <c r="B213" s="73" t="s">
        <v>618</v>
      </c>
      <c r="F213" s="75">
        <f>+F$190</f>
        <v>45657</v>
      </c>
      <c r="G213" s="75">
        <f t="shared" ref="G213:Z213" si="79">+G$190</f>
        <v>46022</v>
      </c>
      <c r="H213" s="75">
        <f t="shared" si="79"/>
        <v>46387</v>
      </c>
      <c r="I213" s="75">
        <f t="shared" si="79"/>
        <v>46752</v>
      </c>
      <c r="J213" s="75">
        <f t="shared" si="79"/>
        <v>47118</v>
      </c>
      <c r="K213" s="75">
        <f t="shared" si="79"/>
        <v>47483</v>
      </c>
      <c r="L213" s="75">
        <f t="shared" si="79"/>
        <v>47848</v>
      </c>
      <c r="M213" s="75">
        <f t="shared" si="79"/>
        <v>48213</v>
      </c>
      <c r="N213" s="75">
        <f t="shared" si="79"/>
        <v>48579</v>
      </c>
      <c r="O213" s="75">
        <f t="shared" si="79"/>
        <v>48944</v>
      </c>
      <c r="P213" s="75">
        <f t="shared" si="79"/>
        <v>49309</v>
      </c>
      <c r="Q213" s="75">
        <f t="shared" si="79"/>
        <v>49674</v>
      </c>
      <c r="R213" s="75">
        <f t="shared" si="79"/>
        <v>50040</v>
      </c>
      <c r="S213" s="75">
        <f t="shared" si="79"/>
        <v>50405</v>
      </c>
      <c r="T213" s="75">
        <f t="shared" si="79"/>
        <v>50770</v>
      </c>
      <c r="U213" s="75">
        <f t="shared" si="79"/>
        <v>51135</v>
      </c>
      <c r="V213" s="75">
        <f t="shared" si="79"/>
        <v>51501</v>
      </c>
      <c r="W213" s="75">
        <f t="shared" si="79"/>
        <v>51866</v>
      </c>
      <c r="X213" s="75">
        <f t="shared" si="79"/>
        <v>52231</v>
      </c>
      <c r="Y213" s="75">
        <f t="shared" si="79"/>
        <v>52596</v>
      </c>
      <c r="Z213" s="75">
        <f t="shared" si="79"/>
        <v>52962</v>
      </c>
    </row>
    <row r="214" spans="2:26">
      <c r="B214" s="15" t="s">
        <v>604</v>
      </c>
      <c r="C214"/>
      <c r="D214"/>
      <c r="E214"/>
      <c r="F214" s="16">
        <v>0</v>
      </c>
      <c r="G214" s="16">
        <v>0</v>
      </c>
      <c r="H214" s="16">
        <f t="shared" ref="H214:Z214" si="80">+H$138</f>
        <v>0</v>
      </c>
      <c r="I214" s="16">
        <f t="shared" si="80"/>
        <v>6713283.6074656695</v>
      </c>
      <c r="J214" s="16">
        <f t="shared" si="80"/>
        <v>14017341.178146504</v>
      </c>
      <c r="K214" s="16">
        <f t="shared" si="80"/>
        <v>14367309.638474565</v>
      </c>
      <c r="L214" s="16">
        <f t="shared" si="80"/>
        <v>14979796.816731973</v>
      </c>
      <c r="M214" s="16">
        <f t="shared" si="80"/>
        <v>15351646.067124832</v>
      </c>
      <c r="N214" s="16">
        <f t="shared" si="80"/>
        <v>15734938.915199425</v>
      </c>
      <c r="O214" s="16">
        <f t="shared" si="80"/>
        <v>16130024.431289595</v>
      </c>
      <c r="P214" s="16">
        <f t="shared" si="80"/>
        <v>16537262.273087282</v>
      </c>
      <c r="Q214" s="16">
        <f t="shared" si="80"/>
        <v>17233940.010775801</v>
      </c>
      <c r="R214" s="16">
        <f t="shared" si="80"/>
        <v>17666605.435769044</v>
      </c>
      <c r="S214" s="16">
        <f t="shared" si="80"/>
        <v>18112568.931460731</v>
      </c>
      <c r="T214" s="16">
        <f t="shared" si="80"/>
        <v>18572235.802130796</v>
      </c>
      <c r="U214" s="16">
        <f t="shared" si="80"/>
        <v>19046023.638430733</v>
      </c>
      <c r="V214" s="16">
        <f t="shared" si="80"/>
        <v>19838971.394247998</v>
      </c>
      <c r="W214" s="16">
        <f t="shared" si="80"/>
        <v>20342304.946113538</v>
      </c>
      <c r="X214" s="16">
        <f t="shared" si="80"/>
        <v>20861089.721414503</v>
      </c>
      <c r="Y214" s="16">
        <f t="shared" si="80"/>
        <v>21395796.281191532</v>
      </c>
      <c r="Z214" s="16">
        <f t="shared" si="80"/>
        <v>21946909.443803247</v>
      </c>
    </row>
    <row r="215" spans="2:26">
      <c r="B215" s="15" t="s">
        <v>639</v>
      </c>
      <c r="C215"/>
      <c r="D215"/>
      <c r="E215"/>
      <c r="F215" s="76">
        <v>0</v>
      </c>
      <c r="G215" s="76">
        <v>0</v>
      </c>
      <c r="H215" s="76">
        <v>0</v>
      </c>
      <c r="I215" s="76">
        <v>0</v>
      </c>
      <c r="J215" s="76">
        <v>0</v>
      </c>
      <c r="K215" s="76">
        <v>0</v>
      </c>
      <c r="L215" s="76">
        <v>0</v>
      </c>
      <c r="M215" s="76">
        <v>0</v>
      </c>
      <c r="N215" s="76">
        <v>0</v>
      </c>
      <c r="O215" s="76">
        <v>0</v>
      </c>
      <c r="P215" s="76">
        <v>0</v>
      </c>
      <c r="Q215" s="76">
        <v>0</v>
      </c>
      <c r="R215" s="76">
        <v>0</v>
      </c>
      <c r="S215" s="76">
        <v>0</v>
      </c>
      <c r="T215" s="76">
        <v>0</v>
      </c>
      <c r="U215" s="76">
        <v>0</v>
      </c>
      <c r="V215" s="76">
        <v>0</v>
      </c>
      <c r="W215" s="76">
        <v>0</v>
      </c>
      <c r="X215" s="76">
        <v>0</v>
      </c>
      <c r="Y215" s="76">
        <v>0</v>
      </c>
      <c r="Z215" s="76">
        <v>0</v>
      </c>
    </row>
    <row r="216" spans="2:26">
      <c r="B216" s="15" t="s">
        <v>655</v>
      </c>
      <c r="C216"/>
      <c r="D216"/>
      <c r="E216"/>
      <c r="F216" s="76">
        <v>0</v>
      </c>
      <c r="G216" s="76">
        <v>0</v>
      </c>
      <c r="H216" s="76">
        <v>0</v>
      </c>
      <c r="I216" s="76">
        <v>0</v>
      </c>
      <c r="J216" s="76">
        <v>0</v>
      </c>
      <c r="K216" s="76">
        <v>0</v>
      </c>
      <c r="L216" s="76">
        <v>0</v>
      </c>
      <c r="M216" s="76">
        <v>0</v>
      </c>
      <c r="N216" s="76">
        <v>0</v>
      </c>
      <c r="O216" s="76">
        <v>0</v>
      </c>
      <c r="P216" s="76">
        <v>0</v>
      </c>
      <c r="Q216" s="76">
        <v>0</v>
      </c>
      <c r="R216" s="76">
        <v>0</v>
      </c>
      <c r="S216" s="76">
        <v>0</v>
      </c>
      <c r="T216" s="76">
        <v>0</v>
      </c>
      <c r="U216" s="76">
        <v>0</v>
      </c>
      <c r="V216" s="76">
        <v>0</v>
      </c>
      <c r="W216" s="76">
        <v>0</v>
      </c>
      <c r="X216" s="76">
        <v>0</v>
      </c>
      <c r="Y216" s="76">
        <v>0</v>
      </c>
      <c r="Z216" s="76">
        <v>0</v>
      </c>
    </row>
    <row r="217" spans="2:26" ht="15.75">
      <c r="B217" s="687" t="s">
        <v>618</v>
      </c>
      <c r="C217" s="687"/>
      <c r="D217" s="550"/>
      <c r="E217" s="550"/>
      <c r="F217" s="550">
        <f t="shared" ref="F217:Z217" si="81">+SUM(F214:F216)</f>
        <v>0</v>
      </c>
      <c r="G217" s="550">
        <f t="shared" si="81"/>
        <v>0</v>
      </c>
      <c r="H217" s="550">
        <f t="shared" si="81"/>
        <v>0</v>
      </c>
      <c r="I217" s="550">
        <f t="shared" si="81"/>
        <v>6713283.6074656695</v>
      </c>
      <c r="J217" s="550">
        <f t="shared" si="81"/>
        <v>14017341.178146504</v>
      </c>
      <c r="K217" s="550">
        <f t="shared" si="81"/>
        <v>14367309.638474565</v>
      </c>
      <c r="L217" s="550">
        <f t="shared" si="81"/>
        <v>14979796.816731973</v>
      </c>
      <c r="M217" s="550">
        <f t="shared" si="81"/>
        <v>15351646.067124832</v>
      </c>
      <c r="N217" s="550">
        <f t="shared" si="81"/>
        <v>15734938.915199425</v>
      </c>
      <c r="O217" s="550">
        <f t="shared" si="81"/>
        <v>16130024.431289595</v>
      </c>
      <c r="P217" s="550">
        <f t="shared" si="81"/>
        <v>16537262.273087282</v>
      </c>
      <c r="Q217" s="550">
        <f t="shared" si="81"/>
        <v>17233940.010775801</v>
      </c>
      <c r="R217" s="550">
        <f t="shared" si="81"/>
        <v>17666605.435769044</v>
      </c>
      <c r="S217" s="550">
        <f t="shared" si="81"/>
        <v>18112568.931460731</v>
      </c>
      <c r="T217" s="550">
        <f t="shared" si="81"/>
        <v>18572235.802130796</v>
      </c>
      <c r="U217" s="550">
        <f t="shared" si="81"/>
        <v>19046023.638430733</v>
      </c>
      <c r="V217" s="550">
        <f t="shared" si="81"/>
        <v>19838971.394247998</v>
      </c>
      <c r="W217" s="550">
        <f t="shared" si="81"/>
        <v>20342304.946113538</v>
      </c>
      <c r="X217" s="550">
        <f t="shared" si="81"/>
        <v>20861089.721414503</v>
      </c>
      <c r="Y217" s="550">
        <f t="shared" si="81"/>
        <v>21395796.281191532</v>
      </c>
      <c r="Z217" s="550">
        <f t="shared" si="81"/>
        <v>21946909.443803247</v>
      </c>
    </row>
    <row r="219" spans="2:26" ht="15.75">
      <c r="B219" s="73" t="s">
        <v>247</v>
      </c>
      <c r="F219" s="75">
        <f>+F$190</f>
        <v>45657</v>
      </c>
      <c r="G219" s="75">
        <f t="shared" ref="G219:Z219" si="82">+G$190</f>
        <v>46022</v>
      </c>
      <c r="H219" s="75">
        <f t="shared" si="82"/>
        <v>46387</v>
      </c>
      <c r="I219" s="75">
        <f t="shared" si="82"/>
        <v>46752</v>
      </c>
      <c r="J219" s="75">
        <f t="shared" si="82"/>
        <v>47118</v>
      </c>
      <c r="K219" s="75">
        <f t="shared" si="82"/>
        <v>47483</v>
      </c>
      <c r="L219" s="75">
        <f t="shared" si="82"/>
        <v>47848</v>
      </c>
      <c r="M219" s="75">
        <f t="shared" si="82"/>
        <v>48213</v>
      </c>
      <c r="N219" s="75">
        <f t="shared" si="82"/>
        <v>48579</v>
      </c>
      <c r="O219" s="75">
        <f t="shared" si="82"/>
        <v>48944</v>
      </c>
      <c r="P219" s="75">
        <f t="shared" si="82"/>
        <v>49309</v>
      </c>
      <c r="Q219" s="75">
        <f t="shared" si="82"/>
        <v>49674</v>
      </c>
      <c r="R219" s="75">
        <f t="shared" si="82"/>
        <v>50040</v>
      </c>
      <c r="S219" s="75">
        <f t="shared" si="82"/>
        <v>50405</v>
      </c>
      <c r="T219" s="75">
        <f t="shared" si="82"/>
        <v>50770</v>
      </c>
      <c r="U219" s="75">
        <f t="shared" si="82"/>
        <v>51135</v>
      </c>
      <c r="V219" s="75">
        <f t="shared" si="82"/>
        <v>51501</v>
      </c>
      <c r="W219" s="75">
        <f t="shared" si="82"/>
        <v>51866</v>
      </c>
      <c r="X219" s="75">
        <f t="shared" si="82"/>
        <v>52231</v>
      </c>
      <c r="Y219" s="75">
        <f t="shared" si="82"/>
        <v>52596</v>
      </c>
      <c r="Z219" s="75">
        <f t="shared" si="82"/>
        <v>52962</v>
      </c>
    </row>
    <row r="220" spans="2:26">
      <c r="B220" s="15" t="s">
        <v>24</v>
      </c>
      <c r="C220"/>
      <c r="D220"/>
      <c r="E220"/>
      <c r="F220" s="16">
        <v>0</v>
      </c>
      <c r="G220" s="16">
        <v>0</v>
      </c>
      <c r="H220" s="16">
        <v>0</v>
      </c>
      <c r="I220" s="16">
        <v>0</v>
      </c>
      <c r="J220" s="16">
        <v>0</v>
      </c>
      <c r="K220" s="16">
        <v>0</v>
      </c>
      <c r="L220" s="16">
        <v>0</v>
      </c>
      <c r="M220" s="16">
        <v>0</v>
      </c>
      <c r="N220" s="16">
        <v>0</v>
      </c>
      <c r="O220" s="16">
        <v>0</v>
      </c>
      <c r="P220" s="16">
        <v>0</v>
      </c>
      <c r="Q220" s="16">
        <v>0</v>
      </c>
      <c r="R220" s="16">
        <v>0</v>
      </c>
      <c r="S220" s="16">
        <v>0</v>
      </c>
      <c r="T220" s="16">
        <v>0</v>
      </c>
      <c r="U220" s="16">
        <v>0</v>
      </c>
      <c r="V220" s="16">
        <v>0</v>
      </c>
      <c r="W220" s="16">
        <v>0</v>
      </c>
      <c r="X220" s="16">
        <v>0</v>
      </c>
      <c r="Y220" s="16">
        <v>0</v>
      </c>
      <c r="Z220" s="16">
        <v>0</v>
      </c>
    </row>
    <row r="221" spans="2:26">
      <c r="B221" s="15" t="s">
        <v>634</v>
      </c>
      <c r="E221" s="21" t="s">
        <v>464</v>
      </c>
      <c r="F221" s="76">
        <v>0</v>
      </c>
      <c r="G221" s="76">
        <v>0</v>
      </c>
      <c r="H221" s="76">
        <v>0</v>
      </c>
      <c r="I221" s="76">
        <v>0</v>
      </c>
      <c r="J221" s="76">
        <v>0</v>
      </c>
      <c r="K221" s="76">
        <v>0</v>
      </c>
      <c r="L221" s="76">
        <v>0</v>
      </c>
      <c r="M221" s="76">
        <v>0</v>
      </c>
      <c r="N221" s="76">
        <v>0</v>
      </c>
      <c r="O221" s="76">
        <v>0</v>
      </c>
      <c r="P221" s="76">
        <v>0</v>
      </c>
      <c r="Q221" s="76">
        <v>0</v>
      </c>
      <c r="R221" s="76">
        <v>0</v>
      </c>
      <c r="S221" s="76">
        <v>0</v>
      </c>
      <c r="T221" s="76">
        <v>0</v>
      </c>
      <c r="U221" s="76">
        <v>0</v>
      </c>
      <c r="V221" s="76">
        <v>0</v>
      </c>
      <c r="W221" s="76">
        <v>0</v>
      </c>
      <c r="X221" s="76">
        <v>0</v>
      </c>
      <c r="Y221" s="76">
        <v>0</v>
      </c>
      <c r="Z221" s="76">
        <v>0</v>
      </c>
    </row>
    <row r="222" spans="2:26" ht="15.75">
      <c r="B222" s="687" t="s">
        <v>636</v>
      </c>
      <c r="C222" s="687"/>
      <c r="D222" s="550"/>
      <c r="E222" s="550"/>
      <c r="F222" s="550">
        <f t="shared" ref="F222:Z222" si="83">+SUM(F220:F221)</f>
        <v>0</v>
      </c>
      <c r="G222" s="550">
        <f t="shared" si="83"/>
        <v>0</v>
      </c>
      <c r="H222" s="550">
        <f t="shared" si="83"/>
        <v>0</v>
      </c>
      <c r="I222" s="550">
        <f t="shared" si="83"/>
        <v>0</v>
      </c>
      <c r="J222" s="550">
        <f t="shared" si="83"/>
        <v>0</v>
      </c>
      <c r="K222" s="550">
        <f t="shared" si="83"/>
        <v>0</v>
      </c>
      <c r="L222" s="550">
        <f t="shared" si="83"/>
        <v>0</v>
      </c>
      <c r="M222" s="550">
        <f t="shared" si="83"/>
        <v>0</v>
      </c>
      <c r="N222" s="550">
        <f t="shared" si="83"/>
        <v>0</v>
      </c>
      <c r="O222" s="550">
        <f t="shared" si="83"/>
        <v>0</v>
      </c>
      <c r="P222" s="550">
        <f t="shared" si="83"/>
        <v>0</v>
      </c>
      <c r="Q222" s="550">
        <f t="shared" si="83"/>
        <v>0</v>
      </c>
      <c r="R222" s="550">
        <f t="shared" si="83"/>
        <v>0</v>
      </c>
      <c r="S222" s="550">
        <f t="shared" si="83"/>
        <v>0</v>
      </c>
      <c r="T222" s="550">
        <f t="shared" si="83"/>
        <v>0</v>
      </c>
      <c r="U222" s="550">
        <f t="shared" si="83"/>
        <v>0</v>
      </c>
      <c r="V222" s="550">
        <f t="shared" si="83"/>
        <v>0</v>
      </c>
      <c r="W222" s="550">
        <f t="shared" si="83"/>
        <v>0</v>
      </c>
      <c r="X222" s="550">
        <f t="shared" si="83"/>
        <v>0</v>
      </c>
      <c r="Y222" s="550">
        <f t="shared" si="83"/>
        <v>0</v>
      </c>
      <c r="Z222" s="550">
        <f t="shared" si="83"/>
        <v>0</v>
      </c>
    </row>
    <row r="224" spans="2:26" ht="15.75">
      <c r="B224" s="73" t="s">
        <v>673</v>
      </c>
      <c r="F224" s="75">
        <f t="shared" ref="F224:Z224" si="84">+F$190</f>
        <v>45657</v>
      </c>
      <c r="G224" s="75">
        <f t="shared" si="84"/>
        <v>46022</v>
      </c>
      <c r="H224" s="75">
        <f t="shared" si="84"/>
        <v>46387</v>
      </c>
      <c r="I224" s="75">
        <f t="shared" si="84"/>
        <v>46752</v>
      </c>
      <c r="J224" s="75">
        <f t="shared" si="84"/>
        <v>47118</v>
      </c>
      <c r="K224" s="75">
        <f t="shared" si="84"/>
        <v>47483</v>
      </c>
      <c r="L224" s="75">
        <f t="shared" si="84"/>
        <v>47848</v>
      </c>
      <c r="M224" s="75">
        <f t="shared" si="84"/>
        <v>48213</v>
      </c>
      <c r="N224" s="75">
        <f t="shared" si="84"/>
        <v>48579</v>
      </c>
      <c r="O224" s="75">
        <f t="shared" si="84"/>
        <v>48944</v>
      </c>
      <c r="P224" s="75">
        <f t="shared" si="84"/>
        <v>49309</v>
      </c>
      <c r="Q224" s="75">
        <f t="shared" si="84"/>
        <v>49674</v>
      </c>
      <c r="R224" s="75">
        <f t="shared" si="84"/>
        <v>50040</v>
      </c>
      <c r="S224" s="75">
        <f t="shared" si="84"/>
        <v>50405</v>
      </c>
      <c r="T224" s="75">
        <f t="shared" si="84"/>
        <v>50770</v>
      </c>
      <c r="U224" s="75">
        <f t="shared" si="84"/>
        <v>51135</v>
      </c>
      <c r="V224" s="75">
        <f t="shared" si="84"/>
        <v>51501</v>
      </c>
      <c r="W224" s="75">
        <f t="shared" si="84"/>
        <v>51866</v>
      </c>
      <c r="X224" s="75">
        <f t="shared" si="84"/>
        <v>52231</v>
      </c>
      <c r="Y224" s="75">
        <f t="shared" si="84"/>
        <v>52596</v>
      </c>
      <c r="Z224" s="75">
        <f t="shared" si="84"/>
        <v>52962</v>
      </c>
    </row>
    <row r="225" spans="2:31" ht="15.75">
      <c r="B225" s="15" t="s">
        <v>342</v>
      </c>
      <c r="D225" s="26">
        <f>+SUM(F225:Z225)</f>
        <v>0</v>
      </c>
      <c r="E225" s="26"/>
      <c r="F225" s="16">
        <f t="shared" ref="F225:Z225" si="85">+F181</f>
        <v>0</v>
      </c>
      <c r="G225" s="16">
        <f t="shared" si="85"/>
        <v>0</v>
      </c>
      <c r="H225" s="16">
        <f t="shared" si="85"/>
        <v>0</v>
      </c>
      <c r="I225" s="16">
        <f t="shared" si="85"/>
        <v>0</v>
      </c>
      <c r="J225" s="16">
        <f t="shared" si="85"/>
        <v>0</v>
      </c>
      <c r="K225" s="16">
        <f t="shared" si="85"/>
        <v>0</v>
      </c>
      <c r="L225" s="16">
        <f t="shared" si="85"/>
        <v>0</v>
      </c>
      <c r="M225" s="16">
        <f t="shared" si="85"/>
        <v>0</v>
      </c>
      <c r="N225" s="16">
        <f t="shared" si="85"/>
        <v>0</v>
      </c>
      <c r="O225" s="16">
        <f t="shared" si="85"/>
        <v>0</v>
      </c>
      <c r="P225" s="16">
        <f t="shared" si="85"/>
        <v>0</v>
      </c>
      <c r="Q225" s="16">
        <f t="shared" si="85"/>
        <v>0</v>
      </c>
      <c r="R225" s="16">
        <f t="shared" si="85"/>
        <v>0</v>
      </c>
      <c r="S225" s="16">
        <f t="shared" si="85"/>
        <v>0</v>
      </c>
      <c r="T225" s="16">
        <f t="shared" si="85"/>
        <v>0</v>
      </c>
      <c r="U225" s="16">
        <f t="shared" si="85"/>
        <v>0</v>
      </c>
      <c r="V225" s="16">
        <f t="shared" si="85"/>
        <v>0</v>
      </c>
      <c r="W225" s="16">
        <f t="shared" si="85"/>
        <v>0</v>
      </c>
      <c r="X225" s="16">
        <f t="shared" si="85"/>
        <v>0</v>
      </c>
      <c r="Y225" s="16">
        <f t="shared" si="85"/>
        <v>0</v>
      </c>
      <c r="Z225" s="16">
        <f t="shared" si="85"/>
        <v>0</v>
      </c>
    </row>
    <row r="226" spans="2:31" ht="15.75">
      <c r="B226" s="15" t="s">
        <v>90</v>
      </c>
      <c r="D226" s="26">
        <f t="shared" ref="D226:D231" si="86">+SUM(F226:Z226)</f>
        <v>1652345</v>
      </c>
      <c r="E226" s="26"/>
      <c r="F226" s="76">
        <f t="shared" ref="F226:Z226" si="87">+F182</f>
        <v>1652345</v>
      </c>
      <c r="G226" s="76">
        <f t="shared" si="87"/>
        <v>0</v>
      </c>
      <c r="H226" s="76">
        <f t="shared" si="87"/>
        <v>0</v>
      </c>
      <c r="I226" s="76">
        <f t="shared" si="87"/>
        <v>0</v>
      </c>
      <c r="J226" s="76">
        <f t="shared" si="87"/>
        <v>0</v>
      </c>
      <c r="K226" s="76">
        <f t="shared" si="87"/>
        <v>0</v>
      </c>
      <c r="L226" s="76">
        <f t="shared" si="87"/>
        <v>0</v>
      </c>
      <c r="M226" s="76">
        <f t="shared" si="87"/>
        <v>0</v>
      </c>
      <c r="N226" s="76">
        <f t="shared" si="87"/>
        <v>0</v>
      </c>
      <c r="O226" s="76">
        <f t="shared" si="87"/>
        <v>0</v>
      </c>
      <c r="P226" s="76">
        <f t="shared" si="87"/>
        <v>0</v>
      </c>
      <c r="Q226" s="76">
        <f t="shared" si="87"/>
        <v>0</v>
      </c>
      <c r="R226" s="76">
        <f t="shared" si="87"/>
        <v>0</v>
      </c>
      <c r="S226" s="76">
        <f t="shared" si="87"/>
        <v>0</v>
      </c>
      <c r="T226" s="76">
        <f t="shared" si="87"/>
        <v>0</v>
      </c>
      <c r="U226" s="76">
        <f t="shared" si="87"/>
        <v>0</v>
      </c>
      <c r="V226" s="76">
        <f t="shared" si="87"/>
        <v>0</v>
      </c>
      <c r="W226" s="76">
        <f t="shared" si="87"/>
        <v>0</v>
      </c>
      <c r="X226" s="76">
        <f t="shared" si="87"/>
        <v>0</v>
      </c>
      <c r="Y226" s="76">
        <f t="shared" si="87"/>
        <v>0</v>
      </c>
      <c r="Z226" s="76">
        <f t="shared" si="87"/>
        <v>0</v>
      </c>
    </row>
    <row r="227" spans="2:31" ht="15.75">
      <c r="B227" s="15" t="s">
        <v>28</v>
      </c>
      <c r="D227" s="26">
        <f ca="1">+SUM(F227:Z227)</f>
        <v>203994617.4096579</v>
      </c>
      <c r="E227" s="26"/>
      <c r="F227" s="76">
        <f t="shared" ref="F227:Z227" si="88">+F183</f>
        <v>0</v>
      </c>
      <c r="G227" s="76">
        <f ca="1">+G183</f>
        <v>101997308.70482895</v>
      </c>
      <c r="H227" s="76">
        <f t="shared" ca="1" si="88"/>
        <v>101997308.70482895</v>
      </c>
      <c r="I227" s="76">
        <f t="shared" si="88"/>
        <v>0</v>
      </c>
      <c r="J227" s="76">
        <f t="shared" si="88"/>
        <v>0</v>
      </c>
      <c r="K227" s="76">
        <f t="shared" si="88"/>
        <v>0</v>
      </c>
      <c r="L227" s="76">
        <f t="shared" si="88"/>
        <v>0</v>
      </c>
      <c r="M227" s="76">
        <f t="shared" si="88"/>
        <v>0</v>
      </c>
      <c r="N227" s="76">
        <f t="shared" si="88"/>
        <v>0</v>
      </c>
      <c r="O227" s="76">
        <f t="shared" si="88"/>
        <v>0</v>
      </c>
      <c r="P227" s="76">
        <f t="shared" si="88"/>
        <v>0</v>
      </c>
      <c r="Q227" s="76">
        <f t="shared" si="88"/>
        <v>0</v>
      </c>
      <c r="R227" s="76">
        <f t="shared" si="88"/>
        <v>0</v>
      </c>
      <c r="S227" s="76">
        <f t="shared" si="88"/>
        <v>0</v>
      </c>
      <c r="T227" s="76">
        <f t="shared" si="88"/>
        <v>0</v>
      </c>
      <c r="U227" s="76">
        <f t="shared" si="88"/>
        <v>0</v>
      </c>
      <c r="V227" s="76">
        <f t="shared" si="88"/>
        <v>0</v>
      </c>
      <c r="W227" s="76">
        <f t="shared" si="88"/>
        <v>0</v>
      </c>
      <c r="X227" s="76">
        <f t="shared" si="88"/>
        <v>0</v>
      </c>
      <c r="Y227" s="76">
        <f t="shared" si="88"/>
        <v>0</v>
      </c>
      <c r="Z227" s="76">
        <f t="shared" si="88"/>
        <v>0</v>
      </c>
    </row>
    <row r="228" spans="2:31" ht="15.75">
      <c r="B228" s="15" t="s">
        <v>349</v>
      </c>
      <c r="D228" s="26">
        <f ca="1">F228</f>
        <v>8901590.8766152505</v>
      </c>
      <c r="E228" s="26"/>
      <c r="F228" s="76">
        <f t="shared" ref="F228:Z228" ca="1" si="89">+F184</f>
        <v>8901590.8766152505</v>
      </c>
      <c r="G228" s="76">
        <v>0</v>
      </c>
      <c r="H228" s="76">
        <v>0</v>
      </c>
      <c r="I228" s="76">
        <f t="shared" si="89"/>
        <v>0</v>
      </c>
      <c r="J228" s="76">
        <f t="shared" si="89"/>
        <v>0</v>
      </c>
      <c r="K228" s="76">
        <f t="shared" si="89"/>
        <v>0</v>
      </c>
      <c r="L228" s="76">
        <f t="shared" si="89"/>
        <v>0</v>
      </c>
      <c r="M228" s="76">
        <f t="shared" si="89"/>
        <v>0</v>
      </c>
      <c r="N228" s="76">
        <f t="shared" si="89"/>
        <v>0</v>
      </c>
      <c r="O228" s="76">
        <f t="shared" si="89"/>
        <v>0</v>
      </c>
      <c r="P228" s="76">
        <f t="shared" si="89"/>
        <v>0</v>
      </c>
      <c r="Q228" s="76">
        <f t="shared" si="89"/>
        <v>0</v>
      </c>
      <c r="R228" s="76">
        <f t="shared" si="89"/>
        <v>0</v>
      </c>
      <c r="S228" s="76">
        <f t="shared" si="89"/>
        <v>0</v>
      </c>
      <c r="T228" s="76">
        <f t="shared" si="89"/>
        <v>0</v>
      </c>
      <c r="U228" s="76">
        <f t="shared" si="89"/>
        <v>0</v>
      </c>
      <c r="V228" s="76">
        <f t="shared" si="89"/>
        <v>0</v>
      </c>
      <c r="W228" s="76">
        <f t="shared" si="89"/>
        <v>0</v>
      </c>
      <c r="X228" s="76">
        <f t="shared" si="89"/>
        <v>0</v>
      </c>
      <c r="Y228" s="76">
        <f t="shared" si="89"/>
        <v>0</v>
      </c>
      <c r="Z228" s="76">
        <f t="shared" si="89"/>
        <v>0</v>
      </c>
    </row>
    <row r="229" spans="2:31" ht="15.75">
      <c r="B229" s="15" t="s">
        <v>37</v>
      </c>
      <c r="D229" s="26">
        <f t="shared" si="86"/>
        <v>0</v>
      </c>
      <c r="E229" s="26"/>
      <c r="F229" s="76">
        <v>0</v>
      </c>
      <c r="G229" s="76">
        <v>0</v>
      </c>
      <c r="H229" s="76">
        <v>0</v>
      </c>
      <c r="I229" s="76">
        <v>0</v>
      </c>
      <c r="J229" s="76">
        <v>0</v>
      </c>
      <c r="K229" s="76">
        <v>0</v>
      </c>
      <c r="L229" s="76">
        <v>0</v>
      </c>
      <c r="M229" s="76">
        <v>0</v>
      </c>
      <c r="N229" s="76">
        <v>0</v>
      </c>
      <c r="O229" s="76">
        <v>0</v>
      </c>
      <c r="P229" s="76">
        <v>0</v>
      </c>
      <c r="Q229" s="76">
        <v>0</v>
      </c>
      <c r="R229" s="76">
        <v>0</v>
      </c>
      <c r="S229" s="76">
        <v>0</v>
      </c>
      <c r="T229" s="76">
        <v>0</v>
      </c>
      <c r="U229" s="76">
        <v>0</v>
      </c>
      <c r="V229" s="76">
        <v>0</v>
      </c>
      <c r="W229" s="76">
        <v>0</v>
      </c>
      <c r="X229" s="76">
        <v>0</v>
      </c>
      <c r="Y229" s="76">
        <v>0</v>
      </c>
      <c r="Z229" s="76">
        <v>0</v>
      </c>
    </row>
    <row r="230" spans="2:31" ht="15.75">
      <c r="B230" s="15" t="s">
        <v>350</v>
      </c>
      <c r="D230" s="26">
        <f t="shared" ca="1" si="86"/>
        <v>489128.6509354015</v>
      </c>
      <c r="E230" s="26"/>
      <c r="F230" s="76">
        <f t="shared" ref="F230:Z230" si="90">+F186</f>
        <v>0</v>
      </c>
      <c r="G230" s="76">
        <f t="shared" ca="1" si="90"/>
        <v>244564.32546770075</v>
      </c>
      <c r="H230" s="76">
        <f t="shared" ca="1" si="90"/>
        <v>244564.32546770075</v>
      </c>
      <c r="I230" s="76">
        <f t="shared" si="90"/>
        <v>0</v>
      </c>
      <c r="J230" s="76">
        <f t="shared" si="90"/>
        <v>0</v>
      </c>
      <c r="K230" s="76">
        <f t="shared" si="90"/>
        <v>0</v>
      </c>
      <c r="L230" s="76">
        <f t="shared" si="90"/>
        <v>0</v>
      </c>
      <c r="M230" s="76">
        <f t="shared" si="90"/>
        <v>0</v>
      </c>
      <c r="N230" s="76">
        <f t="shared" si="90"/>
        <v>0</v>
      </c>
      <c r="O230" s="76">
        <f t="shared" si="90"/>
        <v>0</v>
      </c>
      <c r="P230" s="76">
        <f t="shared" si="90"/>
        <v>0</v>
      </c>
      <c r="Q230" s="76">
        <f t="shared" si="90"/>
        <v>0</v>
      </c>
      <c r="R230" s="76">
        <f t="shared" si="90"/>
        <v>0</v>
      </c>
      <c r="S230" s="76">
        <f t="shared" si="90"/>
        <v>0</v>
      </c>
      <c r="T230" s="76">
        <f t="shared" si="90"/>
        <v>0</v>
      </c>
      <c r="U230" s="76">
        <f t="shared" si="90"/>
        <v>0</v>
      </c>
      <c r="V230" s="76">
        <f t="shared" si="90"/>
        <v>0</v>
      </c>
      <c r="W230" s="76">
        <f t="shared" si="90"/>
        <v>0</v>
      </c>
      <c r="X230" s="76">
        <f t="shared" si="90"/>
        <v>0</v>
      </c>
      <c r="Y230" s="76">
        <f t="shared" si="90"/>
        <v>0</v>
      </c>
      <c r="Z230" s="76">
        <f t="shared" si="90"/>
        <v>0</v>
      </c>
    </row>
    <row r="231" spans="2:31" ht="15.75">
      <c r="B231" s="15" t="s">
        <v>351</v>
      </c>
      <c r="D231" s="26">
        <f t="shared" ca="1" si="86"/>
        <v>11196868.616116071</v>
      </c>
      <c r="E231" s="26"/>
      <c r="F231" s="76">
        <f t="shared" ref="F231:Z231" ca="1" si="91">+F187</f>
        <v>0</v>
      </c>
      <c r="G231" s="76">
        <f t="shared" ca="1" si="91"/>
        <v>2799217.1540290178</v>
      </c>
      <c r="H231" s="76">
        <f t="shared" ca="1" si="91"/>
        <v>2799217.1540290178</v>
      </c>
      <c r="I231" s="76">
        <f t="shared" ca="1" si="91"/>
        <v>2799217.1540290178</v>
      </c>
      <c r="J231" s="76">
        <f t="shared" ca="1" si="91"/>
        <v>2799217.1540290178</v>
      </c>
      <c r="K231" s="76">
        <f t="shared" si="91"/>
        <v>0</v>
      </c>
      <c r="L231" s="76">
        <f t="shared" si="91"/>
        <v>0</v>
      </c>
      <c r="M231" s="76">
        <f t="shared" si="91"/>
        <v>0</v>
      </c>
      <c r="N231" s="76">
        <f t="shared" si="91"/>
        <v>0</v>
      </c>
      <c r="O231" s="76">
        <f t="shared" si="91"/>
        <v>0</v>
      </c>
      <c r="P231" s="76">
        <f t="shared" si="91"/>
        <v>0</v>
      </c>
      <c r="Q231" s="76">
        <f t="shared" si="91"/>
        <v>0</v>
      </c>
      <c r="R231" s="76">
        <f t="shared" si="91"/>
        <v>0</v>
      </c>
      <c r="S231" s="76">
        <f t="shared" si="91"/>
        <v>0</v>
      </c>
      <c r="T231" s="76">
        <f t="shared" si="91"/>
        <v>0</v>
      </c>
      <c r="U231" s="76">
        <f t="shared" si="91"/>
        <v>0</v>
      </c>
      <c r="V231" s="76">
        <f t="shared" si="91"/>
        <v>0</v>
      </c>
      <c r="W231" s="76">
        <f t="shared" si="91"/>
        <v>0</v>
      </c>
      <c r="X231" s="76">
        <f t="shared" si="91"/>
        <v>0</v>
      </c>
      <c r="Y231" s="76">
        <f t="shared" si="91"/>
        <v>0</v>
      </c>
      <c r="Z231" s="76">
        <f t="shared" si="91"/>
        <v>0</v>
      </c>
    </row>
    <row r="232" spans="2:31" ht="15.75">
      <c r="B232" s="687" t="s">
        <v>662</v>
      </c>
      <c r="C232" s="687"/>
      <c r="D232" s="550">
        <f ca="1">+SUM(F232:Z232)</f>
        <v>226234550.55332461</v>
      </c>
      <c r="E232" s="550"/>
      <c r="F232" s="550">
        <f ca="1">+SUM(F225:F231)</f>
        <v>10553935.87661525</v>
      </c>
      <c r="G232" s="550">
        <f ca="1">+SUM(G225:G231)</f>
        <v>105041090.18432567</v>
      </c>
      <c r="H232" s="550">
        <f ca="1">+SUM(H225:H231)</f>
        <v>105041090.18432567</v>
      </c>
      <c r="I232" s="550">
        <f t="shared" ref="I232:Z232" ca="1" si="92">+SUM(I225:I231)</f>
        <v>2799217.1540290178</v>
      </c>
      <c r="J232" s="550">
        <f t="shared" ca="1" si="92"/>
        <v>2799217.1540290178</v>
      </c>
      <c r="K232" s="550">
        <f t="shared" si="92"/>
        <v>0</v>
      </c>
      <c r="L232" s="550">
        <f t="shared" si="92"/>
        <v>0</v>
      </c>
      <c r="M232" s="550">
        <f t="shared" si="92"/>
        <v>0</v>
      </c>
      <c r="N232" s="550">
        <f t="shared" si="92"/>
        <v>0</v>
      </c>
      <c r="O232" s="550">
        <f t="shared" si="92"/>
        <v>0</v>
      </c>
      <c r="P232" s="550">
        <f t="shared" si="92"/>
        <v>0</v>
      </c>
      <c r="Q232" s="550">
        <f t="shared" si="92"/>
        <v>0</v>
      </c>
      <c r="R232" s="550">
        <f t="shared" si="92"/>
        <v>0</v>
      </c>
      <c r="S232" s="550">
        <f t="shared" si="92"/>
        <v>0</v>
      </c>
      <c r="T232" s="550">
        <f t="shared" si="92"/>
        <v>0</v>
      </c>
      <c r="U232" s="550">
        <f t="shared" si="92"/>
        <v>0</v>
      </c>
      <c r="V232" s="550">
        <f t="shared" si="92"/>
        <v>0</v>
      </c>
      <c r="W232" s="550">
        <f t="shared" si="92"/>
        <v>0</v>
      </c>
      <c r="X232" s="550">
        <f t="shared" si="92"/>
        <v>0</v>
      </c>
      <c r="Y232" s="550">
        <f t="shared" si="92"/>
        <v>0</v>
      </c>
      <c r="Z232" s="550">
        <f t="shared" si="92"/>
        <v>0</v>
      </c>
    </row>
    <row r="234" spans="2:31" ht="15.75">
      <c r="B234" s="73" t="s">
        <v>663</v>
      </c>
      <c r="F234" s="75">
        <f t="shared" ref="F234" si="93">+F$190</f>
        <v>45657</v>
      </c>
      <c r="G234" s="75">
        <f>+EOMONTH(F234,12)</f>
        <v>46022</v>
      </c>
      <c r="H234" s="75">
        <f t="shared" ref="H234:Z234" si="94">+EOMONTH(G234,12)</f>
        <v>46387</v>
      </c>
      <c r="I234" s="75">
        <f t="shared" si="94"/>
        <v>46752</v>
      </c>
      <c r="J234" s="75">
        <f t="shared" si="94"/>
        <v>47118</v>
      </c>
      <c r="K234" s="75">
        <f t="shared" si="94"/>
        <v>47483</v>
      </c>
      <c r="L234" s="75">
        <f t="shared" si="94"/>
        <v>47848</v>
      </c>
      <c r="M234" s="75">
        <f t="shared" si="94"/>
        <v>48213</v>
      </c>
      <c r="N234" s="75">
        <f t="shared" si="94"/>
        <v>48579</v>
      </c>
      <c r="O234" s="75">
        <f t="shared" si="94"/>
        <v>48944</v>
      </c>
      <c r="P234" s="75">
        <f t="shared" si="94"/>
        <v>49309</v>
      </c>
      <c r="Q234" s="75">
        <f t="shared" si="94"/>
        <v>49674</v>
      </c>
      <c r="R234" s="75">
        <f t="shared" si="94"/>
        <v>50040</v>
      </c>
      <c r="S234" s="75">
        <f t="shared" si="94"/>
        <v>50405</v>
      </c>
      <c r="T234" s="75">
        <f t="shared" si="94"/>
        <v>50770</v>
      </c>
      <c r="U234" s="75">
        <f t="shared" si="94"/>
        <v>51135</v>
      </c>
      <c r="V234" s="75">
        <f t="shared" si="94"/>
        <v>51501</v>
      </c>
      <c r="W234" s="75">
        <f t="shared" si="94"/>
        <v>51866</v>
      </c>
      <c r="X234" s="75">
        <f t="shared" si="94"/>
        <v>52231</v>
      </c>
      <c r="Y234" s="75">
        <f t="shared" si="94"/>
        <v>52596</v>
      </c>
      <c r="Z234" s="75">
        <f t="shared" si="94"/>
        <v>52962</v>
      </c>
    </row>
    <row r="235" spans="2:31" ht="15.75">
      <c r="B235" s="15" t="s">
        <v>664</v>
      </c>
      <c r="D235" s="26">
        <f ca="1">+D232-SUM(D192:D194,D197)</f>
        <v>210286207.55332461</v>
      </c>
      <c r="E235" s="26"/>
      <c r="F235" s="16">
        <v>210286208</v>
      </c>
      <c r="G235" s="16">
        <v>0</v>
      </c>
      <c r="H235" s="16">
        <v>0</v>
      </c>
      <c r="I235" s="16">
        <v>0</v>
      </c>
      <c r="J235" s="16">
        <v>0</v>
      </c>
      <c r="K235" s="16">
        <v>0</v>
      </c>
      <c r="L235" s="16">
        <v>0</v>
      </c>
      <c r="M235" s="16">
        <v>0</v>
      </c>
      <c r="N235" s="16">
        <v>0</v>
      </c>
      <c r="O235" s="16">
        <v>0</v>
      </c>
      <c r="P235" s="16">
        <v>0</v>
      </c>
      <c r="Q235" s="16">
        <v>0</v>
      </c>
      <c r="R235" s="16">
        <v>0</v>
      </c>
      <c r="S235" s="16">
        <v>0</v>
      </c>
      <c r="T235" s="16">
        <f ca="1">+MIN($D$235-SUM('Phase III Pro Forma'!$E235:S235),'Phase III Pro Forma'!T$232)</f>
        <v>0</v>
      </c>
      <c r="U235" s="16">
        <f ca="1">+MIN($D$235-SUM('Phase III Pro Forma'!$E235:T235),'Phase III Pro Forma'!U$232)</f>
        <v>0</v>
      </c>
      <c r="V235" s="16">
        <f ca="1">+MIN($D$235-SUM('Phase III Pro Forma'!$E235:U235),'Phase III Pro Forma'!V$232)</f>
        <v>0</v>
      </c>
      <c r="W235" s="16">
        <f ca="1">+MIN($D$235-SUM('Phase III Pro Forma'!$E235:V235),'Phase III Pro Forma'!W$232)</f>
        <v>0</v>
      </c>
      <c r="X235" s="16">
        <f ca="1">+MIN($D$235-SUM('Phase III Pro Forma'!$E235:W235),'Phase III Pro Forma'!X$232)</f>
        <v>0</v>
      </c>
      <c r="Y235" s="16">
        <f ca="1">+MIN($D$235-SUM('Phase III Pro Forma'!$E235:X235),'Phase III Pro Forma'!Y$232)</f>
        <v>0</v>
      </c>
      <c r="Z235" s="16">
        <f ca="1">+MIN($D$235-SUM('Phase III Pro Forma'!$E235:Y235),'Phase III Pro Forma'!Z$232)</f>
        <v>0</v>
      </c>
    </row>
    <row r="236" spans="2:31" ht="15.75">
      <c r="B236" s="15" t="s">
        <v>97</v>
      </c>
      <c r="D236" s="26">
        <v>10000000</v>
      </c>
      <c r="E236" s="26"/>
      <c r="F236" s="76"/>
      <c r="G236" s="76">
        <v>0</v>
      </c>
      <c r="H236" s="76">
        <v>10000000</v>
      </c>
      <c r="I236" s="76">
        <v>0</v>
      </c>
      <c r="J236" s="76">
        <v>0</v>
      </c>
      <c r="K236" s="76">
        <v>0</v>
      </c>
      <c r="L236" s="76">
        <v>0</v>
      </c>
      <c r="M236" s="76">
        <v>0</v>
      </c>
      <c r="N236" s="76">
        <v>0</v>
      </c>
      <c r="O236" s="76">
        <v>0</v>
      </c>
      <c r="P236" s="76">
        <v>0</v>
      </c>
      <c r="Q236" s="76">
        <v>0</v>
      </c>
      <c r="R236" s="76">
        <v>0</v>
      </c>
      <c r="S236" s="76">
        <v>0</v>
      </c>
      <c r="T236" s="76">
        <v>0</v>
      </c>
      <c r="U236" s="76">
        <v>0</v>
      </c>
      <c r="V236" s="76">
        <v>0</v>
      </c>
      <c r="W236" s="76">
        <v>0</v>
      </c>
      <c r="X236" s="76">
        <f ca="1">+MIN('S&amp;U'!$J19-SUM('Phase III Pro Forma'!$E236:W236),'Phase III Pro Forma'!X$232-SUM(X$235:X235))</f>
        <v>0</v>
      </c>
      <c r="Y236" s="76">
        <v>0</v>
      </c>
      <c r="Z236" s="76">
        <v>0</v>
      </c>
    </row>
    <row r="237" spans="2:31" ht="15.75">
      <c r="B237" s="15" t="s">
        <v>392</v>
      </c>
      <c r="D237" s="26">
        <f t="shared" ref="D237:D240" ca="1" si="95">+SUM(F237:Z237)</f>
        <v>10625026.803841824</v>
      </c>
      <c r="E237" s="26"/>
      <c r="F237" s="76">
        <v>0</v>
      </c>
      <c r="G237" s="76">
        <v>0</v>
      </c>
      <c r="H237" s="76">
        <v>10625027</v>
      </c>
      <c r="I237" s="76">
        <f ca="1">+MIN('S&amp;U'!$J20-SUM('Phase III Pro Forma'!$E237:H237),'Phase III Pro Forma'!I$232-SUM(I$235:I236))</f>
        <v>2799217.1540290178</v>
      </c>
      <c r="J237" s="76">
        <f ca="1">+MIN('S&amp;U'!$J20-SUM('Phase III Pro Forma'!$E237:I237),'Phase III Pro Forma'!J$232-SUM(J$235:J236))</f>
        <v>2799217.1540290178</v>
      </c>
      <c r="K237" s="76">
        <f ca="1">+MIN('S&amp;U'!$J20-SUM('Phase III Pro Forma'!$E237:J237),'Phase III Pro Forma'!K$232-SUM(K$235:K236))</f>
        <v>0</v>
      </c>
      <c r="L237" s="76">
        <f ca="1">+MIN('S&amp;U'!$J20-SUM('Phase III Pro Forma'!$E237:K237),'Phase III Pro Forma'!L$232-SUM(L$235:L236))</f>
        <v>0</v>
      </c>
      <c r="M237" s="76">
        <f ca="1">+MIN('S&amp;U'!$J20-SUM('Phase III Pro Forma'!$E237:L237),'Phase III Pro Forma'!M$232-SUM(M$235:M236))</f>
        <v>0</v>
      </c>
      <c r="N237" s="76">
        <f ca="1">+MIN('S&amp;U'!$J20-SUM('Phase III Pro Forma'!$E237:M237),'Phase III Pro Forma'!N$232-SUM(N$235:N236))</f>
        <v>0</v>
      </c>
      <c r="O237" s="76">
        <f ca="1">+MIN('S&amp;U'!$J20-SUM('Phase III Pro Forma'!$E237:N237),'Phase III Pro Forma'!O$232-SUM(O$235:O236))</f>
        <v>0</v>
      </c>
      <c r="P237" s="76">
        <f ca="1">+MIN('S&amp;U'!$J20-SUM('Phase III Pro Forma'!$E237:O237),'Phase III Pro Forma'!P$232-SUM(P$235:P236))</f>
        <v>0</v>
      </c>
      <c r="Q237" s="76">
        <f ca="1">+MIN('S&amp;U'!$J20-SUM('Phase III Pro Forma'!$E237:P237),'Phase III Pro Forma'!Q$232-SUM(Q$235:Q236))</f>
        <v>0</v>
      </c>
      <c r="R237" s="76">
        <v>0</v>
      </c>
      <c r="S237" s="76">
        <v>0</v>
      </c>
      <c r="T237" s="76">
        <v>0</v>
      </c>
      <c r="U237" s="76">
        <v>0</v>
      </c>
      <c r="V237" s="76">
        <v>0</v>
      </c>
      <c r="W237" s="76">
        <f ca="1">+MIN('S&amp;U'!$J20-SUM('Phase III Pro Forma'!$E237:V237),'Phase III Pro Forma'!W$232-SUM(W$235:W236))</f>
        <v>0</v>
      </c>
      <c r="X237" s="76">
        <f ca="1">+MIN('S&amp;U'!$J20-SUM('Phase III Pro Forma'!$E237:W237),'Phase III Pro Forma'!X$232-SUM(X$235:X236))</f>
        <v>0</v>
      </c>
      <c r="Y237" s="76">
        <v>0</v>
      </c>
      <c r="Z237" s="76">
        <v>0</v>
      </c>
    </row>
    <row r="238" spans="2:31" ht="15.75">
      <c r="B238" s="15" t="s">
        <v>393</v>
      </c>
      <c r="D238" s="26">
        <v>0</v>
      </c>
      <c r="E238" s="26"/>
      <c r="F238" s="76">
        <v>0</v>
      </c>
      <c r="G238" s="76">
        <v>0</v>
      </c>
      <c r="H238" s="76">
        <v>0</v>
      </c>
      <c r="I238" s="76">
        <v>0</v>
      </c>
      <c r="J238" s="76">
        <v>0</v>
      </c>
      <c r="K238" s="76">
        <v>0</v>
      </c>
      <c r="L238" s="76">
        <v>0</v>
      </c>
      <c r="M238" s="76">
        <v>0</v>
      </c>
      <c r="N238" s="76">
        <v>0</v>
      </c>
      <c r="O238" s="76">
        <v>0</v>
      </c>
      <c r="P238" s="76">
        <v>0</v>
      </c>
      <c r="Q238" s="76">
        <v>0</v>
      </c>
      <c r="R238" s="76">
        <v>0</v>
      </c>
      <c r="S238" s="76">
        <v>0</v>
      </c>
      <c r="T238" s="76">
        <v>0</v>
      </c>
      <c r="U238" s="76">
        <v>0</v>
      </c>
      <c r="V238" s="76">
        <v>0</v>
      </c>
      <c r="W238" s="76">
        <v>0</v>
      </c>
      <c r="X238" s="76">
        <v>0</v>
      </c>
      <c r="Y238" s="76">
        <v>0</v>
      </c>
      <c r="Z238" s="76">
        <v>0</v>
      </c>
    </row>
    <row r="239" spans="2:31" ht="15.75">
      <c r="B239" s="15" t="s">
        <v>394</v>
      </c>
      <c r="D239" s="26">
        <v>0</v>
      </c>
      <c r="E239" s="26"/>
      <c r="F239" s="76">
        <v>0</v>
      </c>
      <c r="G239" s="76">
        <v>0</v>
      </c>
      <c r="H239" s="76">
        <v>0</v>
      </c>
      <c r="I239" s="76">
        <v>0</v>
      </c>
      <c r="J239" s="76">
        <v>0</v>
      </c>
      <c r="K239" s="76">
        <v>0</v>
      </c>
      <c r="L239" s="76">
        <v>0</v>
      </c>
      <c r="M239" s="76">
        <v>0</v>
      </c>
      <c r="N239" s="76">
        <v>0</v>
      </c>
      <c r="O239" s="76">
        <v>0</v>
      </c>
      <c r="P239" s="76">
        <v>0</v>
      </c>
      <c r="Q239" s="76">
        <v>0</v>
      </c>
      <c r="R239" s="76">
        <v>0</v>
      </c>
      <c r="S239" s="76">
        <v>0</v>
      </c>
      <c r="T239" s="76">
        <v>0</v>
      </c>
      <c r="U239" s="76">
        <v>0</v>
      </c>
      <c r="V239" s="76">
        <v>0</v>
      </c>
      <c r="W239" s="76">
        <v>0</v>
      </c>
      <c r="X239" s="76">
        <v>0</v>
      </c>
      <c r="Y239" s="76">
        <v>0</v>
      </c>
      <c r="Z239" s="76">
        <v>0</v>
      </c>
      <c r="AA239" s="21" t="s">
        <v>464</v>
      </c>
      <c r="AB239" s="21" t="s">
        <v>464</v>
      </c>
      <c r="AC239" s="21" t="s">
        <v>464</v>
      </c>
      <c r="AD239" s="21" t="s">
        <v>464</v>
      </c>
      <c r="AE239" s="21" t="s">
        <v>464</v>
      </c>
    </row>
    <row r="240" spans="2:31" ht="15.75">
      <c r="B240" s="15" t="s">
        <v>356</v>
      </c>
      <c r="D240" s="26">
        <f t="shared" si="95"/>
        <v>0</v>
      </c>
      <c r="E240" s="26"/>
      <c r="F240" s="76">
        <v>0</v>
      </c>
      <c r="G240" s="76">
        <v>0</v>
      </c>
      <c r="H240" s="76">
        <v>0</v>
      </c>
      <c r="I240" s="76">
        <v>0</v>
      </c>
      <c r="J240" s="76">
        <v>0</v>
      </c>
      <c r="K240" s="76">
        <v>0</v>
      </c>
      <c r="L240" s="76">
        <v>0</v>
      </c>
      <c r="M240" s="76">
        <v>0</v>
      </c>
      <c r="N240" s="76">
        <v>0</v>
      </c>
      <c r="O240" s="76">
        <v>0</v>
      </c>
      <c r="P240" s="76">
        <v>0</v>
      </c>
      <c r="Q240" s="76">
        <v>0</v>
      </c>
      <c r="R240" s="76">
        <v>0</v>
      </c>
      <c r="S240" s="76">
        <v>0</v>
      </c>
      <c r="T240" s="76">
        <v>0</v>
      </c>
      <c r="U240" s="76">
        <v>0</v>
      </c>
      <c r="V240" s="76">
        <v>0</v>
      </c>
      <c r="W240" s="76">
        <v>0</v>
      </c>
      <c r="X240" s="76">
        <v>0</v>
      </c>
      <c r="Y240" s="76">
        <v>0</v>
      </c>
      <c r="Z240" s="76">
        <v>0</v>
      </c>
    </row>
    <row r="241" spans="2:26" ht="15.75">
      <c r="B241" s="15" t="s">
        <v>391</v>
      </c>
      <c r="D241" s="26">
        <f ca="1">+SUM(F241:Z241)</f>
        <v>2799217.1540290178</v>
      </c>
      <c r="E241" s="26"/>
      <c r="F241" s="76">
        <v>0</v>
      </c>
      <c r="G241" s="76">
        <v>0</v>
      </c>
      <c r="H241" s="76">
        <v>0</v>
      </c>
      <c r="I241" s="76">
        <f ca="1">+MIN('S&amp;U'!$J26-SUM('Phase III Pro Forma'!$E241:H241),'Phase III Pro Forma'!I$232-SUM(I$235:I240))</f>
        <v>2799217.1540290178</v>
      </c>
      <c r="J241" s="76">
        <f ca="1">+MIN('S&amp;U'!$J26-SUM('Phase III Pro Forma'!$E241:I241),'Phase III Pro Forma'!J$232-SUM(J$235:J240))</f>
        <v>0</v>
      </c>
      <c r="K241" s="76">
        <f ca="1">+MIN('S&amp;U'!$J26-SUM('Phase III Pro Forma'!$E241:J241),'Phase III Pro Forma'!K$232-SUM(K$235:K240))</f>
        <v>0</v>
      </c>
      <c r="L241" s="76">
        <f ca="1">+MIN('S&amp;U'!$J26-SUM('Phase III Pro Forma'!$E241:K241),'Phase III Pro Forma'!L$232-SUM(L$235:L240))</f>
        <v>0</v>
      </c>
      <c r="M241" s="76">
        <f ca="1">+MIN('S&amp;U'!$J26-SUM('Phase III Pro Forma'!$E241:L241),'Phase III Pro Forma'!M$232-SUM(M$235:M240))</f>
        <v>0</v>
      </c>
      <c r="N241" s="76">
        <f ca="1">+MIN('S&amp;U'!$J26-SUM('Phase III Pro Forma'!$E241:M241),'Phase III Pro Forma'!N$232-SUM(N$235:N240))</f>
        <v>0</v>
      </c>
      <c r="O241" s="76">
        <f ca="1">+MIN('S&amp;U'!$J26-SUM('Phase III Pro Forma'!$E241:N241),'Phase III Pro Forma'!O$232-SUM(O$235:O240))</f>
        <v>0</v>
      </c>
      <c r="P241" s="76">
        <f ca="1">+MIN('S&amp;U'!$J26-SUM('Phase III Pro Forma'!$E241:O241),'Phase III Pro Forma'!P$232-SUM(P$235:P240))</f>
        <v>0</v>
      </c>
      <c r="Q241" s="76">
        <v>0</v>
      </c>
      <c r="R241" s="76">
        <v>0</v>
      </c>
      <c r="S241" s="76">
        <f ca="1">+MIN('S&amp;U'!$J26-SUM('Phase III Pro Forma'!$E241:R241),'Phase III Pro Forma'!S$232-SUM(S$235:S240))</f>
        <v>0</v>
      </c>
      <c r="T241" s="76">
        <v>0</v>
      </c>
      <c r="U241" s="76">
        <v>0</v>
      </c>
      <c r="V241" s="76">
        <v>0</v>
      </c>
      <c r="W241" s="76">
        <v>0</v>
      </c>
      <c r="X241" s="76">
        <f ca="1">+MIN('S&amp;U'!$J26-SUM('Phase III Pro Forma'!$E241:W241),'Phase III Pro Forma'!X$232-SUM(X$235:X240))</f>
        <v>0</v>
      </c>
      <c r="Y241" s="76">
        <v>0</v>
      </c>
      <c r="Z241" s="76">
        <f ca="1">+MIN('S&amp;U'!$J26-SUM('Phase III Pro Forma'!$E241:Y241),'Phase III Pro Forma'!Z$232-SUM(Z$235:Z240))</f>
        <v>0</v>
      </c>
    </row>
    <row r="242" spans="2:26" ht="15.75">
      <c r="B242" s="687" t="s">
        <v>665</v>
      </c>
      <c r="C242" s="687"/>
      <c r="D242" s="550">
        <f ca="1">+SUM(F242:Z242)</f>
        <v>239308886.46208704</v>
      </c>
      <c r="E242" s="550"/>
      <c r="F242" s="550">
        <f t="shared" ref="F242:Z242" si="96">+SUM(F235:F241)</f>
        <v>210286208</v>
      </c>
      <c r="G242" s="550">
        <f t="shared" si="96"/>
        <v>0</v>
      </c>
      <c r="H242" s="550">
        <f t="shared" si="96"/>
        <v>20625027</v>
      </c>
      <c r="I242" s="550">
        <f t="shared" ca="1" si="96"/>
        <v>5598434.3080580356</v>
      </c>
      <c r="J242" s="550">
        <f t="shared" ca="1" si="96"/>
        <v>2799217.1540290178</v>
      </c>
      <c r="K242" s="550">
        <f t="shared" ca="1" si="96"/>
        <v>0</v>
      </c>
      <c r="L242" s="550">
        <f t="shared" ca="1" si="96"/>
        <v>0</v>
      </c>
      <c r="M242" s="550">
        <f t="shared" ca="1" si="96"/>
        <v>0</v>
      </c>
      <c r="N242" s="550">
        <f t="shared" ca="1" si="96"/>
        <v>0</v>
      </c>
      <c r="O242" s="550">
        <f t="shared" ca="1" si="96"/>
        <v>0</v>
      </c>
      <c r="P242" s="550">
        <f t="shared" ca="1" si="96"/>
        <v>0</v>
      </c>
      <c r="Q242" s="550">
        <f t="shared" ca="1" si="96"/>
        <v>0</v>
      </c>
      <c r="R242" s="550">
        <f t="shared" si="96"/>
        <v>0</v>
      </c>
      <c r="S242" s="550">
        <f t="shared" ca="1" si="96"/>
        <v>0</v>
      </c>
      <c r="T242" s="550">
        <f t="shared" ca="1" si="96"/>
        <v>0</v>
      </c>
      <c r="U242" s="550">
        <f t="shared" ca="1" si="96"/>
        <v>0</v>
      </c>
      <c r="V242" s="550">
        <f t="shared" ca="1" si="96"/>
        <v>0</v>
      </c>
      <c r="W242" s="550">
        <f t="shared" ca="1" si="96"/>
        <v>0</v>
      </c>
      <c r="X242" s="550">
        <f t="shared" ca="1" si="96"/>
        <v>0</v>
      </c>
      <c r="Y242" s="550">
        <f t="shared" ca="1" si="96"/>
        <v>0</v>
      </c>
      <c r="Z242" s="550">
        <f t="shared" ca="1" si="96"/>
        <v>0</v>
      </c>
    </row>
    <row r="244" spans="2:26" ht="15.75">
      <c r="B244" s="73" t="s">
        <v>667</v>
      </c>
    </row>
    <row r="245" spans="2:26" ht="15.75">
      <c r="B245" s="15" t="s">
        <v>668</v>
      </c>
      <c r="D245" s="26">
        <f ca="1">+SUM(F245:Z245)</f>
        <v>-210286208</v>
      </c>
      <c r="E245" s="26"/>
      <c r="F245" s="16">
        <f>-F235</f>
        <v>-210286208</v>
      </c>
      <c r="G245" s="16">
        <f t="shared" ref="G245:Z245" si="97">-G235</f>
        <v>0</v>
      </c>
      <c r="H245" s="16">
        <f t="shared" si="97"/>
        <v>0</v>
      </c>
      <c r="I245" s="16">
        <f t="shared" si="97"/>
        <v>0</v>
      </c>
      <c r="J245" s="16">
        <f t="shared" si="97"/>
        <v>0</v>
      </c>
      <c r="K245" s="16">
        <f t="shared" si="97"/>
        <v>0</v>
      </c>
      <c r="L245" s="16">
        <f t="shared" si="97"/>
        <v>0</v>
      </c>
      <c r="M245" s="16">
        <f t="shared" si="97"/>
        <v>0</v>
      </c>
      <c r="N245" s="16">
        <f t="shared" si="97"/>
        <v>0</v>
      </c>
      <c r="O245" s="16">
        <f t="shared" si="97"/>
        <v>0</v>
      </c>
      <c r="P245" s="16">
        <f t="shared" si="97"/>
        <v>0</v>
      </c>
      <c r="Q245" s="16">
        <f t="shared" si="97"/>
        <v>0</v>
      </c>
      <c r="R245" s="16">
        <f t="shared" si="97"/>
        <v>0</v>
      </c>
      <c r="S245" s="16">
        <f t="shared" si="97"/>
        <v>0</v>
      </c>
      <c r="T245" s="16">
        <f t="shared" ca="1" si="97"/>
        <v>0</v>
      </c>
      <c r="U245" s="16">
        <f t="shared" ca="1" si="97"/>
        <v>0</v>
      </c>
      <c r="V245" s="16">
        <f t="shared" ca="1" si="97"/>
        <v>0</v>
      </c>
      <c r="W245" s="16">
        <f t="shared" ca="1" si="97"/>
        <v>0</v>
      </c>
      <c r="X245" s="16">
        <f t="shared" ca="1" si="97"/>
        <v>0</v>
      </c>
      <c r="Y245" s="16">
        <f t="shared" ca="1" si="97"/>
        <v>0</v>
      </c>
      <c r="Z245" s="16">
        <f t="shared" ca="1" si="97"/>
        <v>0</v>
      </c>
    </row>
    <row r="246" spans="2:26" ht="15.75">
      <c r="B246" s="15" t="s">
        <v>669</v>
      </c>
      <c r="D246" s="26">
        <f t="shared" ref="D246" si="98">+SUM(F246:Z246)</f>
        <v>65429377.307943538</v>
      </c>
      <c r="E246" s="26"/>
      <c r="F246" s="76">
        <f>+IF(YEAR(F$140)&lt;=YEAR(Assumptions!$H$30),F217+F222,0)</f>
        <v>0</v>
      </c>
      <c r="G246" s="76">
        <f>+IF(YEAR(G$140)&lt;=YEAR(Assumptions!$H$30),G217+G222,0)</f>
        <v>0</v>
      </c>
      <c r="H246" s="76">
        <f>+IF(YEAR(H$140)&lt;=YEAR(Assumptions!$H$30),H217+H222,0)</f>
        <v>0</v>
      </c>
      <c r="I246" s="76">
        <f>+IF(YEAR(I$140)&lt;=YEAR(Assumptions!$H$30),I217+I222,0)</f>
        <v>6713283.6074656695</v>
      </c>
      <c r="J246" s="76">
        <f>+IF(YEAR(J$140)&lt;=YEAR(Assumptions!$H$30),J217+J222,0)</f>
        <v>14017341.178146504</v>
      </c>
      <c r="K246" s="76">
        <f>+IF(YEAR(K$140)&lt;=YEAR(Assumptions!$H$30),K217+K222,0)</f>
        <v>14367309.638474565</v>
      </c>
      <c r="L246" s="76">
        <f>+IF(YEAR(L$140)&lt;=YEAR(Assumptions!$H$30),L217+L222,0)</f>
        <v>14979796.816731973</v>
      </c>
      <c r="M246" s="76">
        <f>+IF(YEAR(M$140)&lt;=YEAR(Assumptions!$H$30),M217+M222,0)</f>
        <v>15351646.067124832</v>
      </c>
      <c r="N246" s="76">
        <f>+IF(YEAR(N$140)&lt;=YEAR(Assumptions!$H$30),N217+N222,0)</f>
        <v>0</v>
      </c>
      <c r="O246" s="76">
        <f>+IF(YEAR(O$140)&lt;=YEAR(Assumptions!$H$30),O217+O222,0)</f>
        <v>0</v>
      </c>
      <c r="P246" s="76">
        <f>+IF(YEAR(P$140)&lt;=YEAR(Assumptions!$H$30),P217+P222,0)</f>
        <v>0</v>
      </c>
      <c r="Q246" s="76">
        <f>+IF(YEAR(Q$140)&lt;=YEAR(Assumptions!$H$30),Q217+Q222,0)</f>
        <v>0</v>
      </c>
      <c r="R246" s="76">
        <f>+IF(YEAR(R$140)&lt;=YEAR(Assumptions!$H$30),R217+R222,0)</f>
        <v>0</v>
      </c>
      <c r="S246" s="76">
        <f>+IF(YEAR(S$140)&lt;=YEAR(Assumptions!$H$30),S217+S222,0)</f>
        <v>0</v>
      </c>
      <c r="T246" s="76">
        <f>+IF(YEAR(T$140)&lt;=YEAR(Assumptions!$H$30),T217+T222,0)</f>
        <v>0</v>
      </c>
      <c r="U246" s="76">
        <f>+IF(YEAR(U$140)&lt;=YEAR(Assumptions!$H$30),U217+U222,0)</f>
        <v>0</v>
      </c>
      <c r="V246" s="76">
        <f>+IF(YEAR(V$140)&lt;=YEAR(Assumptions!$H$30),V217+V222,0)</f>
        <v>0</v>
      </c>
      <c r="W246" s="76">
        <f>+IF(YEAR(W$140)&lt;=YEAR(Assumptions!$H$30),W217+W222,0)</f>
        <v>0</v>
      </c>
      <c r="X246" s="76">
        <f>+IF(YEAR(X$140)&lt;=YEAR(Assumptions!$H$30),X217+X222,0)</f>
        <v>0</v>
      </c>
      <c r="Y246" s="76">
        <f>+IF(YEAR(Y$140)&lt;=YEAR(Assumptions!$H$30),Y217+Y222,0)</f>
        <v>0</v>
      </c>
      <c r="Z246" s="76">
        <f>+IF(YEAR(Z$140)&lt;=YEAR(Assumptions!$H$30),Z217+Z222,0)</f>
        <v>0</v>
      </c>
    </row>
    <row r="247" spans="2:26" ht="15.75">
      <c r="B247" s="687" t="s">
        <v>670</v>
      </c>
      <c r="C247" s="687"/>
      <c r="D247" s="550">
        <f ca="1">+SUM(F247:Z247)</f>
        <v>261800366.82297057</v>
      </c>
      <c r="E247" s="550"/>
      <c r="F247" s="550">
        <f>+SUM(F245:F246)</f>
        <v>-210286208</v>
      </c>
      <c r="G247" s="550">
        <f t="shared" ref="G247:Z247" si="99">+SUM(G245:G246)</f>
        <v>0</v>
      </c>
      <c r="H247" s="550">
        <f t="shared" si="99"/>
        <v>0</v>
      </c>
      <c r="I247" s="550">
        <f t="shared" si="99"/>
        <v>6713283.6074656695</v>
      </c>
      <c r="J247" s="550">
        <f>+SUM(J245:J246)</f>
        <v>14017341.178146504</v>
      </c>
      <c r="K247" s="550">
        <f t="shared" si="99"/>
        <v>14367309.638474565</v>
      </c>
      <c r="L247" s="550">
        <f t="shared" si="99"/>
        <v>14979796.816731973</v>
      </c>
      <c r="M247" s="550">
        <f>+SUM(M245:M246)</f>
        <v>15351646.067124832</v>
      </c>
      <c r="N247" s="550">
        <f t="shared" si="99"/>
        <v>0</v>
      </c>
      <c r="O247" s="550">
        <f t="shared" si="99"/>
        <v>0</v>
      </c>
      <c r="P247" s="550">
        <f t="shared" si="99"/>
        <v>0</v>
      </c>
      <c r="Q247" s="550">
        <f t="shared" si="99"/>
        <v>0</v>
      </c>
      <c r="R247" s="550">
        <f t="shared" si="99"/>
        <v>0</v>
      </c>
      <c r="S247" s="550">
        <f t="shared" si="99"/>
        <v>0</v>
      </c>
      <c r="T247" s="550">
        <f t="shared" ca="1" si="99"/>
        <v>0</v>
      </c>
      <c r="U247" s="550">
        <f t="shared" ca="1" si="99"/>
        <v>0</v>
      </c>
      <c r="V247" s="550">
        <f t="shared" ca="1" si="99"/>
        <v>0</v>
      </c>
      <c r="W247" s="550">
        <f t="shared" ca="1" si="99"/>
        <v>0</v>
      </c>
      <c r="X247" s="550">
        <f t="shared" ca="1" si="99"/>
        <v>0</v>
      </c>
      <c r="Y247" s="550">
        <f t="shared" ca="1" si="99"/>
        <v>0</v>
      </c>
      <c r="Z247" s="550">
        <f t="shared" ca="1" si="99"/>
        <v>0</v>
      </c>
    </row>
    <row r="249" spans="2:26" ht="15.75">
      <c r="B249" s="706" t="s">
        <v>111</v>
      </c>
      <c r="C249" s="706"/>
      <c r="D249" s="707">
        <f ca="1">+IRR(F247:Z247)</f>
        <v>-0.19257884919450285</v>
      </c>
    </row>
    <row r="250" spans="2:26" ht="15.75">
      <c r="B250" s="689" t="s">
        <v>671</v>
      </c>
      <c r="C250" s="533"/>
      <c r="D250" s="692">
        <f ca="1">+SUM(F247:Z247)</f>
        <v>261800366.82297057</v>
      </c>
    </row>
    <row r="251" spans="2:26" ht="15.75">
      <c r="B251" s="708" t="s">
        <v>120</v>
      </c>
      <c r="C251" s="536"/>
      <c r="D251" s="709">
        <f ca="1">+D246/-D245</f>
        <v>1.9168946257466051</v>
      </c>
    </row>
    <row r="253" spans="2:26" ht="15.75">
      <c r="B253" s="444" t="s">
        <v>674</v>
      </c>
      <c r="C253" s="445"/>
      <c r="D253" s="445"/>
      <c r="E253" s="445"/>
      <c r="F253" s="640">
        <f>+F234</f>
        <v>45657</v>
      </c>
      <c r="G253" s="640">
        <f t="shared" ref="G253:Z253" si="100">+G234</f>
        <v>46022</v>
      </c>
      <c r="H253" s="640">
        <f t="shared" si="100"/>
        <v>46387</v>
      </c>
      <c r="I253" s="640">
        <f t="shared" si="100"/>
        <v>46752</v>
      </c>
      <c r="J253" s="640">
        <f t="shared" si="100"/>
        <v>47118</v>
      </c>
      <c r="K253" s="640">
        <f t="shared" si="100"/>
        <v>47483</v>
      </c>
      <c r="L253" s="640">
        <f t="shared" si="100"/>
        <v>47848</v>
      </c>
      <c r="M253" s="640">
        <f t="shared" si="100"/>
        <v>48213</v>
      </c>
      <c r="N253" s="640">
        <f t="shared" si="100"/>
        <v>48579</v>
      </c>
      <c r="O253" s="640">
        <f t="shared" si="100"/>
        <v>48944</v>
      </c>
      <c r="P253" s="640">
        <f t="shared" si="100"/>
        <v>49309</v>
      </c>
      <c r="Q253" s="640">
        <f t="shared" si="100"/>
        <v>49674</v>
      </c>
      <c r="R253" s="640">
        <f t="shared" si="100"/>
        <v>50040</v>
      </c>
      <c r="S253" s="640">
        <f t="shared" si="100"/>
        <v>50405</v>
      </c>
      <c r="T253" s="640">
        <f t="shared" si="100"/>
        <v>50770</v>
      </c>
      <c r="U253" s="640">
        <f t="shared" si="100"/>
        <v>51135</v>
      </c>
      <c r="V253" s="640">
        <f t="shared" si="100"/>
        <v>51501</v>
      </c>
      <c r="W253" s="640">
        <f t="shared" si="100"/>
        <v>51866</v>
      </c>
      <c r="X253" s="640">
        <f t="shared" si="100"/>
        <v>52231</v>
      </c>
      <c r="Y253" s="640">
        <f t="shared" si="100"/>
        <v>52596</v>
      </c>
      <c r="Z253" s="640">
        <f t="shared" si="100"/>
        <v>52962</v>
      </c>
    </row>
    <row r="254" spans="2:26" ht="15.75">
      <c r="B254" s="54"/>
    </row>
    <row r="255" spans="2:26" ht="15.75">
      <c r="B255" s="73" t="s">
        <v>675</v>
      </c>
      <c r="F255" s="73">
        <v>0</v>
      </c>
      <c r="G255" s="73">
        <f>+F255+1</f>
        <v>1</v>
      </c>
      <c r="H255" s="73">
        <f t="shared" ref="H255:Z255" si="101">+G255+1</f>
        <v>2</v>
      </c>
      <c r="I255" s="73">
        <f t="shared" si="101"/>
        <v>3</v>
      </c>
      <c r="J255" s="73">
        <f t="shared" si="101"/>
        <v>4</v>
      </c>
      <c r="K255" s="73">
        <f t="shared" si="101"/>
        <v>5</v>
      </c>
      <c r="L255" s="73">
        <f t="shared" si="101"/>
        <v>6</v>
      </c>
      <c r="M255" s="73">
        <f t="shared" si="101"/>
        <v>7</v>
      </c>
      <c r="N255" s="73">
        <f t="shared" si="101"/>
        <v>8</v>
      </c>
      <c r="O255" s="73">
        <f t="shared" si="101"/>
        <v>9</v>
      </c>
      <c r="P255" s="73">
        <f t="shared" si="101"/>
        <v>10</v>
      </c>
      <c r="Q255" s="73">
        <f t="shared" si="101"/>
        <v>11</v>
      </c>
      <c r="R255" s="73">
        <f t="shared" si="101"/>
        <v>12</v>
      </c>
      <c r="S255" s="73">
        <f t="shared" si="101"/>
        <v>13</v>
      </c>
      <c r="T255" s="73">
        <f t="shared" si="101"/>
        <v>14</v>
      </c>
      <c r="U255" s="73">
        <f t="shared" si="101"/>
        <v>15</v>
      </c>
      <c r="V255" s="73">
        <f t="shared" si="101"/>
        <v>16</v>
      </c>
      <c r="W255" s="73">
        <f t="shared" si="101"/>
        <v>17</v>
      </c>
      <c r="X255" s="73">
        <f t="shared" si="101"/>
        <v>18</v>
      </c>
      <c r="Y255" s="73">
        <f t="shared" si="101"/>
        <v>19</v>
      </c>
      <c r="Z255" s="73">
        <f t="shared" si="101"/>
        <v>20</v>
      </c>
    </row>
    <row r="256" spans="2:26" ht="15.75">
      <c r="B256" s="15" t="s">
        <v>676</v>
      </c>
      <c r="D256" s="26"/>
      <c r="E256" s="26"/>
      <c r="F256" s="16">
        <v>-52170015</v>
      </c>
      <c r="G256" s="16">
        <f t="shared" ref="G256:Z256" si="102">+G$245</f>
        <v>0</v>
      </c>
      <c r="H256" s="16">
        <f t="shared" si="102"/>
        <v>0</v>
      </c>
      <c r="I256" s="16">
        <f t="shared" si="102"/>
        <v>0</v>
      </c>
      <c r="J256" s="16">
        <f t="shared" si="102"/>
        <v>0</v>
      </c>
      <c r="K256" s="16">
        <v>0</v>
      </c>
      <c r="L256" s="16">
        <v>0</v>
      </c>
      <c r="M256" s="16">
        <f t="shared" si="102"/>
        <v>0</v>
      </c>
      <c r="N256" s="16">
        <f t="shared" si="102"/>
        <v>0</v>
      </c>
      <c r="O256" s="16">
        <f t="shared" si="102"/>
        <v>0</v>
      </c>
      <c r="P256" s="16">
        <f t="shared" si="102"/>
        <v>0</v>
      </c>
      <c r="Q256" s="16">
        <f t="shared" si="102"/>
        <v>0</v>
      </c>
      <c r="R256" s="16">
        <v>0</v>
      </c>
      <c r="S256" s="16">
        <v>0</v>
      </c>
      <c r="T256" s="16">
        <f t="shared" ca="1" si="102"/>
        <v>0</v>
      </c>
      <c r="U256" s="16">
        <f t="shared" ca="1" si="102"/>
        <v>0</v>
      </c>
      <c r="V256" s="16">
        <f t="shared" ca="1" si="102"/>
        <v>0</v>
      </c>
      <c r="W256" s="16">
        <f t="shared" ca="1" si="102"/>
        <v>0</v>
      </c>
      <c r="X256" s="16">
        <f t="shared" ca="1" si="102"/>
        <v>0</v>
      </c>
      <c r="Y256" s="16">
        <f t="shared" ca="1" si="102"/>
        <v>0</v>
      </c>
      <c r="Z256" s="16">
        <f t="shared" ca="1" si="102"/>
        <v>0</v>
      </c>
    </row>
    <row r="257" spans="2:26" ht="15.75">
      <c r="B257" s="15" t="s">
        <v>677</v>
      </c>
      <c r="D257" s="26"/>
      <c r="E257" s="26"/>
      <c r="F257" s="76">
        <v>0</v>
      </c>
      <c r="G257" s="76">
        <v>0</v>
      </c>
      <c r="H257" s="76">
        <v>0</v>
      </c>
      <c r="I257" s="76">
        <v>0</v>
      </c>
      <c r="J257" s="76">
        <v>0</v>
      </c>
      <c r="K257" s="76">
        <v>0</v>
      </c>
      <c r="L257" s="76">
        <v>0</v>
      </c>
      <c r="M257" s="76">
        <v>0</v>
      </c>
      <c r="N257" s="76">
        <v>0</v>
      </c>
      <c r="O257" s="76">
        <v>0</v>
      </c>
      <c r="P257" s="76">
        <v>0</v>
      </c>
      <c r="Q257" s="76">
        <v>0</v>
      </c>
      <c r="R257" s="76">
        <v>0</v>
      </c>
      <c r="S257" s="76">
        <v>0</v>
      </c>
      <c r="T257" s="76">
        <v>0</v>
      </c>
      <c r="U257" s="76">
        <v>0</v>
      </c>
      <c r="V257" s="76">
        <v>0</v>
      </c>
      <c r="W257" s="76">
        <v>0</v>
      </c>
      <c r="X257" s="76">
        <v>0</v>
      </c>
      <c r="Y257" s="76">
        <v>0</v>
      </c>
      <c r="Z257" s="76">
        <v>0</v>
      </c>
    </row>
    <row r="258" spans="2:26" ht="15.75">
      <c r="B258" s="15" t="s">
        <v>678</v>
      </c>
      <c r="D258" s="26"/>
      <c r="E258" s="26"/>
      <c r="F258" s="76">
        <v>0</v>
      </c>
      <c r="G258" s="76">
        <v>0</v>
      </c>
      <c r="H258" s="76">
        <v>0</v>
      </c>
      <c r="I258" s="76">
        <v>0</v>
      </c>
      <c r="J258" s="76">
        <v>0</v>
      </c>
      <c r="K258" s="76">
        <v>0</v>
      </c>
      <c r="L258" s="76">
        <v>0</v>
      </c>
      <c r="M258" s="76">
        <v>0</v>
      </c>
      <c r="N258" s="76">
        <v>0</v>
      </c>
      <c r="O258" s="76">
        <v>0</v>
      </c>
      <c r="P258" s="76">
        <v>0</v>
      </c>
      <c r="Q258" s="76">
        <v>0</v>
      </c>
      <c r="R258" s="76">
        <v>0</v>
      </c>
      <c r="S258" s="76">
        <v>0</v>
      </c>
      <c r="T258" s="76">
        <v>0</v>
      </c>
      <c r="U258" s="76">
        <v>0</v>
      </c>
      <c r="V258" s="76">
        <v>0</v>
      </c>
      <c r="W258" s="76">
        <v>0</v>
      </c>
      <c r="X258" s="76">
        <v>0</v>
      </c>
      <c r="Y258" s="76">
        <v>0</v>
      </c>
      <c r="Z258" s="76">
        <v>0</v>
      </c>
    </row>
    <row r="259" spans="2:26" ht="15.75">
      <c r="B259" s="15" t="s">
        <v>679</v>
      </c>
      <c r="D259" s="26"/>
      <c r="E259" s="26"/>
      <c r="F259" s="76">
        <f>-SUM(F286:F287)*Assumptions!$M$192</f>
        <v>0</v>
      </c>
      <c r="G259" s="76">
        <f>-SUM(G286:G287)*Assumptions!$M$192</f>
        <v>0</v>
      </c>
      <c r="H259" s="76">
        <f>-SUM(H286:H287)*Assumptions!$M$192</f>
        <v>0</v>
      </c>
      <c r="I259" s="76">
        <f>-SUM(I286:I287)*Assumptions!$M$192</f>
        <v>-1409789.5575677906</v>
      </c>
      <c r="J259" s="76">
        <f ca="1">-SUM(J286:J287)*Assumptions!$M$192</f>
        <v>-1588991.604124144</v>
      </c>
      <c r="K259" s="76">
        <f ca="1">-SUM(K286:K287)*Assumptions!$M$192</f>
        <v>-1662484.9807930368</v>
      </c>
      <c r="L259" s="76">
        <f ca="1">-SUM(L286:L287)*Assumptions!$M$192</f>
        <v>-1791107.2882270922</v>
      </c>
      <c r="M259" s="76">
        <f ca="1">-SUM(M286:M287)*Assumptions!$M$192</f>
        <v>-1869195.630809593</v>
      </c>
      <c r="N259" s="76">
        <f>-SUM(N286:N287)*Assumptions!$M$192</f>
        <v>0</v>
      </c>
      <c r="O259" s="76">
        <f>-SUM(O286:O287)*Assumptions!$M$192</f>
        <v>0</v>
      </c>
      <c r="P259" s="76">
        <f>-SUM(P286:P287)*Assumptions!$M$192</f>
        <v>0</v>
      </c>
      <c r="Q259" s="76">
        <f>-SUM(Q286:Q287)*Assumptions!$M$192</f>
        <v>0</v>
      </c>
      <c r="R259" s="76">
        <f>-SUM(R286:R287)*Assumptions!$M$192</f>
        <v>0</v>
      </c>
      <c r="S259" s="76">
        <f>-SUM(S286:S287)*Assumptions!$M$192</f>
        <v>0</v>
      </c>
      <c r="T259" s="76">
        <f>-SUM(T286:T287)*Assumptions!$M$192</f>
        <v>0</v>
      </c>
      <c r="U259" s="76">
        <f>-SUM(U286:U287)*Assumptions!$M$192</f>
        <v>0</v>
      </c>
      <c r="V259" s="76">
        <f>-SUM(V286:V287)*Assumptions!$M$192</f>
        <v>0</v>
      </c>
      <c r="W259" s="76">
        <f>-SUM(W286:W287)*Assumptions!$M$192</f>
        <v>0</v>
      </c>
      <c r="X259" s="76">
        <f>-SUM(X286:X287)*Assumptions!$M$192</f>
        <v>0</v>
      </c>
      <c r="Y259" s="76">
        <f>-SUM(Y286:Y287)*Assumptions!$M$192</f>
        <v>0</v>
      </c>
      <c r="Z259" s="76">
        <f>-SUM(Z286:Z287)*Assumptions!$M$192</f>
        <v>0</v>
      </c>
    </row>
    <row r="260" spans="2:26" ht="15.75">
      <c r="B260" s="15" t="s">
        <v>680</v>
      </c>
      <c r="D260" s="26"/>
      <c r="E260" s="26"/>
      <c r="F260" s="76">
        <f>+IF(YEAR(F$140)&lt;=YEAR(Assumptions!$H$30),F217,0)</f>
        <v>0</v>
      </c>
      <c r="G260" s="76">
        <f>+IF(YEAR(G$140)&lt;=YEAR(Assumptions!$H$30),G217,0)</f>
        <v>0</v>
      </c>
      <c r="H260" s="76">
        <f>+IF(YEAR(H$140)&lt;=YEAR(Assumptions!$H$30),H217,0)</f>
        <v>0</v>
      </c>
      <c r="I260" s="76">
        <f>+IF(YEAR(I$140)&lt;=YEAR(Assumptions!$H$30),I217,0)</f>
        <v>6713283.6074656695</v>
      </c>
      <c r="J260" s="76">
        <f>+IF(YEAR(J$140)&lt;=YEAR(Assumptions!$H$30),J217,0)</f>
        <v>14017341.178146504</v>
      </c>
      <c r="K260" s="76">
        <f>+IF(YEAR(K$140)&lt;=YEAR(Assumptions!$H$30),K217,0)</f>
        <v>14367309.638474565</v>
      </c>
      <c r="L260" s="76">
        <f>+IF(YEAR(L$140)&lt;=YEAR(Assumptions!$H$30),L217,0)</f>
        <v>14979796.816731973</v>
      </c>
      <c r="M260" s="76">
        <f>+IF(YEAR(M$140)&lt;=YEAR(Assumptions!$H$30),M217,0)</f>
        <v>15351646.067124832</v>
      </c>
      <c r="N260" s="76">
        <f>+IF(YEAR(N$140)&lt;=YEAR(Assumptions!$H$30),N217,0)</f>
        <v>0</v>
      </c>
      <c r="O260" s="76">
        <f>+IF(YEAR(O$140)&lt;=YEAR(Assumptions!$H$30),O217,0)</f>
        <v>0</v>
      </c>
      <c r="P260" s="76">
        <f>+IF(YEAR(P$140)&lt;=YEAR(Assumptions!$H$30),P217,0)</f>
        <v>0</v>
      </c>
      <c r="Q260" s="76">
        <f>+IF(YEAR(Q$140)&lt;=YEAR(Assumptions!$H$30),Q217,0)</f>
        <v>0</v>
      </c>
      <c r="R260" s="76">
        <f>+IF(YEAR(R$140)&lt;=YEAR(Assumptions!$H$30),R217,0)</f>
        <v>0</v>
      </c>
      <c r="S260" s="76">
        <f>+IF(YEAR(S$140)&lt;=YEAR(Assumptions!$H$30),S217,0)</f>
        <v>0</v>
      </c>
      <c r="T260" s="76">
        <f>+IF(YEAR(T$140)&lt;=YEAR(Assumptions!$H$30),T217,0)</f>
        <v>0</v>
      </c>
      <c r="U260" s="76">
        <f>+IF(YEAR(U$140)&lt;=YEAR(Assumptions!$H$30),U217,0)</f>
        <v>0</v>
      </c>
      <c r="V260" s="76">
        <f>+IF(YEAR(V$140)&lt;=YEAR(Assumptions!$H$30),V217,0)</f>
        <v>0</v>
      </c>
      <c r="W260" s="76">
        <f>+IF(YEAR(W$140)&lt;=YEAR(Assumptions!$H$30),W217,0)</f>
        <v>0</v>
      </c>
      <c r="X260" s="76">
        <f>+IF(YEAR(X$140)&lt;=YEAR(Assumptions!$H$30),X217,0)</f>
        <v>0</v>
      </c>
      <c r="Y260" s="76">
        <f>+IF(YEAR(Y$140)&lt;=YEAR(Assumptions!$H$30),Y217,0)</f>
        <v>0</v>
      </c>
      <c r="Z260" s="76">
        <f>+IF(YEAR(Z$140)&lt;=YEAR(Assumptions!$H$30),Z217,0)</f>
        <v>0</v>
      </c>
    </row>
    <row r="261" spans="2:26" ht="15.75">
      <c r="B261" s="15" t="s">
        <v>681</v>
      </c>
      <c r="D261" s="26"/>
      <c r="E261" s="26"/>
      <c r="F261" s="76">
        <f>+IF(YEAR(F$140)&lt;=YEAR(Assumptions!$H$30),F222,0)</f>
        <v>0</v>
      </c>
      <c r="G261" s="76">
        <f>+IF(YEAR(G$140)&lt;=YEAR(Assumptions!$H$30),G222,0)</f>
        <v>0</v>
      </c>
      <c r="H261" s="76">
        <f>+IF(YEAR(H$140)&lt;=YEAR(Assumptions!$H$30),H222,0)</f>
        <v>0</v>
      </c>
      <c r="I261" s="76">
        <f>+IF(YEAR(I$140)&lt;=YEAR(Assumptions!$H$30),I222,0)</f>
        <v>0</v>
      </c>
      <c r="J261" s="76">
        <f>+IF(YEAR(J$140)&lt;=YEAR(Assumptions!$H$30),J222,0)</f>
        <v>0</v>
      </c>
      <c r="K261" s="76">
        <f>+IF(YEAR(K$140)&lt;=YEAR(Assumptions!$H$30),K222,0)</f>
        <v>0</v>
      </c>
      <c r="L261" s="76">
        <f>+IF(YEAR(L$140)&lt;=YEAR(Assumptions!$H$30),L222,0)</f>
        <v>0</v>
      </c>
      <c r="M261" s="76">
        <f>+IF(YEAR(M$140)&lt;=YEAR(Assumptions!$H$30),M222,0)</f>
        <v>0</v>
      </c>
      <c r="N261" s="76">
        <f>+IF(YEAR(N$140)&lt;=YEAR(Assumptions!$H$30),N222,0)</f>
        <v>0</v>
      </c>
      <c r="O261" s="76">
        <f>+IF(YEAR(O$140)&lt;=YEAR(Assumptions!$H$30),O222,0)</f>
        <v>0</v>
      </c>
      <c r="P261" s="76">
        <f>+IF(YEAR(P$140)&lt;=YEAR(Assumptions!$H$30),P222,0)</f>
        <v>0</v>
      </c>
      <c r="Q261" s="76">
        <f>+IF(YEAR(Q$140)&lt;=YEAR(Assumptions!$H$30),Q222,0)</f>
        <v>0</v>
      </c>
      <c r="R261" s="76">
        <f>+IF(YEAR(R$140)&lt;=YEAR(Assumptions!$H$30),R222,0)</f>
        <v>0</v>
      </c>
      <c r="S261" s="76">
        <f>+IF(YEAR(S$140)&lt;=YEAR(Assumptions!$H$30),S222,0)</f>
        <v>0</v>
      </c>
      <c r="T261" s="76">
        <f>+IF(YEAR(T$140)&lt;=YEAR(Assumptions!$H$30),T222,0)</f>
        <v>0</v>
      </c>
      <c r="U261" s="76">
        <f>+IF(YEAR(U$140)&lt;=YEAR(Assumptions!$H$30),U222,0)</f>
        <v>0</v>
      </c>
      <c r="V261" s="76">
        <f>+IF(YEAR(V$140)&lt;=YEAR(Assumptions!$H$30),V222,0)</f>
        <v>0</v>
      </c>
      <c r="W261" s="76">
        <f>+IF(YEAR(W$140)&lt;=YEAR(Assumptions!$H$30),W222,0)</f>
        <v>0</v>
      </c>
      <c r="X261" s="76">
        <f>+IF(YEAR(X$140)&lt;=YEAR(Assumptions!$H$30),X222,0)</f>
        <v>0</v>
      </c>
      <c r="Y261" s="76">
        <f>+IF(YEAR(Y$140)&lt;=YEAR(Assumptions!$H$30),Y222,0)</f>
        <v>0</v>
      </c>
      <c r="Z261" s="76">
        <f>+IF(YEAR(Z$140)&lt;=YEAR(Assumptions!$H$30),Z222,0)</f>
        <v>0</v>
      </c>
    </row>
    <row r="262" spans="2:26" ht="15.75">
      <c r="B262" s="15" t="s">
        <v>682</v>
      </c>
      <c r="D262" s="26"/>
      <c r="E262" s="26"/>
      <c r="F262" s="76">
        <f>-F290*Assumptions!$M$192</f>
        <v>0</v>
      </c>
      <c r="G262" s="76">
        <f>-G290*Assumptions!$M$192</f>
        <v>0</v>
      </c>
      <c r="H262" s="76">
        <f>-H290*Assumptions!$M$192</f>
        <v>0</v>
      </c>
      <c r="I262" s="76">
        <f>-I290*Assumptions!$M$192</f>
        <v>0</v>
      </c>
      <c r="J262" s="76">
        <f>-J290*Assumptions!$M$192</f>
        <v>0</v>
      </c>
      <c r="K262" s="76">
        <f>-K290*Assumptions!$M$192</f>
        <v>0</v>
      </c>
      <c r="L262" s="76">
        <f>-L290*Assumptions!$M$192</f>
        <v>0</v>
      </c>
      <c r="M262" s="76">
        <f ca="1">-M290*Assumptions!$M$192</f>
        <v>0</v>
      </c>
      <c r="N262" s="76">
        <f>-N290*Assumptions!$M$192</f>
        <v>0</v>
      </c>
      <c r="O262" s="76">
        <f>-O290*Assumptions!$M$192</f>
        <v>0</v>
      </c>
      <c r="P262" s="76">
        <f>-P290*Assumptions!$M$192</f>
        <v>0</v>
      </c>
      <c r="Q262" s="76">
        <f>-Q290*Assumptions!$M$192</f>
        <v>0</v>
      </c>
      <c r="R262" s="76">
        <f>-R290*Assumptions!$M$192</f>
        <v>0</v>
      </c>
      <c r="S262" s="76">
        <f>-S290*Assumptions!$M$192</f>
        <v>0</v>
      </c>
      <c r="T262" s="76">
        <f>-T290*Assumptions!$M$192</f>
        <v>0</v>
      </c>
      <c r="U262" s="76">
        <f>-U290*Assumptions!$M$192</f>
        <v>0</v>
      </c>
      <c r="V262" s="76">
        <f>-V290*Assumptions!$M$192</f>
        <v>0</v>
      </c>
      <c r="W262" s="76">
        <f>-W290*Assumptions!$M$192</f>
        <v>0</v>
      </c>
      <c r="X262" s="76">
        <f>-X290*Assumptions!$M$192</f>
        <v>0</v>
      </c>
      <c r="Y262" s="76">
        <f>-Y290*Assumptions!$M$192</f>
        <v>0</v>
      </c>
      <c r="Z262" s="76">
        <f>-Z290*Assumptions!$M$192</f>
        <v>0</v>
      </c>
    </row>
    <row r="263" spans="2:26" ht="15.75">
      <c r="B263" s="687" t="s">
        <v>675</v>
      </c>
      <c r="C263" s="687"/>
      <c r="D263" s="550">
        <f ca="1">+SUM(F263:Z263)</f>
        <v>-207886991.35614777</v>
      </c>
      <c r="E263" s="550"/>
      <c r="F263" s="550">
        <f t="shared" ref="F263:Z263" si="103">+SUM(F256:F262)</f>
        <v>-52170015</v>
      </c>
      <c r="G263" s="550">
        <f t="shared" si="103"/>
        <v>0</v>
      </c>
      <c r="H263" s="550">
        <f t="shared" si="103"/>
        <v>0</v>
      </c>
      <c r="I263" s="550">
        <f t="shared" si="103"/>
        <v>5303494.0498978794</v>
      </c>
      <c r="J263" s="550">
        <f t="shared" ca="1" si="103"/>
        <v>21798955.522720709</v>
      </c>
      <c r="K263" s="550">
        <f t="shared" ca="1" si="103"/>
        <v>22022347.206958685</v>
      </c>
      <c r="L263" s="550">
        <f t="shared" ca="1" si="103"/>
        <v>23702236.721188225</v>
      </c>
      <c r="M263" s="550">
        <f t="shared" ca="1" si="103"/>
        <v>0</v>
      </c>
      <c r="N263" s="550">
        <f t="shared" si="103"/>
        <v>0</v>
      </c>
      <c r="O263" s="550">
        <f t="shared" si="103"/>
        <v>0</v>
      </c>
      <c r="P263" s="550">
        <f t="shared" si="103"/>
        <v>0</v>
      </c>
      <c r="Q263" s="550">
        <f t="shared" si="103"/>
        <v>0</v>
      </c>
      <c r="R263" s="550">
        <f t="shared" si="103"/>
        <v>0</v>
      </c>
      <c r="S263" s="550">
        <f t="shared" si="103"/>
        <v>0</v>
      </c>
      <c r="T263" s="550">
        <f t="shared" ca="1" si="103"/>
        <v>0</v>
      </c>
      <c r="U263" s="550">
        <f t="shared" ca="1" si="103"/>
        <v>0</v>
      </c>
      <c r="V263" s="550">
        <f t="shared" ca="1" si="103"/>
        <v>0</v>
      </c>
      <c r="W263" s="550">
        <f t="shared" ca="1" si="103"/>
        <v>0</v>
      </c>
      <c r="X263" s="550">
        <f t="shared" ca="1" si="103"/>
        <v>0</v>
      </c>
      <c r="Y263" s="550">
        <f t="shared" ca="1" si="103"/>
        <v>0</v>
      </c>
      <c r="Z263" s="550">
        <f t="shared" ca="1" si="103"/>
        <v>0</v>
      </c>
    </row>
    <row r="264" spans="2:26" ht="15.75">
      <c r="B264" s="54"/>
    </row>
    <row r="265" spans="2:26" ht="15.75">
      <c r="B265" s="539" t="s">
        <v>683</v>
      </c>
      <c r="C265" s="539"/>
      <c r="D265" s="711">
        <f ca="1">+IRR(F263:Z263)</f>
        <v>-0.29229859589537566</v>
      </c>
    </row>
    <row r="266" spans="2:26" ht="15.75">
      <c r="B266" s="54"/>
    </row>
    <row r="267" spans="2:26" ht="15.75">
      <c r="B267" s="73" t="s">
        <v>684</v>
      </c>
      <c r="F267" s="73">
        <f>+F255</f>
        <v>0</v>
      </c>
      <c r="G267" s="73">
        <f t="shared" ref="G267:Z268" si="104">+G255</f>
        <v>1</v>
      </c>
      <c r="H267" s="73">
        <f t="shared" si="104"/>
        <v>2</v>
      </c>
      <c r="I267" s="73">
        <f t="shared" si="104"/>
        <v>3</v>
      </c>
      <c r="J267" s="73">
        <f t="shared" si="104"/>
        <v>4</v>
      </c>
      <c r="K267" s="73">
        <f t="shared" si="104"/>
        <v>5</v>
      </c>
      <c r="L267" s="73">
        <f t="shared" si="104"/>
        <v>6</v>
      </c>
      <c r="M267" s="73">
        <f t="shared" si="104"/>
        <v>7</v>
      </c>
      <c r="N267" s="73">
        <f t="shared" si="104"/>
        <v>8</v>
      </c>
      <c r="O267" s="73">
        <f t="shared" si="104"/>
        <v>9</v>
      </c>
      <c r="P267" s="73">
        <f t="shared" si="104"/>
        <v>10</v>
      </c>
      <c r="Q267" s="73">
        <f t="shared" si="104"/>
        <v>11</v>
      </c>
      <c r="R267" s="73">
        <f t="shared" si="104"/>
        <v>12</v>
      </c>
      <c r="S267" s="73">
        <f t="shared" si="104"/>
        <v>13</v>
      </c>
      <c r="T267" s="73">
        <f t="shared" si="104"/>
        <v>14</v>
      </c>
      <c r="U267" s="73">
        <f t="shared" si="104"/>
        <v>15</v>
      </c>
      <c r="V267" s="73">
        <f t="shared" si="104"/>
        <v>16</v>
      </c>
      <c r="W267" s="73">
        <f t="shared" si="104"/>
        <v>17</v>
      </c>
      <c r="X267" s="73">
        <f t="shared" si="104"/>
        <v>18</v>
      </c>
      <c r="Y267" s="73">
        <f t="shared" si="104"/>
        <v>19</v>
      </c>
      <c r="Z267" s="73">
        <f t="shared" si="104"/>
        <v>20</v>
      </c>
    </row>
    <row r="268" spans="2:26" ht="15.75">
      <c r="B268" s="15" t="s">
        <v>676</v>
      </c>
      <c r="D268" s="26"/>
      <c r="E268" s="26"/>
      <c r="F268" s="16">
        <f>+F256</f>
        <v>-52170015</v>
      </c>
      <c r="G268" s="16">
        <f t="shared" si="104"/>
        <v>0</v>
      </c>
      <c r="H268" s="16">
        <f t="shared" si="104"/>
        <v>0</v>
      </c>
      <c r="I268" s="16">
        <f t="shared" si="104"/>
        <v>0</v>
      </c>
      <c r="J268" s="16">
        <f t="shared" si="104"/>
        <v>0</v>
      </c>
      <c r="K268" s="16">
        <f>+K256</f>
        <v>0</v>
      </c>
      <c r="L268" s="16">
        <f>+L256</f>
        <v>0</v>
      </c>
      <c r="M268" s="16">
        <f t="shared" si="104"/>
        <v>0</v>
      </c>
      <c r="N268" s="16">
        <f t="shared" si="104"/>
        <v>0</v>
      </c>
      <c r="O268" s="16">
        <f t="shared" si="104"/>
        <v>0</v>
      </c>
      <c r="P268" s="16">
        <f t="shared" si="104"/>
        <v>0</v>
      </c>
      <c r="Q268" s="16">
        <f t="shared" si="104"/>
        <v>0</v>
      </c>
      <c r="R268" s="16">
        <v>0</v>
      </c>
      <c r="S268" s="16">
        <v>0</v>
      </c>
      <c r="T268" s="16">
        <f t="shared" ca="1" si="104"/>
        <v>0</v>
      </c>
      <c r="U268" s="16">
        <f t="shared" ca="1" si="104"/>
        <v>0</v>
      </c>
      <c r="V268" s="16">
        <f t="shared" ca="1" si="104"/>
        <v>0</v>
      </c>
      <c r="W268" s="16">
        <f t="shared" ca="1" si="104"/>
        <v>0</v>
      </c>
      <c r="X268" s="16">
        <f t="shared" ca="1" si="104"/>
        <v>0</v>
      </c>
      <c r="Y268" s="16">
        <f t="shared" ca="1" si="104"/>
        <v>0</v>
      </c>
      <c r="Z268" s="16">
        <f t="shared" ca="1" si="104"/>
        <v>0</v>
      </c>
    </row>
    <row r="269" spans="2:26" ht="15.75">
      <c r="B269" s="15" t="s">
        <v>677</v>
      </c>
      <c r="D269" s="26"/>
      <c r="E269" s="26"/>
      <c r="F269" s="76">
        <f>-F268*Assumptions!$M$192</f>
        <v>10955703.15</v>
      </c>
      <c r="G269" s="76">
        <f>-G268*Assumptions!$M$192</f>
        <v>0</v>
      </c>
      <c r="H269" s="76">
        <f>-H268*Assumptions!$M$192</f>
        <v>0</v>
      </c>
      <c r="I269" s="76">
        <f>-I268*Assumptions!$M$192</f>
        <v>0</v>
      </c>
      <c r="J269" s="76">
        <f>-J268*Assumptions!$M$192</f>
        <v>0</v>
      </c>
      <c r="K269" s="76">
        <f>-K268*Assumptions!$M$192</f>
        <v>0</v>
      </c>
      <c r="L269" s="76">
        <f>-L268*Assumptions!$M$192</f>
        <v>0</v>
      </c>
      <c r="M269" s="76">
        <f>-M268*Assumptions!$M$192</f>
        <v>0</v>
      </c>
      <c r="N269" s="76">
        <f>-N268*Assumptions!$M$192</f>
        <v>0</v>
      </c>
      <c r="O269" s="76">
        <f>-O268*Assumptions!$M$192</f>
        <v>0</v>
      </c>
      <c r="P269" s="76">
        <f>-P268*Assumptions!$M$192</f>
        <v>0</v>
      </c>
      <c r="Q269" s="76">
        <f>-Q268*Assumptions!$M$192</f>
        <v>0</v>
      </c>
      <c r="R269" s="76">
        <f>-R268*Assumptions!$M$192</f>
        <v>0</v>
      </c>
      <c r="S269" s="76">
        <f>-S268*Assumptions!$M$192</f>
        <v>0</v>
      </c>
      <c r="T269" s="76">
        <f ca="1">-T268*Assumptions!$M$192</f>
        <v>0</v>
      </c>
      <c r="U269" s="76">
        <f ca="1">-U268*Assumptions!$M$192</f>
        <v>0</v>
      </c>
      <c r="V269" s="76">
        <f ca="1">-V268*Assumptions!$M$192</f>
        <v>0</v>
      </c>
      <c r="W269" s="76">
        <f ca="1">-W268*Assumptions!$M$192</f>
        <v>0</v>
      </c>
      <c r="X269" s="76">
        <f ca="1">-X268*Assumptions!$M$192</f>
        <v>0</v>
      </c>
      <c r="Y269" s="76">
        <f ca="1">-Y268*Assumptions!$M$192</f>
        <v>0</v>
      </c>
      <c r="Z269" s="76">
        <f ca="1">-Z268*Assumptions!$M$192</f>
        <v>0</v>
      </c>
    </row>
    <row r="270" spans="2:26" ht="15.75">
      <c r="B270" s="15" t="s">
        <v>678</v>
      </c>
      <c r="D270" s="26"/>
      <c r="E270" s="26"/>
      <c r="F270" s="76">
        <f ca="1">IFERROR(-IF(YEAR(F253)&lt;MIN(YEAR(Assumptions!$H$30),2026),(OFFSET(F269,0,-10)),IF(YEAR(F253)=MIN(YEAR(Assumptions!$H$30),2026),SUM($E$269:F$269)-SUM($E$270:E$270),0)),0)</f>
        <v>0</v>
      </c>
      <c r="G270" s="76">
        <f ca="1">IFERROR(-IF(YEAR(G253)&lt;MIN(YEAR(Assumptions!$H$30),2026),(OFFSET(G269,0,-10)),IF(YEAR(G253)=MIN(YEAR(Assumptions!$H$30),2026),SUM($E$269:G$269)-SUM($E$270:F$270),0)),0)</f>
        <v>0</v>
      </c>
      <c r="H270" s="76">
        <f ca="1">IFERROR(-IF(YEAR(H253)&lt;MIN(YEAR(Assumptions!$H$30),2026),(OFFSET(H269,0,-10)),IF(YEAR(H253)=MIN(YEAR(Assumptions!$H$30),2026),SUM($E$269:H$269)-SUM($E$270:G$270),0)),0)</f>
        <v>-10955703.15</v>
      </c>
      <c r="I270" s="76">
        <f ca="1">IFERROR(-IF(YEAR(I253)&lt;MIN(YEAR(Assumptions!$H$30),2026),(OFFSET(I269,0,-10)),IF(YEAR(I253)=MIN(YEAR(Assumptions!$H$30),2026),SUM($E$269:I$269)-SUM($E$270:H$270),0)),0)</f>
        <v>0</v>
      </c>
      <c r="J270" s="76">
        <f ca="1">IFERROR(-IF(YEAR(J253)&lt;MIN(YEAR(Assumptions!$H$30),2026),(OFFSET(J269,0,-10)),IF(YEAR(J253)=MIN(YEAR(Assumptions!$H$30),2026),SUM($E$269:J$269)-SUM($E$270:I$270),0)),0)</f>
        <v>0</v>
      </c>
      <c r="K270" s="76">
        <f ca="1">IFERROR(-IF(YEAR(K253)&lt;MIN(YEAR(Assumptions!$H$30),2026),(OFFSET(K269,0,-10)),IF(YEAR(K253)=MIN(YEAR(Assumptions!$H$30),2026),SUM($E$269:K$269)-SUM($E$270:J$270),0)),0)</f>
        <v>0</v>
      </c>
      <c r="L270" s="76">
        <f ca="1">IFERROR(-IF(YEAR(L253)&lt;MIN(YEAR(Assumptions!$H$30),2026),(OFFSET(L269,0,-10)),IF(YEAR(L253)=MIN(YEAR(Assumptions!$H$30),2026),SUM($E$269:L$269)-SUM($E$270:K$270),0)),0)</f>
        <v>0</v>
      </c>
      <c r="M270" s="76">
        <f ca="1">IFERROR(-IF(YEAR(M253)&lt;MIN(YEAR(Assumptions!$H$30),2026),(OFFSET(M269,0,-10)),IF(YEAR(M253)=MIN(YEAR(Assumptions!$H$30),2026),SUM($E$269:M$269)-SUM($E$270:L$270),0)),0)</f>
        <v>0</v>
      </c>
      <c r="N270" s="76">
        <f ca="1">IFERROR(-IF(YEAR(N253)&lt;MIN(YEAR(Assumptions!$H$30),2026),(OFFSET(N269,0,-10)),IF(YEAR(N253)=MIN(YEAR(Assumptions!$H$30),2026),SUM($E$269:N$269)-SUM($E$270:M$270),0)),0)</f>
        <v>0</v>
      </c>
      <c r="O270" s="76">
        <f ca="1">IFERROR(-IF(YEAR(O253)&lt;MIN(YEAR(Assumptions!$H$30),2026),(OFFSET(O269,0,-10)),IF(YEAR(O253)=MIN(YEAR(Assumptions!$H$30),2026),SUM($E$269:O$269)-SUM($E$270:N$270),0)),0)</f>
        <v>0</v>
      </c>
      <c r="P270" s="76">
        <f ca="1">IFERROR(-IF(YEAR(P253)&lt;MIN(YEAR(Assumptions!$H$30),2026),(OFFSET(P269,0,-10)),IF(YEAR(P253)=MIN(YEAR(Assumptions!$H$30),2026),SUM($E$269:P$269)-SUM($E$270:O$270),0)),0)</f>
        <v>0</v>
      </c>
      <c r="Q270" s="76">
        <f ca="1">IFERROR(-IF(YEAR(Q253)&lt;MIN(YEAR(Assumptions!$H$30),2026),(OFFSET(Q269,0,-10)),IF(YEAR(Q253)=MIN(YEAR(Assumptions!$H$30),2026),SUM($E$269:Q$269)-SUM($E$270:P$270),0)),0)</f>
        <v>0</v>
      </c>
      <c r="R270" s="76">
        <f ca="1">IFERROR(-IF(YEAR(R253)&lt;MIN(YEAR(Assumptions!$H$30),2026),(OFFSET(R269,0,-10)),IF(YEAR(R253)=MIN(YEAR(Assumptions!$H$30),2026),SUM($E$269:R$269)-SUM($E$270:Q$270),0)),0)</f>
        <v>0</v>
      </c>
      <c r="S270" s="76">
        <f ca="1">IFERROR(-IF(YEAR(S253)&lt;MIN(YEAR(Assumptions!$H$30),2026),(OFFSET(S269,0,-10)),IF(YEAR(S253)=MIN(YEAR(Assumptions!$H$30),2026),SUM($E$269:S$269)-SUM($E$270:R$270),0)),0)</f>
        <v>0</v>
      </c>
      <c r="T270" s="76">
        <f ca="1">IFERROR(-IF(YEAR(T253)&lt;MIN(YEAR(Assumptions!$H$30),2026),(OFFSET(T269,0,-10)),IF(YEAR(T253)=MIN(YEAR(Assumptions!$H$30),2026),SUM($E$269:T$269)-SUM($E$270:S$270),0)),0)</f>
        <v>0</v>
      </c>
      <c r="U270" s="76">
        <f ca="1">IFERROR(-IF(YEAR(U253)&lt;MIN(YEAR(Assumptions!$H$30),2026),(OFFSET(U269,0,-10)),IF(YEAR(U253)=MIN(YEAR(Assumptions!$H$30),2026),SUM($E$269:U$269)-SUM($E$270:T$270),0)),0)</f>
        <v>0</v>
      </c>
      <c r="V270" s="76">
        <f ca="1">IFERROR(-IF(YEAR(V253)&lt;MIN(YEAR(Assumptions!$H$30),2026),(OFFSET(V269,0,-10)),IF(YEAR(V253)=MIN(YEAR(Assumptions!$H$30),2026),SUM($E$269:V$269)-SUM($E$270:U$270),0)),0)</f>
        <v>0</v>
      </c>
      <c r="W270" s="76">
        <f ca="1">IFERROR(-IF(YEAR(W253)&lt;MIN(YEAR(Assumptions!$H$30),2026),(OFFSET(W269,0,-10)),IF(YEAR(W253)=MIN(YEAR(Assumptions!$H$30),2026),SUM($E$269:W$269)-SUM($E$270:V$270),0)),0)</f>
        <v>0</v>
      </c>
      <c r="X270" s="76">
        <f ca="1">IFERROR(-IF(YEAR(X253)&lt;MIN(YEAR(Assumptions!$H$30),2026),(OFFSET(X269,0,-10)),IF(YEAR(X253)=MIN(YEAR(Assumptions!$H$30),2026),SUM($E$269:X$269)-SUM($E$270:W$270),0)),0)</f>
        <v>0</v>
      </c>
      <c r="Y270" s="76">
        <f ca="1">IFERROR(-IF(YEAR(Y253)&lt;MIN(YEAR(Assumptions!$H$30),2026),(OFFSET(Y269,0,-10)),IF(YEAR(Y253)=MIN(YEAR(Assumptions!$H$30),2026),SUM($E$269:Y$269)-SUM($E$270:X$270),0)),0)</f>
        <v>0</v>
      </c>
      <c r="Z270" s="76">
        <f ca="1">IFERROR(-IF(YEAR(Z253)&lt;MIN(YEAR(Assumptions!$H$30),2026),(OFFSET(Z269,0,-10)),IF(YEAR(Z253)=MIN(YEAR(Assumptions!$H$30),2026),SUM($E$269:Z$269)-SUM($E$270:Y$270),0)),0)</f>
        <v>0</v>
      </c>
    </row>
    <row r="271" spans="2:26" ht="15.75">
      <c r="B271" s="15" t="s">
        <v>685</v>
      </c>
      <c r="D271" s="26"/>
      <c r="E271" s="26"/>
      <c r="F271" s="76">
        <f>+IF(YEAR(F253)=MIN(YEAR(Assumptions!$H$30),2026),SUM($F$281:$Z$281),0)</f>
        <v>0</v>
      </c>
      <c r="G271" s="76">
        <f>+IF(YEAR(G253)=MIN(YEAR(Assumptions!$H$30),2026),SUM($F$281:$Z$281),0)</f>
        <v>0</v>
      </c>
      <c r="H271" s="76">
        <f ca="1">+IF(YEAR(H253)=MIN(YEAR(Assumptions!$H$30),2026),SUM($F$281:$Z$281),0)</f>
        <v>1643355.4725000001</v>
      </c>
      <c r="I271" s="76">
        <f>+IF(YEAR(I253)=MIN(YEAR(Assumptions!$H$30),2026),SUM($F$281:$Z$281),0)</f>
        <v>0</v>
      </c>
      <c r="J271" s="76">
        <f>+IF(YEAR(J253)=MIN(YEAR(Assumptions!$H$30),2026),SUM($F$281:$Z$281),0)</f>
        <v>0</v>
      </c>
      <c r="K271" s="76">
        <f>+IF(YEAR(K253)=MIN(YEAR(Assumptions!$H$30),2026),SUM($F$281:$Z$281),0)</f>
        <v>0</v>
      </c>
      <c r="L271" s="76">
        <f>+IF(YEAR(L253)=MIN(YEAR(Assumptions!$H$30),2026),SUM($F$281:$Z$281),0)</f>
        <v>0</v>
      </c>
      <c r="M271" s="76">
        <f>+IF(YEAR(M253)=MIN(YEAR(Assumptions!$H$30),2026),SUM($F$281:$Z$281),0)</f>
        <v>0</v>
      </c>
      <c r="N271" s="76">
        <f>+IF(YEAR(N253)=MIN(YEAR(Assumptions!$H$30),2026),SUM($F$281:$Z$281),0)</f>
        <v>0</v>
      </c>
      <c r="O271" s="76">
        <f>+IF(YEAR(O253)=MIN(YEAR(Assumptions!$H$30),2026),SUM($F$281:$Z$281),0)</f>
        <v>0</v>
      </c>
      <c r="P271" s="76">
        <f>+IF(YEAR(P253)=MIN(YEAR(Assumptions!$H$30),2026),SUM($F$281:$Z$281),0)</f>
        <v>0</v>
      </c>
      <c r="Q271" s="76">
        <f>+IF(YEAR(Q253)=MIN(YEAR(Assumptions!$H$30),2026),SUM($F$281:$Z$281),0)</f>
        <v>0</v>
      </c>
      <c r="R271" s="76">
        <f>+IF(YEAR(R253)=MIN(YEAR(Assumptions!$H$30),2026),SUM($F$281:$Z$281),0)</f>
        <v>0</v>
      </c>
      <c r="S271" s="76">
        <f>+IF(YEAR(S253)=MIN(YEAR(Assumptions!$H$30),2026),SUM($F$281:$Z$281),0)</f>
        <v>0</v>
      </c>
      <c r="T271" s="76">
        <f>+IF(YEAR(T253)=MIN(YEAR(Assumptions!$H$30),2026),SUM($F$281:$Z$281),0)</f>
        <v>0</v>
      </c>
      <c r="U271" s="76">
        <f>+IF(YEAR(U253)=MIN(YEAR(Assumptions!$H$30),2026),SUM($F$281:$Z$281),0)</f>
        <v>0</v>
      </c>
      <c r="V271" s="76">
        <f>+IF(YEAR(V253)=MIN(YEAR(Assumptions!$H$30),2026),SUM($F$281:$Z$281),0)</f>
        <v>0</v>
      </c>
      <c r="W271" s="76">
        <f>+IF(YEAR(W253)=MIN(YEAR(Assumptions!$H$30),2026),SUM($F$281:$Z$281),0)</f>
        <v>0</v>
      </c>
      <c r="X271" s="76">
        <f>+IF(YEAR(X253)=MIN(YEAR(Assumptions!$H$30),2026),SUM($F$281:$Z$281),0)</f>
        <v>0</v>
      </c>
      <c r="Y271" s="76">
        <f>+IF(YEAR(Y253)=MIN(YEAR(Assumptions!$H$30),2026),SUM($F$281:$Z$281),0)</f>
        <v>0</v>
      </c>
      <c r="Z271" s="76">
        <f>+IF(YEAR(Z253)=MIN(YEAR(Assumptions!$H$30),2026),SUM($F$281:$Z$281),0)</f>
        <v>0</v>
      </c>
    </row>
    <row r="272" spans="2:26" ht="15.75">
      <c r="B272" s="15" t="s">
        <v>679</v>
      </c>
      <c r="D272" s="26"/>
      <c r="E272" s="26"/>
      <c r="F272" s="76">
        <f>+F259</f>
        <v>0</v>
      </c>
      <c r="G272" s="76">
        <f t="shared" ref="G272:Z274" si="105">+G259</f>
        <v>0</v>
      </c>
      <c r="H272" s="76">
        <f t="shared" si="105"/>
        <v>0</v>
      </c>
      <c r="I272" s="76">
        <f t="shared" si="105"/>
        <v>-1409789.5575677906</v>
      </c>
      <c r="J272" s="76">
        <f ca="1">+J259</f>
        <v>-1588991.604124144</v>
      </c>
      <c r="K272" s="76">
        <f ca="1">+K259</f>
        <v>-1662484.9807930368</v>
      </c>
      <c r="L272" s="76">
        <f ca="1">+L259</f>
        <v>-1791107.2882270922</v>
      </c>
      <c r="M272" s="76">
        <f ca="1">+M259</f>
        <v>-1869195.630809593</v>
      </c>
      <c r="N272" s="76">
        <f t="shared" si="105"/>
        <v>0</v>
      </c>
      <c r="O272" s="76">
        <f t="shared" si="105"/>
        <v>0</v>
      </c>
      <c r="P272" s="76">
        <f t="shared" si="105"/>
        <v>0</v>
      </c>
      <c r="Q272" s="76">
        <f t="shared" si="105"/>
        <v>0</v>
      </c>
      <c r="R272" s="76">
        <f t="shared" si="105"/>
        <v>0</v>
      </c>
      <c r="S272" s="76">
        <f t="shared" si="105"/>
        <v>0</v>
      </c>
      <c r="T272" s="76">
        <f t="shared" si="105"/>
        <v>0</v>
      </c>
      <c r="U272" s="76">
        <f t="shared" si="105"/>
        <v>0</v>
      </c>
      <c r="V272" s="76">
        <f t="shared" si="105"/>
        <v>0</v>
      </c>
      <c r="W272" s="76">
        <f t="shared" si="105"/>
        <v>0</v>
      </c>
      <c r="X272" s="76">
        <f t="shared" si="105"/>
        <v>0</v>
      </c>
      <c r="Y272" s="76">
        <f t="shared" si="105"/>
        <v>0</v>
      </c>
      <c r="Z272" s="76">
        <f t="shared" si="105"/>
        <v>0</v>
      </c>
    </row>
    <row r="273" spans="2:26" ht="15.75">
      <c r="B273" s="15" t="s">
        <v>680</v>
      </c>
      <c r="D273" s="26"/>
      <c r="E273" s="26"/>
      <c r="F273" s="76">
        <f>+F260</f>
        <v>0</v>
      </c>
      <c r="G273" s="76">
        <f t="shared" si="105"/>
        <v>0</v>
      </c>
      <c r="H273" s="76">
        <f t="shared" si="105"/>
        <v>0</v>
      </c>
      <c r="I273" s="76">
        <f t="shared" si="105"/>
        <v>6713283.6074656695</v>
      </c>
      <c r="J273" s="76">
        <f t="shared" si="105"/>
        <v>14017341.178146504</v>
      </c>
      <c r="K273" s="76">
        <f t="shared" si="105"/>
        <v>14367309.638474565</v>
      </c>
      <c r="L273" s="76">
        <f t="shared" si="105"/>
        <v>14979796.816731973</v>
      </c>
      <c r="M273" s="76">
        <f t="shared" si="105"/>
        <v>15351646.067124832</v>
      </c>
      <c r="N273" s="76">
        <f t="shared" si="105"/>
        <v>0</v>
      </c>
      <c r="O273" s="76">
        <f t="shared" si="105"/>
        <v>0</v>
      </c>
      <c r="P273" s="76">
        <f t="shared" si="105"/>
        <v>0</v>
      </c>
      <c r="Q273" s="76">
        <f t="shared" si="105"/>
        <v>0</v>
      </c>
      <c r="R273" s="76">
        <f t="shared" si="105"/>
        <v>0</v>
      </c>
      <c r="S273" s="76">
        <f t="shared" si="105"/>
        <v>0</v>
      </c>
      <c r="T273" s="76">
        <f t="shared" si="105"/>
        <v>0</v>
      </c>
      <c r="U273" s="76">
        <f t="shared" si="105"/>
        <v>0</v>
      </c>
      <c r="V273" s="76">
        <f t="shared" si="105"/>
        <v>0</v>
      </c>
      <c r="W273" s="76">
        <f t="shared" si="105"/>
        <v>0</v>
      </c>
      <c r="X273" s="76">
        <f t="shared" si="105"/>
        <v>0</v>
      </c>
      <c r="Y273" s="76">
        <f t="shared" si="105"/>
        <v>0</v>
      </c>
      <c r="Z273" s="76">
        <f t="shared" si="105"/>
        <v>0</v>
      </c>
    </row>
    <row r="274" spans="2:26" ht="15.75">
      <c r="B274" s="15" t="s">
        <v>681</v>
      </c>
      <c r="D274" s="26"/>
      <c r="E274" s="26"/>
      <c r="F274" s="76">
        <f>+F261</f>
        <v>0</v>
      </c>
      <c r="G274" s="76">
        <f t="shared" si="105"/>
        <v>0</v>
      </c>
      <c r="H274" s="76">
        <f t="shared" si="105"/>
        <v>0</v>
      </c>
      <c r="I274" s="76">
        <f t="shared" si="105"/>
        <v>0</v>
      </c>
      <c r="J274" s="76">
        <f t="shared" si="105"/>
        <v>0</v>
      </c>
      <c r="K274" s="76">
        <f t="shared" si="105"/>
        <v>0</v>
      </c>
      <c r="L274" s="76">
        <f t="shared" si="105"/>
        <v>0</v>
      </c>
      <c r="M274" s="76">
        <f t="shared" si="105"/>
        <v>0</v>
      </c>
      <c r="N274" s="76">
        <f t="shared" si="105"/>
        <v>0</v>
      </c>
      <c r="O274" s="76">
        <f t="shared" si="105"/>
        <v>0</v>
      </c>
      <c r="P274" s="76">
        <f t="shared" si="105"/>
        <v>0</v>
      </c>
      <c r="Q274" s="76">
        <f t="shared" si="105"/>
        <v>0</v>
      </c>
      <c r="R274" s="76">
        <f t="shared" si="105"/>
        <v>0</v>
      </c>
      <c r="S274" s="76">
        <f t="shared" si="105"/>
        <v>0</v>
      </c>
      <c r="T274" s="76">
        <f t="shared" si="105"/>
        <v>0</v>
      </c>
      <c r="U274" s="76">
        <f t="shared" si="105"/>
        <v>0</v>
      </c>
      <c r="V274" s="76">
        <f t="shared" si="105"/>
        <v>0</v>
      </c>
      <c r="W274" s="76">
        <f t="shared" si="105"/>
        <v>0</v>
      </c>
      <c r="X274" s="76">
        <f t="shared" si="105"/>
        <v>0</v>
      </c>
      <c r="Y274" s="76">
        <f t="shared" si="105"/>
        <v>0</v>
      </c>
      <c r="Z274" s="76">
        <f t="shared" si="105"/>
        <v>0</v>
      </c>
    </row>
    <row r="275" spans="2:26" ht="15.75">
      <c r="B275" s="15" t="s">
        <v>682</v>
      </c>
      <c r="D275" s="26"/>
      <c r="E275" s="26"/>
      <c r="F275" s="76">
        <f>+IF(F255&gt;=10,0,F262)</f>
        <v>0</v>
      </c>
      <c r="G275" s="76">
        <f t="shared" ref="G275:Z275" si="106">+IF(G255&gt;=10,0,G262)</f>
        <v>0</v>
      </c>
      <c r="H275" s="76">
        <f t="shared" si="106"/>
        <v>0</v>
      </c>
      <c r="I275" s="76">
        <f t="shared" si="106"/>
        <v>0</v>
      </c>
      <c r="J275" s="76">
        <f t="shared" si="106"/>
        <v>0</v>
      </c>
      <c r="K275" s="76">
        <f t="shared" si="106"/>
        <v>0</v>
      </c>
      <c r="L275" s="76">
        <f t="shared" si="106"/>
        <v>0</v>
      </c>
      <c r="M275" s="76">
        <f t="shared" ca="1" si="106"/>
        <v>0</v>
      </c>
      <c r="N275" s="76">
        <f t="shared" si="106"/>
        <v>0</v>
      </c>
      <c r="O275" s="76">
        <f t="shared" si="106"/>
        <v>0</v>
      </c>
      <c r="P275" s="76">
        <f t="shared" si="106"/>
        <v>0</v>
      </c>
      <c r="Q275" s="76">
        <f t="shared" si="106"/>
        <v>0</v>
      </c>
      <c r="R275" s="76">
        <f t="shared" si="106"/>
        <v>0</v>
      </c>
      <c r="S275" s="76">
        <f t="shared" si="106"/>
        <v>0</v>
      </c>
      <c r="T275" s="76">
        <f t="shared" si="106"/>
        <v>0</v>
      </c>
      <c r="U275" s="76">
        <f t="shared" si="106"/>
        <v>0</v>
      </c>
      <c r="V275" s="76">
        <f t="shared" si="106"/>
        <v>0</v>
      </c>
      <c r="W275" s="76">
        <f t="shared" si="106"/>
        <v>0</v>
      </c>
      <c r="X275" s="76">
        <f t="shared" si="106"/>
        <v>0</v>
      </c>
      <c r="Y275" s="76">
        <f t="shared" si="106"/>
        <v>0</v>
      </c>
      <c r="Z275" s="76">
        <f t="shared" si="106"/>
        <v>0</v>
      </c>
    </row>
    <row r="276" spans="2:26" ht="15.75">
      <c r="B276" s="687" t="s">
        <v>684</v>
      </c>
      <c r="C276" s="687"/>
      <c r="D276" s="550">
        <f ca="1">+SUM(F276:Z276)</f>
        <v>-223386409.59923837</v>
      </c>
      <c r="E276" s="550"/>
      <c r="F276" s="550">
        <f t="shared" ref="F276:Z276" ca="1" si="107">+SUM(F268:F275)</f>
        <v>-41214311.850000001</v>
      </c>
      <c r="G276" s="550">
        <f t="shared" ca="1" si="107"/>
        <v>0</v>
      </c>
      <c r="H276" s="550">
        <f t="shared" ca="1" si="107"/>
        <v>-9312347.6775000002</v>
      </c>
      <c r="I276" s="550">
        <f t="shared" ca="1" si="107"/>
        <v>5303494.0498978794</v>
      </c>
      <c r="J276" s="550">
        <f t="shared" ca="1" si="107"/>
        <v>21798955.522720709</v>
      </c>
      <c r="K276" s="550">
        <f ca="1">+SUM(K268:K275)</f>
        <v>12704824.657681528</v>
      </c>
      <c r="L276" s="550">
        <f ca="1">+SUM(L268:L275)</f>
        <v>13188689.52850488</v>
      </c>
      <c r="M276" s="550">
        <f t="shared" ca="1" si="107"/>
        <v>0</v>
      </c>
      <c r="N276" s="550">
        <f t="shared" ca="1" si="107"/>
        <v>0</v>
      </c>
      <c r="O276" s="550">
        <f t="shared" ca="1" si="107"/>
        <v>0</v>
      </c>
      <c r="P276" s="550">
        <f t="shared" ca="1" si="107"/>
        <v>0</v>
      </c>
      <c r="Q276" s="550">
        <f t="shared" ca="1" si="107"/>
        <v>0</v>
      </c>
      <c r="R276" s="550">
        <f ca="1">+SUM(R268:R275)</f>
        <v>0</v>
      </c>
      <c r="S276" s="550">
        <f ca="1">+SUM(S268:S275)</f>
        <v>0</v>
      </c>
      <c r="T276" s="550">
        <f t="shared" ca="1" si="107"/>
        <v>0</v>
      </c>
      <c r="U276" s="550">
        <f t="shared" ca="1" si="107"/>
        <v>0</v>
      </c>
      <c r="V276" s="550">
        <f t="shared" ca="1" si="107"/>
        <v>0</v>
      </c>
      <c r="W276" s="550">
        <f t="shared" ca="1" si="107"/>
        <v>0</v>
      </c>
      <c r="X276" s="550">
        <f t="shared" ca="1" si="107"/>
        <v>0</v>
      </c>
      <c r="Y276" s="550">
        <f t="shared" ca="1" si="107"/>
        <v>0</v>
      </c>
      <c r="Z276" s="550">
        <f t="shared" ca="1" si="107"/>
        <v>0</v>
      </c>
    </row>
    <row r="278" spans="2:26" ht="15.75">
      <c r="B278" s="706" t="s">
        <v>686</v>
      </c>
      <c r="C278" s="706"/>
      <c r="D278" s="707">
        <f ca="1">+IRR(F276:Z276)</f>
        <v>1.1245198641566923E-2</v>
      </c>
    </row>
    <row r="279" spans="2:26" ht="15.75">
      <c r="B279" s="708" t="s">
        <v>687</v>
      </c>
      <c r="C279" s="536"/>
      <c r="D279" s="712">
        <f ca="1">+D278/(1-Assumptions!$M$192)</f>
        <v>1.4234428660211294E-2</v>
      </c>
    </row>
    <row r="281" spans="2:26">
      <c r="B281" s="21" t="s">
        <v>688</v>
      </c>
      <c r="F281" s="76">
        <f ca="1">IFERROR(IF(YEAR(F253)&lt;=YEAR(Assumptions!$H$30),10%*(OFFSET(F269,0,-5))+5%*(OFFSET(F269,0,-7)),0),0)</f>
        <v>0</v>
      </c>
      <c r="G281" s="76">
        <f ca="1">IFERROR(IF(YEAR(G253)&lt;=YEAR(Assumptions!$H$30),10%*(OFFSET(G269,0,-5))+5%*(OFFSET(G269,0,-7)),0),0)</f>
        <v>0</v>
      </c>
      <c r="H281" s="76">
        <f ca="1">IFERROR(IF(YEAR(H253)&lt;=YEAR(Assumptions!$H$30),10%*(OFFSET(H269,0,-5))+5%*(OFFSET(H269,0,-7)),0),0)</f>
        <v>0</v>
      </c>
      <c r="I281" s="76">
        <f ca="1">IFERROR(IF(YEAR(I253)&lt;=YEAR(Assumptions!$H$30),10%*(OFFSET(I269,0,-5))+5%*(OFFSET(I269,0,-7)),0),0)</f>
        <v>0</v>
      </c>
      <c r="J281" s="76">
        <f ca="1">IFERROR(IF(YEAR(J253)&lt;=YEAR(Assumptions!$H$30),10%*(OFFSET(J269,0,-5))+5%*(OFFSET(J269,0,-7)),0),0)</f>
        <v>0</v>
      </c>
      <c r="K281" s="76">
        <f ca="1">IFERROR(IF(YEAR(K253)&lt;=YEAR(Assumptions!$H$30),10%*(OFFSET(K269,0,-5))+5%*(OFFSET(K269,0,-7)),0),0)</f>
        <v>1095570.3150000002</v>
      </c>
      <c r="L281" s="76">
        <f ca="1">IFERROR(IF(YEAR(L253)&lt;=YEAR(Assumptions!$H$30),10%*(OFFSET(L269,0,-5))+5%*(OFFSET(L269,0,-7)),0),0)</f>
        <v>0</v>
      </c>
      <c r="M281" s="76">
        <f ca="1">IFERROR(IF(YEAR(M253)&lt;=YEAR(Assumptions!$H$30),10%*(OFFSET(M269,0,-5))+5%*(OFFSET(M269,0,-7)),0),0)</f>
        <v>547785.15750000009</v>
      </c>
      <c r="N281" s="76">
        <f ca="1">IFERROR(IF(YEAR(N253)&lt;=YEAR(Assumptions!$H$30),10%*(OFFSET(N269,0,-5))+5%*(OFFSET(N269,0,-7)),0),0)</f>
        <v>0</v>
      </c>
      <c r="O281" s="76">
        <f ca="1">IFERROR(IF(YEAR(O253)&lt;=YEAR(Assumptions!$H$30),10%*(OFFSET(O269,0,-5))+5%*(OFFSET(O269,0,-7)),0),0)</f>
        <v>0</v>
      </c>
      <c r="P281" s="76">
        <f ca="1">IFERROR(IF(YEAR(P253)&lt;=YEAR(Assumptions!$H$30),10%*(OFFSET(P269,0,-5))+5%*(OFFSET(P269,0,-7)),0),0)</f>
        <v>0</v>
      </c>
      <c r="Q281" s="76">
        <f ca="1">IFERROR(IF(YEAR(Q253)&lt;=YEAR(Assumptions!$H$30),10%*(OFFSET(Q269,0,-5))+5%*(OFFSET(Q269,0,-7)),0),0)</f>
        <v>0</v>
      </c>
      <c r="R281" s="76">
        <f ca="1">IFERROR(IF(YEAR(R253)&lt;=YEAR(Assumptions!$H$30),10%*(OFFSET(R269,0,-5))+5%*(OFFSET(R269,0,-7)),0),0)</f>
        <v>0</v>
      </c>
      <c r="S281" s="76">
        <f ca="1">IFERROR(IF(YEAR(S253)&lt;=YEAR(Assumptions!$H$30),10%*(OFFSET(S269,0,-5))+5%*(OFFSET(S269,0,-7)),0),0)</f>
        <v>0</v>
      </c>
      <c r="T281" s="76">
        <f ca="1">IFERROR(IF(YEAR(T253)&lt;=YEAR(Assumptions!$H$30),10%*(OFFSET(T269,0,-5))+5%*(OFFSET(T269,0,-7)),0),0)</f>
        <v>0</v>
      </c>
      <c r="U281" s="76">
        <f ca="1">IFERROR(IF(YEAR(U253)&lt;=YEAR(Assumptions!$H$30),10%*(OFFSET(U269,0,-5))+5%*(OFFSET(U269,0,-7)),0),0)</f>
        <v>0</v>
      </c>
      <c r="V281" s="76">
        <f ca="1">IFERROR(IF(YEAR(V253)&lt;=YEAR(Assumptions!$H$30),10%*(OFFSET(V269,0,-5))+5%*(OFFSET(V269,0,-7)),0),0)</f>
        <v>0</v>
      </c>
      <c r="W281" s="76">
        <f ca="1">IFERROR(IF(YEAR(W253)&lt;=YEAR(Assumptions!$H$30),10%*(OFFSET(W269,0,-5))+5%*(OFFSET(W269,0,-7)),0),0)</f>
        <v>0</v>
      </c>
      <c r="X281" s="76">
        <f ca="1">IFERROR(IF(YEAR(X253)&lt;=YEAR(Assumptions!$H$30),10%*(OFFSET(X269,0,-5))+5%*(OFFSET(X269,0,-7)),0),0)</f>
        <v>0</v>
      </c>
      <c r="Y281" s="76">
        <f ca="1">IFERROR(IF(YEAR(Y253)&lt;=YEAR(Assumptions!$H$30),10%*(OFFSET(Y269,0,-5))+5%*(OFFSET(Y269,0,-7)),0),0)</f>
        <v>0</v>
      </c>
      <c r="Z281" s="76">
        <f ca="1">IFERROR(IF(YEAR(Z253)&lt;=YEAR(Assumptions!$H$30),10%*(OFFSET(Z269,0,-5))+5%*(OFFSET(Z269,0,-7)),0),0)</f>
        <v>0</v>
      </c>
    </row>
    <row r="283" spans="2:26" ht="15.75">
      <c r="B283" s="73" t="s">
        <v>689</v>
      </c>
    </row>
    <row r="284" spans="2:26" ht="15.75">
      <c r="B284" s="15" t="s">
        <v>690</v>
      </c>
      <c r="D284" s="26">
        <f ca="1">+SUM(F284:Z284)</f>
        <v>1381204566.3312078</v>
      </c>
      <c r="E284" s="26"/>
      <c r="F284" s="16">
        <v>0</v>
      </c>
      <c r="G284" s="16">
        <f>+F291</f>
        <v>52170015</v>
      </c>
      <c r="H284" s="16">
        <f t="shared" ref="H284:Z284" si="108">+G291</f>
        <v>52170015</v>
      </c>
      <c r="I284" s="16">
        <f t="shared" si="108"/>
        <v>52170015</v>
      </c>
      <c r="J284" s="16">
        <f t="shared" si="108"/>
        <v>52170015</v>
      </c>
      <c r="K284" s="16">
        <f t="shared" ref="K284" ca="1" si="109">+J291</f>
        <v>52170015</v>
      </c>
      <c r="L284" s="16">
        <f t="shared" ref="L284" ca="1" si="110">+K291</f>
        <v>52170015</v>
      </c>
      <c r="M284" s="16">
        <f t="shared" ref="M284" ca="1" si="111">+L291</f>
        <v>52170015</v>
      </c>
      <c r="N284" s="16">
        <v>0</v>
      </c>
      <c r="O284" s="16">
        <v>0</v>
      </c>
      <c r="P284" s="16">
        <v>0</v>
      </c>
      <c r="Q284" s="16">
        <v>0</v>
      </c>
      <c r="R284" s="16">
        <f t="shared" si="108"/>
        <v>0</v>
      </c>
      <c r="S284" s="16">
        <f t="shared" si="108"/>
        <v>0</v>
      </c>
      <c r="T284" s="16">
        <f t="shared" si="108"/>
        <v>0</v>
      </c>
      <c r="U284" s="16">
        <f t="shared" ca="1" si="108"/>
        <v>0</v>
      </c>
      <c r="V284" s="16">
        <f t="shared" ca="1" si="108"/>
        <v>0</v>
      </c>
      <c r="W284" s="16">
        <f t="shared" ca="1" si="108"/>
        <v>0</v>
      </c>
      <c r="X284" s="16">
        <f t="shared" ca="1" si="108"/>
        <v>0</v>
      </c>
      <c r="Y284" s="16">
        <f t="shared" ca="1" si="108"/>
        <v>0</v>
      </c>
      <c r="Z284" s="16">
        <f t="shared" ca="1" si="108"/>
        <v>0</v>
      </c>
    </row>
    <row r="285" spans="2:26" ht="15.75">
      <c r="B285" s="15" t="s">
        <v>676</v>
      </c>
      <c r="D285" s="26">
        <f t="shared" ref="D285:D290" ca="1" si="112">+SUM(F285:Z285)</f>
        <v>285529393.96911925</v>
      </c>
      <c r="E285" s="26"/>
      <c r="F285" s="76">
        <f>-F256</f>
        <v>52170015</v>
      </c>
      <c r="G285" s="76">
        <f t="shared" ref="G285:Z285" si="113">-G256</f>
        <v>0</v>
      </c>
      <c r="H285" s="76">
        <f t="shared" si="113"/>
        <v>0</v>
      </c>
      <c r="I285" s="76">
        <f t="shared" si="113"/>
        <v>0</v>
      </c>
      <c r="J285" s="76">
        <f t="shared" si="113"/>
        <v>0</v>
      </c>
      <c r="K285" s="76">
        <f t="shared" si="113"/>
        <v>0</v>
      </c>
      <c r="L285" s="76">
        <f t="shared" si="113"/>
        <v>0</v>
      </c>
      <c r="M285" s="76">
        <f t="shared" si="113"/>
        <v>0</v>
      </c>
      <c r="N285" s="76">
        <f t="shared" si="113"/>
        <v>0</v>
      </c>
      <c r="O285" s="76">
        <f t="shared" si="113"/>
        <v>0</v>
      </c>
      <c r="P285" s="76">
        <f t="shared" si="113"/>
        <v>0</v>
      </c>
      <c r="Q285" s="76">
        <f t="shared" si="113"/>
        <v>0</v>
      </c>
      <c r="R285" s="76">
        <f t="shared" si="113"/>
        <v>0</v>
      </c>
      <c r="S285" s="76">
        <f t="shared" si="113"/>
        <v>0</v>
      </c>
      <c r="T285" s="76">
        <f t="shared" ca="1" si="113"/>
        <v>0</v>
      </c>
      <c r="U285" s="76">
        <f t="shared" ca="1" si="113"/>
        <v>0</v>
      </c>
      <c r="V285" s="76">
        <f t="shared" ca="1" si="113"/>
        <v>0</v>
      </c>
      <c r="W285" s="76">
        <f t="shared" ca="1" si="113"/>
        <v>0</v>
      </c>
      <c r="X285" s="76">
        <f t="shared" ca="1" si="113"/>
        <v>0</v>
      </c>
      <c r="Y285" s="76">
        <f t="shared" ca="1" si="113"/>
        <v>0</v>
      </c>
      <c r="Z285" s="76">
        <f t="shared" ca="1" si="113"/>
        <v>0</v>
      </c>
    </row>
    <row r="286" spans="2:26" ht="15.75">
      <c r="B286" s="15" t="s">
        <v>618</v>
      </c>
      <c r="D286" s="26">
        <f t="shared" si="112"/>
        <v>65429377.307943538</v>
      </c>
      <c r="E286" s="26"/>
      <c r="F286" s="76">
        <f>IF(F253&lt;=Assumptions!$H$30,F217,0)</f>
        <v>0</v>
      </c>
      <c r="G286" s="76">
        <f>IF(G253&lt;=Assumptions!$H$30,G217,0)</f>
        <v>0</v>
      </c>
      <c r="H286" s="76">
        <f>IF(H253&lt;=Assumptions!$H$30,H217,0)</f>
        <v>0</v>
      </c>
      <c r="I286" s="76">
        <f>IF(I253&lt;=Assumptions!$H$30,I217,0)</f>
        <v>6713283.6074656695</v>
      </c>
      <c r="J286" s="76">
        <f>IF(J253&lt;=Assumptions!$H$30,J217,0)</f>
        <v>14017341.178146504</v>
      </c>
      <c r="K286" s="76">
        <f>IF(K253&lt;=Assumptions!$H$30,K217,0)</f>
        <v>14367309.638474565</v>
      </c>
      <c r="L286" s="76">
        <f>IF(L253&lt;=Assumptions!$H$30,L217,0)</f>
        <v>14979796.816731973</v>
      </c>
      <c r="M286" s="76">
        <f>IF(M253&lt;=Assumptions!$H$30,M217,0)</f>
        <v>15351646.067124832</v>
      </c>
      <c r="N286" s="76">
        <f>IF(N253&lt;=Assumptions!$H$30,N217,0)</f>
        <v>0</v>
      </c>
      <c r="O286" s="76">
        <f>IF(O253&lt;=Assumptions!$H$30,O217,0)</f>
        <v>0</v>
      </c>
      <c r="P286" s="76">
        <f>IF(P253&lt;=Assumptions!$H$30,P217,0)</f>
        <v>0</v>
      </c>
      <c r="Q286" s="76">
        <f>IF(Q253&lt;=Assumptions!$H$30,Q217,0)</f>
        <v>0</v>
      </c>
      <c r="R286" s="76">
        <f>IF(R253&lt;=Assumptions!$H$30,R217,0)</f>
        <v>0</v>
      </c>
      <c r="S286" s="76">
        <f>IF(S253&lt;=Assumptions!$H$30,S217,0)</f>
        <v>0</v>
      </c>
      <c r="T286" s="76">
        <f>IF(T253&lt;=Assumptions!$H$30,T217,0)</f>
        <v>0</v>
      </c>
      <c r="U286" s="76">
        <f>IF(U253&lt;=Assumptions!$H$30,U217,0)</f>
        <v>0</v>
      </c>
      <c r="V286" s="76">
        <f>IF(V253&lt;=Assumptions!$H$30,V217,0)</f>
        <v>0</v>
      </c>
      <c r="W286" s="76">
        <f>IF(W253&lt;=Assumptions!$H$30,W217,0)</f>
        <v>0</v>
      </c>
      <c r="X286" s="76">
        <f>IF(X253&lt;=Assumptions!$H$30,X217,0)</f>
        <v>0</v>
      </c>
      <c r="Y286" s="76">
        <f>IF(Y253&lt;=Assumptions!$H$30,Y217,0)</f>
        <v>0</v>
      </c>
      <c r="Z286" s="76">
        <f>IF(Z253&lt;=Assumptions!$H$30,Z217,0)</f>
        <v>0</v>
      </c>
    </row>
    <row r="287" spans="2:26" ht="15.75">
      <c r="B287" s="15" t="s">
        <v>691</v>
      </c>
      <c r="D287" s="26">
        <f t="shared" ca="1" si="112"/>
        <v>-19352143.47552317</v>
      </c>
      <c r="E287" s="26"/>
      <c r="F287" s="76">
        <f>-IF(AND(F253&gt;Assumptions!$H$26,F253&lt;=Assumptions!$H$30),Budget!$I$82*Assumptions!$M$194/Assumptions!$M$193,0)</f>
        <v>0</v>
      </c>
      <c r="G287" s="76">
        <f>-IF(AND(G253&gt;Assumptions!$H$26,G253&lt;=Assumptions!$H$30),Budget!$I$82*Assumptions!$M$194/Assumptions!$M$193,0)</f>
        <v>0</v>
      </c>
      <c r="H287" s="76">
        <f>-IF(AND(H253&gt;Assumptions!$H$26,H253&lt;=Assumptions!$H$30),Budget!$I$82*Assumptions!$M$194/Assumptions!$M$193,0)</f>
        <v>0</v>
      </c>
      <c r="I287" s="76">
        <f>-IF(AND(I253&gt;Assumptions!$H$26,I253&lt;=Assumptions!$H$30),Budget!$I$82*Assumptions!$M$194/Assumptions!$M$193,0)</f>
        <v>0</v>
      </c>
      <c r="J287" s="76">
        <f ca="1">-IF(AND(J253&gt;Assumptions!$H$26,J253&lt;=Assumptions!$H$30),Budget!$I$82*Assumptions!$M$194/Assumptions!$M$193,0)</f>
        <v>-6450714.4918410564</v>
      </c>
      <c r="K287" s="76">
        <f ca="1">-IF(AND(K253&gt;Assumptions!$H$26,K253&lt;=Assumptions!$H$30),Budget!$I$82*Assumptions!$M$194/Assumptions!$M$193,0)</f>
        <v>-6450714.4918410564</v>
      </c>
      <c r="L287" s="76">
        <f ca="1">-IF(AND(L253&gt;Assumptions!$H$26,L253&lt;=Assumptions!$H$30),Budget!$I$82*Assumptions!$M$194/Assumptions!$M$193,0)</f>
        <v>-6450714.4918410564</v>
      </c>
      <c r="M287" s="76">
        <f ca="1">-IF(AND(M253&gt;Assumptions!$H$26,M253&lt;=Assumptions!$H$30),Budget!$I$82*Assumptions!$M$194/Assumptions!$M$193,0)</f>
        <v>-6450714.4918410564</v>
      </c>
      <c r="N287" s="76">
        <f>-IF(AND(N253&gt;Assumptions!$H$26,N253&lt;=Assumptions!$H$30),Budget!$I$82*Assumptions!$M$194/Assumptions!$M$193,0)</f>
        <v>0</v>
      </c>
      <c r="O287" s="76">
        <f>-IF(AND(O253&gt;Assumptions!$H$26,O253&lt;=Assumptions!$H$30),Budget!$I$82*Assumptions!$M$194/Assumptions!$M$193,0)</f>
        <v>0</v>
      </c>
      <c r="P287" s="76">
        <f>-IF(AND(P253&gt;Assumptions!$H$26,P253&lt;=Assumptions!$H$30),Budget!$I$82*Assumptions!$M$194/Assumptions!$M$193,0)</f>
        <v>0</v>
      </c>
      <c r="Q287" s="76">
        <f>-IF(AND(Q253&gt;Assumptions!$H$26,Q253&lt;=Assumptions!$H$30),Budget!$I$82*Assumptions!$M$194/Assumptions!$M$193,0)</f>
        <v>0</v>
      </c>
      <c r="R287" s="76">
        <f>-IF(AND(R253&gt;Assumptions!$H$26,R253&lt;=Assumptions!$H$30),Budget!$I$82*Assumptions!$M$194/Assumptions!$M$193,0)</f>
        <v>0</v>
      </c>
      <c r="S287" s="76">
        <f>-IF(AND(S253&gt;Assumptions!$H$26,S253&lt;=Assumptions!$H$30),Budget!$I$82*Assumptions!$M$194/Assumptions!$M$193,0)</f>
        <v>0</v>
      </c>
      <c r="T287" s="76">
        <f>-IF(AND(T253&gt;Assumptions!$H$26,T253&lt;=Assumptions!$H$30),Budget!$I$82*Assumptions!$M$194/Assumptions!$M$193,0)</f>
        <v>0</v>
      </c>
      <c r="U287" s="76">
        <f>-IF(AND(U253&gt;Assumptions!$H$26,U253&lt;=Assumptions!$H$30),Budget!$I$82*Assumptions!$M$194/Assumptions!$M$193,0)</f>
        <v>0</v>
      </c>
      <c r="V287" s="76">
        <f>-IF(AND(V253&gt;Assumptions!$H$26,V253&lt;=Assumptions!$H$30),Budget!$I$82*Assumptions!$M$194/Assumptions!$M$193,0)</f>
        <v>0</v>
      </c>
      <c r="W287" s="76">
        <f>-IF(AND(W253&gt;Assumptions!$H$26,W253&lt;=Assumptions!$H$30),Budget!$I$82*Assumptions!$M$194/Assumptions!$M$193,0)</f>
        <v>0</v>
      </c>
      <c r="X287" s="76">
        <f>-IF(AND(X253&gt;Assumptions!$H$26,X253&lt;=Assumptions!$H$30),Budget!$I$82*Assumptions!$M$194/Assumptions!$M$193,0)</f>
        <v>0</v>
      </c>
      <c r="Y287" s="76">
        <f>-IF(AND(Y253&gt;Assumptions!$H$26,Y253&lt;=Assumptions!$H$30),Budget!$I$82*Assumptions!$M$194/Assumptions!$M$193,0)</f>
        <v>0</v>
      </c>
      <c r="Z287" s="76">
        <f>-IF(AND(Z253&gt;Assumptions!$H$26,Z253&lt;=Assumptions!$H$30),Budget!$I$82*Assumptions!$M$194/Assumptions!$M$193,0)</f>
        <v>0</v>
      </c>
    </row>
    <row r="288" spans="2:26" ht="15.75">
      <c r="B288" s="15" t="s">
        <v>692</v>
      </c>
      <c r="D288" s="26">
        <f t="shared" si="112"/>
        <v>-65429377.307943538</v>
      </c>
      <c r="E288" s="26"/>
      <c r="F288" s="76">
        <f>-F260</f>
        <v>0</v>
      </c>
      <c r="G288" s="76">
        <f t="shared" ref="G288:Z289" si="114">-G260</f>
        <v>0</v>
      </c>
      <c r="H288" s="76">
        <f t="shared" si="114"/>
        <v>0</v>
      </c>
      <c r="I288" s="76">
        <f t="shared" si="114"/>
        <v>-6713283.6074656695</v>
      </c>
      <c r="J288" s="76">
        <f t="shared" si="114"/>
        <v>-14017341.178146504</v>
      </c>
      <c r="K288" s="76">
        <f t="shared" si="114"/>
        <v>-14367309.638474565</v>
      </c>
      <c r="L288" s="76">
        <f t="shared" si="114"/>
        <v>-14979796.816731973</v>
      </c>
      <c r="M288" s="76">
        <f t="shared" si="114"/>
        <v>-15351646.067124832</v>
      </c>
      <c r="N288" s="76">
        <f t="shared" si="114"/>
        <v>0</v>
      </c>
      <c r="O288" s="76">
        <f t="shared" si="114"/>
        <v>0</v>
      </c>
      <c r="P288" s="76">
        <f t="shared" si="114"/>
        <v>0</v>
      </c>
      <c r="Q288" s="76">
        <f t="shared" si="114"/>
        <v>0</v>
      </c>
      <c r="R288" s="76">
        <f t="shared" si="114"/>
        <v>0</v>
      </c>
      <c r="S288" s="76">
        <f t="shared" si="114"/>
        <v>0</v>
      </c>
      <c r="T288" s="76">
        <f t="shared" si="114"/>
        <v>0</v>
      </c>
      <c r="U288" s="76">
        <f t="shared" si="114"/>
        <v>0</v>
      </c>
      <c r="V288" s="76">
        <f t="shared" si="114"/>
        <v>0</v>
      </c>
      <c r="W288" s="76">
        <f t="shared" si="114"/>
        <v>0</v>
      </c>
      <c r="X288" s="76">
        <f t="shared" si="114"/>
        <v>0</v>
      </c>
      <c r="Y288" s="76">
        <f t="shared" si="114"/>
        <v>0</v>
      </c>
      <c r="Z288" s="76">
        <f t="shared" si="114"/>
        <v>0</v>
      </c>
    </row>
    <row r="289" spans="2:26" ht="15.75">
      <c r="B289" s="15" t="s">
        <v>681</v>
      </c>
      <c r="D289" s="26">
        <f t="shared" si="112"/>
        <v>0</v>
      </c>
      <c r="E289" s="26"/>
      <c r="F289" s="76">
        <f>-F261</f>
        <v>0</v>
      </c>
      <c r="G289" s="76">
        <f t="shared" si="114"/>
        <v>0</v>
      </c>
      <c r="H289" s="76">
        <f t="shared" si="114"/>
        <v>0</v>
      </c>
      <c r="I289" s="76">
        <f t="shared" si="114"/>
        <v>0</v>
      </c>
      <c r="J289" s="76">
        <f t="shared" si="114"/>
        <v>0</v>
      </c>
      <c r="K289" s="76">
        <f t="shared" si="114"/>
        <v>0</v>
      </c>
      <c r="L289" s="76">
        <f t="shared" si="114"/>
        <v>0</v>
      </c>
      <c r="M289" s="76">
        <f t="shared" si="114"/>
        <v>0</v>
      </c>
      <c r="N289" s="76">
        <f t="shared" si="114"/>
        <v>0</v>
      </c>
      <c r="O289" s="76">
        <f t="shared" si="114"/>
        <v>0</v>
      </c>
      <c r="P289" s="76">
        <f t="shared" si="114"/>
        <v>0</v>
      </c>
      <c r="Q289" s="76">
        <f t="shared" si="114"/>
        <v>0</v>
      </c>
      <c r="R289" s="76">
        <f t="shared" si="114"/>
        <v>0</v>
      </c>
      <c r="S289" s="76">
        <f t="shared" si="114"/>
        <v>0</v>
      </c>
      <c r="T289" s="76">
        <f t="shared" si="114"/>
        <v>0</v>
      </c>
      <c r="U289" s="76">
        <f t="shared" si="114"/>
        <v>0</v>
      </c>
      <c r="V289" s="76">
        <f t="shared" si="114"/>
        <v>0</v>
      </c>
      <c r="W289" s="76">
        <f t="shared" si="114"/>
        <v>0</v>
      </c>
      <c r="X289" s="76">
        <f t="shared" si="114"/>
        <v>0</v>
      </c>
      <c r="Y289" s="76">
        <f t="shared" si="114"/>
        <v>0</v>
      </c>
      <c r="Z289" s="76">
        <f t="shared" si="114"/>
        <v>0</v>
      </c>
    </row>
    <row r="290" spans="2:26" ht="15.75">
      <c r="B290" s="15" t="s">
        <v>693</v>
      </c>
      <c r="D290" s="26">
        <f t="shared" ca="1" si="112"/>
        <v>0</v>
      </c>
      <c r="E290" s="26"/>
      <c r="F290" s="76">
        <f>-IF(YEAR(F253)=YEAR(Assumptions!$H$30),SUM(F284:F289),0)</f>
        <v>0</v>
      </c>
      <c r="G290" s="76">
        <f>-IF(YEAR(G253)=YEAR(Assumptions!$H$30),SUM(G284:G289),0)</f>
        <v>0</v>
      </c>
      <c r="H290" s="76">
        <f>-IF(YEAR(H253)=YEAR(Assumptions!$H$30),SUM(H284:H289),0)</f>
        <v>0</v>
      </c>
      <c r="I290" s="76">
        <f>-IF(YEAR(I253)=YEAR(Assumptions!$H$30),SUM(I284:I289),0)</f>
        <v>0</v>
      </c>
      <c r="J290" s="76">
        <f>-IF(YEAR(J253)=YEAR(Assumptions!$H$30),SUM(J284:J289),0)</f>
        <v>0</v>
      </c>
      <c r="K290" s="76">
        <f>-IF(YEAR(K253)=YEAR(Assumptions!$H$30),SUM(K284:K289),0)</f>
        <v>0</v>
      </c>
      <c r="L290" s="76">
        <f>-IF(YEAR(L253)=YEAR(Assumptions!$H$30),SUM(L284:L289),0)</f>
        <v>0</v>
      </c>
      <c r="M290" s="76">
        <f ca="1">-IF(YEAR(M253)=YEAR(Assumptions!$H$30),SUM(M284:M289),0)</f>
        <v>0</v>
      </c>
      <c r="N290" s="76">
        <f>-IF(YEAR(N253)=YEAR(Assumptions!$H$30),SUM(N284:N289),0)</f>
        <v>0</v>
      </c>
      <c r="O290" s="76">
        <f>-IF(YEAR(O253)=YEAR(Assumptions!$H$30),SUM(O284:O289),0)</f>
        <v>0</v>
      </c>
      <c r="P290" s="76">
        <f>-IF(YEAR(P253)=YEAR(Assumptions!$H$30),SUM(P284:P289),0)</f>
        <v>0</v>
      </c>
      <c r="Q290" s="76">
        <f>-IF(YEAR(Q253)=YEAR(Assumptions!$H$30),SUM(Q284:Q289),0)</f>
        <v>0</v>
      </c>
      <c r="R290" s="76">
        <f>-IF(YEAR(R253)=YEAR(Assumptions!$H$30),SUM(R284:R289),0)</f>
        <v>0</v>
      </c>
      <c r="S290" s="76">
        <f>-IF(YEAR(S253)=YEAR(Assumptions!$H$30),SUM(S284:S289),0)</f>
        <v>0</v>
      </c>
      <c r="T290" s="76">
        <f>-IF(YEAR(T253)=YEAR(Assumptions!$H$30),SUM(T284:T289),0)</f>
        <v>0</v>
      </c>
      <c r="U290" s="76">
        <f>-IF(YEAR(U253)=YEAR(Assumptions!$H$30),SUM(U284:U289),0)</f>
        <v>0</v>
      </c>
      <c r="V290" s="76">
        <f>-IF(YEAR(V253)=YEAR(Assumptions!$H$30),SUM(V284:V289),0)</f>
        <v>0</v>
      </c>
      <c r="W290" s="76">
        <f>-IF(YEAR(W253)=YEAR(Assumptions!$H$30),SUM(W284:W289),0)</f>
        <v>0</v>
      </c>
      <c r="X290" s="76">
        <f>-IF(YEAR(X253)=YEAR(Assumptions!$H$30),SUM(X284:X289),0)</f>
        <v>0</v>
      </c>
      <c r="Y290" s="76">
        <f>-IF(YEAR(Y253)=YEAR(Assumptions!$H$30),SUM(Y284:Y289),0)</f>
        <v>0</v>
      </c>
      <c r="Z290" s="76">
        <f>-IF(YEAR(Z253)=YEAR(Assumptions!$H$30),SUM(Z284:Z289),0)</f>
        <v>0</v>
      </c>
    </row>
    <row r="291" spans="2:26" ht="15.75">
      <c r="B291" s="62" t="s">
        <v>694</v>
      </c>
      <c r="C291" s="62"/>
      <c r="D291" s="18">
        <f t="shared" ref="D291" ca="1" si="115">+SUM(F291:Z291)</f>
        <v>1381204566.3312078</v>
      </c>
      <c r="E291" s="58"/>
      <c r="F291" s="58">
        <f>+SUM(F284:F290)</f>
        <v>52170015</v>
      </c>
      <c r="G291" s="58">
        <f t="shared" ref="G291:Z291" si="116">+SUM(G284:G290)</f>
        <v>52170015</v>
      </c>
      <c r="H291" s="58">
        <f t="shared" si="116"/>
        <v>52170015</v>
      </c>
      <c r="I291" s="58">
        <f t="shared" si="116"/>
        <v>52170015</v>
      </c>
      <c r="J291" s="58">
        <f ca="1">+SUM(J284:J290)</f>
        <v>45719300.508158945</v>
      </c>
      <c r="K291" s="58">
        <f ca="1">+SUM(K284:K290)</f>
        <v>45719300.508158952</v>
      </c>
      <c r="L291" s="58">
        <f ca="1">+SUM(L284:L290)</f>
        <v>45719300.508158945</v>
      </c>
      <c r="M291" s="58">
        <f ca="1">+SUM(M284:M290)</f>
        <v>45719300.508158937</v>
      </c>
      <c r="N291" s="58">
        <f>+SUM(N284:N290)</f>
        <v>0</v>
      </c>
      <c r="O291" s="58">
        <f>+SUM(O284:O290)</f>
        <v>0</v>
      </c>
      <c r="P291" s="58">
        <f>+SUM(P284:P290)</f>
        <v>0</v>
      </c>
      <c r="Q291" s="58">
        <f>+SUM(Q284:Q290)</f>
        <v>0</v>
      </c>
      <c r="R291" s="58">
        <f t="shared" si="116"/>
        <v>0</v>
      </c>
      <c r="S291" s="58">
        <f t="shared" si="116"/>
        <v>0</v>
      </c>
      <c r="T291" s="58">
        <f t="shared" ca="1" si="116"/>
        <v>0</v>
      </c>
      <c r="U291" s="58">
        <f t="shared" ca="1" si="116"/>
        <v>0</v>
      </c>
      <c r="V291" s="58">
        <f t="shared" ca="1" si="116"/>
        <v>0</v>
      </c>
      <c r="W291" s="58">
        <f t="shared" ca="1" si="116"/>
        <v>0</v>
      </c>
      <c r="X291" s="58">
        <f t="shared" ca="1" si="116"/>
        <v>0</v>
      </c>
      <c r="Y291" s="58">
        <f t="shared" ca="1" si="116"/>
        <v>0</v>
      </c>
      <c r="Z291" s="58">
        <f t="shared" ca="1" si="116"/>
        <v>0</v>
      </c>
    </row>
    <row r="293" spans="2:26" ht="15.75">
      <c r="B293" s="444" t="s">
        <v>695</v>
      </c>
      <c r="C293" s="445"/>
      <c r="D293" s="445"/>
      <c r="E293" s="445"/>
      <c r="F293" s="640">
        <f>+F253</f>
        <v>45657</v>
      </c>
      <c r="G293" s="640">
        <f t="shared" ref="G293:Z293" si="117">+G253</f>
        <v>46022</v>
      </c>
      <c r="H293" s="640">
        <f t="shared" si="117"/>
        <v>46387</v>
      </c>
      <c r="I293" s="640">
        <f t="shared" si="117"/>
        <v>46752</v>
      </c>
      <c r="J293" s="640">
        <f t="shared" si="117"/>
        <v>47118</v>
      </c>
      <c r="K293" s="640">
        <f t="shared" si="117"/>
        <v>47483</v>
      </c>
      <c r="L293" s="640">
        <f t="shared" si="117"/>
        <v>47848</v>
      </c>
      <c r="M293" s="640">
        <f t="shared" si="117"/>
        <v>48213</v>
      </c>
      <c r="N293" s="640">
        <f t="shared" si="117"/>
        <v>48579</v>
      </c>
      <c r="O293" s="640">
        <f t="shared" si="117"/>
        <v>48944</v>
      </c>
      <c r="P293" s="640">
        <f t="shared" si="117"/>
        <v>49309</v>
      </c>
      <c r="Q293" s="640">
        <f t="shared" si="117"/>
        <v>49674</v>
      </c>
      <c r="R293" s="640">
        <f t="shared" si="117"/>
        <v>50040</v>
      </c>
      <c r="S293" s="640">
        <f t="shared" si="117"/>
        <v>50405</v>
      </c>
      <c r="T293" s="640">
        <f t="shared" si="117"/>
        <v>50770</v>
      </c>
      <c r="U293" s="640">
        <f t="shared" si="117"/>
        <v>51135</v>
      </c>
      <c r="V293" s="640">
        <f t="shared" si="117"/>
        <v>51501</v>
      </c>
      <c r="W293" s="640">
        <f t="shared" si="117"/>
        <v>51866</v>
      </c>
      <c r="X293" s="640">
        <f t="shared" si="117"/>
        <v>52231</v>
      </c>
      <c r="Y293" s="640">
        <f t="shared" si="117"/>
        <v>52596</v>
      </c>
      <c r="Z293" s="640">
        <f t="shared" si="117"/>
        <v>52962</v>
      </c>
    </row>
    <row r="294" spans="2:26" ht="15.75">
      <c r="B294" s="54"/>
    </row>
    <row r="295" spans="2:26" ht="15.75">
      <c r="B295" s="73" t="s">
        <v>696</v>
      </c>
      <c r="F295" s="73">
        <v>0</v>
      </c>
      <c r="G295" s="73">
        <f>+F295+1</f>
        <v>1</v>
      </c>
      <c r="H295" s="73">
        <f t="shared" ref="H295:Z295" si="118">+G295+1</f>
        <v>2</v>
      </c>
      <c r="I295" s="73">
        <f t="shared" si="118"/>
        <v>3</v>
      </c>
      <c r="J295" s="73">
        <f t="shared" si="118"/>
        <v>4</v>
      </c>
      <c r="K295" s="73">
        <f t="shared" si="118"/>
        <v>5</v>
      </c>
      <c r="L295" s="73">
        <f t="shared" si="118"/>
        <v>6</v>
      </c>
      <c r="M295" s="73">
        <f t="shared" si="118"/>
        <v>7</v>
      </c>
      <c r="N295" s="73">
        <f t="shared" si="118"/>
        <v>8</v>
      </c>
      <c r="O295" s="73">
        <f t="shared" si="118"/>
        <v>9</v>
      </c>
      <c r="P295" s="73">
        <f t="shared" si="118"/>
        <v>10</v>
      </c>
      <c r="Q295" s="73">
        <f t="shared" si="118"/>
        <v>11</v>
      </c>
      <c r="R295" s="73">
        <f t="shared" si="118"/>
        <v>12</v>
      </c>
      <c r="S295" s="73">
        <f t="shared" si="118"/>
        <v>13</v>
      </c>
      <c r="T295" s="73">
        <f t="shared" si="118"/>
        <v>14</v>
      </c>
      <c r="U295" s="73">
        <f t="shared" si="118"/>
        <v>15</v>
      </c>
      <c r="V295" s="73">
        <f t="shared" si="118"/>
        <v>16</v>
      </c>
      <c r="W295" s="73">
        <f t="shared" si="118"/>
        <v>17</v>
      </c>
      <c r="X295" s="73">
        <f t="shared" si="118"/>
        <v>18</v>
      </c>
      <c r="Y295" s="73">
        <f t="shared" si="118"/>
        <v>19</v>
      </c>
      <c r="Z295" s="73">
        <f t="shared" si="118"/>
        <v>20</v>
      </c>
    </row>
    <row r="296" spans="2:26" ht="15.75">
      <c r="B296" s="15" t="s">
        <v>676</v>
      </c>
      <c r="D296" s="26"/>
      <c r="E296" s="26"/>
      <c r="F296" s="16">
        <f>+F$203</f>
        <v>-76981700</v>
      </c>
      <c r="G296" s="16">
        <f t="shared" ref="G296:Z296" si="119">+G$203</f>
        <v>0</v>
      </c>
      <c r="H296" s="16">
        <f t="shared" si="119"/>
        <v>0</v>
      </c>
      <c r="I296" s="16">
        <f t="shared" ca="1" si="119"/>
        <v>0</v>
      </c>
      <c r="J296" s="16">
        <f t="shared" ca="1" si="119"/>
        <v>0</v>
      </c>
      <c r="K296" s="16">
        <f t="shared" si="119"/>
        <v>0</v>
      </c>
      <c r="L296" s="16">
        <f t="shared" ca="1" si="119"/>
        <v>0</v>
      </c>
      <c r="M296" s="16">
        <f t="shared" si="119"/>
        <v>0</v>
      </c>
      <c r="N296" s="16">
        <f t="shared" si="119"/>
        <v>0</v>
      </c>
      <c r="O296" s="16">
        <f t="shared" si="119"/>
        <v>0</v>
      </c>
      <c r="P296" s="16">
        <f t="shared" si="119"/>
        <v>0</v>
      </c>
      <c r="Q296" s="16">
        <f t="shared" si="119"/>
        <v>0</v>
      </c>
      <c r="R296" s="16">
        <f t="shared" si="119"/>
        <v>0</v>
      </c>
      <c r="S296" s="16">
        <f t="shared" ca="1" si="119"/>
        <v>0</v>
      </c>
      <c r="T296" s="16">
        <f t="shared" si="119"/>
        <v>0</v>
      </c>
      <c r="U296" s="16">
        <f t="shared" si="119"/>
        <v>0</v>
      </c>
      <c r="V296" s="16">
        <f t="shared" ca="1" si="119"/>
        <v>0</v>
      </c>
      <c r="W296" s="16">
        <f t="shared" ca="1" si="119"/>
        <v>0</v>
      </c>
      <c r="X296" s="16">
        <f t="shared" ca="1" si="119"/>
        <v>0</v>
      </c>
      <c r="Y296" s="16">
        <f t="shared" ca="1" si="119"/>
        <v>0</v>
      </c>
      <c r="Z296" s="16">
        <f t="shared" ca="1" si="119"/>
        <v>0</v>
      </c>
    </row>
    <row r="297" spans="2:26" ht="15.75">
      <c r="B297" s="15" t="s">
        <v>677</v>
      </c>
      <c r="D297" s="26"/>
      <c r="E297" s="26"/>
      <c r="F297" s="76">
        <v>0</v>
      </c>
      <c r="G297" s="76">
        <v>0</v>
      </c>
      <c r="H297" s="76">
        <v>0</v>
      </c>
      <c r="I297" s="76">
        <v>0</v>
      </c>
      <c r="J297" s="76">
        <v>0</v>
      </c>
      <c r="K297" s="76">
        <v>0</v>
      </c>
      <c r="L297" s="76">
        <v>0</v>
      </c>
      <c r="M297" s="76">
        <v>0</v>
      </c>
      <c r="N297" s="76">
        <v>0</v>
      </c>
      <c r="O297" s="76">
        <v>0</v>
      </c>
      <c r="P297" s="76">
        <v>0</v>
      </c>
      <c r="Q297" s="76">
        <v>0</v>
      </c>
      <c r="R297" s="76">
        <v>0</v>
      </c>
      <c r="S297" s="76">
        <v>0</v>
      </c>
      <c r="T297" s="76">
        <v>0</v>
      </c>
      <c r="U297" s="76">
        <v>0</v>
      </c>
      <c r="V297" s="76">
        <v>0</v>
      </c>
      <c r="W297" s="76">
        <v>0</v>
      </c>
      <c r="X297" s="76">
        <v>0</v>
      </c>
      <c r="Y297" s="76">
        <v>0</v>
      </c>
      <c r="Z297" s="76">
        <v>0</v>
      </c>
    </row>
    <row r="298" spans="2:26" ht="15.75">
      <c r="B298" s="15" t="s">
        <v>678</v>
      </c>
      <c r="D298" s="26"/>
      <c r="E298" s="26"/>
      <c r="F298" s="76">
        <v>0</v>
      </c>
      <c r="G298" s="76">
        <v>0</v>
      </c>
      <c r="H298" s="76">
        <v>0</v>
      </c>
      <c r="I298" s="76">
        <v>0</v>
      </c>
      <c r="J298" s="76">
        <v>0</v>
      </c>
      <c r="K298" s="76">
        <v>0</v>
      </c>
      <c r="L298" s="76">
        <v>0</v>
      </c>
      <c r="M298" s="76">
        <v>0</v>
      </c>
      <c r="N298" s="76">
        <v>0</v>
      </c>
      <c r="O298" s="76">
        <v>0</v>
      </c>
      <c r="P298" s="76">
        <v>0</v>
      </c>
      <c r="Q298" s="76">
        <v>0</v>
      </c>
      <c r="R298" s="76">
        <v>0</v>
      </c>
      <c r="S298" s="76">
        <v>0</v>
      </c>
      <c r="T298" s="76">
        <v>0</v>
      </c>
      <c r="U298" s="76">
        <v>0</v>
      </c>
      <c r="V298" s="76">
        <v>0</v>
      </c>
      <c r="W298" s="76">
        <v>0</v>
      </c>
      <c r="X298" s="76">
        <v>0</v>
      </c>
      <c r="Y298" s="76">
        <v>0</v>
      </c>
      <c r="Z298" s="76">
        <v>0</v>
      </c>
    </row>
    <row r="299" spans="2:26" ht="15.75">
      <c r="B299" s="15" t="s">
        <v>697</v>
      </c>
      <c r="D299" s="26"/>
      <c r="E299" s="26"/>
      <c r="F299" s="76">
        <v>0</v>
      </c>
      <c r="G299" s="76">
        <f>-SUM(G326:G327)*Assumptions!$M$192</f>
        <v>0</v>
      </c>
      <c r="H299" s="76">
        <f>-SUM(H326:H327)*Assumptions!$M$192</f>
        <v>0</v>
      </c>
      <c r="I299" s="76">
        <f>-SUM(I326:I327)*Assumptions!$M$192</f>
        <v>638999.44152574486</v>
      </c>
      <c r="J299" s="76">
        <f ca="1">-SUM(J326:J327)*Assumptions!$M$192</f>
        <v>-3583347.1916542356</v>
      </c>
      <c r="K299" s="76">
        <f ca="1">-SUM(K326:K327)*Assumptions!$M$192</f>
        <v>337322.76281815476</v>
      </c>
      <c r="L299" s="76">
        <f ca="1">-SUM(L326:L327)*Assumptions!$M$192</f>
        <v>-1791107.2882270922</v>
      </c>
      <c r="M299" s="76">
        <f ca="1">-SUM(M326:M327)*Assumptions!$M$192</f>
        <v>75056.348302137369</v>
      </c>
      <c r="N299" s="76">
        <f>-SUM(N326:N327)*Assumptions!$M$192</f>
        <v>0</v>
      </c>
      <c r="O299" s="76">
        <f>-SUM(O326:O327)*Assumptions!$M$192</f>
        <v>0</v>
      </c>
      <c r="P299" s="76">
        <f>-SUM(P326:P327)*Assumptions!$M$192</f>
        <v>0</v>
      </c>
      <c r="Q299" s="76">
        <f>-SUM(Q326:Q327)*Assumptions!$M$192</f>
        <v>0</v>
      </c>
      <c r="R299" s="76">
        <f>-SUM(R326:R327)*Assumptions!$M$192</f>
        <v>0</v>
      </c>
      <c r="S299" s="76">
        <f>-SUM(S326:S327)*Assumptions!$M$192</f>
        <v>0</v>
      </c>
      <c r="T299" s="76">
        <f>-SUM(T326:T327)*Assumptions!$M$192</f>
        <v>0</v>
      </c>
      <c r="U299" s="76">
        <f>-SUM(U326:U327)*Assumptions!$M$192</f>
        <v>0</v>
      </c>
      <c r="V299" s="76">
        <f>-SUM(V326:V327)*Assumptions!$M$192</f>
        <v>0</v>
      </c>
      <c r="W299" s="76">
        <f>-SUM(W326:W327)*Assumptions!$M$192</f>
        <v>0</v>
      </c>
      <c r="X299" s="76">
        <f>-SUM(X326:X327)*Assumptions!$M$192</f>
        <v>0</v>
      </c>
      <c r="Y299" s="76">
        <f>-SUM(Y326:Y327)*Assumptions!$M$192</f>
        <v>0</v>
      </c>
      <c r="Z299" s="76">
        <f>-SUM(Z326:Z327)*Assumptions!$M$192</f>
        <v>0</v>
      </c>
    </row>
    <row r="300" spans="2:26" ht="15.75">
      <c r="B300" s="15" t="s">
        <v>698</v>
      </c>
      <c r="D300" s="26"/>
      <c r="E300" s="26"/>
      <c r="F300" s="76">
        <f>+IF(YEAR(F$140)&lt;=YEAR(Assumptions!$H$30),+F152,0)</f>
        <v>0</v>
      </c>
      <c r="G300" s="76">
        <f>+IF(YEAR(G$140)&lt;=YEAR(Assumptions!$H$30),+G152,0)</f>
        <v>0</v>
      </c>
      <c r="H300" s="76">
        <f>+IF(YEAR(H$140)&lt;=YEAR(Assumptions!$H$30),+H152,0)</f>
        <v>0</v>
      </c>
      <c r="I300" s="76">
        <f>+IF(YEAR(I$140)&lt;=YEAR(Assumptions!$H$30),+I152,0)</f>
        <v>0</v>
      </c>
      <c r="J300" s="76">
        <f>+IF(YEAR(J$140)&lt;=YEAR(Assumptions!$H$30),+J152,0)</f>
        <v>2523493.4673668575</v>
      </c>
      <c r="K300" s="76">
        <f>+IF(YEAR(K$140)&lt;=YEAR(Assumptions!$H$30),+K152,0)</f>
        <v>2873461.9276949186</v>
      </c>
      <c r="L300" s="76">
        <f>+IF(YEAR(L$140)&lt;=YEAR(Assumptions!$H$30),+L152,0)</f>
        <v>3485949.1059523243</v>
      </c>
      <c r="M300" s="76">
        <f>+IF(YEAR(M$140)&lt;=YEAR(Assumptions!$H$30),+M152,0)</f>
        <v>3857798.356345186</v>
      </c>
      <c r="N300" s="76">
        <f>+IF(YEAR(N$140)&lt;=YEAR(Assumptions!$H$30),#REF!+#REF!+N152,0)</f>
        <v>0</v>
      </c>
      <c r="O300" s="76">
        <f>+IF(YEAR(O$140)&lt;=YEAR(Assumptions!$H$30),#REF!+#REF!+O152,0)</f>
        <v>0</v>
      </c>
      <c r="P300" s="76">
        <f>+IF(YEAR(P$140)&lt;=YEAR(Assumptions!$H$30),#REF!+#REF!+P152,0)</f>
        <v>0</v>
      </c>
      <c r="Q300" s="76">
        <f>+IF(YEAR(Q$140)&lt;=YEAR(Assumptions!$H$30),#REF!+#REF!+Q152,0)</f>
        <v>0</v>
      </c>
      <c r="R300" s="76">
        <f>+IF(YEAR(R$140)&lt;=YEAR(Assumptions!$H$30),#REF!+#REF!+R152,0)</f>
        <v>0</v>
      </c>
      <c r="S300" s="76">
        <f>+IF(YEAR(S$140)&lt;=YEAR(Assumptions!$H$30),#REF!+#REF!+S152,0)</f>
        <v>0</v>
      </c>
      <c r="T300" s="76">
        <f>+IF(YEAR(T$140)&lt;=YEAR(Assumptions!$H$30),#REF!+#REF!+T152,0)</f>
        <v>0</v>
      </c>
      <c r="U300" s="76">
        <f>+IF(YEAR(U$140)&lt;=YEAR(Assumptions!$H$30),#REF!+#REF!+U152,0)</f>
        <v>0</v>
      </c>
      <c r="V300" s="76">
        <f>+IF(YEAR(V$140)&lt;=YEAR(Assumptions!$H$30),#REF!+#REF!+V152,0)</f>
        <v>0</v>
      </c>
      <c r="W300" s="76">
        <f>+IF(YEAR(W$140)&lt;=YEAR(Assumptions!$H$30),#REF!+#REF!+W152,0)</f>
        <v>0</v>
      </c>
      <c r="X300" s="76">
        <f>+IF(YEAR(X$140)&lt;=YEAR(Assumptions!$H$30),#REF!+#REF!+X152,0)</f>
        <v>0</v>
      </c>
      <c r="Y300" s="76">
        <f>+IF(YEAR(Y$140)&lt;=YEAR(Assumptions!$H$30),#REF!+#REF!+Y152,0)</f>
        <v>0</v>
      </c>
      <c r="Z300" s="76">
        <f>+IF(YEAR(Z$140)&lt;=YEAR(Assumptions!$H$30),#REF!+#REF!+Z152,0)</f>
        <v>0</v>
      </c>
    </row>
    <row r="301" spans="2:26" ht="15.75">
      <c r="B301" s="15" t="s">
        <v>699</v>
      </c>
      <c r="D301" s="26"/>
      <c r="E301" s="26"/>
      <c r="F301" s="76">
        <f>-IF(YEAR(F$140)&lt;=YEAR(Assumptions!$H$30),F329,0)</f>
        <v>0</v>
      </c>
      <c r="G301" s="76">
        <f>-IF(YEAR(G$140)&lt;=YEAR(Assumptions!$H$30),G329,0)</f>
        <v>0</v>
      </c>
      <c r="H301" s="76">
        <f>-IF(YEAR(H$140)&lt;=YEAR(Assumptions!$H$30),H329,0)</f>
        <v>0</v>
      </c>
      <c r="I301" s="76">
        <f ca="1">-IF(YEAR(I$140)&lt;=YEAR(Assumptions!$H$30),I329,0)</f>
        <v>69981700.404558539</v>
      </c>
      <c r="J301" s="76">
        <f>-IF(YEAR(J$140)&lt;=YEAR(Assumptions!$H$30),J329,0)</f>
        <v>0</v>
      </c>
      <c r="K301" s="76">
        <f>-IF(YEAR(K$140)&lt;=YEAR(Assumptions!$H$30),K329,0)</f>
        <v>0</v>
      </c>
      <c r="L301" s="76">
        <f>-IF(YEAR(L$140)&lt;=YEAR(Assumptions!$H$30),L329,0)</f>
        <v>0</v>
      </c>
      <c r="M301" s="76">
        <f>-IF(YEAR(M$140)&lt;=YEAR(Assumptions!$H$30),M329,0)</f>
        <v>0</v>
      </c>
      <c r="N301" s="76">
        <f>-IF(YEAR(N$140)&lt;=YEAR(Assumptions!$H$30),N329,0)</f>
        <v>0</v>
      </c>
      <c r="O301" s="76">
        <f>-IF(YEAR(O$140)&lt;=YEAR(Assumptions!$H$30),O329,0)</f>
        <v>0</v>
      </c>
      <c r="P301" s="76">
        <f>-IF(YEAR(P$140)&lt;=YEAR(Assumptions!$H$30),P329,0)</f>
        <v>0</v>
      </c>
      <c r="Q301" s="76">
        <f>-IF(YEAR(Q$140)&lt;=YEAR(Assumptions!$H$30),Q329,0)</f>
        <v>0</v>
      </c>
      <c r="R301" s="76">
        <f>-IF(YEAR(R$140)&lt;=YEAR(Assumptions!$H$30),R329,0)</f>
        <v>0</v>
      </c>
      <c r="S301" s="76">
        <f>-IF(YEAR(S$140)&lt;=YEAR(Assumptions!$H$30),S329,0)</f>
        <v>0</v>
      </c>
      <c r="T301" s="76">
        <f>-IF(YEAR(T$140)&lt;=YEAR(Assumptions!$H$30),T329,0)</f>
        <v>0</v>
      </c>
      <c r="U301" s="76">
        <f>-IF(YEAR(U$140)&lt;=YEAR(Assumptions!$H$30),U329,0)</f>
        <v>0</v>
      </c>
      <c r="V301" s="76">
        <f>-IF(YEAR(V$140)&lt;=YEAR(Assumptions!$H$30),V329,0)</f>
        <v>0</v>
      </c>
      <c r="W301" s="76">
        <f>-IF(YEAR(W$140)&lt;=YEAR(Assumptions!$H$30),W329,0)</f>
        <v>0</v>
      </c>
      <c r="X301" s="76">
        <f>-IF(YEAR(X$140)&lt;=YEAR(Assumptions!$H$30),X329,0)</f>
        <v>0</v>
      </c>
      <c r="Y301" s="76">
        <f>-IF(YEAR(Y$140)&lt;=YEAR(Assumptions!$H$30),Y329,0)</f>
        <v>0</v>
      </c>
      <c r="Z301" s="76">
        <f>-IF(YEAR(Z$140)&lt;=YEAR(Assumptions!$H$30),Z329,0)</f>
        <v>0</v>
      </c>
    </row>
    <row r="302" spans="2:26" ht="15.75">
      <c r="B302" s="15" t="s">
        <v>682</v>
      </c>
      <c r="D302" s="26"/>
      <c r="E302" s="26"/>
      <c r="F302" s="76">
        <f>-F330*Assumptions!$M$192</f>
        <v>0</v>
      </c>
      <c r="G302" s="76">
        <f>-G330*Assumptions!$M$192</f>
        <v>0</v>
      </c>
      <c r="H302" s="76">
        <f>-H330*Assumptions!$M$192</f>
        <v>0</v>
      </c>
      <c r="I302" s="76">
        <f>-I330*Assumptions!$M$192</f>
        <v>0</v>
      </c>
      <c r="J302" s="76">
        <f>-J330*Assumptions!$M$192</f>
        <v>0</v>
      </c>
      <c r="K302" s="76">
        <f>-K330*Assumptions!$M$192</f>
        <v>0</v>
      </c>
      <c r="L302" s="76">
        <f>-L330*Assumptions!$M$192</f>
        <v>0</v>
      </c>
      <c r="M302" s="76">
        <f>-M330*Assumptions!$M$192</f>
        <v>0</v>
      </c>
      <c r="N302" s="76">
        <f>-N330*Assumptions!$M$192</f>
        <v>0</v>
      </c>
      <c r="O302" s="76">
        <f>-O330*Assumptions!$M$192</f>
        <v>0</v>
      </c>
      <c r="P302" s="76">
        <f>-P330*Assumptions!$M$192</f>
        <v>0</v>
      </c>
      <c r="Q302" s="76">
        <f>-Q330*Assumptions!$M$192</f>
        <v>0</v>
      </c>
      <c r="R302" s="76">
        <f>-R330*Assumptions!$M$192</f>
        <v>0</v>
      </c>
      <c r="S302" s="76">
        <f>-S330*Assumptions!$M$192</f>
        <v>0</v>
      </c>
      <c r="T302" s="76">
        <f>-T330*Assumptions!$M$192</f>
        <v>0</v>
      </c>
      <c r="U302" s="76">
        <f>-U330*Assumptions!$M$192</f>
        <v>0</v>
      </c>
      <c r="V302" s="76">
        <f>-V330*Assumptions!$M$192</f>
        <v>0</v>
      </c>
      <c r="W302" s="76">
        <f>-W330*Assumptions!$M$192</f>
        <v>0</v>
      </c>
      <c r="X302" s="76">
        <f>-X330*Assumptions!$M$192</f>
        <v>0</v>
      </c>
      <c r="Y302" s="76">
        <f>-Y330*Assumptions!$M$192</f>
        <v>0</v>
      </c>
      <c r="Z302" s="76">
        <f>-Z330*Assumptions!$M$192</f>
        <v>0</v>
      </c>
    </row>
    <row r="303" spans="2:26" ht="15.75">
      <c r="B303" s="687" t="s">
        <v>675</v>
      </c>
      <c r="C303" s="687"/>
      <c r="D303" s="550">
        <f ca="1">+SUM(F303:Z303)</f>
        <v>40444234.825717382</v>
      </c>
      <c r="E303" s="550"/>
      <c r="F303" s="550">
        <f>+SUM(F296:F302)</f>
        <v>-76981700</v>
      </c>
      <c r="G303" s="550">
        <f>+SUM(G296:G302)</f>
        <v>0</v>
      </c>
      <c r="H303" s="550">
        <f t="shared" ref="H303:Z303" si="120">+SUM(H296:H302)</f>
        <v>0</v>
      </c>
      <c r="I303" s="550">
        <f ca="1">+SUM(I296:I302)</f>
        <v>68571910.846990749</v>
      </c>
      <c r="J303" s="550">
        <f ca="1">+SUM(J296:J302)</f>
        <v>18922964.996322207</v>
      </c>
      <c r="K303" s="550">
        <f ca="1">+SUM(K296:K302)</f>
        <v>3210784.6905130735</v>
      </c>
      <c r="L303" s="550">
        <f ca="1">+SUM(L296:L302)</f>
        <v>22787419.58724403</v>
      </c>
      <c r="M303" s="550">
        <f ca="1">+SUM(M296:M302)</f>
        <v>3932854.7046473236</v>
      </c>
      <c r="N303" s="550">
        <f t="shared" si="120"/>
        <v>0</v>
      </c>
      <c r="O303" s="550">
        <f t="shared" si="120"/>
        <v>0</v>
      </c>
      <c r="P303" s="550">
        <f t="shared" si="120"/>
        <v>0</v>
      </c>
      <c r="Q303" s="550">
        <f t="shared" si="120"/>
        <v>0</v>
      </c>
      <c r="R303" s="550">
        <f t="shared" si="120"/>
        <v>0</v>
      </c>
      <c r="S303" s="550">
        <f t="shared" ca="1" si="120"/>
        <v>0</v>
      </c>
      <c r="T303" s="550">
        <f t="shared" si="120"/>
        <v>0</v>
      </c>
      <c r="U303" s="550">
        <f t="shared" si="120"/>
        <v>0</v>
      </c>
      <c r="V303" s="550">
        <f t="shared" ca="1" si="120"/>
        <v>0</v>
      </c>
      <c r="W303" s="550">
        <f t="shared" ca="1" si="120"/>
        <v>0</v>
      </c>
      <c r="X303" s="550">
        <f t="shared" ca="1" si="120"/>
        <v>0</v>
      </c>
      <c r="Y303" s="550">
        <f t="shared" ca="1" si="120"/>
        <v>0</v>
      </c>
      <c r="Z303" s="550">
        <f t="shared" ca="1" si="120"/>
        <v>0</v>
      </c>
    </row>
    <row r="304" spans="2:26" ht="15.75">
      <c r="B304" s="54"/>
    </row>
    <row r="305" spans="2:26" ht="15.75">
      <c r="B305" s="539" t="s">
        <v>700</v>
      </c>
      <c r="C305" s="539"/>
      <c r="D305" s="711">
        <f ca="1">+IRR(F303:Z303)</f>
        <v>0.11610253323883035</v>
      </c>
      <c r="F305" s="242"/>
      <c r="G305" s="16"/>
    </row>
    <row r="306" spans="2:26" ht="15.75">
      <c r="B306" s="54"/>
      <c r="D306" s="49"/>
    </row>
    <row r="307" spans="2:26" ht="15.75">
      <c r="B307" s="73" t="s">
        <v>701</v>
      </c>
      <c r="F307" s="73">
        <f>+F295</f>
        <v>0</v>
      </c>
      <c r="G307" s="73">
        <f t="shared" ref="G307:Z308" si="121">+G295</f>
        <v>1</v>
      </c>
      <c r="H307" s="73">
        <f t="shared" si="121"/>
        <v>2</v>
      </c>
      <c r="I307" s="73">
        <f t="shared" si="121"/>
        <v>3</v>
      </c>
      <c r="J307" s="73">
        <f t="shared" si="121"/>
        <v>4</v>
      </c>
      <c r="K307" s="73">
        <f t="shared" si="121"/>
        <v>5</v>
      </c>
      <c r="L307" s="73">
        <f t="shared" si="121"/>
        <v>6</v>
      </c>
      <c r="M307" s="73">
        <f t="shared" si="121"/>
        <v>7</v>
      </c>
      <c r="N307" s="73">
        <f t="shared" si="121"/>
        <v>8</v>
      </c>
      <c r="O307" s="73">
        <f t="shared" si="121"/>
        <v>9</v>
      </c>
      <c r="P307" s="73">
        <f t="shared" si="121"/>
        <v>10</v>
      </c>
      <c r="Q307" s="73">
        <f t="shared" si="121"/>
        <v>11</v>
      </c>
      <c r="R307" s="73">
        <f t="shared" si="121"/>
        <v>12</v>
      </c>
      <c r="S307" s="73">
        <f t="shared" si="121"/>
        <v>13</v>
      </c>
      <c r="T307" s="73">
        <f t="shared" si="121"/>
        <v>14</v>
      </c>
      <c r="U307" s="73">
        <f t="shared" si="121"/>
        <v>15</v>
      </c>
      <c r="V307" s="73">
        <f t="shared" si="121"/>
        <v>16</v>
      </c>
      <c r="W307" s="73">
        <f t="shared" si="121"/>
        <v>17</v>
      </c>
      <c r="X307" s="73">
        <f t="shared" si="121"/>
        <v>18</v>
      </c>
      <c r="Y307" s="73">
        <f t="shared" si="121"/>
        <v>19</v>
      </c>
      <c r="Z307" s="73">
        <f t="shared" si="121"/>
        <v>20</v>
      </c>
    </row>
    <row r="308" spans="2:26" ht="15.75">
      <c r="B308" s="15" t="s">
        <v>676</v>
      </c>
      <c r="D308" s="26"/>
      <c r="E308" s="26"/>
      <c r="F308" s="16">
        <f>+F296</f>
        <v>-76981700</v>
      </c>
      <c r="G308" s="16">
        <f t="shared" si="121"/>
        <v>0</v>
      </c>
      <c r="H308" s="16">
        <f t="shared" si="121"/>
        <v>0</v>
      </c>
      <c r="I308" s="16">
        <f t="shared" ca="1" si="121"/>
        <v>0</v>
      </c>
      <c r="J308" s="16">
        <f t="shared" ca="1" si="121"/>
        <v>0</v>
      </c>
      <c r="K308" s="16">
        <f t="shared" si="121"/>
        <v>0</v>
      </c>
      <c r="L308" s="16">
        <f t="shared" ca="1" si="121"/>
        <v>0</v>
      </c>
      <c r="M308" s="16">
        <f t="shared" si="121"/>
        <v>0</v>
      </c>
      <c r="N308" s="16">
        <f t="shared" si="121"/>
        <v>0</v>
      </c>
      <c r="O308" s="16">
        <f t="shared" si="121"/>
        <v>0</v>
      </c>
      <c r="P308" s="16">
        <f t="shared" si="121"/>
        <v>0</v>
      </c>
      <c r="Q308" s="16">
        <f t="shared" si="121"/>
        <v>0</v>
      </c>
      <c r="R308" s="16">
        <f t="shared" si="121"/>
        <v>0</v>
      </c>
      <c r="S308" s="16">
        <f t="shared" ca="1" si="121"/>
        <v>0</v>
      </c>
      <c r="T308" s="16">
        <f t="shared" si="121"/>
        <v>0</v>
      </c>
      <c r="U308" s="16">
        <f t="shared" si="121"/>
        <v>0</v>
      </c>
      <c r="V308" s="16">
        <f t="shared" ca="1" si="121"/>
        <v>0</v>
      </c>
      <c r="W308" s="16">
        <f t="shared" ca="1" si="121"/>
        <v>0</v>
      </c>
      <c r="X308" s="16">
        <f t="shared" ca="1" si="121"/>
        <v>0</v>
      </c>
      <c r="Y308" s="16">
        <f t="shared" ca="1" si="121"/>
        <v>0</v>
      </c>
      <c r="Z308" s="16">
        <f t="shared" ca="1" si="121"/>
        <v>0</v>
      </c>
    </row>
    <row r="309" spans="2:26" ht="15.75">
      <c r="B309" s="15" t="s">
        <v>677</v>
      </c>
      <c r="D309" s="26"/>
      <c r="E309" s="26"/>
      <c r="F309" s="76">
        <f>-F308*Assumptions!$M$192</f>
        <v>16166157</v>
      </c>
      <c r="G309" s="76">
        <f>-G308*Assumptions!$M$192</f>
        <v>0</v>
      </c>
      <c r="H309" s="76">
        <f>-H308*Assumptions!$M$192</f>
        <v>0</v>
      </c>
      <c r="I309" s="76">
        <f ca="1">-I308*Assumptions!$M$192</f>
        <v>0</v>
      </c>
      <c r="J309" s="76">
        <f ca="1">-J308*Assumptions!$M$192</f>
        <v>0</v>
      </c>
      <c r="K309" s="76">
        <f>-K308*Assumptions!$M$192</f>
        <v>0</v>
      </c>
      <c r="L309" s="76">
        <f ca="1">-L308*Assumptions!$M$192</f>
        <v>0</v>
      </c>
      <c r="M309" s="76">
        <f>-M308*Assumptions!$M$192</f>
        <v>0</v>
      </c>
      <c r="N309" s="76">
        <f>-N308*Assumptions!$M$192</f>
        <v>0</v>
      </c>
      <c r="O309" s="76">
        <f>-O308*Assumptions!$M$192</f>
        <v>0</v>
      </c>
      <c r="P309" s="76">
        <f>-P308*Assumptions!$M$192</f>
        <v>0</v>
      </c>
      <c r="Q309" s="76">
        <f>-Q308*Assumptions!$M$192</f>
        <v>0</v>
      </c>
      <c r="R309" s="76">
        <f>-R308*Assumptions!$M$192</f>
        <v>0</v>
      </c>
      <c r="S309" s="76">
        <f ca="1">-S308*Assumptions!$M$192</f>
        <v>0</v>
      </c>
      <c r="T309" s="76">
        <f>-T308*Assumptions!$M$192</f>
        <v>0</v>
      </c>
      <c r="U309" s="76">
        <f>-U308*Assumptions!$M$192</f>
        <v>0</v>
      </c>
      <c r="V309" s="76">
        <f ca="1">-V308*Assumptions!$M$192</f>
        <v>0</v>
      </c>
      <c r="W309" s="76">
        <f ca="1">-W308*Assumptions!$M$192</f>
        <v>0</v>
      </c>
      <c r="X309" s="76">
        <f ca="1">-X308*Assumptions!$M$192</f>
        <v>0</v>
      </c>
      <c r="Y309" s="76">
        <f ca="1">-Y308*Assumptions!$M$192</f>
        <v>0</v>
      </c>
      <c r="Z309" s="76">
        <f ca="1">-Z308*Assumptions!$M$192</f>
        <v>0</v>
      </c>
    </row>
    <row r="310" spans="2:26" ht="15.75">
      <c r="B310" s="15" t="s">
        <v>678</v>
      </c>
      <c r="D310" s="26"/>
      <c r="E310" s="26"/>
      <c r="F310" s="76">
        <f ca="1">IFERROR(-IF(YEAR(F293)&lt;MIN(YEAR(Assumptions!$H$30),2026),(OFFSET(F309,0,-10)),IF(YEAR(F293)=MIN(YEAR(Assumptions!$H$30),2026),SUM($E$309:F$309)-SUM($E$310:E$310),0)),0)</f>
        <v>0</v>
      </c>
      <c r="G310" s="76">
        <f ca="1">IFERROR(-IF(YEAR(G293)&lt;MIN(YEAR(Assumptions!$H$30),2026),(OFFSET(G309,0,-10)),IF(YEAR(G293)=MIN(YEAR(Assumptions!$H$30),2026),SUM($E$309:G$309)-SUM($E$310:F$310),0)),0)</f>
        <v>0</v>
      </c>
      <c r="H310" s="76">
        <f ca="1">IFERROR(-IF(YEAR(H293)&lt;MIN(YEAR(Assumptions!$H$30),2026),(OFFSET(H309,0,-10)),IF(YEAR(H293)=MIN(YEAR(Assumptions!$H$30),2026),SUM($E$309:H$309)-SUM($E$310:G$310),0)),0)</f>
        <v>-16166157</v>
      </c>
      <c r="I310" s="76">
        <f ca="1">IFERROR(-IF(YEAR(I293)&lt;MIN(YEAR(Assumptions!$H$30),2026),(OFFSET(I309,0,-10)),IF(YEAR(I293)=MIN(YEAR(Assumptions!$H$30),2026),SUM($E$309:I$309)-SUM($E$310:H$310),0)),0)</f>
        <v>0</v>
      </c>
      <c r="J310" s="76">
        <f ca="1">IFERROR(-IF(YEAR(J293)&lt;MIN(YEAR(Assumptions!$H$30),2026),(OFFSET(J309,0,-10)),IF(YEAR(J293)=MIN(YEAR(Assumptions!$H$30),2026),SUM($E$309:J$309)-SUM($E$310:I$310),0)),0)</f>
        <v>0</v>
      </c>
      <c r="K310" s="76">
        <f ca="1">IFERROR(-IF(YEAR(K293)&lt;MIN(YEAR(Assumptions!$H$30),2026),(OFFSET(K309,0,-10)),IF(YEAR(K293)=MIN(YEAR(Assumptions!$H$30),2026),SUM($E$309:K$309)-SUM($E$310:J$310),0)),0)</f>
        <v>0</v>
      </c>
      <c r="L310" s="76">
        <f ca="1">IFERROR(-IF(YEAR(L293)&lt;MIN(YEAR(Assumptions!$H$30),2026),(OFFSET(L309,0,-10)),IF(YEAR(L293)=MIN(YEAR(Assumptions!$H$30),2026),SUM($E$309:L$309)-SUM($E$310:K$310),0)),0)</f>
        <v>0</v>
      </c>
      <c r="M310" s="76">
        <f ca="1">IFERROR(-IF(YEAR(M293)&lt;MIN(YEAR(Assumptions!$H$30),2026),(OFFSET(M309,0,-10)),IF(YEAR(M293)=MIN(YEAR(Assumptions!$H$30),2026),SUM($E$309:M$309)-SUM($E$310:L$310),0)),0)</f>
        <v>0</v>
      </c>
      <c r="N310" s="76">
        <f ca="1">IFERROR(-IF(YEAR(N293)&lt;MIN(YEAR(Assumptions!$H$30),2026),(OFFSET(N309,0,-10)),IF(YEAR(N293)=MIN(YEAR(Assumptions!$H$30),2026),SUM($E$309:N$309)-SUM($E$310:M$310),0)),0)</f>
        <v>0</v>
      </c>
      <c r="O310" s="76">
        <f ca="1">IFERROR(-IF(YEAR(O293)&lt;MIN(YEAR(Assumptions!$H$30),2026),(OFFSET(O309,0,-10)),IF(YEAR(O293)=MIN(YEAR(Assumptions!$H$30),2026),SUM($E$309:O$309)-SUM($E$310:N$310),0)),0)</f>
        <v>0</v>
      </c>
      <c r="P310" s="76">
        <f ca="1">IFERROR(-IF(YEAR(P293)&lt;MIN(YEAR(Assumptions!$H$30),2026),(OFFSET(P309,0,-10)),IF(YEAR(P293)=MIN(YEAR(Assumptions!$H$30),2026),SUM($E$309:P$309)-SUM($E$310:O$310),0)),0)</f>
        <v>0</v>
      </c>
      <c r="Q310" s="76">
        <f ca="1">IFERROR(-IF(YEAR(Q293)&lt;MIN(YEAR(Assumptions!$H$30),2026),(OFFSET(Q309,0,-10)),IF(YEAR(Q293)=MIN(YEAR(Assumptions!$H$30),2026),SUM($E$309:Q$309)-SUM($E$310:P$310),0)),0)</f>
        <v>0</v>
      </c>
      <c r="R310" s="76">
        <f ca="1">IFERROR(-IF(YEAR(R293)&lt;MIN(YEAR(Assumptions!$H$30),2026),(OFFSET(R309,0,-10)),IF(YEAR(R293)=MIN(YEAR(Assumptions!$H$30),2026),SUM($E$309:R$309)-SUM($E$310:Q$310),0)),0)</f>
        <v>0</v>
      </c>
      <c r="S310" s="76">
        <f ca="1">IFERROR(-IF(YEAR(S293)&lt;MIN(YEAR(Assumptions!$H$30),2026),(OFFSET(S309,0,-10)),IF(YEAR(S293)=MIN(YEAR(Assumptions!$H$30),2026),SUM($E$309:S$309)-SUM($E$310:R$310),0)),0)</f>
        <v>0</v>
      </c>
      <c r="T310" s="76">
        <f ca="1">IFERROR(-IF(YEAR(T293)&lt;MIN(YEAR(Assumptions!$H$30),2026),(OFFSET(T309,0,-10)),IF(YEAR(T293)=MIN(YEAR(Assumptions!$H$30),2026),SUM($E$309:T$309)-SUM($E$310:S$310),0)),0)</f>
        <v>0</v>
      </c>
      <c r="U310" s="76">
        <f ca="1">IFERROR(-IF(YEAR(U293)&lt;MIN(YEAR(Assumptions!$H$30),2026),(OFFSET(U309,0,-10)),IF(YEAR(U293)=MIN(YEAR(Assumptions!$H$30),2026),SUM($E$309:U$309)-SUM($E$310:T$310),0)),0)</f>
        <v>0</v>
      </c>
      <c r="V310" s="76">
        <f ca="1">IFERROR(-IF(YEAR(V293)&lt;MIN(YEAR(Assumptions!$H$30),2026),(OFFSET(V309,0,-10)),IF(YEAR(V293)=MIN(YEAR(Assumptions!$H$30),2026),SUM($E$309:V$309)-SUM($E$310:U$310),0)),0)</f>
        <v>0</v>
      </c>
      <c r="W310" s="76">
        <f ca="1">IFERROR(-IF(YEAR(W293)&lt;MIN(YEAR(Assumptions!$H$30),2026),(OFFSET(W309,0,-10)),IF(YEAR(W293)=MIN(YEAR(Assumptions!$H$30),2026),SUM($E$309:W$309)-SUM($E$310:V$310),0)),0)</f>
        <v>0</v>
      </c>
      <c r="X310" s="76">
        <f ca="1">IFERROR(-IF(YEAR(X293)&lt;MIN(YEAR(Assumptions!$H$30),2026),(OFFSET(X309,0,-10)),IF(YEAR(X293)=MIN(YEAR(Assumptions!$H$30),2026),SUM($E$309:X$309)-SUM($E$310:W$310),0)),0)</f>
        <v>0</v>
      </c>
      <c r="Y310" s="76">
        <f ca="1">IFERROR(-IF(YEAR(Y293)&lt;MIN(YEAR(Assumptions!$H$30),2026),(OFFSET(Y309,0,-10)),IF(YEAR(Y293)=MIN(YEAR(Assumptions!$H$30),2026),SUM($E$309:Y$309)-SUM($E$310:X$310),0)),0)</f>
        <v>0</v>
      </c>
      <c r="Z310" s="76">
        <f ca="1">IFERROR(-IF(YEAR(Z293)&lt;MIN(YEAR(Assumptions!$H$30),2026),(OFFSET(Z309,0,-10)),IF(YEAR(Z293)=MIN(YEAR(Assumptions!$H$30),2026),SUM($E$309:Z$309)-SUM($E$310:Y$310),0)),0)</f>
        <v>0</v>
      </c>
    </row>
    <row r="311" spans="2:26" ht="15.75">
      <c r="B311" s="15" t="s">
        <v>685</v>
      </c>
      <c r="D311" s="26"/>
      <c r="E311" s="26"/>
      <c r="F311" s="76">
        <f>+IF(YEAR(F293)=MIN(YEAR(Assumptions!$H$30),2026),SUM($F$321:$Z$321),0)</f>
        <v>0</v>
      </c>
      <c r="G311" s="76">
        <f>+IF(YEAR(G293)=MIN(YEAR(Assumptions!$H$30),2026),SUM($F$321:$Z$321),0)</f>
        <v>0</v>
      </c>
      <c r="H311" s="76">
        <f ca="1">+IF(YEAR(H293)=MIN(YEAR(Assumptions!$H$30),2026),SUM($F$321:$Z$321),0)</f>
        <v>2424923.5500000003</v>
      </c>
      <c r="I311" s="76">
        <f>+IF(YEAR(I293)=MIN(YEAR(Assumptions!$H$30),2026),SUM($F$321:$Z$321),0)</f>
        <v>0</v>
      </c>
      <c r="J311" s="76">
        <f>+IF(YEAR(J293)=MIN(YEAR(Assumptions!$H$30),2026),SUM($F$321:$Z$321),0)</f>
        <v>0</v>
      </c>
      <c r="K311" s="76">
        <f>+IF(YEAR(K293)=MIN(YEAR(Assumptions!$H$30),2026),SUM($F$321:$Z$321),0)</f>
        <v>0</v>
      </c>
      <c r="L311" s="76">
        <f>+IF(YEAR(L293)=MIN(YEAR(Assumptions!$H$30),2026),SUM($F$321:$Z$321),0)</f>
        <v>0</v>
      </c>
      <c r="M311" s="76">
        <f>+IF(YEAR(M293)=MIN(YEAR(Assumptions!$H$30),2026),SUM($F$321:$Z$321),0)</f>
        <v>0</v>
      </c>
      <c r="N311" s="76">
        <f>+IF(YEAR(N293)=MIN(YEAR(Assumptions!$H$30),2026),SUM($F$321:$Z$321),0)</f>
        <v>0</v>
      </c>
      <c r="O311" s="76">
        <f>+IF(YEAR(O293)=MIN(YEAR(Assumptions!$H$30),2026),SUM($F$321:$Z$321),0)</f>
        <v>0</v>
      </c>
      <c r="P311" s="76">
        <f>+IF(YEAR(P293)=MIN(YEAR(Assumptions!$H$30),2026),SUM($F$321:$Z$321),0)</f>
        <v>0</v>
      </c>
      <c r="Q311" s="76">
        <f>+IF(YEAR(Q293)=MIN(YEAR(Assumptions!$H$30),2026),SUM($F$321:$Z$321),0)</f>
        <v>0</v>
      </c>
      <c r="R311" s="76">
        <f>+IF(YEAR(R293)=MIN(YEAR(Assumptions!$H$30),2026),SUM($F$321:$Z$321),0)</f>
        <v>0</v>
      </c>
      <c r="S311" s="76">
        <f>+IF(YEAR(S293)=MIN(YEAR(Assumptions!$H$30),2026),SUM($F$321:$Z$321),0)</f>
        <v>0</v>
      </c>
      <c r="T311" s="76">
        <f>+IF(YEAR(T293)=MIN(YEAR(Assumptions!$H$30),2026),SUM($F$321:$Z$321),0)</f>
        <v>0</v>
      </c>
      <c r="U311" s="76">
        <f>+IF(YEAR(U293)=MIN(YEAR(Assumptions!$H$30),2026),SUM($F$321:$Z$321),0)</f>
        <v>0</v>
      </c>
      <c r="V311" s="76">
        <f>+IF(YEAR(V293)=MIN(YEAR(Assumptions!$H$30),2026),SUM($F$321:$Z$321),0)</f>
        <v>0</v>
      </c>
      <c r="W311" s="76">
        <f>+IF(YEAR(W293)=MIN(YEAR(Assumptions!$H$30),2026),SUM($F$321:$Z$321),0)</f>
        <v>0</v>
      </c>
      <c r="X311" s="76">
        <f>+IF(YEAR(X293)=MIN(YEAR(Assumptions!$H$30),2026),SUM($F$321:$Z$321),0)</f>
        <v>0</v>
      </c>
      <c r="Y311" s="76">
        <f>+IF(YEAR(Y293)=MIN(YEAR(Assumptions!$H$30),2026),SUM($F$321:$Z$321),0)</f>
        <v>0</v>
      </c>
      <c r="Z311" s="76">
        <f>+IF(YEAR(Z293)=MIN(YEAR(Assumptions!$H$30),2026),SUM($F$321:$Z$321),0)</f>
        <v>0</v>
      </c>
    </row>
    <row r="312" spans="2:26" ht="15.75">
      <c r="B312" s="15" t="s">
        <v>697</v>
      </c>
      <c r="D312" s="26"/>
      <c r="E312" s="26"/>
      <c r="F312" s="76">
        <f>+F299</f>
        <v>0</v>
      </c>
      <c r="G312" s="76">
        <f>+G299</f>
        <v>0</v>
      </c>
      <c r="H312" s="76">
        <f t="shared" ref="G312:Z314" si="122">+H299</f>
        <v>0</v>
      </c>
      <c r="I312" s="76">
        <f t="shared" si="122"/>
        <v>638999.44152574486</v>
      </c>
      <c r="J312" s="76">
        <f t="shared" ca="1" si="122"/>
        <v>-345198.51573213568</v>
      </c>
      <c r="K312" s="76">
        <f ca="1">+K299</f>
        <v>337322.76281815476</v>
      </c>
      <c r="L312" s="76">
        <f t="shared" ca="1" si="122"/>
        <v>-933745.49436018837</v>
      </c>
      <c r="M312" s="76">
        <f ca="1">L312+600000</f>
        <v>-333745.49436018837</v>
      </c>
      <c r="N312" s="76">
        <f t="shared" si="122"/>
        <v>0</v>
      </c>
      <c r="O312" s="76">
        <f t="shared" si="122"/>
        <v>0</v>
      </c>
      <c r="P312" s="76">
        <f t="shared" si="122"/>
        <v>0</v>
      </c>
      <c r="Q312" s="76">
        <f t="shared" si="122"/>
        <v>0</v>
      </c>
      <c r="R312" s="76">
        <f t="shared" si="122"/>
        <v>0</v>
      </c>
      <c r="S312" s="76">
        <f t="shared" si="122"/>
        <v>0</v>
      </c>
      <c r="T312" s="76">
        <f t="shared" si="122"/>
        <v>0</v>
      </c>
      <c r="U312" s="76">
        <f t="shared" si="122"/>
        <v>0</v>
      </c>
      <c r="V312" s="76">
        <f t="shared" si="122"/>
        <v>0</v>
      </c>
      <c r="W312" s="76">
        <f t="shared" si="122"/>
        <v>0</v>
      </c>
      <c r="X312" s="76">
        <f t="shared" si="122"/>
        <v>0</v>
      </c>
      <c r="Y312" s="76">
        <f t="shared" si="122"/>
        <v>0</v>
      </c>
      <c r="Z312" s="76">
        <f t="shared" si="122"/>
        <v>0</v>
      </c>
    </row>
    <row r="313" spans="2:26" ht="15.75">
      <c r="B313" s="15" t="s">
        <v>698</v>
      </c>
      <c r="D313" s="26"/>
      <c r="E313" s="26"/>
      <c r="F313" s="76">
        <f>+F300</f>
        <v>0</v>
      </c>
      <c r="G313" s="76">
        <f>+G300</f>
        <v>0</v>
      </c>
      <c r="H313" s="76">
        <f t="shared" si="122"/>
        <v>0</v>
      </c>
      <c r="I313" s="76">
        <v>0</v>
      </c>
      <c r="J313" s="76">
        <f t="shared" si="122"/>
        <v>2523493.4673668575</v>
      </c>
      <c r="K313" s="76">
        <f t="shared" si="122"/>
        <v>2873461.9276949186</v>
      </c>
      <c r="L313" s="76">
        <f t="shared" si="122"/>
        <v>3485949.1059523243</v>
      </c>
      <c r="M313" s="76">
        <f t="shared" si="122"/>
        <v>3857798.356345186</v>
      </c>
      <c r="N313" s="76">
        <f t="shared" si="122"/>
        <v>0</v>
      </c>
      <c r="O313" s="76">
        <f t="shared" si="122"/>
        <v>0</v>
      </c>
      <c r="P313" s="76">
        <f t="shared" si="122"/>
        <v>0</v>
      </c>
      <c r="Q313" s="76">
        <f t="shared" si="122"/>
        <v>0</v>
      </c>
      <c r="R313" s="76">
        <f t="shared" si="122"/>
        <v>0</v>
      </c>
      <c r="S313" s="76">
        <f t="shared" si="122"/>
        <v>0</v>
      </c>
      <c r="T313" s="76">
        <f t="shared" si="122"/>
        <v>0</v>
      </c>
      <c r="U313" s="76">
        <f t="shared" si="122"/>
        <v>0</v>
      </c>
      <c r="V313" s="76">
        <f t="shared" si="122"/>
        <v>0</v>
      </c>
      <c r="W313" s="76">
        <f t="shared" si="122"/>
        <v>0</v>
      </c>
      <c r="X313" s="76">
        <f t="shared" si="122"/>
        <v>0</v>
      </c>
      <c r="Y313" s="76">
        <f t="shared" si="122"/>
        <v>0</v>
      </c>
      <c r="Z313" s="76">
        <f t="shared" si="122"/>
        <v>0</v>
      </c>
    </row>
    <row r="314" spans="2:26" ht="15.75">
      <c r="B314" s="15" t="s">
        <v>699</v>
      </c>
      <c r="D314" s="26"/>
      <c r="E314" s="26"/>
      <c r="F314" s="76">
        <v>0</v>
      </c>
      <c r="G314" s="76">
        <v>0</v>
      </c>
      <c r="H314" s="76">
        <v>0</v>
      </c>
      <c r="I314" s="76">
        <f t="shared" ca="1" si="122"/>
        <v>69981700.404558539</v>
      </c>
      <c r="J314" s="76">
        <f t="shared" si="122"/>
        <v>0</v>
      </c>
      <c r="K314" s="76">
        <f t="shared" si="122"/>
        <v>0</v>
      </c>
      <c r="L314" s="76">
        <f t="shared" si="122"/>
        <v>0</v>
      </c>
      <c r="M314" s="76">
        <f t="shared" si="122"/>
        <v>0</v>
      </c>
      <c r="N314" s="76">
        <f t="shared" si="122"/>
        <v>0</v>
      </c>
      <c r="O314" s="76">
        <f t="shared" si="122"/>
        <v>0</v>
      </c>
      <c r="P314" s="76">
        <f t="shared" si="122"/>
        <v>0</v>
      </c>
      <c r="Q314" s="76">
        <f t="shared" si="122"/>
        <v>0</v>
      </c>
      <c r="R314" s="76">
        <f t="shared" si="122"/>
        <v>0</v>
      </c>
      <c r="S314" s="76">
        <f t="shared" si="122"/>
        <v>0</v>
      </c>
      <c r="T314" s="76">
        <f t="shared" si="122"/>
        <v>0</v>
      </c>
      <c r="U314" s="76">
        <f t="shared" si="122"/>
        <v>0</v>
      </c>
      <c r="V314" s="76">
        <f t="shared" si="122"/>
        <v>0</v>
      </c>
      <c r="W314" s="76">
        <f t="shared" si="122"/>
        <v>0</v>
      </c>
      <c r="X314" s="76">
        <f t="shared" si="122"/>
        <v>0</v>
      </c>
      <c r="Y314" s="76">
        <f t="shared" si="122"/>
        <v>0</v>
      </c>
      <c r="Z314" s="76">
        <f t="shared" si="122"/>
        <v>0</v>
      </c>
    </row>
    <row r="315" spans="2:26" ht="15.75">
      <c r="B315" s="15" t="s">
        <v>682</v>
      </c>
      <c r="D315" s="26"/>
      <c r="E315" s="26"/>
      <c r="F315" s="76">
        <f>+IF(F295&gt;=10,0,F302)</f>
        <v>0</v>
      </c>
      <c r="G315" s="76">
        <f t="shared" ref="G315:Z315" si="123">+IF(G295&gt;=10,0,G302)</f>
        <v>0</v>
      </c>
      <c r="H315" s="76">
        <f t="shared" si="123"/>
        <v>0</v>
      </c>
      <c r="I315" s="76">
        <f t="shared" si="123"/>
        <v>0</v>
      </c>
      <c r="J315" s="76">
        <f t="shared" si="123"/>
        <v>0</v>
      </c>
      <c r="K315" s="76">
        <f t="shared" si="123"/>
        <v>0</v>
      </c>
      <c r="L315" s="76">
        <f t="shared" si="123"/>
        <v>0</v>
      </c>
      <c r="M315" s="76">
        <f t="shared" si="123"/>
        <v>0</v>
      </c>
      <c r="N315" s="76">
        <f t="shared" si="123"/>
        <v>0</v>
      </c>
      <c r="O315" s="76">
        <f t="shared" si="123"/>
        <v>0</v>
      </c>
      <c r="P315" s="76">
        <f t="shared" si="123"/>
        <v>0</v>
      </c>
      <c r="Q315" s="76">
        <f t="shared" si="123"/>
        <v>0</v>
      </c>
      <c r="R315" s="76">
        <f t="shared" si="123"/>
        <v>0</v>
      </c>
      <c r="S315" s="76">
        <f t="shared" si="123"/>
        <v>0</v>
      </c>
      <c r="T315" s="76">
        <f t="shared" si="123"/>
        <v>0</v>
      </c>
      <c r="U315" s="76">
        <f t="shared" si="123"/>
        <v>0</v>
      </c>
      <c r="V315" s="76">
        <f t="shared" si="123"/>
        <v>0</v>
      </c>
      <c r="W315" s="76">
        <f t="shared" si="123"/>
        <v>0</v>
      </c>
      <c r="X315" s="76">
        <f t="shared" si="123"/>
        <v>0</v>
      </c>
      <c r="Y315" s="76">
        <f t="shared" si="123"/>
        <v>0</v>
      </c>
      <c r="Z315" s="76">
        <f t="shared" si="123"/>
        <v>0</v>
      </c>
    </row>
    <row r="316" spans="2:26" ht="15.75">
      <c r="B316" s="687" t="s">
        <v>684</v>
      </c>
      <c r="C316" s="687"/>
      <c r="D316" s="550">
        <f ca="1">+SUM(F316:Z316)</f>
        <v>14699901.556134202</v>
      </c>
      <c r="E316" s="550"/>
      <c r="F316" s="550">
        <f ca="1">+SUM(F308:F315)</f>
        <v>-60815543</v>
      </c>
      <c r="G316" s="550">
        <f ca="1">+SUM(G308:G315)</f>
        <v>0</v>
      </c>
      <c r="H316" s="550">
        <f t="shared" ref="F316:M316" ca="1" si="124">+SUM(H308:H315)</f>
        <v>-13741233.449999999</v>
      </c>
      <c r="I316" s="550">
        <f t="shared" ca="1" si="124"/>
        <v>71064153.577727884</v>
      </c>
      <c r="J316" s="550">
        <f t="shared" ca="1" si="124"/>
        <v>4818508.5738076959</v>
      </c>
      <c r="K316" s="550">
        <f ca="1">+SUM(K308:K315)</f>
        <v>3210784.6905130735</v>
      </c>
      <c r="L316" s="550">
        <f t="shared" ca="1" si="124"/>
        <v>6639178.3021005522</v>
      </c>
      <c r="M316" s="550">
        <f ca="1">+SUM(M308:M315)</f>
        <v>3524052.8619849975</v>
      </c>
      <c r="N316" s="550">
        <f t="shared" ref="N316:Z316" ca="1" si="125">+SUM(N308:N315)</f>
        <v>0</v>
      </c>
      <c r="O316" s="550">
        <f t="shared" ca="1" si="125"/>
        <v>0</v>
      </c>
      <c r="P316" s="550">
        <f t="shared" ca="1" si="125"/>
        <v>0</v>
      </c>
      <c r="Q316" s="550">
        <f t="shared" ca="1" si="125"/>
        <v>0</v>
      </c>
      <c r="R316" s="550">
        <f t="shared" ca="1" si="125"/>
        <v>0</v>
      </c>
      <c r="S316" s="550">
        <f t="shared" ca="1" si="125"/>
        <v>0</v>
      </c>
      <c r="T316" s="550">
        <f t="shared" ca="1" si="125"/>
        <v>0</v>
      </c>
      <c r="U316" s="550">
        <f t="shared" ca="1" si="125"/>
        <v>0</v>
      </c>
      <c r="V316" s="550">
        <f t="shared" ca="1" si="125"/>
        <v>0</v>
      </c>
      <c r="W316" s="550">
        <f t="shared" ca="1" si="125"/>
        <v>0</v>
      </c>
      <c r="X316" s="550">
        <f t="shared" ca="1" si="125"/>
        <v>0</v>
      </c>
      <c r="Y316" s="550">
        <f t="shared" ca="1" si="125"/>
        <v>0</v>
      </c>
      <c r="Z316" s="550">
        <f t="shared" ca="1" si="125"/>
        <v>0</v>
      </c>
    </row>
    <row r="318" spans="2:26" ht="15.75">
      <c r="B318" s="706" t="s">
        <v>702</v>
      </c>
      <c r="C318" s="706"/>
      <c r="D318" s="707">
        <f ca="1">+IRR(F316:Z316)</f>
        <v>5.935311519450126E-2</v>
      </c>
    </row>
    <row r="319" spans="2:26" ht="15.75">
      <c r="B319" s="708" t="s">
        <v>703</v>
      </c>
      <c r="C319" s="536"/>
      <c r="D319" s="712">
        <f ca="1">+D318/(1-Assumptions!$M$192)</f>
        <v>7.5130525562659825E-2</v>
      </c>
    </row>
    <row r="321" spans="2:26">
      <c r="B321" s="21" t="s">
        <v>688</v>
      </c>
      <c r="F321" s="76">
        <f ca="1">IFERROR(IF(YEAR(F293)&lt;=YEAR(Assumptions!$H$30),10%*(OFFSET(F309,0,-5))+5%*(OFFSET(F309,0,-7)),0),0)</f>
        <v>0</v>
      </c>
      <c r="G321" s="76">
        <f ca="1">IFERROR(IF(YEAR(G293)&lt;=YEAR(Assumptions!$H$30),10%*(OFFSET(G309,0,-5))+5%*(OFFSET(G309,0,-7)),0),0)</f>
        <v>0</v>
      </c>
      <c r="H321" s="76">
        <f ca="1">IFERROR(IF(YEAR(H293)&lt;=YEAR(Assumptions!$H$30),10%*(OFFSET(H309,0,-5))+5%*(OFFSET(H309,0,-7)),0),0)</f>
        <v>0</v>
      </c>
      <c r="I321" s="76">
        <f ca="1">IFERROR(IF(YEAR(I293)&lt;=YEAR(Assumptions!$H$30),10%*(OFFSET(I309,0,-5))+5%*(OFFSET(I309,0,-7)),0),0)</f>
        <v>0</v>
      </c>
      <c r="J321" s="76">
        <f ca="1">IFERROR(IF(YEAR(J293)&lt;=YEAR(Assumptions!$H$30),10%*(OFFSET(J309,0,-5))+5%*(OFFSET(J309,0,-7)),0),0)</f>
        <v>0</v>
      </c>
      <c r="K321" s="76">
        <f ca="1">IFERROR(IF(YEAR(K293)&lt;=YEAR(Assumptions!$H$30),10%*(OFFSET(K309,0,-5))+5%*(OFFSET(K309,0,-7)),0),0)</f>
        <v>1616615.7000000002</v>
      </c>
      <c r="L321" s="76">
        <f ca="1">IFERROR(IF(YEAR(L293)&lt;=YEAR(Assumptions!$H$30),10%*(OFFSET(L309,0,-5))+5%*(OFFSET(L309,0,-7)),0),0)</f>
        <v>0</v>
      </c>
      <c r="M321" s="76">
        <f ca="1">IFERROR(IF(YEAR(M293)&lt;=YEAR(Assumptions!$H$30),10%*(OFFSET(M309,0,-5))+5%*(OFFSET(M309,0,-7)),0),0)</f>
        <v>808307.85000000009</v>
      </c>
      <c r="N321" s="76">
        <f ca="1">IFERROR(IF(YEAR(N293)&lt;=YEAR(Assumptions!$H$30),10%*(OFFSET(N309,0,-5))+5%*(OFFSET(N309,0,-7)),0),0)</f>
        <v>0</v>
      </c>
      <c r="O321" s="76">
        <f ca="1">IFERROR(IF(YEAR(O293)&lt;=YEAR(Assumptions!$H$30),10%*(OFFSET(O309,0,-5))+5%*(OFFSET(O309,0,-7)),0),0)</f>
        <v>0</v>
      </c>
      <c r="P321" s="76">
        <f ca="1">IFERROR(IF(YEAR(P293)&lt;=YEAR(Assumptions!$H$30),10%*(OFFSET(P309,0,-5))+5%*(OFFSET(P309,0,-7)),0),0)</f>
        <v>0</v>
      </c>
      <c r="Q321" s="76">
        <f ca="1">IFERROR(IF(YEAR(Q293)&lt;=YEAR(Assumptions!$H$30),10%*(OFFSET(Q309,0,-5))+5%*(OFFSET(Q309,0,-7)),0),0)</f>
        <v>0</v>
      </c>
      <c r="R321" s="76">
        <f ca="1">IFERROR(IF(YEAR(R293)&lt;=YEAR(Assumptions!$H$30),10%*(OFFSET(R309,0,-5))+5%*(OFFSET(R309,0,-7)),0),0)</f>
        <v>0</v>
      </c>
      <c r="S321" s="76">
        <f ca="1">IFERROR(IF(YEAR(S293)&lt;=YEAR(Assumptions!$H$30),10%*(OFFSET(S309,0,-5))+5%*(OFFSET(S309,0,-7)),0),0)</f>
        <v>0</v>
      </c>
      <c r="T321" s="76">
        <f ca="1">IFERROR(IF(YEAR(T293)&lt;=YEAR(Assumptions!$H$30),10%*(OFFSET(T309,0,-5))+5%*(OFFSET(T309,0,-7)),0),0)</f>
        <v>0</v>
      </c>
      <c r="U321" s="76">
        <f ca="1">IFERROR(IF(YEAR(U293)&lt;=YEAR(Assumptions!$H$30),10%*(OFFSET(U309,0,-5))+5%*(OFFSET(U309,0,-7)),0),0)</f>
        <v>0</v>
      </c>
      <c r="V321" s="76">
        <f ca="1">IFERROR(IF(YEAR(V293)&lt;=YEAR(Assumptions!$H$30),10%*(OFFSET(V309,0,-5))+5%*(OFFSET(V309,0,-7)),0),0)</f>
        <v>0</v>
      </c>
      <c r="W321" s="76">
        <f ca="1">IFERROR(IF(YEAR(W293)&lt;=YEAR(Assumptions!$H$30),10%*(OFFSET(W309,0,-5))+5%*(OFFSET(W309,0,-7)),0),0)</f>
        <v>0</v>
      </c>
      <c r="X321" s="76">
        <f ca="1">IFERROR(IF(YEAR(X293)&lt;=YEAR(Assumptions!$H$30),10%*(OFFSET(X309,0,-5))+5%*(OFFSET(X309,0,-7)),0),0)</f>
        <v>0</v>
      </c>
      <c r="Y321" s="76">
        <f ca="1">IFERROR(IF(YEAR(Y293)&lt;=YEAR(Assumptions!$H$30),10%*(OFFSET(Y309,0,-5))+5%*(OFFSET(Y309,0,-7)),0),0)</f>
        <v>0</v>
      </c>
      <c r="Z321" s="76">
        <f ca="1">IFERROR(IF(YEAR(Z293)&lt;=YEAR(Assumptions!$H$30),10%*(OFFSET(Z309,0,-5))+5%*(OFFSET(Z309,0,-7)),0),0)</f>
        <v>0</v>
      </c>
    </row>
    <row r="323" spans="2:26" ht="15.75">
      <c r="B323" s="73" t="s">
        <v>689</v>
      </c>
    </row>
    <row r="324" spans="2:26" ht="15.75">
      <c r="B324" s="15" t="s">
        <v>690</v>
      </c>
      <c r="D324" s="26">
        <f ca="1">+SUM(F324:Z324)</f>
        <v>301256571.58240879</v>
      </c>
      <c r="E324" s="26"/>
      <c r="F324" s="16">
        <v>0</v>
      </c>
      <c r="G324" s="16">
        <v>0</v>
      </c>
      <c r="H324" s="16">
        <v>0</v>
      </c>
      <c r="I324" s="16">
        <v>75314143</v>
      </c>
      <c r="J324" s="16">
        <v>75314143</v>
      </c>
      <c r="K324" s="16">
        <v>75314143</v>
      </c>
      <c r="L324" s="16">
        <v>75314143</v>
      </c>
      <c r="M324" s="16">
        <v>0</v>
      </c>
      <c r="N324" s="16">
        <v>0</v>
      </c>
      <c r="O324" s="16">
        <v>0</v>
      </c>
      <c r="P324" s="16">
        <v>0</v>
      </c>
      <c r="Q324" s="16">
        <v>0</v>
      </c>
      <c r="R324" s="16">
        <v>0</v>
      </c>
      <c r="S324" s="16">
        <v>0</v>
      </c>
      <c r="T324" s="16">
        <f t="shared" ref="T324:Z324" si="126">+S331</f>
        <v>0</v>
      </c>
      <c r="U324" s="16">
        <f t="shared" si="126"/>
        <v>0</v>
      </c>
      <c r="V324" s="16">
        <f t="shared" si="126"/>
        <v>0</v>
      </c>
      <c r="W324" s="16">
        <f t="shared" ca="1" si="126"/>
        <v>0</v>
      </c>
      <c r="X324" s="16">
        <f t="shared" ca="1" si="126"/>
        <v>0</v>
      </c>
      <c r="Y324" s="16">
        <f t="shared" ca="1" si="126"/>
        <v>0</v>
      </c>
      <c r="Z324" s="16">
        <f t="shared" ca="1" si="126"/>
        <v>0</v>
      </c>
    </row>
    <row r="325" spans="2:26" ht="15.75">
      <c r="B325" s="15" t="s">
        <v>676</v>
      </c>
      <c r="D325" s="26">
        <f t="shared" ref="D325:D330" ca="1" si="127">+SUM(F325:Z325)</f>
        <v>76981700.404558539</v>
      </c>
      <c r="E325" s="26"/>
      <c r="F325" s="76">
        <f>-F296</f>
        <v>76981700</v>
      </c>
      <c r="G325" s="76">
        <f t="shared" ref="G325:Z325" si="128">-G296</f>
        <v>0</v>
      </c>
      <c r="H325" s="76">
        <f t="shared" si="128"/>
        <v>0</v>
      </c>
      <c r="I325" s="76">
        <f t="shared" ca="1" si="128"/>
        <v>0</v>
      </c>
      <c r="J325" s="76">
        <f t="shared" ca="1" si="128"/>
        <v>0</v>
      </c>
      <c r="K325" s="76">
        <f t="shared" si="128"/>
        <v>0</v>
      </c>
      <c r="L325" s="76">
        <f t="shared" ca="1" si="128"/>
        <v>0</v>
      </c>
      <c r="M325" s="76">
        <f t="shared" si="128"/>
        <v>0</v>
      </c>
      <c r="N325" s="76">
        <f t="shared" si="128"/>
        <v>0</v>
      </c>
      <c r="O325" s="76">
        <f t="shared" si="128"/>
        <v>0</v>
      </c>
      <c r="P325" s="76">
        <f t="shared" si="128"/>
        <v>0</v>
      </c>
      <c r="Q325" s="76">
        <f t="shared" si="128"/>
        <v>0</v>
      </c>
      <c r="R325" s="76">
        <f t="shared" si="128"/>
        <v>0</v>
      </c>
      <c r="S325" s="76">
        <f t="shared" ca="1" si="128"/>
        <v>0</v>
      </c>
      <c r="T325" s="76">
        <f t="shared" si="128"/>
        <v>0</v>
      </c>
      <c r="U325" s="76">
        <f t="shared" si="128"/>
        <v>0</v>
      </c>
      <c r="V325" s="76">
        <f t="shared" ca="1" si="128"/>
        <v>0</v>
      </c>
      <c r="W325" s="76">
        <f t="shared" ca="1" si="128"/>
        <v>0</v>
      </c>
      <c r="X325" s="76">
        <f t="shared" ca="1" si="128"/>
        <v>0</v>
      </c>
      <c r="Y325" s="76">
        <f t="shared" ca="1" si="128"/>
        <v>0</v>
      </c>
      <c r="Z325" s="76">
        <f t="shared" ca="1" si="128"/>
        <v>0</v>
      </c>
    </row>
    <row r="326" spans="2:26" ht="15.75">
      <c r="B326" s="15" t="s">
        <v>704</v>
      </c>
      <c r="D326" s="26">
        <f t="shared" si="127"/>
        <v>17854033.44940684</v>
      </c>
      <c r="E326" s="26"/>
      <c r="F326" s="76">
        <f>IF(F293&lt;=Assumptions!$H$30,F286-F146,0)</f>
        <v>0</v>
      </c>
      <c r="G326" s="76">
        <f>IF(G293&lt;=Assumptions!$H$30,G286-G146,0)</f>
        <v>0</v>
      </c>
      <c r="H326" s="76">
        <f>IF(H293&lt;=Assumptions!$H$30,H286-H146,0)</f>
        <v>0</v>
      </c>
      <c r="I326" s="76">
        <f>IF(I293&lt;=Assumptions!$H$30,I286-I146,0)</f>
        <v>-3042854.483455928</v>
      </c>
      <c r="J326" s="76">
        <f>IF(J293&lt;=Assumptions!$H$30,J286-J146,0)</f>
        <v>4374154.2125156783</v>
      </c>
      <c r="K326" s="76">
        <f>IF(K293&lt;=Assumptions!$H$30,K286-K146,0)</f>
        <v>4844415.6212784145</v>
      </c>
      <c r="L326" s="76">
        <f>IF(L293&lt;=Assumptions!$H$30,L286-L146,0)</f>
        <v>5585014.7896187473</v>
      </c>
      <c r="M326" s="76">
        <f>IF(M293&lt;=Assumptions!$H$30,M286-M146,0)</f>
        <v>6093303.309449926</v>
      </c>
      <c r="N326" s="76">
        <f>IF(N293&lt;=Assumptions!$H$30,N286-N146-#REF!-#REF!,0)</f>
        <v>0</v>
      </c>
      <c r="O326" s="76">
        <f>IF(O293&lt;=Assumptions!$H$30,O286-O146-#REF!-#REF!,0)</f>
        <v>0</v>
      </c>
      <c r="P326" s="76">
        <f>IF(P293&lt;=Assumptions!$H$30,P286-P146-#REF!-#REF!,0)</f>
        <v>0</v>
      </c>
      <c r="Q326" s="76">
        <f>IF(Q293&lt;=Assumptions!$H$30,Q286-Q146-#REF!-#REF!,0)</f>
        <v>0</v>
      </c>
      <c r="R326" s="76">
        <f>IF(R293&lt;=Assumptions!$H$30,R286-R146-#REF!-#REF!,0)</f>
        <v>0</v>
      </c>
      <c r="S326" s="76">
        <f>IF(S293&lt;=Assumptions!$H$30,S286-S146-#REF!-#REF!,0)</f>
        <v>0</v>
      </c>
      <c r="T326" s="76">
        <f>IF(T293&lt;=Assumptions!$H$30,T286-T146-#REF!-#REF!,0)</f>
        <v>0</v>
      </c>
      <c r="U326" s="76">
        <f>IF(U293&lt;=Assumptions!$H$30,U286-U146-#REF!-#REF!,0)</f>
        <v>0</v>
      </c>
      <c r="V326" s="76">
        <f>IF(V293&lt;=Assumptions!$H$30,V286-V146-#REF!-#REF!,0)</f>
        <v>0</v>
      </c>
      <c r="W326" s="76">
        <f>IF(W293&lt;=Assumptions!$H$30,W286-W146-#REF!-#REF!,0)</f>
        <v>0</v>
      </c>
      <c r="X326" s="76">
        <f>IF(X293&lt;=Assumptions!$H$30,X286-X146-#REF!-#REF!,0)</f>
        <v>0</v>
      </c>
      <c r="Y326" s="76">
        <f>IF(Y293&lt;=Assumptions!$H$30,Y286-Y146-#REF!-#REF!,0)</f>
        <v>0</v>
      </c>
      <c r="Z326" s="76">
        <f>IF(Z293&lt;=Assumptions!$H$30,Z286-Z146-#REF!-#REF!,0)</f>
        <v>0</v>
      </c>
    </row>
    <row r="327" spans="2:26" ht="15.75">
      <c r="B327" s="15" t="s">
        <v>691</v>
      </c>
      <c r="D327" s="26">
        <f t="shared" ca="1" si="127"/>
        <v>-19352143.47552317</v>
      </c>
      <c r="E327" s="26"/>
      <c r="F327" s="76">
        <f>+F287</f>
        <v>0</v>
      </c>
      <c r="G327" s="76">
        <f t="shared" ref="G327:Z327" si="129">+G287</f>
        <v>0</v>
      </c>
      <c r="H327" s="76">
        <f t="shared" si="129"/>
        <v>0</v>
      </c>
      <c r="I327" s="76">
        <f>+I287</f>
        <v>0</v>
      </c>
      <c r="J327" s="76">
        <f t="shared" ca="1" si="129"/>
        <v>-6450714.4918410564</v>
      </c>
      <c r="K327" s="76">
        <f t="shared" ca="1" si="129"/>
        <v>-6450714.4918410564</v>
      </c>
      <c r="L327" s="76">
        <f t="shared" ca="1" si="129"/>
        <v>-6450714.4918410564</v>
      </c>
      <c r="M327" s="76">
        <f t="shared" ca="1" si="129"/>
        <v>-6450714.4918410564</v>
      </c>
      <c r="N327" s="76">
        <f t="shared" si="129"/>
        <v>0</v>
      </c>
      <c r="O327" s="76">
        <f t="shared" si="129"/>
        <v>0</v>
      </c>
      <c r="P327" s="76">
        <f t="shared" si="129"/>
        <v>0</v>
      </c>
      <c r="Q327" s="76">
        <f t="shared" si="129"/>
        <v>0</v>
      </c>
      <c r="R327" s="76">
        <f t="shared" si="129"/>
        <v>0</v>
      </c>
      <c r="S327" s="76">
        <f t="shared" si="129"/>
        <v>0</v>
      </c>
      <c r="T327" s="76">
        <f t="shared" si="129"/>
        <v>0</v>
      </c>
      <c r="U327" s="76">
        <f t="shared" si="129"/>
        <v>0</v>
      </c>
      <c r="V327" s="76">
        <f t="shared" si="129"/>
        <v>0</v>
      </c>
      <c r="W327" s="76">
        <f t="shared" si="129"/>
        <v>0</v>
      </c>
      <c r="X327" s="76">
        <f t="shared" si="129"/>
        <v>0</v>
      </c>
      <c r="Y327" s="76">
        <f t="shared" si="129"/>
        <v>0</v>
      </c>
      <c r="Z327" s="76">
        <f t="shared" si="129"/>
        <v>0</v>
      </c>
    </row>
    <row r="328" spans="2:26" ht="15.75">
      <c r="B328" s="15" t="s">
        <v>698</v>
      </c>
      <c r="D328" s="26">
        <f t="shared" si="127"/>
        <v>-12740702.857359286</v>
      </c>
      <c r="E328" s="26"/>
      <c r="F328" s="76">
        <f>-F300</f>
        <v>0</v>
      </c>
      <c r="G328" s="76">
        <f t="shared" ref="G328:Z328" si="130">-G300</f>
        <v>0</v>
      </c>
      <c r="H328" s="76">
        <f t="shared" si="130"/>
        <v>0</v>
      </c>
      <c r="I328" s="76">
        <v>0</v>
      </c>
      <c r="J328" s="76">
        <f t="shared" si="130"/>
        <v>-2523493.4673668575</v>
      </c>
      <c r="K328" s="76">
        <f t="shared" si="130"/>
        <v>-2873461.9276949186</v>
      </c>
      <c r="L328" s="76">
        <f t="shared" si="130"/>
        <v>-3485949.1059523243</v>
      </c>
      <c r="M328" s="76">
        <f t="shared" si="130"/>
        <v>-3857798.356345186</v>
      </c>
      <c r="N328" s="76">
        <f t="shared" si="130"/>
        <v>0</v>
      </c>
      <c r="O328" s="76">
        <f t="shared" si="130"/>
        <v>0</v>
      </c>
      <c r="P328" s="76">
        <f t="shared" si="130"/>
        <v>0</v>
      </c>
      <c r="Q328" s="76">
        <f t="shared" si="130"/>
        <v>0</v>
      </c>
      <c r="R328" s="76">
        <f t="shared" si="130"/>
        <v>0</v>
      </c>
      <c r="S328" s="76">
        <f t="shared" si="130"/>
        <v>0</v>
      </c>
      <c r="T328" s="76">
        <f t="shared" si="130"/>
        <v>0</v>
      </c>
      <c r="U328" s="76">
        <f t="shared" si="130"/>
        <v>0</v>
      </c>
      <c r="V328" s="76">
        <f t="shared" si="130"/>
        <v>0</v>
      </c>
      <c r="W328" s="76">
        <f t="shared" si="130"/>
        <v>0</v>
      </c>
      <c r="X328" s="76">
        <f t="shared" si="130"/>
        <v>0</v>
      </c>
      <c r="Y328" s="76">
        <f t="shared" si="130"/>
        <v>0</v>
      </c>
      <c r="Z328" s="76">
        <f t="shared" si="130"/>
        <v>0</v>
      </c>
    </row>
    <row r="329" spans="2:26" ht="15.75">
      <c r="B329" s="15" t="s">
        <v>705</v>
      </c>
      <c r="D329" s="26">
        <f ca="1">+SUM(F329:Z329)</f>
        <v>-69981700.404558539</v>
      </c>
      <c r="E329" s="26"/>
      <c r="F329" s="76">
        <v>0</v>
      </c>
      <c r="G329" s="76">
        <v>0</v>
      </c>
      <c r="H329" s="76">
        <f>-H169-H159</f>
        <v>0</v>
      </c>
      <c r="I329" s="76">
        <f ca="1">-I169-#REF!-I159</f>
        <v>-69981700.404558539</v>
      </c>
      <c r="J329" s="76">
        <f>-J169-J159</f>
        <v>0</v>
      </c>
      <c r="K329" s="76">
        <f>-K169-K159</f>
        <v>0</v>
      </c>
      <c r="L329" s="76">
        <f>-L169-L159</f>
        <v>0</v>
      </c>
      <c r="M329" s="76">
        <v>0</v>
      </c>
      <c r="N329" s="76">
        <v>0</v>
      </c>
      <c r="O329" s="76">
        <v>0</v>
      </c>
      <c r="P329" s="76">
        <v>0</v>
      </c>
      <c r="Q329" s="76">
        <v>0</v>
      </c>
      <c r="R329" s="76">
        <v>0</v>
      </c>
      <c r="S329" s="76">
        <v>0</v>
      </c>
      <c r="T329" s="76">
        <v>0</v>
      </c>
      <c r="U329" s="76">
        <v>0</v>
      </c>
      <c r="V329" s="76">
        <v>0</v>
      </c>
      <c r="W329" s="76">
        <v>0</v>
      </c>
      <c r="X329" s="76">
        <v>0</v>
      </c>
      <c r="Y329" s="76">
        <v>0</v>
      </c>
      <c r="Z329" s="76">
        <v>0</v>
      </c>
    </row>
    <row r="330" spans="2:26" ht="15.75">
      <c r="B330" s="15" t="s">
        <v>693</v>
      </c>
      <c r="D330" s="26">
        <f t="shared" si="127"/>
        <v>0</v>
      </c>
      <c r="E330" s="26"/>
      <c r="F330" s="76">
        <f>-IF(YEAR(F293)=YEAR(Assumptions!$H$30),SUM(F324:F329),0)</f>
        <v>0</v>
      </c>
      <c r="G330" s="76">
        <f>-IF(YEAR(G293)=YEAR(Assumptions!$H$30),SUM(G324:G329),0)</f>
        <v>0</v>
      </c>
      <c r="H330" s="76">
        <f>-IF(YEAR(H293)=YEAR(Assumptions!$H$30),SUM(H324:H329),0)</f>
        <v>0</v>
      </c>
      <c r="I330" s="76">
        <f>-IF(YEAR(I293)=YEAR(Assumptions!$H$30),SUM(I324:I329),0)</f>
        <v>0</v>
      </c>
      <c r="J330" s="76">
        <f>-IF(YEAR(J293)=YEAR(Assumptions!$H$30),SUM(J324:J329),0)</f>
        <v>0</v>
      </c>
      <c r="K330" s="76">
        <f>-IF(YEAR(K293)=YEAR(Assumptions!$H$30),SUM(K324:K329),0)</f>
        <v>0</v>
      </c>
      <c r="L330" s="76">
        <f>-IF(YEAR(L293)=YEAR(Assumptions!$H$30),SUM(L324:L329),0)</f>
        <v>0</v>
      </c>
      <c r="M330" s="76">
        <v>0</v>
      </c>
      <c r="N330" s="76">
        <f>-IF(YEAR(N293)=YEAR(Assumptions!$H$30),SUM(N324:N329),0)</f>
        <v>0</v>
      </c>
      <c r="O330" s="76">
        <f>-IF(YEAR(O293)=YEAR(Assumptions!$H$30),SUM(O324:O329),0)</f>
        <v>0</v>
      </c>
      <c r="P330" s="76">
        <f>-IF(YEAR(P293)=YEAR(Assumptions!$H$30),SUM(P324:P329),0)</f>
        <v>0</v>
      </c>
      <c r="Q330" s="76">
        <f>-IF(YEAR(Q293)=YEAR(Assumptions!$H$30),SUM(Q324:Q329),0)</f>
        <v>0</v>
      </c>
      <c r="R330" s="76">
        <f>-IF(YEAR(R293)=YEAR(Assumptions!$H$30),SUM(R324:R329),0)</f>
        <v>0</v>
      </c>
      <c r="S330" s="76">
        <f>-IF(YEAR(S293)=YEAR(Assumptions!$H$30),SUM(S324:S329),0)</f>
        <v>0</v>
      </c>
      <c r="T330" s="76">
        <f>-IF(YEAR(T293)=YEAR(Assumptions!$H$30),SUM(T324:T329),0)</f>
        <v>0</v>
      </c>
      <c r="U330" s="76">
        <f>-IF(YEAR(U293)=YEAR(Assumptions!$H$30),SUM(U324:U329),0)</f>
        <v>0</v>
      </c>
      <c r="V330" s="76">
        <f>-IF(YEAR(V293)=YEAR(Assumptions!$H$30),SUM(V324:V329),0)</f>
        <v>0</v>
      </c>
      <c r="W330" s="76">
        <f>-IF(YEAR(W293)=YEAR(Assumptions!$H$30),SUM(W324:W329),0)</f>
        <v>0</v>
      </c>
      <c r="X330" s="76">
        <f>-IF(YEAR(X293)=YEAR(Assumptions!$H$30),SUM(X324:X329),0)</f>
        <v>0</v>
      </c>
      <c r="Y330" s="76">
        <f>-IF(YEAR(Y293)=YEAR(Assumptions!$H$30),SUM(Y324:Y329),0)</f>
        <v>0</v>
      </c>
      <c r="Z330" s="76">
        <f>-IF(YEAR(Z293)=YEAR(Assumptions!$H$30),SUM(Z324:Z329),0)</f>
        <v>0</v>
      </c>
    </row>
    <row r="331" spans="2:26" ht="15.75">
      <c r="B331" s="62" t="s">
        <v>694</v>
      </c>
      <c r="C331" s="62"/>
      <c r="D331" s="18">
        <f ca="1">+SUM(F331:Z331)</f>
        <v>309633962.99110901</v>
      </c>
      <c r="E331" s="58"/>
      <c r="F331" s="58">
        <f t="shared" ref="F331:N331" si="131">+SUM(F324:F330)</f>
        <v>76981700</v>
      </c>
      <c r="G331" s="58">
        <f t="shared" si="131"/>
        <v>0</v>
      </c>
      <c r="H331" s="58">
        <f t="shared" si="131"/>
        <v>0</v>
      </c>
      <c r="I331" s="58">
        <f t="shared" ca="1" si="131"/>
        <v>12045726.20290713</v>
      </c>
      <c r="J331" s="58">
        <f t="shared" ca="1" si="131"/>
        <v>77717062.596765622</v>
      </c>
      <c r="K331" s="58">
        <f ca="1">+SUM(K324:K330)</f>
        <v>70834382.20174244</v>
      </c>
      <c r="L331" s="58">
        <f t="shared" ca="1" si="131"/>
        <v>76270301.528430164</v>
      </c>
      <c r="M331" s="58">
        <f ca="1">+SUM(M324:M330)</f>
        <v>-4215209.5387363164</v>
      </c>
      <c r="N331" s="58">
        <f t="shared" si="131"/>
        <v>0</v>
      </c>
      <c r="O331" s="58">
        <v>0</v>
      </c>
      <c r="P331" s="58">
        <v>0</v>
      </c>
      <c r="Q331" s="58">
        <v>0</v>
      </c>
      <c r="R331" s="58">
        <v>0</v>
      </c>
      <c r="S331" s="58">
        <v>0</v>
      </c>
      <c r="T331" s="58">
        <f t="shared" ref="T331:Z331" si="132">+SUM(T324:T330)</f>
        <v>0</v>
      </c>
      <c r="U331" s="58">
        <f t="shared" si="132"/>
        <v>0</v>
      </c>
      <c r="V331" s="58">
        <f t="shared" ca="1" si="132"/>
        <v>0</v>
      </c>
      <c r="W331" s="58">
        <f t="shared" ca="1" si="132"/>
        <v>0</v>
      </c>
      <c r="X331" s="58">
        <f t="shared" ca="1" si="132"/>
        <v>0</v>
      </c>
      <c r="Y331" s="58">
        <f t="shared" ca="1" si="132"/>
        <v>0</v>
      </c>
      <c r="Z331" s="58">
        <f t="shared" ca="1" si="132"/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00B050"/>
  </sheetPr>
  <dimension ref="B1:Z58"/>
  <sheetViews>
    <sheetView showGridLines="0" topLeftCell="A29" zoomScaleNormal="100" workbookViewId="0">
      <selection activeCell="F59" sqref="F59"/>
    </sheetView>
  </sheetViews>
  <sheetFormatPr defaultColWidth="14.42578125" defaultRowHeight="15"/>
  <cols>
    <col min="1" max="1" width="8.42578125" style="21" customWidth="1"/>
    <col min="2" max="3" width="14.42578125" style="21"/>
    <col min="4" max="4" width="16.42578125" style="21" bestFit="1" customWidth="1"/>
    <col min="5" max="5" width="14.42578125" style="21"/>
    <col min="6" max="8" width="17.42578125" style="21" bestFit="1" customWidth="1"/>
    <col min="9" max="9" width="15.42578125" style="21" bestFit="1" customWidth="1"/>
    <col min="10" max="10" width="17.42578125" style="21" bestFit="1" customWidth="1"/>
    <col min="11" max="11" width="19.28515625" style="21" customWidth="1"/>
    <col min="12" max="12" width="15.42578125" style="21" bestFit="1" customWidth="1"/>
    <col min="13" max="15" width="17.42578125" style="21" bestFit="1" customWidth="1"/>
    <col min="16" max="16" width="18.140625" style="21" bestFit="1" customWidth="1"/>
    <col min="17" max="17" width="18.7109375" style="21" bestFit="1" customWidth="1"/>
    <col min="18" max="26" width="14.7109375" style="21" bestFit="1" customWidth="1"/>
    <col min="27" max="16384" width="14.42578125" style="21"/>
  </cols>
  <sheetData>
    <row r="1" spans="2:26" ht="51.75" customHeight="1">
      <c r="F1" s="71">
        <f>+YEAR(F2)</f>
        <v>2021</v>
      </c>
      <c r="G1" s="71">
        <f t="shared" ref="G1:Z1" si="0">+YEAR(G2)</f>
        <v>2022</v>
      </c>
      <c r="H1" s="71">
        <f t="shared" si="0"/>
        <v>2023</v>
      </c>
      <c r="I1" s="71">
        <f t="shared" si="0"/>
        <v>2024</v>
      </c>
      <c r="J1" s="71">
        <f t="shared" si="0"/>
        <v>2025</v>
      </c>
      <c r="K1" s="71">
        <f t="shared" si="0"/>
        <v>2026</v>
      </c>
      <c r="L1" s="71">
        <f t="shared" si="0"/>
        <v>2027</v>
      </c>
      <c r="M1" s="71">
        <f t="shared" si="0"/>
        <v>2028</v>
      </c>
      <c r="N1" s="71">
        <f t="shared" si="0"/>
        <v>2029</v>
      </c>
      <c r="O1" s="71">
        <f t="shared" si="0"/>
        <v>2030</v>
      </c>
      <c r="P1" s="71">
        <f t="shared" si="0"/>
        <v>2031</v>
      </c>
      <c r="Q1" s="71">
        <f t="shared" si="0"/>
        <v>2032</v>
      </c>
      <c r="R1" s="71">
        <f t="shared" si="0"/>
        <v>2033</v>
      </c>
      <c r="S1" s="71">
        <f t="shared" si="0"/>
        <v>2034</v>
      </c>
      <c r="T1" s="71">
        <f t="shared" si="0"/>
        <v>2035</v>
      </c>
      <c r="U1" s="71">
        <f t="shared" si="0"/>
        <v>2036</v>
      </c>
      <c r="V1" s="71">
        <f t="shared" si="0"/>
        <v>2037</v>
      </c>
      <c r="W1" s="71">
        <f t="shared" si="0"/>
        <v>2038</v>
      </c>
      <c r="X1" s="71">
        <f t="shared" si="0"/>
        <v>2039</v>
      </c>
      <c r="Y1" s="71">
        <f t="shared" si="0"/>
        <v>2040</v>
      </c>
      <c r="Z1" s="71">
        <f t="shared" si="0"/>
        <v>2041</v>
      </c>
    </row>
    <row r="2" spans="2:26" ht="15.75">
      <c r="B2" s="73" t="s">
        <v>706</v>
      </c>
      <c r="F2" s="75">
        <f>+Assumptions!$E$22</f>
        <v>44561</v>
      </c>
      <c r="G2" s="75">
        <f>+EOMONTH(F2,12)</f>
        <v>44926</v>
      </c>
      <c r="H2" s="75">
        <f t="shared" ref="H2:Z2" si="1">+EOMONTH(G2,12)</f>
        <v>45291</v>
      </c>
      <c r="I2" s="75">
        <f t="shared" si="1"/>
        <v>45657</v>
      </c>
      <c r="J2" s="75">
        <f t="shared" si="1"/>
        <v>46022</v>
      </c>
      <c r="K2" s="75">
        <f t="shared" si="1"/>
        <v>46387</v>
      </c>
      <c r="L2" s="75">
        <f t="shared" si="1"/>
        <v>46752</v>
      </c>
      <c r="M2" s="75">
        <f t="shared" si="1"/>
        <v>47118</v>
      </c>
      <c r="N2" s="75">
        <f t="shared" si="1"/>
        <v>47483</v>
      </c>
      <c r="O2" s="75">
        <f t="shared" si="1"/>
        <v>47848</v>
      </c>
      <c r="P2" s="75">
        <f t="shared" si="1"/>
        <v>48213</v>
      </c>
      <c r="Q2" s="75">
        <f t="shared" si="1"/>
        <v>48579</v>
      </c>
      <c r="R2" s="75">
        <f t="shared" si="1"/>
        <v>48944</v>
      </c>
      <c r="S2" s="75">
        <f t="shared" si="1"/>
        <v>49309</v>
      </c>
      <c r="T2" s="75">
        <f t="shared" si="1"/>
        <v>49674</v>
      </c>
      <c r="U2" s="75">
        <f t="shared" si="1"/>
        <v>50040</v>
      </c>
      <c r="V2" s="75">
        <f t="shared" si="1"/>
        <v>50405</v>
      </c>
      <c r="W2" s="75">
        <f t="shared" si="1"/>
        <v>50770</v>
      </c>
      <c r="X2" s="75">
        <f t="shared" si="1"/>
        <v>51135</v>
      </c>
      <c r="Y2" s="75">
        <f t="shared" si="1"/>
        <v>51501</v>
      </c>
      <c r="Z2" s="75">
        <f t="shared" si="1"/>
        <v>51866</v>
      </c>
    </row>
    <row r="3" spans="2:26" ht="15.75">
      <c r="B3" s="15" t="s">
        <v>1</v>
      </c>
      <c r="D3" s="26">
        <f ca="1">+SUM(F3:Z3)</f>
        <v>222046920.57305685</v>
      </c>
      <c r="F3" s="16">
        <f ca="1">+IFERROR(INDEX('Phase I Pro Forma'!$F$308:$Z$308,1,MATCH('Cash Flow Roll-up'!F$2,'Phase I Pro Forma'!$F$283:$Z$283,0)),0)</f>
        <v>-51495790.787373006</v>
      </c>
      <c r="G3" s="16">
        <f ca="1">+IFERROR(INDEX('Phase I Pro Forma'!$F$308:$Z$308,1,MATCH('Cash Flow Roll-up'!G$2,'Phase I Pro Forma'!$F$283:$Z$283,0)),0)</f>
        <v>-12663221.150123715</v>
      </c>
      <c r="H3" s="16">
        <f ca="1">+IFERROR(INDEX('Phase I Pro Forma'!$F$308:$Z$308,1,MATCH('Cash Flow Roll-up'!H$2,'Phase I Pro Forma'!$F$283:$Z$283,0)),0)</f>
        <v>0</v>
      </c>
      <c r="I3" s="16">
        <f ca="1">+IFERROR(INDEX('Phase I Pro Forma'!$F$308:$Z$308,1,MATCH('Cash Flow Roll-up'!I$2,'Phase I Pro Forma'!$F$283:$Z$283,0)),0)</f>
        <v>24901299.124564815</v>
      </c>
      <c r="J3" s="16">
        <f ca="1">+IFERROR(INDEX('Phase I Pro Forma'!$F$308:$Z$308,1,MATCH('Cash Flow Roll-up'!J$2,'Phase I Pro Forma'!$F$283:$Z$283,0)),0)</f>
        <v>5278132.2857078519</v>
      </c>
      <c r="K3" s="16">
        <f ca="1">+IFERROR(INDEX('Phase I Pro Forma'!$F$308:$Z$308,1,MATCH('Cash Flow Roll-up'!K$2,'Phase I Pro Forma'!$F$283:$Z$283,0)),0)</f>
        <v>5896598.6043395866</v>
      </c>
      <c r="L3" s="16">
        <f ca="1">+IFERROR(INDEX('Phase I Pro Forma'!$F$308:$Z$308,1,MATCH('Cash Flow Roll-up'!L$2,'Phase I Pro Forma'!$F$283:$Z$283,0)),0)</f>
        <v>7678126.75579214</v>
      </c>
      <c r="M3" s="16">
        <f ca="1">+IFERROR(INDEX('Phase I Pro Forma'!$F$308:$Z$308,1,MATCH('Cash Flow Roll-up'!M$2,'Phase I Pro Forma'!$F$283:$Z$283,0)),0)</f>
        <v>8004752.9827835169</v>
      </c>
      <c r="N3" s="16">
        <f ca="1">+IFERROR(INDEX('Phase I Pro Forma'!$F$308:$Z$308,1,MATCH('Cash Flow Roll-up'!N$2,'Phase I Pro Forma'!$F$283:$Z$283,0)),0)</f>
        <v>8449315.2071530111</v>
      </c>
      <c r="O3" s="16">
        <f ca="1">+IFERROR(INDEX('Phase I Pro Forma'!$F$308:$Z$308,1,MATCH('Cash Flow Roll-up'!O$2,'Phase I Pro Forma'!$F$283:$Z$283,0)),0)</f>
        <v>8905274.030542098</v>
      </c>
      <c r="P3" s="16">
        <f ca="1">+IFERROR(INDEX('Phase I Pro Forma'!$F$308:$Z$308,1,MATCH('Cash Flow Roll-up'!P$2,'Phase I Pro Forma'!$F$283:$Z$283,0)),0)</f>
        <v>217092433.51967055</v>
      </c>
      <c r="Q3" s="16">
        <f ca="1">+IFERROR(INDEX('Phase I Pro Forma'!$F$308:$Z$308,1,MATCH('Cash Flow Roll-up'!Q$2,'Phase I Pro Forma'!$F$283:$Z$283,0)),0)</f>
        <v>0</v>
      </c>
      <c r="R3" s="16">
        <f ca="1">+IFERROR(INDEX('Phase I Pro Forma'!$F$308:$Z$308,1,MATCH('Cash Flow Roll-up'!R$2,'Phase I Pro Forma'!$F$283:$Z$283,0)),0)</f>
        <v>0</v>
      </c>
      <c r="S3" s="16">
        <f ca="1">+IFERROR(INDEX('Phase I Pro Forma'!$F$308:$Z$308,1,MATCH('Cash Flow Roll-up'!S$2,'Phase I Pro Forma'!$F$283:$Z$283,0)),0)</f>
        <v>0</v>
      </c>
      <c r="T3" s="16">
        <f ca="1">+IFERROR(INDEX('Phase I Pro Forma'!$F$308:$Z$308,1,MATCH('Cash Flow Roll-up'!T$2,'Phase I Pro Forma'!$F$283:$Z$283,0)),0)</f>
        <v>0</v>
      </c>
      <c r="U3" s="16">
        <f ca="1">+IFERROR(INDEX('Phase I Pro Forma'!$F$308:$Z$308,1,MATCH('Cash Flow Roll-up'!U$2,'Phase I Pro Forma'!$F$283:$Z$283,0)),0)</f>
        <v>0</v>
      </c>
      <c r="V3" s="16">
        <f ca="1">+IFERROR(INDEX('Phase I Pro Forma'!$F$308:$Z$308,1,MATCH('Cash Flow Roll-up'!V$2,'Phase I Pro Forma'!$F$283:$Z$283,0)),0)</f>
        <v>0</v>
      </c>
      <c r="W3" s="16">
        <f ca="1">+IFERROR(INDEX('Phase I Pro Forma'!$F$308:$Z$308,1,MATCH('Cash Flow Roll-up'!W$2,'Phase I Pro Forma'!$F$283:$Z$283,0)),0)</f>
        <v>0</v>
      </c>
      <c r="X3" s="16">
        <f ca="1">+IFERROR(INDEX('Phase I Pro Forma'!$F$308:$Z$308,1,MATCH('Cash Flow Roll-up'!X$2,'Phase I Pro Forma'!$F$283:$Z$283,0)),0)</f>
        <v>0</v>
      </c>
      <c r="Y3" s="16">
        <f ca="1">+IFERROR(INDEX('Phase I Pro Forma'!$F$308:$Z$308,1,MATCH('Cash Flow Roll-up'!Y$2,'Phase I Pro Forma'!$F$283:$Z$283,0)),0)</f>
        <v>0</v>
      </c>
      <c r="Z3" s="16">
        <f ca="1">+IFERROR(INDEX('Phase I Pro Forma'!$F$308:$Z$308,1,MATCH('Cash Flow Roll-up'!Z$2,'Phase I Pro Forma'!$F$283:$Z$283,0)),0)</f>
        <v>0</v>
      </c>
    </row>
    <row r="4" spans="2:26" ht="15.75">
      <c r="B4" s="15" t="s">
        <v>2</v>
      </c>
      <c r="D4" s="11">
        <f ca="1">+SUM(F4:Z4)</f>
        <v>112672620.62590827</v>
      </c>
      <c r="F4" s="76">
        <f>+IFERROR(INDEX('Phase II Pro Forma'!$F$241:$Z$241,1,MATCH('Cash Flow Roll-up'!F$2,'Phase II Pro Forma'!$F$216:$Z$216,0)),0)</f>
        <v>0</v>
      </c>
      <c r="G4" s="76">
        <f ca="1">+IFERROR(INDEX('Phase II Pro Forma'!$F$241:$Z$241,1,MATCH('Cash Flow Roll-up'!G$2,'Phase II Pro Forma'!$F$216:$Z$216,0)),0)</f>
        <v>-18868356.37705791</v>
      </c>
      <c r="H4" s="76">
        <f ca="1">+IFERROR(INDEX('Phase II Pro Forma'!$F$241:$Z$241,1,MATCH('Cash Flow Roll-up'!H$2,'Phase II Pro Forma'!$F$216:$Z$216,0)),0)</f>
        <v>-17411715.9964917</v>
      </c>
      <c r="I4" s="76">
        <f ca="1">+IFERROR(INDEX('Phase II Pro Forma'!$F$241:$Z$241,1,MATCH('Cash Flow Roll-up'!I$2,'Phase II Pro Forma'!$F$216:$Z$216,0)),0)</f>
        <v>0</v>
      </c>
      <c r="J4" s="76">
        <f ca="1">+IFERROR(INDEX('Phase II Pro Forma'!$F$241:$Z$241,1,MATCH('Cash Flow Roll-up'!J$2,'Phase II Pro Forma'!$F$216:$Z$216,0)),0)</f>
        <v>18907188.828211531</v>
      </c>
      <c r="K4" s="76">
        <f ca="1">+IFERROR(INDEX('Phase II Pro Forma'!$F$241:$Z$241,1,MATCH('Cash Flow Roll-up'!K$2,'Phase II Pro Forma'!$F$216:$Z$216,0)),0)</f>
        <v>3047194.9531564033</v>
      </c>
      <c r="L4" s="76">
        <f ca="1">+IFERROR(INDEX('Phase II Pro Forma'!$F$241:$Z$241,1,MATCH('Cash Flow Roll-up'!L$2,'Phase II Pro Forma'!$F$216:$Z$216,0)),0)</f>
        <v>3480773.6680041822</v>
      </c>
      <c r="M4" s="76">
        <f ca="1">+IFERROR(INDEX('Phase II Pro Forma'!$F$241:$Z$241,1,MATCH('Cash Flow Roll-up'!M$2,'Phase II Pro Forma'!$F$216:$Z$216,0)),0)</f>
        <v>4385732.7590234131</v>
      </c>
      <c r="N4" s="76">
        <f ca="1">+IFERROR(INDEX('Phase II Pro Forma'!$F$241:$Z$241,1,MATCH('Cash Flow Roll-up'!N$2,'Phase II Pro Forma'!$F$216:$Z$216,0)),0)</f>
        <v>4624966.840634143</v>
      </c>
      <c r="O4" s="76">
        <f ca="1">+IFERROR(INDEX('Phase II Pro Forma'!$F$241:$Z$241,1,MATCH('Cash Flow Roll-up'!O$2,'Phase II Pro Forma'!$F$216:$Z$216,0)),0)</f>
        <v>114506835.95042831</v>
      </c>
      <c r="P4" s="76">
        <f ca="1">+IFERROR(INDEX('Phase II Pro Forma'!$F$241:$Z$241,1,MATCH('Cash Flow Roll-up'!P$2,'Phase II Pro Forma'!$F$216:$Z$216,0)),0)</f>
        <v>0</v>
      </c>
      <c r="Q4" s="76">
        <f ca="1">+IFERROR(INDEX('Phase II Pro Forma'!$F$241:$Z$241,1,MATCH('Cash Flow Roll-up'!Q$2,'Phase II Pro Forma'!$F$216:$Z$216,0)),0)</f>
        <v>0</v>
      </c>
      <c r="R4" s="76">
        <f ca="1">+IFERROR(INDEX('Phase II Pro Forma'!$F$241:$Z$241,1,MATCH('Cash Flow Roll-up'!R$2,'Phase II Pro Forma'!$F$216:$Z$216,0)),0)</f>
        <v>0</v>
      </c>
      <c r="S4" s="76">
        <f ca="1">+IFERROR(INDEX('Phase II Pro Forma'!$F$241:$Z$241,1,MATCH('Cash Flow Roll-up'!S$2,'Phase II Pro Forma'!$F$216:$Z$216,0)),0)</f>
        <v>0</v>
      </c>
      <c r="T4" s="76">
        <f ca="1">+IFERROR(INDEX('Phase II Pro Forma'!$F$241:$Z$241,1,MATCH('Cash Flow Roll-up'!T$2,'Phase II Pro Forma'!$F$216:$Z$216,0)),0)</f>
        <v>0</v>
      </c>
      <c r="U4" s="76">
        <f ca="1">+IFERROR(INDEX('Phase II Pro Forma'!$F$241:$Z$241,1,MATCH('Cash Flow Roll-up'!U$2,'Phase II Pro Forma'!$F$216:$Z$216,0)),0)</f>
        <v>0</v>
      </c>
      <c r="V4" s="76">
        <f ca="1">+IFERROR(INDEX('Phase II Pro Forma'!$F$241:$Z$241,1,MATCH('Cash Flow Roll-up'!V$2,'Phase II Pro Forma'!$F$216:$Z$216,0)),0)</f>
        <v>0</v>
      </c>
      <c r="W4" s="76">
        <f ca="1">+IFERROR(INDEX('Phase II Pro Forma'!$F$241:$Z$241,1,MATCH('Cash Flow Roll-up'!W$2,'Phase II Pro Forma'!$F$216:$Z$216,0)),0)</f>
        <v>0</v>
      </c>
      <c r="X4" s="76">
        <f ca="1">+IFERROR(INDEX('Phase II Pro Forma'!$F$241:$Z$241,1,MATCH('Cash Flow Roll-up'!X$2,'Phase II Pro Forma'!$F$216:$Z$216,0)),0)</f>
        <v>0</v>
      </c>
      <c r="Y4" s="76">
        <f ca="1">+IFERROR(INDEX('Phase II Pro Forma'!$F$241:$Z$241,1,MATCH('Cash Flow Roll-up'!Y$2,'Phase II Pro Forma'!$F$216:$Z$216,0)),0)</f>
        <v>0</v>
      </c>
      <c r="Z4" s="76">
        <f ca="1">+IFERROR(INDEX('Phase II Pro Forma'!$F$241:$Z$241,1,MATCH('Cash Flow Roll-up'!Z$2,'Phase II Pro Forma'!$F$216:$Z$216,0)),0)</f>
        <v>0</v>
      </c>
    </row>
    <row r="5" spans="2:26" ht="15.75">
      <c r="B5" s="15" t="s">
        <v>3</v>
      </c>
      <c r="D5" s="11">
        <f ca="1">+SUM(F5:Z5)</f>
        <v>109180775.96611983</v>
      </c>
      <c r="F5" s="76">
        <f>+IFERROR(INDEX('Phase III Pro Forma'!$F$205:$Z$205,1,MATCH('Cash Flow Roll-up'!F$2,'Phase III Pro Forma'!$F$180:$Z$180,0)),0)</f>
        <v>0</v>
      </c>
      <c r="G5" s="76">
        <f>+IFERROR(INDEX('Phase III Pro Forma'!$F$205:$Z$205,1,MATCH('Cash Flow Roll-up'!G$2,'Phase III Pro Forma'!$F$180:$Z$180,0)),0)</f>
        <v>0</v>
      </c>
      <c r="H5" s="76">
        <f>+IFERROR(INDEX('Phase III Pro Forma'!$F$205:$Z$205,1,MATCH('Cash Flow Roll-up'!H$2,'Phase III Pro Forma'!$F$180:$Z$180,0)),0)</f>
        <v>0</v>
      </c>
      <c r="I5" s="76">
        <f>+IFERROR(INDEX('Phase III Pro Forma'!$F$205:$Z$205,1,MATCH('Cash Flow Roll-up'!I$2,'Phase III Pro Forma'!$F$180:$Z$180,0)),0)</f>
        <v>-76981700</v>
      </c>
      <c r="J5" s="76">
        <f>+IFERROR(INDEX('Phase III Pro Forma'!$F$205:$Z$205,1,MATCH('Cash Flow Roll-up'!J$2,'Phase III Pro Forma'!$F$180:$Z$180,0)),0)</f>
        <v>0</v>
      </c>
      <c r="K5" s="76">
        <f>+IFERROR(INDEX('Phase III Pro Forma'!$F$205:$Z$205,1,MATCH('Cash Flow Roll-up'!K$2,'Phase III Pro Forma'!$F$180:$Z$180,0)),0)</f>
        <v>0</v>
      </c>
      <c r="L5" s="76">
        <f ca="1">+IFERROR(INDEX('Phase III Pro Forma'!$F$205:$Z$205,1,MATCH('Cash Flow Roll-up'!L$2,'Phase III Pro Forma'!$F$180:$Z$180,0)),0)</f>
        <v>36663039.119011164</v>
      </c>
      <c r="M5" s="76">
        <f ca="1">+IFERROR(INDEX('Phase III Pro Forma'!$F$205:$Z$205,1,MATCH('Cash Flow Roll-up'!M$2,'Phase III Pro Forma'!$F$180:$Z$180,0)),0)</f>
        <v>5163707.0895398315</v>
      </c>
      <c r="N5" s="76">
        <f>+IFERROR(INDEX('Phase III Pro Forma'!$F$205:$Z$205,1,MATCH('Cash Flow Roll-up'!N$2,'Phase III Pro Forma'!$F$180:$Z$180,0)),0)</f>
        <v>2873461.9276949186</v>
      </c>
      <c r="O5" s="76">
        <f ca="1">+IFERROR(INDEX('Phase III Pro Forma'!$F$205:$Z$205,1,MATCH('Cash Flow Roll-up'!O$2,'Phase III Pro Forma'!$F$180:$Z$180,0)),0)</f>
        <v>191059263.72519034</v>
      </c>
      <c r="P5" s="76">
        <f>+IFERROR(INDEX('Phase III Pro Forma'!$F$205:$Z$205,1,MATCH('Cash Flow Roll-up'!P$2,'Phase III Pro Forma'!$F$180:$Z$180,0)),0)</f>
        <v>0</v>
      </c>
      <c r="Q5" s="76">
        <f>+IFERROR(INDEX('Phase III Pro Forma'!$F$205:$Z$205,1,MATCH('Cash Flow Roll-up'!Q$2,'Phase III Pro Forma'!$F$180:$Z$180,0)),0)</f>
        <v>0</v>
      </c>
      <c r="R5" s="76">
        <f>+IFERROR(INDEX('Phase III Pro Forma'!$F$205:$Z$205,1,MATCH('Cash Flow Roll-up'!R$2,'Phase III Pro Forma'!$F$180:$Z$180,0)),0)</f>
        <v>0</v>
      </c>
      <c r="S5" s="76">
        <f>+IFERROR(INDEX('Phase III Pro Forma'!$F$205:$Z$205,1,MATCH('Cash Flow Roll-up'!S$2,'Phase III Pro Forma'!$F$180:$Z$180,0)),0)</f>
        <v>0</v>
      </c>
      <c r="T5" s="76">
        <f>+IFERROR(INDEX('Phase III Pro Forma'!$F$205:$Z$205,1,MATCH('Cash Flow Roll-up'!T$2,'Phase III Pro Forma'!$F$180:$Z$180,0)),0)</f>
        <v>0</v>
      </c>
      <c r="U5" s="76">
        <f>+IFERROR(INDEX('Phase III Pro Forma'!$F$205:$Z$205,1,MATCH('Cash Flow Roll-up'!U$2,'Phase III Pro Forma'!$F$180:$Z$180,0)),0)</f>
        <v>0</v>
      </c>
      <c r="V5" s="76">
        <f ca="1">+IFERROR(INDEX('Phase III Pro Forma'!$F$205:$Z$205,1,MATCH('Cash Flow Roll-up'!V$2,'Phase III Pro Forma'!$F$180:$Z$180,0)),0)</f>
        <v>0</v>
      </c>
      <c r="W5" s="76">
        <f>+IFERROR(INDEX('Phase III Pro Forma'!$F$205:$Z$205,1,MATCH('Cash Flow Roll-up'!W$2,'Phase III Pro Forma'!$F$180:$Z$180,0)),0)</f>
        <v>0</v>
      </c>
      <c r="X5" s="76">
        <f>+IFERROR(INDEX('Phase III Pro Forma'!$F$205:$Z$205,1,MATCH('Cash Flow Roll-up'!X$2,'Phase III Pro Forma'!$F$180:$Z$180,0)),0)</f>
        <v>0</v>
      </c>
      <c r="Y5" s="76">
        <f ca="1">+IFERROR(INDEX('Phase III Pro Forma'!$F$205:$Z$205,1,MATCH('Cash Flow Roll-up'!Y$2,'Phase III Pro Forma'!$F$180:$Z$180,0)),0)</f>
        <v>0</v>
      </c>
      <c r="Z5" s="76">
        <f ca="1">+IFERROR(INDEX('Phase III Pro Forma'!$F$205:$Z$205,1,MATCH('Cash Flow Roll-up'!Z$2,'Phase III Pro Forma'!$F$180:$Z$180,0)),0)</f>
        <v>0</v>
      </c>
    </row>
    <row r="6" spans="2:26">
      <c r="B6" s="549" t="s">
        <v>707</v>
      </c>
      <c r="C6" s="549"/>
      <c r="D6" s="549"/>
      <c r="E6" s="549"/>
      <c r="F6" s="551">
        <f t="shared" ref="F6:Z6" ca="1" si="2">+SUM(F3:F5)</f>
        <v>-51495790.787373006</v>
      </c>
      <c r="G6" s="551">
        <f t="shared" ca="1" si="2"/>
        <v>-31531577.527181625</v>
      </c>
      <c r="H6" s="551">
        <f t="shared" ca="1" si="2"/>
        <v>-18868356.37705791</v>
      </c>
      <c r="I6" s="551">
        <f t="shared" ca="1" si="2"/>
        <v>-44680431.808374986</v>
      </c>
      <c r="J6" s="551">
        <f t="shared" ca="1" si="2"/>
        <v>-46891882.650740281</v>
      </c>
      <c r="K6" s="551">
        <f t="shared" ca="1" si="2"/>
        <v>-7898.0355592891574</v>
      </c>
      <c r="L6" s="551">
        <f t="shared" ca="1" si="2"/>
        <v>10725321.70894854</v>
      </c>
      <c r="M6" s="551">
        <f t="shared" ca="1" si="2"/>
        <v>48148565.769798756</v>
      </c>
      <c r="N6" s="551">
        <f t="shared" ca="1" si="2"/>
        <v>17998755.055716224</v>
      </c>
      <c r="O6" s="551">
        <f t="shared" ca="1" si="2"/>
        <v>18976722.244561605</v>
      </c>
      <c r="P6" s="551">
        <f t="shared" ca="1" si="2"/>
        <v>522658533.19528902</v>
      </c>
      <c r="Q6" s="551">
        <f t="shared" ca="1" si="2"/>
        <v>0</v>
      </c>
      <c r="R6" s="551">
        <f t="shared" ca="1" si="2"/>
        <v>0</v>
      </c>
      <c r="S6" s="551">
        <f t="shared" ca="1" si="2"/>
        <v>0</v>
      </c>
      <c r="T6" s="551">
        <f t="shared" ca="1" si="2"/>
        <v>0</v>
      </c>
      <c r="U6" s="551">
        <f t="shared" ca="1" si="2"/>
        <v>0</v>
      </c>
      <c r="V6" s="551">
        <f t="shared" ca="1" si="2"/>
        <v>0</v>
      </c>
      <c r="W6" s="551">
        <f t="shared" ca="1" si="2"/>
        <v>0</v>
      </c>
      <c r="X6" s="551">
        <f t="shared" ca="1" si="2"/>
        <v>0</v>
      </c>
      <c r="Y6" s="551">
        <f t="shared" ca="1" si="2"/>
        <v>0</v>
      </c>
      <c r="Z6" s="551">
        <f t="shared" ca="1" si="2"/>
        <v>0</v>
      </c>
    </row>
    <row r="7" spans="2:26"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</row>
    <row r="8" spans="2:26" ht="15.75">
      <c r="B8" s="706" t="s">
        <v>110</v>
      </c>
      <c r="C8" s="706"/>
      <c r="D8" s="707">
        <f ca="1">+IRR(F6:Z6)</f>
        <v>0.16318184493039323</v>
      </c>
    </row>
    <row r="9" spans="2:26" ht="15.75">
      <c r="B9" s="708" t="s">
        <v>671</v>
      </c>
      <c r="C9" s="536"/>
      <c r="D9" s="888">
        <f ca="1">+SUM(F6:Z6)</f>
        <v>496070332.10153306</v>
      </c>
    </row>
    <row r="11" spans="2:26" ht="15.75">
      <c r="B11" s="73" t="s">
        <v>708</v>
      </c>
    </row>
    <row r="12" spans="2:26" ht="15.75">
      <c r="B12" s="15" t="s">
        <v>1</v>
      </c>
      <c r="D12" s="26">
        <f ca="1">+SUM(F12:Z12)</f>
        <v>375561109.36796987</v>
      </c>
      <c r="F12" s="16">
        <f ca="1">+IFERROR(INDEX('Phase I Pro Forma'!$F$350:$Z$350,1,MATCH('Cash Flow Roll-up'!F$2,'Phase I Pro Forma'!$F$283:$Z$283,0)),0)</f>
        <v>-51495790.787373006</v>
      </c>
      <c r="G12" s="16">
        <f ca="1">+IFERROR(INDEX('Phase I Pro Forma'!$F$350:$Z$350,1,MATCH('Cash Flow Roll-up'!G$2,'Phase I Pro Forma'!$F$283:$Z$283,0)),0)</f>
        <v>-157132229.98279142</v>
      </c>
      <c r="H12" s="16">
        <f ca="1">+IFERROR(INDEX('Phase I Pro Forma'!$F$350:$Z$350,1,MATCH('Cash Flow Roll-up'!H$2,'Phase I Pro Forma'!$F$283:$Z$283,0)),0)</f>
        <v>-67152945.779067457</v>
      </c>
      <c r="I12" s="16">
        <f ca="1">+IFERROR(INDEX('Phase I Pro Forma'!$F$350:$Z$350,1,MATCH('Cash Flow Roll-up'!I$2,'Phase I Pro Forma'!$F$283:$Z$283,0)),0)</f>
        <v>12016188.963525906</v>
      </c>
      <c r="J12" s="16">
        <f ca="1">+IFERROR(INDEX('Phase I Pro Forma'!$F$350:$Z$350,1,MATCH('Cash Flow Roll-up'!J$2,'Phase I Pro Forma'!$F$283:$Z$283,0)),0)</f>
        <v>25827452.525288329</v>
      </c>
      <c r="K12" s="16">
        <f ca="1">+IFERROR(INDEX('Phase I Pro Forma'!$F$350:$Z$350,1,MATCH('Cash Flow Roll-up'!K$2,'Phase I Pro Forma'!$F$283:$Z$283,0)),0)</f>
        <v>25747911.80640661</v>
      </c>
      <c r="L12" s="16">
        <f ca="1">+IFERROR(INDEX('Phase I Pro Forma'!$F$350:$Z$350,1,MATCH('Cash Flow Roll-up'!L$2,'Phase I Pro Forma'!$F$283:$Z$283,0)),0)</f>
        <v>27602376.045646325</v>
      </c>
      <c r="M12" s="16">
        <f ca="1">+IFERROR(INDEX('Phase I Pro Forma'!$F$350:$Z$350,1,MATCH('Cash Flow Roll-up'!M$2,'Phase I Pro Forma'!$F$283:$Z$283,0)),0)</f>
        <v>27877868.016138669</v>
      </c>
      <c r="N12" s="16">
        <f ca="1">+IFERROR(INDEX('Phase I Pro Forma'!$F$350:$Z$350,1,MATCH('Cash Flow Roll-up'!N$2,'Phase I Pro Forma'!$F$283:$Z$283,0)),0)</f>
        <v>28470939.905564785</v>
      </c>
      <c r="O12" s="16">
        <f ca="1">+IFERROR(INDEX('Phase I Pro Forma'!$F$350:$Z$350,1,MATCH('Cash Flow Roll-up'!O$2,'Phase I Pro Forma'!$F$283:$Z$283,0)),0)</f>
        <v>28926898.728953872</v>
      </c>
      <c r="P12" s="16">
        <f ca="1">+IFERROR(INDEX('Phase I Pro Forma'!$F$350:$Z$350,1,MATCH('Cash Flow Roll-up'!P$2,'Phase I Pro Forma'!$F$283:$Z$283,0)),0)</f>
        <v>487000127.8604129</v>
      </c>
      <c r="Q12" s="16">
        <f ca="1">+IFERROR(INDEX('Phase I Pro Forma'!$F$350:$Z$350,1,MATCH('Cash Flow Roll-up'!Q$2,'Phase I Pro Forma'!$F$283:$Z$283,0)),0)</f>
        <v>0</v>
      </c>
      <c r="R12" s="16">
        <f ca="1">+IFERROR(INDEX('Phase I Pro Forma'!$F$350:$Z$350,1,MATCH('Cash Flow Roll-up'!R$2,'Phase I Pro Forma'!$F$283:$Z$283,0)),0)</f>
        <v>0</v>
      </c>
      <c r="S12" s="16">
        <f ca="1">+IFERROR(INDEX('Phase I Pro Forma'!$F$350:$Z$350,1,MATCH('Cash Flow Roll-up'!S$2,'Phase I Pro Forma'!$F$283:$Z$283,0)),0)</f>
        <v>0</v>
      </c>
      <c r="T12" s="16">
        <f ca="1">+IFERROR(INDEX('Phase I Pro Forma'!$F$350:$Z$350,1,MATCH('Cash Flow Roll-up'!T$2,'Phase I Pro Forma'!$F$283:$Z$283,0)),0)</f>
        <v>0</v>
      </c>
      <c r="U12" s="16">
        <f ca="1">+IFERROR(INDEX('Phase I Pro Forma'!$F$350:$Z$350,1,MATCH('Cash Flow Roll-up'!U$2,'Phase I Pro Forma'!$F$283:$Z$283,0)),0)</f>
        <v>0</v>
      </c>
      <c r="V12" s="16">
        <f ca="1">+IFERROR(INDEX('Phase I Pro Forma'!$F$350:$Z$350,1,MATCH('Cash Flow Roll-up'!V$2,'Phase I Pro Forma'!$F$283:$Z$283,0)),0)</f>
        <v>0</v>
      </c>
      <c r="W12" s="16">
        <f ca="1">+IFERROR(INDEX('Phase I Pro Forma'!$F$350:$Z$350,1,MATCH('Cash Flow Roll-up'!W$2,'Phase I Pro Forma'!$F$283:$Z$283,0)),0)</f>
        <v>0</v>
      </c>
      <c r="X12" s="16">
        <f ca="1">+IFERROR(INDEX('Phase I Pro Forma'!$F$350:$Z$350,1,MATCH('Cash Flow Roll-up'!X$2,'Phase I Pro Forma'!$F$283:$Z$283,0)),0)</f>
        <v>0</v>
      </c>
      <c r="Y12" s="16">
        <f ca="1">+IFERROR(INDEX('Phase I Pro Forma'!$F$350:$Z$350,1,MATCH('Cash Flow Roll-up'!Y$2,'Phase I Pro Forma'!$F$283:$Z$283,0)),0)</f>
        <v>0</v>
      </c>
      <c r="Z12" s="16">
        <f ca="1">+IFERROR(INDEX('Phase I Pro Forma'!$F$350:$Z$350,1,MATCH('Cash Flow Roll-up'!Z$2,'Phase I Pro Forma'!$F$283:$Z$283,0)),0)</f>
        <v>0</v>
      </c>
    </row>
    <row r="13" spans="2:26" ht="15.75">
      <c r="B13" s="15" t="s">
        <v>2</v>
      </c>
      <c r="D13" s="11">
        <f ca="1">+SUM(F13:Z13)</f>
        <v>33262675.736864194</v>
      </c>
      <c r="F13" s="76">
        <f>+IFERROR(INDEX('Phase II Pro Forma'!$F$283:$Z$283,1,MATCH('Cash Flow Roll-up'!F$2,'Phase II Pro Forma'!$F$216:$Z$216,0)),0)</f>
        <v>0</v>
      </c>
      <c r="G13" s="76">
        <f ca="1">+IFERROR(INDEX('Phase II Pro Forma'!$F$283:$Z$283,1,MATCH('Cash Flow Roll-up'!G$2,'Phase II Pro Forma'!$F$216:$Z$216,0)),0)</f>
        <v>-18868356.37705791</v>
      </c>
      <c r="H13" s="76">
        <f ca="1">+IFERROR(INDEX('Phase II Pro Forma'!$F$283:$Z$283,1,MATCH('Cash Flow Roll-up'!H$2,'Phase II Pro Forma'!$F$216:$Z$216,0)),0)</f>
        <v>-91800710.268615231</v>
      </c>
      <c r="I13" s="76">
        <f ca="1">+IFERROR(INDEX('Phase II Pro Forma'!$F$283:$Z$283,1,MATCH('Cash Flow Roll-up'!I$2,'Phase II Pro Forma'!$F$216:$Z$216,0)),0)</f>
        <v>-42600803.100950703</v>
      </c>
      <c r="J13" s="76">
        <f ca="1">+IFERROR(INDEX('Phase II Pro Forma'!$F$283:$Z$283,1,MATCH('Cash Flow Roll-up'!J$2,'Phase II Pro Forma'!$F$216:$Z$216,0)),0)</f>
        <v>6946822.2629323117</v>
      </c>
      <c r="K13" s="76">
        <f ca="1">+IFERROR(INDEX('Phase II Pro Forma'!$F$283:$Z$283,1,MATCH('Cash Flow Roll-up'!K$2,'Phase II Pro Forma'!$F$216:$Z$216,0)),0)</f>
        <v>57086331.560091406</v>
      </c>
      <c r="L13" s="76">
        <f ca="1">+IFERROR(INDEX('Phase II Pro Forma'!$F$283:$Z$283,1,MATCH('Cash Flow Roll-up'!L$2,'Phase II Pro Forma'!$F$216:$Z$216,0)),0)</f>
        <v>14919107.173988493</v>
      </c>
      <c r="M13" s="76">
        <f ca="1">+IFERROR(INDEX('Phase II Pro Forma'!$F$283:$Z$283,1,MATCH('Cash Flow Roll-up'!M$2,'Phase II Pro Forma'!$F$216:$Z$216,0)),0)</f>
        <v>15824066.265007693</v>
      </c>
      <c r="N13" s="76">
        <f ca="1">+IFERROR(INDEX('Phase II Pro Forma'!$F$283:$Z$283,1,MATCH('Cash Flow Roll-up'!N$2,'Phase II Pro Forma'!$F$216:$Z$216,0)),0)</f>
        <v>16063300.346618453</v>
      </c>
      <c r="O13" s="76">
        <f ca="1">+IFERROR(INDEX('Phase II Pro Forma'!$F$283:$Z$283,1,MATCH('Cash Flow Roll-up'!O$2,'Phase II Pro Forma'!$F$216:$Z$216,0)),0)</f>
        <v>16382388.311893821</v>
      </c>
      <c r="P13" s="76">
        <f ca="1">+IFERROR(INDEX('Phase II Pro Forma'!$F$283:$Z$283,1,MATCH('Cash Flow Roll-up'!P$2,'Phase II Pro Forma'!$F$216:$Z$216,0)),0)</f>
        <v>59310529.562955879</v>
      </c>
      <c r="Q13" s="76">
        <f ca="1">+IFERROR(INDEX('Phase II Pro Forma'!$F$283:$Z$283,1,MATCH('Cash Flow Roll-up'!Q$2,'Phase II Pro Forma'!$F$216:$Z$216,0)),0)</f>
        <v>0</v>
      </c>
      <c r="R13" s="76">
        <f ca="1">+IFERROR(INDEX('Phase II Pro Forma'!$F$283:$Z$283,1,MATCH('Cash Flow Roll-up'!R$2,'Phase II Pro Forma'!$F$216:$Z$216,0)),0)</f>
        <v>0</v>
      </c>
      <c r="S13" s="76">
        <f ca="1">+IFERROR(INDEX('Phase II Pro Forma'!$F$283:$Z$283,1,MATCH('Cash Flow Roll-up'!S$2,'Phase II Pro Forma'!$F$216:$Z$216,0)),0)</f>
        <v>0</v>
      </c>
      <c r="T13" s="76">
        <f ca="1">+IFERROR(INDEX('Phase II Pro Forma'!$F$283:$Z$283,1,MATCH('Cash Flow Roll-up'!T$2,'Phase II Pro Forma'!$F$216:$Z$216,0)),0)</f>
        <v>0</v>
      </c>
      <c r="U13" s="76">
        <f ca="1">+IFERROR(INDEX('Phase II Pro Forma'!$F$283:$Z$283,1,MATCH('Cash Flow Roll-up'!U$2,'Phase II Pro Forma'!$F$216:$Z$216,0)),0)</f>
        <v>0</v>
      </c>
      <c r="V13" s="76">
        <f ca="1">+IFERROR(INDEX('Phase II Pro Forma'!$F$283:$Z$283,1,MATCH('Cash Flow Roll-up'!V$2,'Phase II Pro Forma'!$F$216:$Z$216,0)),0)</f>
        <v>0</v>
      </c>
      <c r="W13" s="76">
        <f ca="1">+IFERROR(INDEX('Phase II Pro Forma'!$F$283:$Z$283,1,MATCH('Cash Flow Roll-up'!W$2,'Phase II Pro Forma'!$F$216:$Z$216,0)),0)</f>
        <v>0</v>
      </c>
      <c r="X13" s="76">
        <f ca="1">+IFERROR(INDEX('Phase II Pro Forma'!$F$283:$Z$283,1,MATCH('Cash Flow Roll-up'!X$2,'Phase II Pro Forma'!$F$216:$Z$216,0)),0)</f>
        <v>0</v>
      </c>
      <c r="Y13" s="76">
        <f ca="1">+IFERROR(INDEX('Phase II Pro Forma'!$F$283:$Z$283,1,MATCH('Cash Flow Roll-up'!Y$2,'Phase II Pro Forma'!$F$216:$Z$216,0)),0)</f>
        <v>0</v>
      </c>
      <c r="Z13" s="76">
        <f ca="1">+IFERROR(INDEX('Phase II Pro Forma'!$F$283:$Z$283,1,MATCH('Cash Flow Roll-up'!Z$2,'Phase II Pro Forma'!$F$216:$Z$216,0)),0)</f>
        <v>0</v>
      </c>
    </row>
    <row r="14" spans="2:26" ht="15.75">
      <c r="B14" s="15" t="s">
        <v>3</v>
      </c>
      <c r="D14" s="11">
        <f ca="1">+SUM(F14:Z14)</f>
        <v>209913126.1703679</v>
      </c>
      <c r="F14" s="76">
        <f>+IFERROR(INDEX('Phase III Pro Forma'!$F$247:$Z$247,1,MATCH('Cash Flow Roll-up'!F$2,'Phase III Pro Forma'!$F$180:$Z$180,0)),0)</f>
        <v>0</v>
      </c>
      <c r="G14" s="76">
        <f>+IFERROR(INDEX('Phase III Pro Forma'!$F$247:$Z$247,1,MATCH('Cash Flow Roll-up'!G$2,'Phase III Pro Forma'!$F$180:$Z$180,0)),0)</f>
        <v>0</v>
      </c>
      <c r="H14" s="76">
        <f>+IFERROR(INDEX('Phase III Pro Forma'!$F$247:$Z$247,1,MATCH('Cash Flow Roll-up'!H$2,'Phase III Pro Forma'!$F$180:$Z$180,0)),0)</f>
        <v>0</v>
      </c>
      <c r="I14" s="76">
        <f>+IFERROR(INDEX('Phase III Pro Forma'!$F$247:$Z$247,1,MATCH('Cash Flow Roll-up'!I$2,'Phase III Pro Forma'!$F$180:$Z$180,0)),0)</f>
        <v>-210286208</v>
      </c>
      <c r="J14" s="76">
        <f>+IFERROR(INDEX('Phase III Pro Forma'!$F$247:$Z$247,1,MATCH('Cash Flow Roll-up'!J$2,'Phase III Pro Forma'!$F$180:$Z$180,0)),0)</f>
        <v>0</v>
      </c>
      <c r="K14" s="76">
        <f>+IFERROR(INDEX('Phase III Pro Forma'!$F$247:$Z$247,1,MATCH('Cash Flow Roll-up'!K$2,'Phase III Pro Forma'!$F$180:$Z$180,0)),0)</f>
        <v>0</v>
      </c>
      <c r="L14" s="76">
        <f>+IFERROR(INDEX('Phase III Pro Forma'!$F$247:$Z$247,1,MATCH('Cash Flow Roll-up'!L$2,'Phase III Pro Forma'!$F$180:$Z$180,0)),0)</f>
        <v>6713283.6074656695</v>
      </c>
      <c r="M14" s="76">
        <f>+IFERROR(INDEX('Phase III Pro Forma'!$F$247:$Z$247,1,MATCH('Cash Flow Roll-up'!M$2,'Phase III Pro Forma'!$F$180:$Z$180,0)),0)</f>
        <v>14017341.178146504</v>
      </c>
      <c r="N14" s="76">
        <f>+IFERROR(INDEX('Phase III Pro Forma'!$F$247:$Z$247,1,MATCH('Cash Flow Roll-up'!N$2,'Phase III Pro Forma'!$F$180:$Z$180,0)),0)</f>
        <v>14367309.638474565</v>
      </c>
      <c r="O14" s="76">
        <f>+IFERROR(INDEX('Phase III Pro Forma'!$F$247:$Z$247,1,MATCH('Cash Flow Roll-up'!O$2,'Phase III Pro Forma'!$F$180:$Z$180,0)),0)</f>
        <v>14979796.816731973</v>
      </c>
      <c r="P14" s="76">
        <f>+IFERROR(INDEX('Phase III Pro Forma'!$F$247:$Z$247,1,MATCH('Cash Flow Roll-up'!P$2,'Phase III Pro Forma'!$F$180:$Z$180,0)),0)</f>
        <v>15351646.067124832</v>
      </c>
      <c r="Q14" s="76">
        <f>+IFERROR(INDEX('Phase III Pro Forma'!$F$247:$Z$247,1,MATCH('Cash Flow Roll-up'!Q$2,'Phase III Pro Forma'!$F$180:$Z$180,0)),0)</f>
        <v>0</v>
      </c>
      <c r="R14" s="76">
        <f>+IFERROR(INDEX('Phase III Pro Forma'!$F$247:$Z$247,1,MATCH('Cash Flow Roll-up'!R$2,'Phase III Pro Forma'!$F$180:$Z$180,0)),0)</f>
        <v>0</v>
      </c>
      <c r="S14" s="76">
        <f>+IFERROR(INDEX('Phase III Pro Forma'!$F$247:$Z$247,1,MATCH('Cash Flow Roll-up'!S$2,'Phase III Pro Forma'!$F$180:$Z$180,0)),0)</f>
        <v>0</v>
      </c>
      <c r="T14" s="76">
        <f>+IFERROR(INDEX('Phase III Pro Forma'!$F$247:$Z$247,1,MATCH('Cash Flow Roll-up'!T$2,'Phase III Pro Forma'!$F$180:$Z$180,0)),0)</f>
        <v>0</v>
      </c>
      <c r="U14" s="76">
        <f>+IFERROR(INDEX('Phase III Pro Forma'!$F$247:$Z$247,1,MATCH('Cash Flow Roll-up'!U$2,'Phase III Pro Forma'!$F$180:$Z$180,0)),0)</f>
        <v>0</v>
      </c>
      <c r="V14" s="76">
        <f>+IFERROR(INDEX('Phase III Pro Forma'!$F$247:$Z$247,1,MATCH('Cash Flow Roll-up'!V$2,'Phase III Pro Forma'!$F$180:$Z$180,0)),0)</f>
        <v>0</v>
      </c>
      <c r="W14" s="76">
        <f ca="1">+IFERROR(INDEX('Phase III Pro Forma'!$F$247:$Z$247,1,MATCH('Cash Flow Roll-up'!W$2,'Phase III Pro Forma'!$F$180:$Z$180,0)),0)</f>
        <v>0</v>
      </c>
      <c r="X14" s="76">
        <f ca="1">+IFERROR(INDEX('Phase III Pro Forma'!$F$247:$Z$247,1,MATCH('Cash Flow Roll-up'!X$2,'Phase III Pro Forma'!$F$180:$Z$180,0)),0)</f>
        <v>0</v>
      </c>
      <c r="Y14" s="76">
        <f ca="1">+IFERROR(INDEX('Phase III Pro Forma'!$F$247:$Z$247,1,MATCH('Cash Flow Roll-up'!Y$2,'Phase III Pro Forma'!$F$180:$Z$180,0)),0)</f>
        <v>0</v>
      </c>
      <c r="Z14" s="76">
        <f ca="1">+IFERROR(INDEX('Phase III Pro Forma'!$F$247:$Z$247,1,MATCH('Cash Flow Roll-up'!Z$2,'Phase III Pro Forma'!$F$180:$Z$180,0)),0)</f>
        <v>0</v>
      </c>
    </row>
    <row r="15" spans="2:26">
      <c r="B15" s="549" t="s">
        <v>709</v>
      </c>
      <c r="C15" s="549"/>
      <c r="D15" s="549"/>
      <c r="E15" s="549"/>
      <c r="F15" s="551">
        <f t="shared" ref="F15:Z15" ca="1" si="3">+SUM(F12:F14)</f>
        <v>-51495790.787373006</v>
      </c>
      <c r="G15" s="551">
        <f t="shared" ca="1" si="3"/>
        <v>-157132229.98279142</v>
      </c>
      <c r="H15" s="551">
        <f t="shared" ca="1" si="3"/>
        <v>-86021302.156125367</v>
      </c>
      <c r="I15" s="551">
        <f t="shared" ca="1" si="3"/>
        <v>-82754629.073872924</v>
      </c>
      <c r="J15" s="551">
        <f t="shared" ca="1" si="3"/>
        <v>-69471061.053279236</v>
      </c>
      <c r="K15" s="551">
        <f t="shared" ca="1" si="3"/>
        <v>-121234058.49167396</v>
      </c>
      <c r="L15" s="551">
        <f t="shared" ca="1" si="3"/>
        <v>-37074995.061968923</v>
      </c>
      <c r="M15" s="551">
        <f t="shared" ca="1" si="3"/>
        <v>43850443.946202986</v>
      </c>
      <c r="N15" s="551">
        <f t="shared" ca="1" si="3"/>
        <v>70173873.866058648</v>
      </c>
      <c r="O15" s="551">
        <f t="shared" ca="1" si="3"/>
        <v>71151841.054904044</v>
      </c>
      <c r="P15" s="551">
        <f t="shared" ca="1" si="3"/>
        <v>1243407438.5198503</v>
      </c>
      <c r="Q15" s="551">
        <f t="shared" ca="1" si="3"/>
        <v>0</v>
      </c>
      <c r="R15" s="551">
        <f t="shared" ca="1" si="3"/>
        <v>0</v>
      </c>
      <c r="S15" s="551">
        <f t="shared" ca="1" si="3"/>
        <v>0</v>
      </c>
      <c r="T15" s="551">
        <f t="shared" ca="1" si="3"/>
        <v>0</v>
      </c>
      <c r="U15" s="551">
        <f t="shared" ca="1" si="3"/>
        <v>0</v>
      </c>
      <c r="V15" s="551">
        <f t="shared" ca="1" si="3"/>
        <v>0</v>
      </c>
      <c r="W15" s="551">
        <f t="shared" ca="1" si="3"/>
        <v>0</v>
      </c>
      <c r="X15" s="551">
        <f t="shared" ca="1" si="3"/>
        <v>0</v>
      </c>
      <c r="Y15" s="551">
        <f t="shared" ca="1" si="3"/>
        <v>0</v>
      </c>
      <c r="Z15" s="551">
        <f t="shared" ca="1" si="3"/>
        <v>0</v>
      </c>
    </row>
    <row r="17" spans="2:26" ht="15.75">
      <c r="B17" s="706" t="s">
        <v>111</v>
      </c>
      <c r="C17" s="706"/>
      <c r="D17" s="707">
        <f ca="1">+IRR(F15:Z15)</f>
        <v>0.13026177012390683</v>
      </c>
    </row>
    <row r="18" spans="2:26" ht="15.75">
      <c r="B18" s="708" t="s">
        <v>671</v>
      </c>
      <c r="C18" s="536"/>
      <c r="D18" s="888">
        <f ca="1">+SUM(F15:Z15)</f>
        <v>838413709.96066785</v>
      </c>
    </row>
    <row r="20" spans="2:26" ht="15.75">
      <c r="B20" s="73" t="s">
        <v>710</v>
      </c>
    </row>
    <row r="21" spans="2:26" ht="15.75">
      <c r="B21" s="15" t="s">
        <v>1</v>
      </c>
      <c r="D21" s="26">
        <f ca="1">+SUM(F21:Z21)</f>
        <v>311130964.2268002</v>
      </c>
      <c r="F21" s="16">
        <f ca="1">+IFERROR(INDEX('Phase I Pro Forma'!$F$379:$Z$379,1,MATCH('Cash Flow Roll-up'!F$2,'Phase I Pro Forma'!$F$283:$Z$283,0)),0)</f>
        <v>-40681674.722024679</v>
      </c>
      <c r="G21" s="16">
        <f ca="1">+IFERROR(INDEX('Phase I Pro Forma'!$F$379:$Z$379,1,MATCH('Cash Flow Roll-up'!G$2,'Phase I Pro Forma'!$F$283:$Z$283,0)),0)</f>
        <v>-130908865.97483118</v>
      </c>
      <c r="H21" s="16">
        <f ca="1">+IFERROR(INDEX('Phase I Pro Forma'!$F$379:$Z$379,1,MATCH('Cash Flow Roll-up'!H$2,'Phase I Pro Forma'!$F$283:$Z$283,0)),0)</f>
        <v>-53050827.165463291</v>
      </c>
      <c r="I21" s="16">
        <f ca="1">+IFERROR(INDEX('Phase I Pro Forma'!$F$379:$Z$379,1,MATCH('Cash Flow Roll-up'!I$2,'Phase I Pro Forma'!$F$283:$Z$283,0)),0)</f>
        <v>9492789.2811854668</v>
      </c>
      <c r="J21" s="16">
        <f ca="1">+IFERROR(INDEX('Phase I Pro Forma'!$F$379:$Z$379,1,MATCH('Cash Flow Roll-up'!J$2,'Phase I Pro Forma'!$F$283:$Z$283,0)),0)</f>
        <v>22955969.313947853</v>
      </c>
      <c r="K21" s="16">
        <f ca="1">+IFERROR(INDEX('Phase I Pro Forma'!$F$379:$Z$379,1,MATCH('Cash Flow Roll-up'!K$2,'Phase I Pro Forma'!$F$283:$Z$283,0)),0)</f>
        <v>-26480351.860884413</v>
      </c>
      <c r="L21" s="16">
        <f ca="1">+IFERROR(INDEX('Phase I Pro Forma'!$F$379:$Z$379,1,MATCH('Cash Flow Roll-up'!L$2,'Phase I Pro Forma'!$F$283:$Z$283,0)),0)</f>
        <v>24226893.99558815</v>
      </c>
      <c r="M21" s="16">
        <f ca="1">+IFERROR(INDEX('Phase I Pro Forma'!$F$379:$Z$379,1,MATCH('Cash Flow Roll-up'!M$2,'Phase I Pro Forma'!$F$283:$Z$283,0)),0)</f>
        <v>24433794.458412305</v>
      </c>
      <c r="N21" s="16">
        <f ca="1">+IFERROR(INDEX('Phase I Pro Forma'!$F$379:$Z$379,1,MATCH('Cash Flow Roll-up'!N$2,'Phase I Pro Forma'!$F$283:$Z$283,0)),0)</f>
        <v>24541646.809713691</v>
      </c>
      <c r="O21" s="16">
        <f ca="1">+IFERROR(INDEX('Phase I Pro Forma'!$F$379:$Z$379,1,MATCH('Cash Flow Roll-up'!O$2,'Phase I Pro Forma'!$F$283:$Z$283,0)),0)</f>
        <v>24615328.485055741</v>
      </c>
      <c r="P21" s="16">
        <f ca="1">+IFERROR(INDEX('Phase I Pro Forma'!$F$379:$Z$379,1,MATCH('Cash Flow Roll-up'!P$2,'Phase I Pro Forma'!$F$283:$Z$283,0)),0)</f>
        <v>482528846.59932083</v>
      </c>
      <c r="Q21" s="16">
        <f ca="1">+IFERROR(INDEX('Phase I Pro Forma'!$F$379:$Z$379,1,MATCH('Cash Flow Roll-up'!Q$2,'Phase I Pro Forma'!$F$283:$Z$283,0)),0)</f>
        <v>0</v>
      </c>
      <c r="R21" s="16">
        <f ca="1">+IFERROR(INDEX('Phase I Pro Forma'!$F$379:$Z$379,1,MATCH('Cash Flow Roll-up'!R$2,'Phase I Pro Forma'!$F$283:$Z$283,0)),0)</f>
        <v>0</v>
      </c>
      <c r="S21" s="16">
        <f ca="1">+IFERROR(INDEX('Phase I Pro Forma'!$F$379:$Z$379,1,MATCH('Cash Flow Roll-up'!S$2,'Phase I Pro Forma'!$F$283:$Z$283,0)),0)</f>
        <v>0</v>
      </c>
      <c r="T21" s="16">
        <f ca="1">+IFERROR(INDEX('Phase I Pro Forma'!$F$379:$Z$379,1,MATCH('Cash Flow Roll-up'!T$2,'Phase I Pro Forma'!$F$283:$Z$283,0)),0)</f>
        <v>0</v>
      </c>
      <c r="U21" s="16">
        <f ca="1">+IFERROR(INDEX('Phase I Pro Forma'!$F$379:$Z$379,1,MATCH('Cash Flow Roll-up'!U$2,'Phase I Pro Forma'!$F$283:$Z$283,0)),0)</f>
        <v>0</v>
      </c>
      <c r="V21" s="16">
        <f ca="1">+IFERROR(INDEX('Phase I Pro Forma'!$F$379:$Z$379,1,MATCH('Cash Flow Roll-up'!V$2,'Phase I Pro Forma'!$F$283:$Z$283,0)),0)</f>
        <v>0</v>
      </c>
      <c r="W21" s="16">
        <f ca="1">+IFERROR(INDEX('Phase I Pro Forma'!$F$379:$Z$379,1,MATCH('Cash Flow Roll-up'!W$2,'Phase I Pro Forma'!$F$283:$Z$283,0)),0)</f>
        <v>0</v>
      </c>
      <c r="X21" s="16">
        <f ca="1">+IFERROR(INDEX('Phase I Pro Forma'!$F$379:$Z$379,1,MATCH('Cash Flow Roll-up'!X$2,'Phase I Pro Forma'!$F$283:$Z$283,0)),0)</f>
        <v>0</v>
      </c>
      <c r="Y21" s="16">
        <f ca="1">+IFERROR(INDEX('Phase I Pro Forma'!$F$379:$Z$379,1,MATCH('Cash Flow Roll-up'!Y$2,'Phase I Pro Forma'!$F$283:$Z$283,0)),0)</f>
        <v>0</v>
      </c>
      <c r="Z21" s="16">
        <f ca="1">+IFERROR(INDEX('Phase I Pro Forma'!$F$379:$Z$379,1,MATCH('Cash Flow Roll-up'!Z$2,'Phase I Pro Forma'!$F$283:$Z$283,0)),0)</f>
        <v>0</v>
      </c>
    </row>
    <row r="22" spans="2:26" ht="15.75">
      <c r="B22" s="15" t="s">
        <v>2</v>
      </c>
      <c r="D22" s="11">
        <f ca="1">+SUM(F22:Z22)</f>
        <v>153608296.92611361</v>
      </c>
      <c r="F22" s="76">
        <f>+IFERROR(INDEX('Phase II Pro Forma'!$F$312:$Z$312,1,MATCH('Cash Flow Roll-up'!F$2,'Phase II Pro Forma'!$F$216:$Z$216,0)),0)</f>
        <v>0</v>
      </c>
      <c r="G22" s="76">
        <f ca="1">+IFERROR(INDEX('Phase II Pro Forma'!$F$312:$Z$312,1,MATCH('Cash Flow Roll-up'!G$2,'Phase II Pro Forma'!$F$216:$Z$216,0)),0)</f>
        <v>-14906001.537875749</v>
      </c>
      <c r="H22" s="76">
        <f ca="1">+IFERROR(INDEX('Phase II Pro Forma'!$F$312:$Z$312,1,MATCH('Cash Flow Roll-up'!H$2,'Phase II Pro Forma'!$F$216:$Z$216,0)),0)</f>
        <v>-72522561.112206042</v>
      </c>
      <c r="I22" s="76">
        <f ca="1">+IFERROR(INDEX('Phase II Pro Forma'!$F$312:$Z$312,1,MATCH('Cash Flow Roll-up'!I$2,'Phase II Pro Forma'!$F$216:$Z$216,0)),0)</f>
        <v>-33654634.449751057</v>
      </c>
      <c r="J22" s="76">
        <f ca="1">+IFERROR(INDEX('Phase II Pro Forma'!$F$312:$Z$312,1,MATCH('Cash Flow Roll-up'!J$2,'Phase II Pro Forma'!$F$216:$Z$216,0)),0)</f>
        <v>5487989.5877165264</v>
      </c>
      <c r="K22" s="76">
        <f ca="1">+IFERROR(INDEX('Phase II Pro Forma'!$F$312:$Z$312,1,MATCH('Cash Flow Roll-up'!K$2,'Phase II Pro Forma'!$F$216:$Z$216,0)),0)</f>
        <v>-15007762.656324551</v>
      </c>
      <c r="L22" s="76">
        <f ca="1">+IFERROR(INDEX('Phase II Pro Forma'!$F$312:$Z$312,1,MATCH('Cash Flow Roll-up'!L$2,'Phase II Pro Forma'!$F$216:$Z$216,0)),0)</f>
        <v>13140744.710737532</v>
      </c>
      <c r="M22" s="76">
        <f ca="1">+IFERROR(INDEX('Phase II Pro Forma'!$F$312:$Z$312,1,MATCH('Cash Flow Roll-up'!M$2,'Phase II Pro Forma'!$F$216:$Z$216,0)),0)</f>
        <v>13855662.392642699</v>
      </c>
      <c r="N22" s="76">
        <f ca="1">+IFERROR(INDEX('Phase II Pro Forma'!$F$312:$Z$312,1,MATCH('Cash Flow Roll-up'!N$2,'Phase II Pro Forma'!$F$216:$Z$216,0)),0)</f>
        <v>14044657.317115201</v>
      </c>
      <c r="O22" s="76">
        <f ca="1">+IFERROR(INDEX('Phase II Pro Forma'!$F$312:$Z$312,1,MATCH('Cash Flow Roll-up'!O$2,'Phase II Pro Forma'!$F$216:$Z$216,0)),0)</f>
        <v>14296736.809682742</v>
      </c>
      <c r="P22" s="76">
        <f ca="1">+IFERROR(INDEX('Phase II Pro Forma'!$F$312:$Z$312,1,MATCH('Cash Flow Roll-up'!P$2,'Phase II Pro Forma'!$F$216:$Z$216,0)),0)</f>
        <v>0</v>
      </c>
      <c r="Q22" s="76">
        <f ca="1">+IFERROR(INDEX('Phase II Pro Forma'!$F$312:$Z$312,1,MATCH('Cash Flow Roll-up'!Q$2,'Phase II Pro Forma'!$F$216:$Z$216,0)),0)</f>
        <v>0</v>
      </c>
      <c r="R22" s="76">
        <f ca="1">+IFERROR(INDEX('Phase II Pro Forma'!$F$312:$Z$312,1,MATCH('Cash Flow Roll-up'!R$2,'Phase II Pro Forma'!$F$216:$Z$216,0)),0)</f>
        <v>0</v>
      </c>
      <c r="S22" s="76">
        <f ca="1">+IFERROR(INDEX('Phase II Pro Forma'!$F$312:$Z$312,1,MATCH('Cash Flow Roll-up'!S$2,'Phase II Pro Forma'!$F$216:$Z$216,0)),0)</f>
        <v>0</v>
      </c>
      <c r="T22" s="76">
        <f ca="1">+IFERROR(INDEX('Phase II Pro Forma'!$F$312:$Z$312,1,MATCH('Cash Flow Roll-up'!T$2,'Phase II Pro Forma'!$F$216:$Z$216,0)),0)</f>
        <v>0</v>
      </c>
      <c r="U22" s="76">
        <f ca="1">+IFERROR(INDEX('Phase II Pro Forma'!$F$312:$Z$312,1,MATCH('Cash Flow Roll-up'!U$2,'Phase II Pro Forma'!$F$216:$Z$216,0)),0)</f>
        <v>0</v>
      </c>
      <c r="V22" s="76">
        <f ca="1">+IFERROR(INDEX('Phase II Pro Forma'!$F$312:$Z$312,1,MATCH('Cash Flow Roll-up'!V$2,'Phase II Pro Forma'!$F$216:$Z$216,0)),0)</f>
        <v>0</v>
      </c>
      <c r="W22" s="76">
        <f ca="1">+IFERROR(INDEX('Phase II Pro Forma'!$F$312:$Z$312,1,MATCH('Cash Flow Roll-up'!W$2,'Phase II Pro Forma'!$F$216:$Z$216,0)),0)</f>
        <v>0</v>
      </c>
      <c r="X22" s="76">
        <f ca="1">+IFERROR(INDEX('Phase II Pro Forma'!$F$312:$Z$312,1,MATCH('Cash Flow Roll-up'!X$2,'Phase II Pro Forma'!$F$216:$Z$216,0)),0)</f>
        <v>0</v>
      </c>
      <c r="Y22" s="76">
        <f ca="1">+IFERROR(INDEX('Phase II Pro Forma'!$F$312:$Z$312,1,MATCH('Cash Flow Roll-up'!Y$2,'Phase II Pro Forma'!$F$216:$Z$216,0)),0)</f>
        <v>0</v>
      </c>
      <c r="Z22" s="76">
        <f ca="1">+IFERROR(INDEX('Phase II Pro Forma'!$F$312:$Z$312,1,MATCH('Cash Flow Roll-up'!Z$2,'Phase II Pro Forma'!$F$216:$Z$216,0)),0)</f>
        <v>0</v>
      </c>
    </row>
    <row r="23" spans="2:26" ht="15.75">
      <c r="B23" s="15" t="s">
        <v>3</v>
      </c>
      <c r="D23" s="11">
        <f ca="1">+SUM(F23:Z23)</f>
        <v>-205458621.05574539</v>
      </c>
      <c r="F23" s="76">
        <f>+IFERROR(INDEX('Phase III Pro Forma'!$F$276:$Z$276,1,MATCH('Cash Flow Roll-up'!F$2,'Phase III Pro Forma'!$F$180:$Z$180,0)),0)</f>
        <v>0</v>
      </c>
      <c r="G23" s="76">
        <f>+IFERROR(INDEX('Phase III Pro Forma'!$F$276:$Z$276,1,MATCH('Cash Flow Roll-up'!G$2,'Phase III Pro Forma'!$F$180:$Z$180,0)),0)</f>
        <v>0</v>
      </c>
      <c r="H23" s="76">
        <f>+IFERROR(INDEX('Phase III Pro Forma'!$F$276:$Z$276,1,MATCH('Cash Flow Roll-up'!H$2,'Phase III Pro Forma'!$F$180:$Z$180,0)),0)</f>
        <v>0</v>
      </c>
      <c r="I23" s="76">
        <f ca="1">+IFERROR(INDEX('Phase III Pro Forma'!$F$276:$Z$276,1,MATCH('Cash Flow Roll-up'!I$2,'Phase III Pro Forma'!$F$180:$Z$180,0)),0)</f>
        <v>-41214311.850000001</v>
      </c>
      <c r="J23" s="76">
        <f ca="1">+IFERROR(INDEX('Phase III Pro Forma'!$F$276:$Z$276,1,MATCH('Cash Flow Roll-up'!J$2,'Phase III Pro Forma'!$F$180:$Z$180,0)),0)</f>
        <v>0</v>
      </c>
      <c r="K23" s="76">
        <f ca="1">+IFERROR(INDEX('Phase III Pro Forma'!$F$276:$Z$276,1,MATCH('Cash Flow Roll-up'!K$2,'Phase III Pro Forma'!$F$180:$Z$180,0)),0)</f>
        <v>-9312347.6775000002</v>
      </c>
      <c r="L23" s="76">
        <f ca="1">+IFERROR(INDEX('Phase III Pro Forma'!$F$276:$Z$276,1,MATCH('Cash Flow Roll-up'!L$2,'Phase III Pro Forma'!$F$180:$Z$180,0)),0)</f>
        <v>5303494.0498978794</v>
      </c>
      <c r="M23" s="76">
        <f ca="1">+IFERROR(INDEX('Phase III Pro Forma'!$F$276:$Z$276,1,MATCH('Cash Flow Roll-up'!M$2,'Phase III Pro Forma'!$F$180:$Z$180,0)),0)</f>
        <v>21798955.522720709</v>
      </c>
      <c r="N23" s="76">
        <f ca="1">+IFERROR(INDEX('Phase III Pro Forma'!$F$276:$Z$276,1,MATCH('Cash Flow Roll-up'!N$2,'Phase III Pro Forma'!$F$180:$Z$180,0)),0)</f>
        <v>0</v>
      </c>
      <c r="O23" s="76">
        <f ca="1">+IFERROR(INDEX('Phase III Pro Forma'!$F$276:$Z$276,1,MATCH('Cash Flow Roll-up'!O$2,'Phase III Pro Forma'!$F$180:$Z$180,0)),0)</f>
        <v>0</v>
      </c>
      <c r="P23" s="76">
        <f ca="1">+IFERROR(INDEX('Phase III Pro Forma'!$F$276:$Z$276,1,MATCH('Cash Flow Roll-up'!P$2,'Phase III Pro Forma'!$F$180:$Z$180,0)),0)</f>
        <v>0</v>
      </c>
      <c r="Q23" s="76">
        <f ca="1">+IFERROR(INDEX('Phase III Pro Forma'!$F$276:$Z$276,1,MATCH('Cash Flow Roll-up'!Q$2,'Phase III Pro Forma'!$F$180:$Z$180,0)),0)</f>
        <v>0</v>
      </c>
      <c r="R23" s="76">
        <f ca="1">+IFERROR(INDEX('Phase III Pro Forma'!$F$276:$Z$276,1,MATCH('Cash Flow Roll-up'!R$2,'Phase III Pro Forma'!$F$180:$Z$180,0)),0)</f>
        <v>0</v>
      </c>
      <c r="S23" s="76">
        <f ca="1">+IFERROR(INDEX('Phase III Pro Forma'!$F$276:$Z$276,1,MATCH('Cash Flow Roll-up'!S$2,'Phase III Pro Forma'!$F$180:$Z$180,0)),0)</f>
        <v>0</v>
      </c>
      <c r="T23" s="76">
        <f ca="1">+IFERROR(INDEX('Phase III Pro Forma'!$F$276:$Z$276,1,MATCH('Cash Flow Roll-up'!T$2,'Phase III Pro Forma'!$F$180:$Z$180,0)),0)</f>
        <v>0</v>
      </c>
      <c r="U23" s="76">
        <f ca="1">+IFERROR(INDEX('Phase III Pro Forma'!$F$276:$Z$276,1,MATCH('Cash Flow Roll-up'!U$2,'Phase III Pro Forma'!$F$180:$Z$180,0)),0)</f>
        <v>0</v>
      </c>
      <c r="V23" s="76">
        <f ca="1">+IFERROR(INDEX('Phase III Pro Forma'!$F$276:$Z$276,1,MATCH('Cash Flow Roll-up'!V$2,'Phase III Pro Forma'!$F$180:$Z$180,0)),0)</f>
        <v>0</v>
      </c>
      <c r="W23" s="76">
        <f ca="1">+IFERROR(INDEX('Phase III Pro Forma'!$F$276:$Z$276,1,MATCH('Cash Flow Roll-up'!W$2,'Phase III Pro Forma'!$F$180:$Z$180,0)),0)</f>
        <v>0</v>
      </c>
      <c r="X23" s="76">
        <f ca="1">+IFERROR(INDEX('Phase III Pro Forma'!$F$276:$Z$276,1,MATCH('Cash Flow Roll-up'!X$2,'Phase III Pro Forma'!$F$180:$Z$180,0)),0)</f>
        <v>0</v>
      </c>
      <c r="Y23" s="76">
        <f ca="1">+IFERROR(INDEX('Phase III Pro Forma'!$F$276:$Z$276,1,MATCH('Cash Flow Roll-up'!Y$2,'Phase III Pro Forma'!$F$180:$Z$180,0)),0)</f>
        <v>0</v>
      </c>
      <c r="Z23" s="76">
        <f ca="1">+IFERROR(INDEX('Phase III Pro Forma'!$F$276:$Z$276,1,MATCH('Cash Flow Roll-up'!Z$2,'Phase III Pro Forma'!$F$180:$Z$180,0)),0)</f>
        <v>0</v>
      </c>
    </row>
    <row r="24" spans="2:26">
      <c r="B24" s="549" t="s">
        <v>711</v>
      </c>
      <c r="C24" s="549"/>
      <c r="D24" s="549"/>
      <c r="E24" s="549"/>
      <c r="F24" s="551">
        <f t="shared" ref="F24:Z24" ca="1" si="4">+SUM(F21:F23)</f>
        <v>-40681674.722024679</v>
      </c>
      <c r="G24" s="551">
        <f t="shared" ca="1" si="4"/>
        <v>-139040463.22428098</v>
      </c>
      <c r="H24" s="551">
        <f t="shared" ca="1" si="4"/>
        <v>-67956828.70333904</v>
      </c>
      <c r="I24" s="551">
        <f t="shared" ca="1" si="4"/>
        <v>-72522561.112206042</v>
      </c>
      <c r="J24" s="551">
        <f t="shared" ca="1" si="4"/>
        <v>-13298048.439298343</v>
      </c>
      <c r="K24" s="551">
        <f t="shared" ca="1" si="4"/>
        <v>-89840286.712928027</v>
      </c>
      <c r="L24" s="551">
        <f t="shared" ca="1" si="4"/>
        <v>-1643025.2520507518</v>
      </c>
      <c r="M24" s="551">
        <f t="shared" ca="1" si="4"/>
        <v>59373494.691870548</v>
      </c>
      <c r="N24" s="551">
        <f t="shared" ca="1" si="4"/>
        <v>60588126.196084224</v>
      </c>
      <c r="O24" s="551">
        <f t="shared" ca="1" si="4"/>
        <v>61360720.275272086</v>
      </c>
      <c r="P24" s="551">
        <f t="shared" ca="1" si="4"/>
        <v>483291620.52335942</v>
      </c>
      <c r="Q24" s="551">
        <f t="shared" ca="1" si="4"/>
        <v>0</v>
      </c>
      <c r="R24" s="551">
        <f t="shared" ca="1" si="4"/>
        <v>0</v>
      </c>
      <c r="S24" s="551">
        <f t="shared" ca="1" si="4"/>
        <v>0</v>
      </c>
      <c r="T24" s="551">
        <f t="shared" ca="1" si="4"/>
        <v>0</v>
      </c>
      <c r="U24" s="551">
        <f t="shared" ca="1" si="4"/>
        <v>0</v>
      </c>
      <c r="V24" s="551">
        <f t="shared" ca="1" si="4"/>
        <v>0</v>
      </c>
      <c r="W24" s="551">
        <f t="shared" ca="1" si="4"/>
        <v>0</v>
      </c>
      <c r="X24" s="551">
        <f t="shared" ca="1" si="4"/>
        <v>0</v>
      </c>
      <c r="Y24" s="551">
        <f t="shared" ca="1" si="4"/>
        <v>0</v>
      </c>
      <c r="Z24" s="551">
        <f t="shared" ca="1" si="4"/>
        <v>0</v>
      </c>
    </row>
    <row r="26" spans="2:26" ht="15.75">
      <c r="B26" s="706" t="s">
        <v>712</v>
      </c>
      <c r="C26" s="706"/>
      <c r="D26" s="707">
        <f ca="1">+IRR(F24:Z24)</f>
        <v>6.4544643889943298E-2</v>
      </c>
    </row>
    <row r="27" spans="2:26" ht="15.75">
      <c r="B27" s="708" t="s">
        <v>713</v>
      </c>
      <c r="C27" s="536"/>
      <c r="D27" s="712">
        <f ca="1">+D26/(1-Assumptions!$M$192)</f>
        <v>0.16485008460905259</v>
      </c>
    </row>
    <row r="29" spans="2:26" ht="15.75">
      <c r="B29" s="73" t="s">
        <v>714</v>
      </c>
    </row>
    <row r="30" spans="2:26" ht="15.75">
      <c r="B30" s="15" t="s">
        <v>1</v>
      </c>
      <c r="D30" s="26">
        <f ca="1">+SUM(F30:Z30)</f>
        <v>226541477.03383231</v>
      </c>
      <c r="F30" s="16">
        <f ca="1">+IFERROR(INDEX('Phase I Pro Forma'!$F$419:$Z$419,1,MATCH('Cash Flow Roll-up'!F$2,'Phase I Pro Forma'!$F$283:$Z$283,0)),0)</f>
        <v>-40681674.722024679</v>
      </c>
      <c r="G30" s="16">
        <f ca="1">+IFERROR(INDEX('Phase I Pro Forma'!$F$419:$Z$419,1,MATCH('Cash Flow Roll-up'!G$2,'Phase I Pro Forma'!$F$283:$Z$283,0)),0)</f>
        <v>-10003944.708597735</v>
      </c>
      <c r="H30" s="16">
        <f ca="1">+IFERROR(INDEX('Phase I Pro Forma'!$F$419:$Z$419,1,MATCH('Cash Flow Roll-up'!H$2,'Phase I Pro Forma'!$F$283:$Z$283,0)),0)</f>
        <v>0</v>
      </c>
      <c r="I30" s="16">
        <f ca="1">+IFERROR(INDEX('Phase I Pro Forma'!$F$419:$Z$419,1,MATCH('Cash Flow Roll-up'!I$2,'Phase I Pro Forma'!$F$283:$Z$283,0)),0)</f>
        <v>26221192.771319404</v>
      </c>
      <c r="J30" s="16">
        <f ca="1">+IFERROR(INDEX('Phase I Pro Forma'!$F$419:$Z$419,1,MATCH('Cash Flow Roll-up'!J$2,'Phase I Pro Forma'!$F$283:$Z$283,0)),0)</f>
        <v>6760661.0902149808</v>
      </c>
      <c r="K30" s="16">
        <f ca="1">+IFERROR(INDEX('Phase I Pro Forma'!$F$419:$Z$419,1,MATCH('Cash Flow Roll-up'!K$2,'Phase I Pro Forma'!$F$283:$Z$283,0)),0)</f>
        <v>6511650.2030417984</v>
      </c>
      <c r="L30" s="16">
        <f ca="1">+IFERROR(INDEX('Phase I Pro Forma'!$F$419:$Z$419,1,MATCH('Cash Flow Roll-up'!L$2,'Phase I Pro Forma'!$F$283:$Z$283,0)),0)</f>
        <v>7880829.0934580928</v>
      </c>
      <c r="M30" s="16">
        <f ca="1">+IFERROR(INDEX('Phase I Pro Forma'!$F$419:$Z$419,1,MATCH('Cash Flow Roll-up'!M$2,'Phase I Pro Forma'!$F$283:$Z$283,0)),0)</f>
        <v>8098150.6208500275</v>
      </c>
      <c r="N30" s="16">
        <f ca="1">+IFERROR(INDEX('Phase I Pro Forma'!$F$419:$Z$419,1,MATCH('Cash Flow Roll-up'!N$2,'Phase I Pro Forma'!$F$283:$Z$283,0)),0)</f>
        <v>8405995.2286951449</v>
      </c>
      <c r="O30" s="16">
        <f ca="1">+IFERROR(INDEX('Phase I Pro Forma'!$F$419:$Z$419,1,MATCH('Cash Flow Roll-up'!O$2,'Phase I Pro Forma'!$F$283:$Z$283,0)),0)</f>
        <v>8720024.779054299</v>
      </c>
      <c r="P30" s="16">
        <f ca="1">+IFERROR(INDEX('Phase I Pro Forma'!$F$419:$Z$419,1,MATCH('Cash Flow Roll-up'!P$2,'Phase I Pro Forma'!$F$283:$Z$283,0)),0)</f>
        <v>216782680.42395902</v>
      </c>
      <c r="Q30" s="16">
        <f ca="1">+IFERROR(INDEX('Phase I Pro Forma'!$F$419:$Z$419,1,MATCH('Cash Flow Roll-up'!Q$2,'Phase I Pro Forma'!$F$283:$Z$283,0)),0)</f>
        <v>0</v>
      </c>
      <c r="R30" s="16">
        <f ca="1">+IFERROR(INDEX('Phase I Pro Forma'!$F$419:$Z$419,1,MATCH('Cash Flow Roll-up'!R$2,'Phase I Pro Forma'!$F$283:$Z$283,0)),0)</f>
        <v>0</v>
      </c>
      <c r="S30" s="16">
        <f ca="1">+IFERROR(INDEX('Phase I Pro Forma'!$F$419:$Z$419,1,MATCH('Cash Flow Roll-up'!S$2,'Phase I Pro Forma'!$F$283:$Z$283,0)),0)</f>
        <v>0</v>
      </c>
      <c r="T30" s="16">
        <f ca="1">+IFERROR(INDEX('Phase I Pro Forma'!$F$419:$Z$419,1,MATCH('Cash Flow Roll-up'!T$2,'Phase I Pro Forma'!$F$283:$Z$283,0)),0)</f>
        <v>0</v>
      </c>
      <c r="U30" s="16">
        <f ca="1">+IFERROR(INDEX('Phase I Pro Forma'!$F$419:$Z$419,1,MATCH('Cash Flow Roll-up'!U$2,'Phase I Pro Forma'!$F$283:$Z$283,0)),0)</f>
        <v>0</v>
      </c>
      <c r="V30" s="16">
        <f ca="1">+IFERROR(INDEX('Phase I Pro Forma'!$F$419:$Z$419,1,MATCH('Cash Flow Roll-up'!V$2,'Phase I Pro Forma'!$F$283:$Z$283,0)),0)</f>
        <v>0</v>
      </c>
      <c r="W30" s="16">
        <f ca="1">+IFERROR(INDEX('Phase I Pro Forma'!$F$419:$Z$419,1,MATCH('Cash Flow Roll-up'!W$2,'Phase I Pro Forma'!$F$283:$Z$283,0)),0)</f>
        <v>0</v>
      </c>
      <c r="X30" s="16">
        <f ca="1">+IFERROR(INDEX('Phase I Pro Forma'!$F$419:$Z$419,1,MATCH('Cash Flow Roll-up'!X$2,'Phase I Pro Forma'!$F$283:$Z$283,0)),0)</f>
        <v>0</v>
      </c>
      <c r="Y30" s="16">
        <f ca="1">+IFERROR(INDEX('Phase I Pro Forma'!$F$419:$Z$419,1,MATCH('Cash Flow Roll-up'!Y$2,'Phase I Pro Forma'!$F$283:$Z$283,0)),0)</f>
        <v>0</v>
      </c>
      <c r="Z30" s="16">
        <f ca="1">+IFERROR(INDEX('Phase I Pro Forma'!$F$419:$Z$419,1,MATCH('Cash Flow Roll-up'!Z$2,'Phase I Pro Forma'!$F$283:$Z$283,0)),0)</f>
        <v>0</v>
      </c>
    </row>
    <row r="31" spans="2:26" ht="15.75">
      <c r="B31" s="15" t="s">
        <v>2</v>
      </c>
      <c r="D31" s="11">
        <f ca="1">+SUM(F31:Z31)</f>
        <v>301023.02295380831</v>
      </c>
      <c r="F31" s="76">
        <f>+IFERROR(INDEX('Phase II Pro Forma'!$F$352:$Z$352,1,MATCH('Cash Flow Roll-up'!F$2,'Phase II Pro Forma'!$F$216:$Z$216,0)),0)</f>
        <v>0</v>
      </c>
      <c r="G31" s="76">
        <f ca="1">+IFERROR(INDEX('Phase II Pro Forma'!$F$352:$Z$352,1,MATCH('Cash Flow Roll-up'!G$2,'Phase II Pro Forma'!$F$216:$Z$216,0)),0)</f>
        <v>-14906001.537875749</v>
      </c>
      <c r="H31" s="76">
        <f ca="1">+IFERROR(INDEX('Phase II Pro Forma'!$F$352:$Z$352,1,MATCH('Cash Flow Roll-up'!H$2,'Phase II Pro Forma'!$F$216:$Z$216,0)),0)</f>
        <v>-13755255.637228414</v>
      </c>
      <c r="I31" s="76">
        <f ca="1">+IFERROR(INDEX('Phase II Pro Forma'!$F$352:$Z$352,1,MATCH('Cash Flow Roll-up'!I$2,'Phase II Pro Forma'!$F$216:$Z$216,0)),0)</f>
        <v>0</v>
      </c>
      <c r="J31" s="76">
        <f ca="1">+IFERROR(INDEX('Phase II Pro Forma'!$F$352:$Z$352,1,MATCH('Cash Flow Roll-up'!J$2,'Phase II Pro Forma'!$F$216:$Z$216,0)),0)</f>
        <v>24162726.216075726</v>
      </c>
      <c r="K31" s="76">
        <f ca="1">+IFERROR(INDEX('Phase II Pro Forma'!$F$352:$Z$352,1,MATCH('Cash Flow Roll-up'!K$2,'Phase II Pro Forma'!$F$216:$Z$216,0)),0)</f>
        <v>0</v>
      </c>
      <c r="L31" s="76">
        <f ca="1">+IFERROR(INDEX('Phase II Pro Forma'!$F$352:$Z$352,1,MATCH('Cash Flow Roll-up'!L$2,'Phase II Pro Forma'!$F$216:$Z$216,0)),0)</f>
        <v>29198081.409384303</v>
      </c>
      <c r="M31" s="76">
        <f ca="1">+IFERROR(INDEX('Phase II Pro Forma'!$F$352:$Z$352,1,MATCH('Cash Flow Roll-up'!M$2,'Phase II Pro Forma'!$F$216:$Z$216,0)),0)</f>
        <v>4469509.8284838032</v>
      </c>
      <c r="N31" s="76">
        <f ca="1">+IFERROR(INDEX('Phase II Pro Forma'!$F$352:$Z$352,1,MATCH('Cash Flow Roll-up'!N$2,'Phase II Pro Forma'!$F$216:$Z$216,0)),0)</f>
        <v>35396547.519318283</v>
      </c>
      <c r="O31" s="76">
        <f ca="1">+IFERROR(INDEX('Phase II Pro Forma'!$F$352:$Z$352,1,MATCH('Cash Flow Roll-up'!O$2,'Phase II Pro Forma'!$F$216:$Z$216,0)),0)</f>
        <v>38700485.749573819</v>
      </c>
      <c r="P31" s="76">
        <f ca="1">+IFERROR(INDEX('Phase II Pro Forma'!$F$352:$Z$352,1,MATCH('Cash Flow Roll-up'!P$2,'Phase II Pro Forma'!$F$216:$Z$216,0)),0)</f>
        <v>0</v>
      </c>
      <c r="Q31" s="76">
        <f ca="1">+IFERROR(INDEX('Phase II Pro Forma'!$F$352:$Z$352,1,MATCH('Cash Flow Roll-up'!Q$2,'Phase II Pro Forma'!$F$216:$Z$216,0)),0)</f>
        <v>0</v>
      </c>
      <c r="R31" s="76">
        <f ca="1">+IFERROR(INDEX('Phase II Pro Forma'!$F$352:$Z$352,1,MATCH('Cash Flow Roll-up'!R$2,'Phase II Pro Forma'!$F$216:$Z$216,0)),0)</f>
        <v>0</v>
      </c>
      <c r="S31" s="76">
        <f ca="1">+IFERROR(INDEX('Phase II Pro Forma'!$F$352:$Z$352,1,MATCH('Cash Flow Roll-up'!S$2,'Phase II Pro Forma'!$F$216:$Z$216,0)),0)</f>
        <v>0</v>
      </c>
      <c r="T31" s="76">
        <f ca="1">+IFERROR(INDEX('Phase II Pro Forma'!$F$352:$Z$352,1,MATCH('Cash Flow Roll-up'!T$2,'Phase II Pro Forma'!$F$216:$Z$216,0)),0)</f>
        <v>0</v>
      </c>
      <c r="U31" s="76">
        <f ca="1">+IFERROR(INDEX('Phase II Pro Forma'!$F$352:$Z$352,1,MATCH('Cash Flow Roll-up'!U$2,'Phase II Pro Forma'!$F$216:$Z$216,0)),0)</f>
        <v>0</v>
      </c>
      <c r="V31" s="76">
        <f ca="1">+IFERROR(INDEX('Phase II Pro Forma'!$F$352:$Z$352,1,MATCH('Cash Flow Roll-up'!V$2,'Phase II Pro Forma'!$F$216:$Z$216,0)),0)</f>
        <v>0</v>
      </c>
      <c r="W31" s="76">
        <f ca="1">+IFERROR(INDEX('Phase II Pro Forma'!$F$352:$Z$352,1,MATCH('Cash Flow Roll-up'!W$2,'Phase II Pro Forma'!$F$216:$Z$216,0)),0)</f>
        <v>0</v>
      </c>
      <c r="X31" s="76">
        <f ca="1">+IFERROR(INDEX('Phase II Pro Forma'!$F$352:$Z$352,1,MATCH('Cash Flow Roll-up'!X$2,'Phase II Pro Forma'!$F$216:$Z$216,0)),0)</f>
        <v>0</v>
      </c>
      <c r="Y31" s="76">
        <f ca="1">+IFERROR(INDEX('Phase II Pro Forma'!$F$352:$Z$352,1,MATCH('Cash Flow Roll-up'!Y$2,'Phase II Pro Forma'!$F$216:$Z$216,0)),0)</f>
        <v>0</v>
      </c>
      <c r="Z31" s="76">
        <f ca="1">+IFERROR(INDEX('Phase II Pro Forma'!$F$352:$Z$352,1,MATCH('Cash Flow Roll-up'!Z$2,'Phase II Pro Forma'!$F$216:$Z$216,0)),0)</f>
        <v>2.9802322387695313E-8</v>
      </c>
    </row>
    <row r="32" spans="2:26" ht="15.75">
      <c r="B32" s="15" t="s">
        <v>3</v>
      </c>
      <c r="D32" s="11">
        <f ca="1">+SUM(F32:Z32)</f>
        <v>-2935948.4180814344</v>
      </c>
      <c r="F32" s="76">
        <f>+IFERROR(INDEX('Phase III Pro Forma'!$F$316:$Z$316,1,MATCH('Cash Flow Roll-up'!F$2,'Phase III Pro Forma'!$F$180:$Z$180,0)),0)</f>
        <v>0</v>
      </c>
      <c r="G32" s="76">
        <f>+IFERROR(INDEX('Phase III Pro Forma'!$F$316:$Z$316,1,MATCH('Cash Flow Roll-up'!G$2,'Phase III Pro Forma'!$F$180:$Z$180,0)),0)</f>
        <v>0</v>
      </c>
      <c r="H32" s="76">
        <f>+IFERROR(INDEX('Phase III Pro Forma'!$F$316:$Z$316,1,MATCH('Cash Flow Roll-up'!H$2,'Phase III Pro Forma'!$F$180:$Z$180,0)),0)</f>
        <v>0</v>
      </c>
      <c r="I32" s="76">
        <f ca="1">+IFERROR(INDEX('Phase III Pro Forma'!$F$316:$Z$316,1,MATCH('Cash Flow Roll-up'!I$2,'Phase III Pro Forma'!$F$180:$Z$180,0)),0)</f>
        <v>-60815543</v>
      </c>
      <c r="J32" s="76">
        <f ca="1">+IFERROR(INDEX('Phase III Pro Forma'!$F$316:$Z$316,1,MATCH('Cash Flow Roll-up'!J$2,'Phase III Pro Forma'!$F$180:$Z$180,0)),0)</f>
        <v>0</v>
      </c>
      <c r="K32" s="76">
        <f ca="1">+IFERROR(INDEX('Phase III Pro Forma'!$F$316:$Z$316,1,MATCH('Cash Flow Roll-up'!K$2,'Phase III Pro Forma'!$F$180:$Z$180,0)),0)</f>
        <v>-13741233.449999999</v>
      </c>
      <c r="L32" s="76">
        <f ca="1">+IFERROR(INDEX('Phase III Pro Forma'!$F$316:$Z$316,1,MATCH('Cash Flow Roll-up'!L$2,'Phase III Pro Forma'!$F$180:$Z$180,0)),0)</f>
        <v>61021244.841937102</v>
      </c>
      <c r="M32" s="76">
        <f ca="1">+IFERROR(INDEX('Phase III Pro Forma'!$F$316:$Z$316,1,MATCH('Cash Flow Roll-up'!M$2,'Phase III Pro Forma'!$F$180:$Z$180,0)),0)</f>
        <v>4818508.5738076959</v>
      </c>
      <c r="N32" s="76">
        <f ca="1">+IFERROR(INDEX('Phase III Pro Forma'!$F$316:$Z$316,1,MATCH('Cash Flow Roll-up'!N$2,'Phase III Pro Forma'!$F$180:$Z$180,0)),0)</f>
        <v>0</v>
      </c>
      <c r="O32" s="76">
        <f ca="1">+IFERROR(INDEX('Phase III Pro Forma'!$F$316:$Z$316,1,MATCH('Cash Flow Roll-up'!O$2,'Phase III Pro Forma'!$F$180:$Z$180,0)),0)</f>
        <v>6639178.3021005522</v>
      </c>
      <c r="P32" s="76">
        <f ca="1">+IFERROR(INDEX('Phase III Pro Forma'!$F$316:$Z$316,1,MATCH('Cash Flow Roll-up'!P$2,'Phase III Pro Forma'!$F$180:$Z$180,0)),0)</f>
        <v>0</v>
      </c>
      <c r="Q32" s="76">
        <f ca="1">+IFERROR(INDEX('Phase III Pro Forma'!$F$316:$Z$316,1,MATCH('Cash Flow Roll-up'!Q$2,'Phase III Pro Forma'!$F$180:$Z$180,0)),0)</f>
        <v>0</v>
      </c>
      <c r="R32" s="76">
        <f ca="1">+IFERROR(INDEX('Phase III Pro Forma'!$F$316:$Z$316,1,MATCH('Cash Flow Roll-up'!R$2,'Phase III Pro Forma'!$F$180:$Z$180,0)),0)</f>
        <v>0</v>
      </c>
      <c r="S32" s="76">
        <f ca="1">+IFERROR(INDEX('Phase III Pro Forma'!$F$316:$Z$316,1,MATCH('Cash Flow Roll-up'!S$2,'Phase III Pro Forma'!$F$180:$Z$180,0)),0)</f>
        <v>0</v>
      </c>
      <c r="T32" s="76">
        <f ca="1">+IFERROR(INDEX('Phase III Pro Forma'!$F$316:$Z$316,1,MATCH('Cash Flow Roll-up'!T$2,'Phase III Pro Forma'!$F$180:$Z$180,0)),0)</f>
        <v>0</v>
      </c>
      <c r="U32" s="76">
        <f ca="1">+IFERROR(INDEX('Phase III Pro Forma'!$F$316:$Z$316,1,MATCH('Cash Flow Roll-up'!U$2,'Phase III Pro Forma'!$F$180:$Z$180,0)),0)</f>
        <v>0</v>
      </c>
      <c r="V32" s="76">
        <f ca="1">+IFERROR(INDEX('Phase III Pro Forma'!$F$316:$Z$316,1,MATCH('Cash Flow Roll-up'!V$2,'Phase III Pro Forma'!$F$180:$Z$180,0)),0)</f>
        <v>0</v>
      </c>
      <c r="W32" s="76">
        <f ca="1">+IFERROR(INDEX('Phase III Pro Forma'!$F$316:$Z$316,1,MATCH('Cash Flow Roll-up'!W$2,'Phase III Pro Forma'!$F$180:$Z$180,0)),0)</f>
        <v>0</v>
      </c>
      <c r="X32" s="76">
        <f ca="1">+IFERROR(INDEX('Phase III Pro Forma'!$F$316:$Z$316,1,MATCH('Cash Flow Roll-up'!X$2,'Phase III Pro Forma'!$F$180:$Z$180,0)),0)</f>
        <v>0</v>
      </c>
      <c r="Y32" s="76">
        <f ca="1">+IFERROR(INDEX('Phase III Pro Forma'!$F$316:$Z$316,1,MATCH('Cash Flow Roll-up'!Y$2,'Phase III Pro Forma'!$F$180:$Z$180,0)),0)</f>
        <v>0</v>
      </c>
      <c r="Z32" s="76">
        <f ca="1">+IFERROR(INDEX('Phase III Pro Forma'!$F$316:$Z$316,1,MATCH('Cash Flow Roll-up'!Z$2,'Phase III Pro Forma'!$F$180:$Z$180,0)),0)</f>
        <v>0</v>
      </c>
    </row>
    <row r="33" spans="2:26">
      <c r="B33" s="549" t="s">
        <v>711</v>
      </c>
      <c r="C33" s="549"/>
      <c r="D33" s="549"/>
      <c r="E33" s="549"/>
      <c r="F33" s="551">
        <f t="shared" ref="F33:Z33" ca="1" si="5">+SUM(F30:F32)</f>
        <v>-40681674.722024679</v>
      </c>
      <c r="G33" s="551">
        <f t="shared" ca="1" si="5"/>
        <v>-24909946.246473484</v>
      </c>
      <c r="H33" s="551">
        <f t="shared" ca="1" si="5"/>
        <v>-13755255.637228414</v>
      </c>
      <c r="I33" s="551">
        <f t="shared" ca="1" si="5"/>
        <v>0</v>
      </c>
      <c r="J33" s="551">
        <f t="shared" ca="1" si="5"/>
        <v>-13542274.544887099</v>
      </c>
      <c r="K33" s="551">
        <f t="shared" ca="1" si="5"/>
        <v>6471186.0604121536</v>
      </c>
      <c r="L33" s="551">
        <f t="shared" ca="1" si="5"/>
        <v>-21143620.111104801</v>
      </c>
      <c r="M33" s="551">
        <f t="shared" ca="1" si="5"/>
        <v>50313152.741514355</v>
      </c>
      <c r="N33" s="551">
        <f t="shared" ca="1" si="5"/>
        <v>17694013.630986638</v>
      </c>
      <c r="O33" s="551">
        <f t="shared" ca="1" si="5"/>
        <v>18357682.744354233</v>
      </c>
      <c r="P33" s="551">
        <f t="shared" ca="1" si="5"/>
        <v>216782680.42395902</v>
      </c>
      <c r="Q33" s="551">
        <f t="shared" ca="1" si="5"/>
        <v>0</v>
      </c>
      <c r="R33" s="551">
        <f t="shared" ca="1" si="5"/>
        <v>0</v>
      </c>
      <c r="S33" s="551">
        <f t="shared" ca="1" si="5"/>
        <v>0</v>
      </c>
      <c r="T33" s="551">
        <f t="shared" ca="1" si="5"/>
        <v>0</v>
      </c>
      <c r="U33" s="551">
        <f t="shared" ca="1" si="5"/>
        <v>0</v>
      </c>
      <c r="V33" s="551">
        <f t="shared" ca="1" si="5"/>
        <v>0</v>
      </c>
      <c r="W33" s="551">
        <f t="shared" ca="1" si="5"/>
        <v>0</v>
      </c>
      <c r="X33" s="551">
        <f t="shared" ca="1" si="5"/>
        <v>0</v>
      </c>
      <c r="Y33" s="551">
        <f t="shared" ca="1" si="5"/>
        <v>0</v>
      </c>
      <c r="Z33" s="551">
        <f t="shared" ca="1" si="5"/>
        <v>2.9802322387695313E-8</v>
      </c>
    </row>
    <row r="35" spans="2:26" ht="15.75">
      <c r="B35" s="706" t="s">
        <v>712</v>
      </c>
      <c r="C35" s="706"/>
      <c r="D35" s="707">
        <f ca="1">+IRR(F33:Z33)</f>
        <v>0.12306565573444672</v>
      </c>
    </row>
    <row r="36" spans="2:26" ht="15.75">
      <c r="B36" s="708" t="s">
        <v>713</v>
      </c>
      <c r="C36" s="536"/>
      <c r="D36" s="712">
        <f ca="1">+D35/(1-Assumptions!$M$192)</f>
        <v>0.30439856080056854</v>
      </c>
    </row>
    <row r="38" spans="2:26" ht="15.75">
      <c r="B38" s="73" t="s">
        <v>715</v>
      </c>
    </row>
    <row r="39" spans="2:26">
      <c r="B39" s="247" t="s">
        <v>716</v>
      </c>
      <c r="C39" s="247"/>
      <c r="D39" s="247"/>
      <c r="E39" s="247"/>
      <c r="F39" s="248">
        <f ca="1">+IF(F3&lt;0,F3,0)</f>
        <v>-51495790.787373006</v>
      </c>
      <c r="G39" s="248">
        <f t="shared" ref="G39:Z39" ca="1" si="6">+IF(G3&lt;0,G3,0)</f>
        <v>-12663221.150123715</v>
      </c>
      <c r="H39" s="248">
        <f t="shared" ca="1" si="6"/>
        <v>0</v>
      </c>
      <c r="I39" s="248">
        <f t="shared" ca="1" si="6"/>
        <v>0</v>
      </c>
      <c r="J39" s="248">
        <f t="shared" ca="1" si="6"/>
        <v>0</v>
      </c>
      <c r="K39" s="248">
        <f t="shared" ca="1" si="6"/>
        <v>0</v>
      </c>
      <c r="L39" s="248">
        <f t="shared" ca="1" si="6"/>
        <v>0</v>
      </c>
      <c r="M39" s="248">
        <f t="shared" ca="1" si="6"/>
        <v>0</v>
      </c>
      <c r="N39" s="248">
        <f t="shared" ca="1" si="6"/>
        <v>0</v>
      </c>
      <c r="O39" s="248">
        <f t="shared" ca="1" si="6"/>
        <v>0</v>
      </c>
      <c r="P39" s="248">
        <f t="shared" ca="1" si="6"/>
        <v>0</v>
      </c>
      <c r="Q39" s="248">
        <f t="shared" ca="1" si="6"/>
        <v>0</v>
      </c>
      <c r="R39" s="248">
        <f t="shared" ca="1" si="6"/>
        <v>0</v>
      </c>
      <c r="S39" s="248">
        <f t="shared" ca="1" si="6"/>
        <v>0</v>
      </c>
      <c r="T39" s="248">
        <f t="shared" ca="1" si="6"/>
        <v>0</v>
      </c>
      <c r="U39" s="248">
        <f t="shared" ca="1" si="6"/>
        <v>0</v>
      </c>
      <c r="V39" s="248">
        <f t="shared" ca="1" si="6"/>
        <v>0</v>
      </c>
      <c r="W39" s="248">
        <f t="shared" ca="1" si="6"/>
        <v>0</v>
      </c>
      <c r="X39" s="248">
        <f t="shared" ca="1" si="6"/>
        <v>0</v>
      </c>
      <c r="Y39" s="248">
        <f t="shared" ca="1" si="6"/>
        <v>0</v>
      </c>
      <c r="Z39" s="248">
        <f t="shared" ca="1" si="6"/>
        <v>0</v>
      </c>
    </row>
    <row r="40" spans="2:26">
      <c r="B40" s="245" t="s">
        <v>717</v>
      </c>
      <c r="C40" s="245"/>
      <c r="D40" s="245"/>
      <c r="E40" s="245"/>
      <c r="F40" s="246">
        <f ca="1">+IF(F3&gt;0,MIN(F3,-SUM($F$39:$Z$39)-SUM($E40:E$40)),0)</f>
        <v>0</v>
      </c>
      <c r="G40" s="246">
        <f ca="1">+IF(G3&gt;0,MIN(G3,-SUM($F$39:$Z$39)-SUM($E40:F$40)),0)</f>
        <v>0</v>
      </c>
      <c r="H40" s="246">
        <f ca="1">+IF(H3&gt;0,MIN(H3,-SUM($F$39:$Z$39)-SUM($E40:G$40)),0)</f>
        <v>0</v>
      </c>
      <c r="I40" s="246">
        <f ca="1">+IF(I3&gt;0,MIN(I3,-SUM($F$39:$Z$39)-SUM($E40:H$40)),0)</f>
        <v>24901299.124564815</v>
      </c>
      <c r="J40" s="246">
        <f ca="1">+IF(J3&gt;0,MIN(J3,-SUM($F$39:$Z$39)-SUM($E40:I$40)),0)</f>
        <v>5278132.2857078519</v>
      </c>
      <c r="K40" s="246">
        <f ca="1">+IF(K3&gt;0,MIN(K3,-SUM($F$39:$Z$39)-SUM($E40:J$40)),0)</f>
        <v>5896598.6043395866</v>
      </c>
      <c r="L40" s="246">
        <f ca="1">+IF(L3&gt;0,MIN(L3,-SUM($F$39:$Z$39)-SUM($E40:K$40)),0)</f>
        <v>7678126.75579214</v>
      </c>
      <c r="M40" s="246">
        <f ca="1">+IF(M3&gt;0,MIN(M3,-SUM($F$39:$Z$39)-SUM($E40:L$40)),0)</f>
        <v>8004752.9827835169</v>
      </c>
      <c r="N40" s="246">
        <f ca="1">+IF(N3&gt;0,MIN(N3,-SUM($F$39:$Z$39)-SUM($E40:M$40)),0)</f>
        <v>8449315.2071530111</v>
      </c>
      <c r="O40" s="246">
        <f ca="1">+IF(O3&gt;0,MIN(O3,-SUM($F$39:$Z$39)-SUM($E40:N$40)),0)</f>
        <v>8905274.030542098</v>
      </c>
      <c r="P40" s="246">
        <f ca="1">+IF(P3&gt;0,MIN(P3,-SUM($F$39:$Z$39)-SUM($E40:O$40)),0)</f>
        <v>19946812.071178518</v>
      </c>
      <c r="Q40" s="246">
        <f ca="1">+IF(Q3&gt;0,MIN(Q3,-SUM($F$39:$Z$39)-SUM($E40:P$40)),0)</f>
        <v>0</v>
      </c>
      <c r="R40" s="246">
        <f ca="1">+IF(R3&gt;0,MIN(R3,-SUM($F$39:$Z$39)-SUM($E40:Q$40)),0)</f>
        <v>0</v>
      </c>
      <c r="S40" s="246">
        <f ca="1">+IF(S3&gt;0,MIN(S3,-SUM($F$39:$Z$39)-SUM($E40:R$40)),0)</f>
        <v>0</v>
      </c>
      <c r="T40" s="246">
        <f ca="1">+IF(T3&gt;0,MIN(T3,-SUM($F$39:$Z$39)-SUM($E40:S$40)),0)</f>
        <v>0</v>
      </c>
      <c r="U40" s="246">
        <f ca="1">+IF(U3&gt;0,MIN(U3,-SUM($F$39:$Z$39)-SUM($E40:T$40)),0)</f>
        <v>0</v>
      </c>
      <c r="V40" s="246">
        <f ca="1">+IF(V3&gt;0,MIN(V3,-SUM($F$39:$Z$39)-SUM($E40:U$40)),0)</f>
        <v>0</v>
      </c>
      <c r="W40" s="246">
        <f ca="1">+IF(W3&gt;0,MIN(W3,-SUM($F$39:$Z$39)-SUM($E40:V$40)),0)</f>
        <v>0</v>
      </c>
      <c r="X40" s="246">
        <f ca="1">+IF(X3&gt;0,MIN(X3,-SUM($F$39:$Z$39)-SUM($E40:W$40)),0)</f>
        <v>0</v>
      </c>
      <c r="Y40" s="246">
        <f ca="1">+IF(Y3&gt;0,MIN(Y3,-SUM($F$39:$Z$39)-SUM($E40:X$40)),0)</f>
        <v>0</v>
      </c>
      <c r="Z40" s="246">
        <f ca="1">+IF(Z3&gt;0,MIN(Z3,-SUM($F$39:$Z$39)-SUM($E40:Y$40)),0)</f>
        <v>0</v>
      </c>
    </row>
    <row r="41" spans="2:26">
      <c r="B41" s="247" t="s">
        <v>718</v>
      </c>
      <c r="C41" s="247"/>
      <c r="D41" s="247"/>
      <c r="E41" s="247"/>
      <c r="F41" s="248">
        <f>+IF(F4&lt;0,F4,0)</f>
        <v>0</v>
      </c>
      <c r="G41" s="248">
        <f t="shared" ref="G41:Z41" ca="1" si="7">+IF(G4&lt;0,G4,0)</f>
        <v>-18868356.37705791</v>
      </c>
      <c r="H41" s="248">
        <f t="shared" ca="1" si="7"/>
        <v>-18868356.37705791</v>
      </c>
      <c r="I41" s="248">
        <f t="shared" ca="1" si="7"/>
        <v>-17411715.996491671</v>
      </c>
      <c r="J41" s="248">
        <f t="shared" ca="1" si="7"/>
        <v>0</v>
      </c>
      <c r="K41" s="248">
        <f t="shared" ca="1" si="7"/>
        <v>0</v>
      </c>
      <c r="L41" s="248">
        <f t="shared" ca="1" si="7"/>
        <v>0</v>
      </c>
      <c r="M41" s="248">
        <f t="shared" ca="1" si="7"/>
        <v>0</v>
      </c>
      <c r="N41" s="248">
        <f t="shared" ca="1" si="7"/>
        <v>0</v>
      </c>
      <c r="O41" s="248">
        <f t="shared" ca="1" si="7"/>
        <v>0</v>
      </c>
      <c r="P41" s="248">
        <f t="shared" ca="1" si="7"/>
        <v>0</v>
      </c>
      <c r="Q41" s="248">
        <f t="shared" ca="1" si="7"/>
        <v>0</v>
      </c>
      <c r="R41" s="248">
        <f t="shared" ca="1" si="7"/>
        <v>0</v>
      </c>
      <c r="S41" s="248">
        <f t="shared" ca="1" si="7"/>
        <v>0</v>
      </c>
      <c r="T41" s="248">
        <f t="shared" ca="1" si="7"/>
        <v>0</v>
      </c>
      <c r="U41" s="248">
        <f t="shared" ca="1" si="7"/>
        <v>0</v>
      </c>
      <c r="V41" s="248">
        <f t="shared" ca="1" si="7"/>
        <v>0</v>
      </c>
      <c r="W41" s="248">
        <f t="shared" ca="1" si="7"/>
        <v>0</v>
      </c>
      <c r="X41" s="248">
        <f t="shared" ca="1" si="7"/>
        <v>0</v>
      </c>
      <c r="Y41" s="248">
        <f t="shared" ca="1" si="7"/>
        <v>0</v>
      </c>
      <c r="Z41" s="248">
        <f t="shared" ca="1" si="7"/>
        <v>0</v>
      </c>
    </row>
    <row r="42" spans="2:26">
      <c r="B42" s="245" t="s">
        <v>719</v>
      </c>
      <c r="C42" s="245"/>
      <c r="D42" s="245"/>
      <c r="E42" s="245"/>
      <c r="F42" s="246">
        <f>+IF(F4&gt;0,MIN(F4,-SUM($F$41:$Z$41)-SUM($E42:E$42)),0)</f>
        <v>0</v>
      </c>
      <c r="G42" s="246">
        <f ca="1">+IF(G4&gt;0,MIN(G4,-SUM($F$41:$Z$41)-SUM($E42:F$42)),0)</f>
        <v>0</v>
      </c>
      <c r="H42" s="246">
        <f ca="1">+IF(H4&gt;0,MIN(H4,-SUM($F$41:$Z$41)-SUM($E42:G$42)),0)</f>
        <v>0</v>
      </c>
      <c r="I42" s="246">
        <f ca="1">+IF(I4&gt;0,MIN(I4,-SUM($F$41:$Z$41)-SUM($E42:H$42)),0)</f>
        <v>0</v>
      </c>
      <c r="J42" s="246">
        <f ca="1">+IF(J4&gt;0,MIN(J4,-SUM($F$41:$Z$41)-SUM($E42:I$42)),0)</f>
        <v>0</v>
      </c>
      <c r="K42" s="246">
        <f ca="1">+IF(K4&gt;0,MIN(K4,-SUM($F$41:$Z$41)-SUM($E42:J$42)),0)</f>
        <v>18907188.828211531</v>
      </c>
      <c r="L42" s="246">
        <f ca="1">+IF(L4&gt;0,MIN(L4,-SUM($F$41:$Z$41)-SUM($E42:K$42)),0)</f>
        <v>3047194.9531563995</v>
      </c>
      <c r="M42" s="246">
        <f ca="1">+IF(M4&gt;0,MIN(M4,-SUM($F$41:$Z$41)-SUM($E42:L$42)),0)</f>
        <v>3480773.6680041822</v>
      </c>
      <c r="N42" s="246">
        <f ca="1">+IF(N4&gt;0,MIN(N4,-SUM($F$41:$Z$41)-SUM($E42:M$42)),0)</f>
        <v>4385732.7590233814</v>
      </c>
      <c r="O42" s="246">
        <f ca="1">+IF(O4&gt;0,MIN(O4,-SUM($F$41:$Z$41)-SUM($E42:N$42)),0)</f>
        <v>4624966.8406341393</v>
      </c>
      <c r="P42" s="246">
        <f ca="1">+IF(P4&gt;0,MIN(P4,-SUM($F$41:$Z$41)-SUM($E42:O$42)),0)</f>
        <v>20702571.701577857</v>
      </c>
      <c r="Q42" s="246">
        <f ca="1">+IF(Q4&gt;0,MIN(Q4,-SUM($F$41:$Z$41)-SUM($E42:P$42)),0)</f>
        <v>0</v>
      </c>
      <c r="R42" s="246">
        <f ca="1">+IF(R4&gt;0,MIN(R4,-SUM($F$41:$Z$41)-SUM($E42:Q$42)),0)</f>
        <v>0</v>
      </c>
      <c r="S42" s="246">
        <f ca="1">+IF(S4&gt;0,MIN(S4,-SUM($F$41:$Z$41)-SUM($E42:R$42)),0)</f>
        <v>0</v>
      </c>
      <c r="T42" s="246">
        <f ca="1">+IF(T4&gt;0,MIN(T4,-SUM($F$41:$Z$41)-SUM($E42:S$42)),0)</f>
        <v>0</v>
      </c>
      <c r="U42" s="246">
        <f ca="1">+IF(U4&gt;0,MIN(U4,-SUM($F$41:$Z$41)-SUM($E42:T$42)),0)</f>
        <v>0</v>
      </c>
      <c r="V42" s="246">
        <f ca="1">+IF(V4&gt;0,MIN(V4,-SUM($F$41:$Z$41)-SUM($E42:U$42)),0)</f>
        <v>0</v>
      </c>
      <c r="W42" s="246">
        <f ca="1">+IF(W4&gt;0,MIN(W4,-SUM($F$41:$Z$41)-SUM($E42:V$42)),0)</f>
        <v>0</v>
      </c>
      <c r="X42" s="246">
        <f ca="1">+IF(X4&gt;0,MIN(X4,-SUM($F$41:$Z$41)-SUM($E42:W$42)),0)</f>
        <v>0</v>
      </c>
      <c r="Y42" s="246">
        <f ca="1">+IF(Y4&gt;0,MIN(Y4,-SUM($F$41:$Z$41)-SUM($E42:X$42)),0)</f>
        <v>0</v>
      </c>
      <c r="Z42" s="246">
        <f ca="1">+IF(Z4&gt;0,MIN(Z4,-SUM($F$41:$Z$41)-SUM($E42:Y$42)),0)</f>
        <v>0</v>
      </c>
    </row>
    <row r="43" spans="2:26">
      <c r="B43" s="247" t="s">
        <v>720</v>
      </c>
      <c r="C43" s="247"/>
      <c r="D43" s="247"/>
      <c r="E43" s="247"/>
      <c r="F43" s="248">
        <f>+IF(F5&lt;0,F5,0)</f>
        <v>0</v>
      </c>
      <c r="G43" s="248">
        <f t="shared" ref="G43:Z43" si="8">+IF(G5&lt;0,G5,0)</f>
        <v>0</v>
      </c>
      <c r="H43" s="248">
        <f t="shared" si="8"/>
        <v>0</v>
      </c>
      <c r="I43" s="248">
        <f t="shared" si="8"/>
        <v>-76981700</v>
      </c>
      <c r="J43" s="248">
        <f t="shared" si="8"/>
        <v>0</v>
      </c>
      <c r="K43" s="248">
        <f t="shared" si="8"/>
        <v>0</v>
      </c>
      <c r="L43" s="248">
        <f t="shared" ca="1" si="8"/>
        <v>0</v>
      </c>
      <c r="M43" s="248">
        <f t="shared" ca="1" si="8"/>
        <v>0</v>
      </c>
      <c r="N43" s="248">
        <f t="shared" si="8"/>
        <v>0</v>
      </c>
      <c r="O43" s="248">
        <f t="shared" ca="1" si="8"/>
        <v>0</v>
      </c>
      <c r="P43" s="248">
        <f t="shared" si="8"/>
        <v>0</v>
      </c>
      <c r="Q43" s="248">
        <f t="shared" si="8"/>
        <v>0</v>
      </c>
      <c r="R43" s="248">
        <f t="shared" si="8"/>
        <v>0</v>
      </c>
      <c r="S43" s="248">
        <f t="shared" si="8"/>
        <v>0</v>
      </c>
      <c r="T43" s="248">
        <f t="shared" si="8"/>
        <v>0</v>
      </c>
      <c r="U43" s="248">
        <f t="shared" si="8"/>
        <v>0</v>
      </c>
      <c r="V43" s="248">
        <f t="shared" ca="1" si="8"/>
        <v>0</v>
      </c>
      <c r="W43" s="248">
        <f t="shared" si="8"/>
        <v>0</v>
      </c>
      <c r="X43" s="248">
        <f t="shared" si="8"/>
        <v>0</v>
      </c>
      <c r="Y43" s="248">
        <f t="shared" ca="1" si="8"/>
        <v>0</v>
      </c>
      <c r="Z43" s="248">
        <f t="shared" ca="1" si="8"/>
        <v>0</v>
      </c>
    </row>
    <row r="44" spans="2:26">
      <c r="B44" s="245" t="s">
        <v>721</v>
      </c>
      <c r="C44" s="245"/>
      <c r="D44" s="245"/>
      <c r="E44" s="245"/>
      <c r="F44" s="246">
        <f>+IF(F5&gt;0,MIN(F5,-SUM($F$43:$Z$43)-SUM($E44:E$44)),0)</f>
        <v>0</v>
      </c>
      <c r="G44" s="246">
        <f>+IF(G5&gt;0,MIN(G5,-SUM($F$43:$Z$43)-SUM($E44:F$44)),0)</f>
        <v>0</v>
      </c>
      <c r="H44" s="246">
        <f>+IF(H5&gt;0,MIN(H5,-SUM($F$43:$Z$43)-SUM($E44:G$44)),0)</f>
        <v>0</v>
      </c>
      <c r="I44" s="246">
        <f>+IF(I5&gt;0,MIN(I5,-SUM($F$43:$Z$43)-SUM($E44:H$44)),0)</f>
        <v>0</v>
      </c>
      <c r="J44" s="246">
        <f>+IF(J5&gt;0,MIN(J5,-SUM($F$43:$Z$43)-SUM($E44:I$44)),0)</f>
        <v>0</v>
      </c>
      <c r="K44" s="246">
        <f>+IF(K5&gt;0,MIN(K5,-SUM($F$43:$Z$43)-SUM($E44:J$44)),0)</f>
        <v>0</v>
      </c>
      <c r="L44" s="246">
        <f ca="1">+IF(L5&gt;0,MIN(L5,-SUM($F$43:$Z$43)-SUM($E44:K$44)),0)</f>
        <v>0</v>
      </c>
      <c r="M44" s="246">
        <f ca="1">+IF(M5&gt;0,MIN(M5,-SUM($F$43:$Z$43)-SUM($E44:L$44)),0)</f>
        <v>36663039.119011052</v>
      </c>
      <c r="N44" s="246">
        <f ca="1">+IF(N5&gt;0,MIN(N5,-SUM($F$43:$Z$43)-SUM($E44:M$44)),0)</f>
        <v>5163707.0895398315</v>
      </c>
      <c r="O44" s="246">
        <f ca="1">+IF(O5&gt;0,MIN(O5,-SUM($F$43:$Z$43)-SUM($E44:N$44)),0)</f>
        <v>5446481.3733853698</v>
      </c>
      <c r="P44" s="246">
        <f>+IF(P5&gt;0,MIN(P5,-SUM($F$43:$Z$43)-SUM($E44:O$44)),0)</f>
        <v>0</v>
      </c>
      <c r="Q44" s="246">
        <f>+IF(Q5&gt;0,MIN(Q5,-SUM($F$43:$Z$43)-SUM($E44:P$44)),0)</f>
        <v>0</v>
      </c>
      <c r="R44" s="246">
        <f>+IF(R5&gt;0,MIN(R5,-SUM($F$43:$Z$43)-SUM($E44:Q$44)),0)</f>
        <v>0</v>
      </c>
      <c r="S44" s="246">
        <f>+IF(S5&gt;0,MIN(S5,-SUM($F$43:$Z$43)-SUM($E44:R$44)),0)</f>
        <v>0</v>
      </c>
      <c r="T44" s="246">
        <f>+IF(T5&gt;0,MIN(T5,-SUM($F$43:$Z$43)-SUM($E44:S$44)),0)</f>
        <v>0</v>
      </c>
      <c r="U44" s="246">
        <f>+IF(U5&gt;0,MIN(U5,-SUM($F$43:$Z$43)-SUM($E44:T$44)),0)</f>
        <v>0</v>
      </c>
      <c r="V44" s="246">
        <f ca="1">+IF(V5&gt;0,MIN(V5,-SUM($F$43:$Z$43)-SUM($E44:U$44)),0)</f>
        <v>0</v>
      </c>
      <c r="W44" s="246">
        <f>+IF(W5&gt;0,MIN(W5,-SUM($F$43:$Z$43)-SUM($E44:V$44)),0)</f>
        <v>0</v>
      </c>
      <c r="X44" s="246">
        <f>+IF(X5&gt;0,MIN(X5,-SUM($F$43:$Z$43)-SUM($E44:W$44)),0)</f>
        <v>0</v>
      </c>
      <c r="Y44" s="246">
        <f ca="1">+IF(Y5&gt;0,MIN(Y5,-SUM($F$43:$Z$43)-SUM($E44:X$44)),0)</f>
        <v>0</v>
      </c>
      <c r="Z44" s="246">
        <f ca="1">+IF(Z5&gt;0,MIN(Z5,-SUM($F$43:$Z$43)-SUM($E44:Y$44)),0)</f>
        <v>0</v>
      </c>
    </row>
    <row r="45" spans="2:26" ht="15.75">
      <c r="B45" s="55" t="s">
        <v>722</v>
      </c>
      <c r="C45" s="55"/>
      <c r="D45" s="55"/>
      <c r="E45" s="55"/>
      <c r="F45" s="56">
        <f ca="1">+IF(F6&lt;0,F6,0)</f>
        <v>-51495790.787373006</v>
      </c>
      <c r="G45" s="56">
        <f t="shared" ref="G45:Z45" ca="1" si="9">+IF(G6&lt;0,G6,0)</f>
        <v>-12663221.150123715</v>
      </c>
      <c r="H45" s="56">
        <f t="shared" ca="1" si="9"/>
        <v>-18868356.37705791</v>
      </c>
      <c r="I45" s="56">
        <f t="shared" ca="1" si="9"/>
        <v>-44680431.808374986</v>
      </c>
      <c r="J45" s="56">
        <f t="shared" ca="1" si="9"/>
        <v>-46891882.650740281</v>
      </c>
      <c r="K45" s="56">
        <f t="shared" ca="1" si="9"/>
        <v>-7898.0355592891574</v>
      </c>
      <c r="L45" s="56">
        <f t="shared" ca="1" si="9"/>
        <v>0</v>
      </c>
      <c r="M45" s="56">
        <f t="shared" ca="1" si="9"/>
        <v>0</v>
      </c>
      <c r="N45" s="56">
        <f t="shared" ca="1" si="9"/>
        <v>0</v>
      </c>
      <c r="O45" s="56">
        <f t="shared" ca="1" si="9"/>
        <v>0</v>
      </c>
      <c r="P45" s="56">
        <f t="shared" ca="1" si="9"/>
        <v>0</v>
      </c>
      <c r="Q45" s="56">
        <f t="shared" ca="1" si="9"/>
        <v>0</v>
      </c>
      <c r="R45" s="56">
        <f t="shared" ca="1" si="9"/>
        <v>0</v>
      </c>
      <c r="S45" s="56">
        <f t="shared" ca="1" si="9"/>
        <v>0</v>
      </c>
      <c r="T45" s="56">
        <f t="shared" ca="1" si="9"/>
        <v>0</v>
      </c>
      <c r="U45" s="56">
        <f t="shared" ca="1" si="9"/>
        <v>0</v>
      </c>
      <c r="V45" s="56">
        <f t="shared" ca="1" si="9"/>
        <v>0</v>
      </c>
      <c r="W45" s="56">
        <f t="shared" ca="1" si="9"/>
        <v>0</v>
      </c>
      <c r="X45" s="56">
        <f t="shared" ca="1" si="9"/>
        <v>0</v>
      </c>
      <c r="Y45" s="56">
        <f t="shared" ca="1" si="9"/>
        <v>0</v>
      </c>
      <c r="Z45" s="56">
        <f t="shared" ca="1" si="9"/>
        <v>0</v>
      </c>
    </row>
    <row r="46" spans="2:26" ht="15.75">
      <c r="B46" s="57" t="s">
        <v>723</v>
      </c>
      <c r="C46" s="57"/>
      <c r="D46" s="57"/>
      <c r="E46" s="57"/>
      <c r="F46" s="250">
        <f ca="1">+IF(F6&gt;0,MIN(F6,-SUM($F$45:$Z$45)-SUM($E$46:E46)),0)</f>
        <v>0</v>
      </c>
      <c r="G46" s="250">
        <f ca="1">+IF(G6&gt;0,MIN(G6,-SUM($F$45:$Z$45)-SUM($E$46:F46)),0)</f>
        <v>0</v>
      </c>
      <c r="H46" s="250">
        <f ca="1">+IF(H6&gt;0,MIN(H6,-SUM($F$45:$Z$45)-SUM($E$46:G46)),0)</f>
        <v>0</v>
      </c>
      <c r="I46" s="250">
        <f ca="1">+IF(I6&gt;0,MIN(I6,-SUM($F$45:$Z$45)-SUM($E$46:H46)),0)</f>
        <v>7489583.1280731447</v>
      </c>
      <c r="J46" s="250">
        <f ca="1">+IF(J6&gt;0,MIN(J6,-SUM($F$45:$Z$45)-SUM($E$46:I46)),0)</f>
        <v>0</v>
      </c>
      <c r="K46" s="250">
        <f ca="1">+IF(K6&gt;0,MIN(K6,-SUM($F$45:$Z$45)-SUM($E$46:J46)),0)</f>
        <v>0</v>
      </c>
      <c r="L46" s="250">
        <f ca="1">+IF(L6&gt;0,MIN(L6,-SUM($F$45:$Z$45)-SUM($E$46:K46)),0)</f>
        <v>10725321.70894854</v>
      </c>
      <c r="M46" s="250">
        <f ca="1">+IF(M6&gt;0,MIN(M6,-SUM($F$45:$Z$45)-SUM($E$46:L46)),0)</f>
        <v>48148565.769798756</v>
      </c>
      <c r="N46" s="250">
        <f ca="1">+IF(N6&gt;0,MIN(N6,-SUM($F$45:$Z$45)-SUM($E$46:M46)),0)</f>
        <v>17998755.055716224</v>
      </c>
      <c r="O46" s="250">
        <f ca="1">+IF(O6&gt;0,MIN(O6,-SUM($F$45:$Z$45)-SUM($E$46:N46)),0)</f>
        <v>18976722.244561605</v>
      </c>
      <c r="P46" s="250">
        <f ca="1">+IF(P6&gt;0,MIN(P6,-SUM($F$45:$Z$45)-SUM($E$46:O46)),0)</f>
        <v>26588201.093755931</v>
      </c>
      <c r="Q46" s="250">
        <f ca="1">+IF(Q6&gt;0,MIN(Q6,-SUM($F$45:$Z$45)-SUM($E$46:P46)),0)</f>
        <v>0</v>
      </c>
      <c r="R46" s="250">
        <f ca="1">+IF(R6&gt;0,MIN(R6,-SUM($F$45:$Z$45)-SUM($E$46:Q46)),0)</f>
        <v>0</v>
      </c>
      <c r="S46" s="250">
        <f ca="1">+IF(S6&gt;0,MIN(S6,-SUM($F$45:$Z$45)-SUM($E$46:R46)),0)</f>
        <v>0</v>
      </c>
      <c r="T46" s="250">
        <f ca="1">+IF(T6&gt;0,MIN(T6,-SUM($F$45:$Z$45)-SUM($E$46:S46)),0)</f>
        <v>0</v>
      </c>
      <c r="U46" s="250">
        <f ca="1">+IF(U6&gt;0,MIN(U6,-SUM($F$45:$Z$45)-SUM($E$46:T46)),0)</f>
        <v>0</v>
      </c>
      <c r="V46" s="250">
        <f ca="1">+IF(V6&gt;0,MIN(V6,-SUM($F$45:$Z$45)-SUM($E$46:U46)),0)</f>
        <v>0</v>
      </c>
      <c r="W46" s="250">
        <f ca="1">+IF(W6&gt;0,MIN(W6,-SUM($F$45:$Z$45)-SUM($E$46:V46)),0)</f>
        <v>0</v>
      </c>
      <c r="X46" s="250">
        <f ca="1">+IF(X6&gt;0,MIN(X6,-SUM($F$45:$Z$45)-SUM($E$46:W46)),0)</f>
        <v>0</v>
      </c>
      <c r="Y46" s="250">
        <f ca="1">+IF(Y6&gt;0,MIN(Y6,-SUM($F$45:$Z$45)-SUM($E$46:X46)),0)</f>
        <v>0</v>
      </c>
      <c r="Z46" s="250">
        <f ca="1">+IF(Z6&gt;0,MIN(Z6,-SUM($F$45:$Z$45)-SUM($E$46:Y46)),0)</f>
        <v>0</v>
      </c>
    </row>
    <row r="47" spans="2:26" ht="15.75">
      <c r="B47" s="251" t="s">
        <v>724</v>
      </c>
      <c r="C47" s="82"/>
      <c r="D47" s="82"/>
      <c r="E47" s="82"/>
      <c r="F47" s="249">
        <f>+F2</f>
        <v>44561</v>
      </c>
      <c r="G47" s="249">
        <f t="shared" ref="G47:Z47" si="10">+G2</f>
        <v>44926</v>
      </c>
      <c r="H47" s="249">
        <f t="shared" si="10"/>
        <v>45291</v>
      </c>
      <c r="I47" s="249">
        <f t="shared" si="10"/>
        <v>45657</v>
      </c>
      <c r="J47" s="249">
        <f t="shared" si="10"/>
        <v>46022</v>
      </c>
      <c r="K47" s="249">
        <f t="shared" si="10"/>
        <v>46387</v>
      </c>
      <c r="L47" s="249">
        <f t="shared" si="10"/>
        <v>46752</v>
      </c>
      <c r="M47" s="249">
        <f t="shared" si="10"/>
        <v>47118</v>
      </c>
      <c r="N47" s="249">
        <f t="shared" si="10"/>
        <v>47483</v>
      </c>
      <c r="O47" s="249">
        <f t="shared" si="10"/>
        <v>47848</v>
      </c>
      <c r="P47" s="249">
        <f t="shared" si="10"/>
        <v>48213</v>
      </c>
      <c r="Q47" s="249">
        <f t="shared" si="10"/>
        <v>48579</v>
      </c>
      <c r="R47" s="249">
        <f t="shared" si="10"/>
        <v>48944</v>
      </c>
      <c r="S47" s="249">
        <f t="shared" si="10"/>
        <v>49309</v>
      </c>
      <c r="T47" s="249">
        <f t="shared" si="10"/>
        <v>49674</v>
      </c>
      <c r="U47" s="249">
        <f t="shared" si="10"/>
        <v>50040</v>
      </c>
      <c r="V47" s="249">
        <f t="shared" si="10"/>
        <v>50405</v>
      </c>
      <c r="W47" s="249">
        <f t="shared" si="10"/>
        <v>50770</v>
      </c>
      <c r="X47" s="249">
        <f t="shared" si="10"/>
        <v>51135</v>
      </c>
      <c r="Y47" s="249">
        <f t="shared" si="10"/>
        <v>51501</v>
      </c>
      <c r="Z47" s="249">
        <f t="shared" si="10"/>
        <v>51866</v>
      </c>
    </row>
    <row r="48" spans="2:26">
      <c r="B48" s="82" t="s">
        <v>1</v>
      </c>
      <c r="C48" s="82"/>
      <c r="D48" s="82"/>
      <c r="E48" s="82"/>
      <c r="F48" s="168">
        <f ca="1">-SUM($F39:F40)</f>
        <v>51495790.787373006</v>
      </c>
      <c r="G48" s="168">
        <f ca="1">-SUM($F39:G40)</f>
        <v>64159011.937496722</v>
      </c>
      <c r="H48" s="168">
        <f ca="1">-SUM($F39:H40)</f>
        <v>64159011.937496722</v>
      </c>
      <c r="I48" s="168">
        <f ca="1">-SUM($F39:I40)</f>
        <v>64159011.937496722</v>
      </c>
      <c r="J48" s="168">
        <f ca="1">-SUM($F39:J40)</f>
        <v>58880879.651788868</v>
      </c>
      <c r="K48" s="168">
        <f ca="1">-SUM($F39:K40)</f>
        <v>52984281.047449283</v>
      </c>
      <c r="L48" s="168">
        <f ca="1">-SUM($F39:L40)</f>
        <v>45306154.291657142</v>
      </c>
      <c r="M48" s="168">
        <f ca="1">-SUM($F39:M40)</f>
        <v>37301401.308873624</v>
      </c>
      <c r="N48" s="168">
        <f ca="1">-SUM($F39:N40)</f>
        <v>28852086.101720612</v>
      </c>
      <c r="O48" s="168">
        <f ca="1">-SUM($F39:O40)</f>
        <v>24901299.124564808</v>
      </c>
      <c r="P48" s="168">
        <f ca="1">-SUM($F39:P40)</f>
        <v>24901299.124564808</v>
      </c>
      <c r="Q48" s="168">
        <f ca="1">-SUM($F39:Q40)</f>
        <v>24901299.124564808</v>
      </c>
      <c r="R48" s="168">
        <f ca="1">-SUM($F39:R40)</f>
        <v>24901299.124564808</v>
      </c>
      <c r="S48" s="168">
        <f ca="1">-SUM($F39:S40)</f>
        <v>24901299.124564808</v>
      </c>
      <c r="T48" s="168">
        <f ca="1">-SUM($F39:T40)</f>
        <v>24901299.124564808</v>
      </c>
      <c r="U48" s="168">
        <f ca="1">-SUM($F39:U40)</f>
        <v>24901299.124564808</v>
      </c>
      <c r="V48" s="168">
        <f ca="1">-SUM($F39:V40)</f>
        <v>24901299.124564808</v>
      </c>
      <c r="W48" s="168">
        <f ca="1">-SUM($F39:W40)</f>
        <v>24901299.124564808</v>
      </c>
      <c r="X48" s="168">
        <f ca="1">-SUM($F39:X40)</f>
        <v>24901299.124564808</v>
      </c>
      <c r="Y48" s="168">
        <f ca="1">-SUM($F39:Y40)</f>
        <v>24901299.124564808</v>
      </c>
      <c r="Z48" s="168">
        <f ca="1">-SUM($F39:Z40)</f>
        <v>24901299.124564808</v>
      </c>
    </row>
    <row r="49" spans="2:26">
      <c r="B49" s="82" t="s">
        <v>2</v>
      </c>
      <c r="C49" s="82"/>
      <c r="D49" s="82"/>
      <c r="E49" s="82"/>
      <c r="F49" s="168">
        <f>-SUM($F41:F42)</f>
        <v>0</v>
      </c>
      <c r="G49" s="168">
        <f ca="1">-SUM($F41:G42)</f>
        <v>0</v>
      </c>
      <c r="H49" s="168">
        <f ca="1">-SUM($F41:H42)</f>
        <v>18868356.37705791</v>
      </c>
      <c r="I49" s="168">
        <f ca="1">-SUM($F41:I42)</f>
        <v>36280072.373549581</v>
      </c>
      <c r="J49" s="168">
        <f ca="1">-SUM($F41:J42)</f>
        <v>36280072.373549581</v>
      </c>
      <c r="K49" s="168">
        <f ca="1">-SUM($F41:K42)</f>
        <v>17372883.54533805</v>
      </c>
      <c r="L49" s="168">
        <f ca="1">-SUM($F41:L42)</f>
        <v>14325688.592181649</v>
      </c>
      <c r="M49" s="168">
        <f ca="1">-SUM($F41:M42)</f>
        <v>10844914.924177468</v>
      </c>
      <c r="N49" s="168">
        <f ca="1">-SUM($F41:N42)</f>
        <v>6459182.1651540864</v>
      </c>
      <c r="O49" s="168">
        <f ca="1">-SUM($F41:O42)</f>
        <v>1834215.3245199472</v>
      </c>
      <c r="P49" s="168">
        <f ca="1">-SUM($F41:P42)</f>
        <v>0</v>
      </c>
      <c r="Q49" s="168">
        <f ca="1">-SUM($F41:Q42)</f>
        <v>0</v>
      </c>
      <c r="R49" s="168">
        <f ca="1">-SUM($F41:R42)</f>
        <v>0</v>
      </c>
      <c r="S49" s="168">
        <f ca="1">-SUM($F41:S42)</f>
        <v>0</v>
      </c>
      <c r="T49" s="168">
        <f ca="1">-SUM($F41:T42)</f>
        <v>0</v>
      </c>
      <c r="U49" s="168">
        <f ca="1">-SUM($F41:U42)</f>
        <v>0</v>
      </c>
      <c r="V49" s="168">
        <f ca="1">-SUM($F41:V42)</f>
        <v>0</v>
      </c>
      <c r="W49" s="168">
        <f ca="1">-SUM($F41:W42)</f>
        <v>0</v>
      </c>
      <c r="X49" s="168">
        <f ca="1">-SUM($F41:X42)</f>
        <v>0</v>
      </c>
      <c r="Y49" s="168">
        <f ca="1">-SUM($F41:Y42)</f>
        <v>0</v>
      </c>
      <c r="Z49" s="168">
        <f ca="1">-SUM($F41:Z42)</f>
        <v>0</v>
      </c>
    </row>
    <row r="50" spans="2:26">
      <c r="B50" s="82" t="s">
        <v>3</v>
      </c>
      <c r="C50" s="82"/>
      <c r="D50" s="82"/>
      <c r="E50" s="82"/>
      <c r="F50" s="168">
        <f>-SUM($F43:F44)</f>
        <v>0</v>
      </c>
      <c r="G50" s="168">
        <f>-SUM($F43:G44)</f>
        <v>0</v>
      </c>
      <c r="H50" s="168">
        <f>-SUM($F43:H44)</f>
        <v>0</v>
      </c>
      <c r="I50" s="168">
        <f>-SUM($F43:I44)</f>
        <v>76981700</v>
      </c>
      <c r="J50" s="168">
        <f>-SUM($F43:J44)</f>
        <v>76981700</v>
      </c>
      <c r="K50" s="168">
        <f>-SUM($F43:K44)</f>
        <v>76981700</v>
      </c>
      <c r="L50" s="168">
        <f ca="1">-SUM($F43:L44)</f>
        <v>76981700.404558539</v>
      </c>
      <c r="M50" s="168">
        <f ca="1">-SUM($F43:M44)</f>
        <v>40318661.285547487</v>
      </c>
      <c r="N50" s="168">
        <f ca="1">-SUM($F43:N44)</f>
        <v>35154954.196007654</v>
      </c>
      <c r="O50" s="168">
        <f ca="1">-SUM($F43:O44)</f>
        <v>29708472.822622284</v>
      </c>
      <c r="P50" s="168">
        <f ca="1">-SUM($F43:P44)</f>
        <v>0</v>
      </c>
      <c r="Q50" s="168">
        <f ca="1">-SUM($F43:Q44)</f>
        <v>0</v>
      </c>
      <c r="R50" s="168">
        <f ca="1">-SUM($F43:R44)</f>
        <v>0</v>
      </c>
      <c r="S50" s="168">
        <f ca="1">-SUM($F43:S44)</f>
        <v>0</v>
      </c>
      <c r="T50" s="168">
        <f ca="1">-SUM($F43:T44)</f>
        <v>0</v>
      </c>
      <c r="U50" s="168">
        <f ca="1">-SUM($F43:U44)</f>
        <v>0</v>
      </c>
      <c r="V50" s="168">
        <f ca="1">-SUM($F43:V44)</f>
        <v>0</v>
      </c>
      <c r="W50" s="168">
        <f ca="1">-SUM($F43:W44)</f>
        <v>0</v>
      </c>
      <c r="X50" s="168">
        <f ca="1">-SUM($F43:X44)</f>
        <v>0</v>
      </c>
      <c r="Y50" s="168">
        <f ca="1">-SUM($F43:Y44)</f>
        <v>0</v>
      </c>
      <c r="Z50" s="168">
        <f ca="1">-SUM($F43:Z44)</f>
        <v>0</v>
      </c>
    </row>
    <row r="51" spans="2:26">
      <c r="B51" s="82" t="s">
        <v>725</v>
      </c>
      <c r="C51" s="82"/>
      <c r="D51" s="82"/>
      <c r="E51" s="82"/>
      <c r="F51" s="168">
        <f ca="1">-SUM($F45:F46)</f>
        <v>51495790.787373006</v>
      </c>
      <c r="G51" s="168">
        <f ca="1">-SUM($F45:G46)</f>
        <v>64159011.937496722</v>
      </c>
      <c r="H51" s="168">
        <f ca="1">-SUM($F45:H46)</f>
        <v>83027368.314554632</v>
      </c>
      <c r="I51" s="168">
        <f ca="1">-SUM($F45:I46)</f>
        <v>75537785.186481491</v>
      </c>
      <c r="J51" s="168">
        <f ca="1">-SUM($F45:J46)</f>
        <v>122429667.83722177</v>
      </c>
      <c r="K51" s="168">
        <f ca="1">-SUM($F45:K46)</f>
        <v>122437565.87278105</v>
      </c>
      <c r="L51" s="168">
        <f ca="1">-SUM($F45:L46)</f>
        <v>111712244.16383252</v>
      </c>
      <c r="M51" s="168">
        <f ca="1">-SUM($F45:M46)</f>
        <v>63563678.39403376</v>
      </c>
      <c r="N51" s="168">
        <f ca="1">-SUM($F45:N46)</f>
        <v>45564923.338317536</v>
      </c>
      <c r="O51" s="168">
        <f ca="1">-SUM($F45:O46)</f>
        <v>26588201.093755931</v>
      </c>
      <c r="P51" s="168">
        <f ca="1">-SUM($F45:P46)</f>
        <v>0</v>
      </c>
      <c r="Q51" s="168">
        <f ca="1">-SUM($F45:Q46)</f>
        <v>0</v>
      </c>
      <c r="R51" s="168">
        <f ca="1">-SUM($F45:R46)</f>
        <v>0</v>
      </c>
      <c r="S51" s="168">
        <f ca="1">-SUM($F45:S46)</f>
        <v>0</v>
      </c>
      <c r="T51" s="168">
        <f ca="1">-SUM($F45:T46)</f>
        <v>0</v>
      </c>
      <c r="U51" s="168">
        <f ca="1">-SUM($F45:U46)</f>
        <v>0</v>
      </c>
      <c r="V51" s="168">
        <f ca="1">-SUM($F45:V46)</f>
        <v>0</v>
      </c>
      <c r="W51" s="168">
        <f ca="1">-SUM($F45:W46)</f>
        <v>0</v>
      </c>
      <c r="X51" s="168">
        <f ca="1">-SUM($F45:X46)</f>
        <v>0</v>
      </c>
      <c r="Y51" s="168">
        <f ca="1">-SUM($F45:Y46)</f>
        <v>0</v>
      </c>
      <c r="Z51" s="168">
        <f ca="1">-SUM($F45:Z46)</f>
        <v>0</v>
      </c>
    </row>
    <row r="54" spans="2:26">
      <c r="C54" s="21" t="s">
        <v>726</v>
      </c>
      <c r="D54" s="21" t="s">
        <v>727</v>
      </c>
      <c r="E54" s="21" t="s">
        <v>728</v>
      </c>
    </row>
    <row r="55" spans="2:26">
      <c r="B55" s="21" t="s">
        <v>1</v>
      </c>
      <c r="C55" s="53">
        <f ca="1">+'Phase I Pro Forma'!$D$352</f>
        <v>0.13222313628872229</v>
      </c>
      <c r="D55" s="53">
        <f ca="1">+'Phase I Pro Forma'!$D$310</f>
        <v>0.20216207550226173</v>
      </c>
      <c r="E55" s="53">
        <f ca="1">+'Phase I Pro Forma'!$D$422</f>
        <v>0.29690186695228693</v>
      </c>
    </row>
    <row r="56" spans="2:26">
      <c r="B56" s="21" t="s">
        <v>2</v>
      </c>
      <c r="C56" s="53">
        <f ca="1">+'Phase II Pro Forma'!$D$285</f>
        <v>0.13786783674743441</v>
      </c>
      <c r="D56" s="53">
        <f ca="1">+'Phase II Pro Forma'!$D$243</f>
        <v>0.25394836654862751</v>
      </c>
      <c r="E56" s="53">
        <f ca="1">+'Phase II Pro Forma'!$D$355</f>
        <v>0.32970544661755091</v>
      </c>
    </row>
    <row r="57" spans="2:26">
      <c r="B57" s="21" t="s">
        <v>3</v>
      </c>
      <c r="C57" s="53">
        <f ca="1">+'Phase III Pro Forma'!$D$249</f>
        <v>-0.19257884919450285</v>
      </c>
      <c r="D57" s="53">
        <f ca="1">+'Phase III Pro Forma'!$D$207</f>
        <v>0.23359811410389453</v>
      </c>
      <c r="E57" s="53">
        <f ca="1">+'Phase III Pro Forma'!$D$319</f>
        <v>7.5130525562659825E-2</v>
      </c>
    </row>
    <row r="58" spans="2:26">
      <c r="B58" s="21" t="s">
        <v>70</v>
      </c>
      <c r="C58" s="53">
        <f ca="1">+D17</f>
        <v>0.13026177012390683</v>
      </c>
      <c r="D58" s="53">
        <f ca="1">+D8</f>
        <v>0.16318184493039323</v>
      </c>
      <c r="E58" s="53">
        <f ca="1">+D36</f>
        <v>0.30439856080056854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7030A0"/>
  </sheetPr>
  <dimension ref="B3:AU23"/>
  <sheetViews>
    <sheetView showGridLines="0" zoomScale="90" zoomScaleNormal="90" workbookViewId="0">
      <selection activeCell="F11" sqref="F11"/>
    </sheetView>
  </sheetViews>
  <sheetFormatPr defaultColWidth="14.42578125" defaultRowHeight="15.95" customHeight="1"/>
  <cols>
    <col min="1" max="1" width="8.7109375" style="21" customWidth="1"/>
    <col min="2" max="2" width="17.7109375" style="21" customWidth="1"/>
    <col min="3" max="4" width="8.7109375" style="21" customWidth="1"/>
    <col min="5" max="5" width="18" style="21" customWidth="1"/>
    <col min="6" max="6" width="16.28515625" style="21" customWidth="1"/>
    <col min="7" max="7" width="16.85546875" style="21" bestFit="1" customWidth="1"/>
    <col min="8" max="8" width="14.85546875" style="21" bestFit="1" customWidth="1"/>
    <col min="9" max="13" width="14.42578125" style="21"/>
    <col min="14" max="15" width="14.85546875" style="21" bestFit="1" customWidth="1"/>
    <col min="16" max="16384" width="14.42578125" style="21"/>
  </cols>
  <sheetData>
    <row r="3" spans="2:47" ht="15.95" customHeight="1">
      <c r="B3" s="73" t="s">
        <v>729</v>
      </c>
      <c r="F3" s="75"/>
      <c r="G3" s="75">
        <f>+'Cash Flow Roll-up'!F2</f>
        <v>44561</v>
      </c>
      <c r="H3" s="75">
        <f>+EOMONTH(G3,12)</f>
        <v>44926</v>
      </c>
      <c r="I3" s="75">
        <f t="shared" ref="I3:AB3" si="0">+EOMONTH(H3,12)</f>
        <v>45291</v>
      </c>
      <c r="J3" s="75">
        <f t="shared" si="0"/>
        <v>45657</v>
      </c>
      <c r="K3" s="75">
        <f t="shared" si="0"/>
        <v>46022</v>
      </c>
      <c r="L3" s="75">
        <f t="shared" si="0"/>
        <v>46387</v>
      </c>
      <c r="M3" s="75">
        <f t="shared" si="0"/>
        <v>46752</v>
      </c>
      <c r="N3" s="75">
        <f t="shared" si="0"/>
        <v>47118</v>
      </c>
      <c r="O3" s="75">
        <f t="shared" si="0"/>
        <v>47483</v>
      </c>
      <c r="P3" s="75">
        <f t="shared" si="0"/>
        <v>47848</v>
      </c>
      <c r="Q3" s="75">
        <f t="shared" si="0"/>
        <v>48213</v>
      </c>
      <c r="R3" s="75">
        <f t="shared" si="0"/>
        <v>48579</v>
      </c>
      <c r="S3" s="75">
        <f t="shared" si="0"/>
        <v>48944</v>
      </c>
      <c r="T3" s="75">
        <f t="shared" si="0"/>
        <v>49309</v>
      </c>
      <c r="U3" s="75">
        <f t="shared" si="0"/>
        <v>49674</v>
      </c>
      <c r="V3" s="75">
        <f t="shared" si="0"/>
        <v>50040</v>
      </c>
      <c r="W3" s="75">
        <f t="shared" si="0"/>
        <v>50405</v>
      </c>
      <c r="X3" s="75">
        <f t="shared" si="0"/>
        <v>50770</v>
      </c>
      <c r="Y3" s="75">
        <f t="shared" si="0"/>
        <v>51135</v>
      </c>
      <c r="Z3" s="75">
        <f t="shared" si="0"/>
        <v>51501</v>
      </c>
      <c r="AA3" s="75">
        <f t="shared" si="0"/>
        <v>51866</v>
      </c>
      <c r="AB3" s="75">
        <f t="shared" si="0"/>
        <v>52231</v>
      </c>
      <c r="AC3" s="75">
        <f t="shared" ref="AC3" si="1">+EOMONTH(AB3,12)</f>
        <v>52596</v>
      </c>
      <c r="AD3" s="75">
        <f t="shared" ref="AD3" si="2">+EOMONTH(AC3,12)</f>
        <v>52962</v>
      </c>
      <c r="AE3" s="75">
        <f t="shared" ref="AE3" si="3">+EOMONTH(AD3,12)</f>
        <v>53327</v>
      </c>
      <c r="AF3" s="75">
        <f t="shared" ref="AF3" si="4">+EOMONTH(AE3,12)</f>
        <v>53692</v>
      </c>
      <c r="AG3" s="75">
        <f t="shared" ref="AG3" si="5">+EOMONTH(AF3,12)</f>
        <v>54057</v>
      </c>
      <c r="AH3" s="75">
        <f t="shared" ref="AH3" si="6">+EOMONTH(AG3,12)</f>
        <v>54423</v>
      </c>
      <c r="AI3" s="75">
        <f t="shared" ref="AI3" si="7">+EOMONTH(AH3,12)</f>
        <v>54788</v>
      </c>
      <c r="AJ3" s="75">
        <f t="shared" ref="AJ3" si="8">+EOMONTH(AI3,12)</f>
        <v>55153</v>
      </c>
      <c r="AK3" s="75">
        <f t="shared" ref="AK3" si="9">+EOMONTH(AJ3,12)</f>
        <v>55518</v>
      </c>
      <c r="AL3" s="75">
        <f t="shared" ref="AL3" si="10">+EOMONTH(AK3,12)</f>
        <v>55884</v>
      </c>
      <c r="AM3" s="75">
        <f t="shared" ref="AM3" si="11">+EOMONTH(AL3,12)</f>
        <v>56249</v>
      </c>
      <c r="AN3" s="75">
        <f t="shared" ref="AN3" si="12">+EOMONTH(AM3,12)</f>
        <v>56614</v>
      </c>
      <c r="AO3" s="75">
        <f t="shared" ref="AO3" si="13">+EOMONTH(AN3,12)</f>
        <v>56979</v>
      </c>
      <c r="AP3" s="75">
        <f t="shared" ref="AP3" si="14">+EOMONTH(AO3,12)</f>
        <v>57345</v>
      </c>
      <c r="AQ3" s="75">
        <f t="shared" ref="AQ3" si="15">+EOMONTH(AP3,12)</f>
        <v>57710</v>
      </c>
      <c r="AR3" s="75">
        <f t="shared" ref="AR3" si="16">+EOMONTH(AQ3,12)</f>
        <v>58075</v>
      </c>
      <c r="AS3" s="75">
        <f t="shared" ref="AS3" si="17">+EOMONTH(AR3,12)</f>
        <v>58440</v>
      </c>
      <c r="AT3" s="75">
        <f t="shared" ref="AT3" si="18">+EOMONTH(AS3,12)</f>
        <v>58806</v>
      </c>
      <c r="AU3" s="75">
        <f t="shared" ref="AU3" si="19">+EOMONTH(AT3,12)</f>
        <v>59171</v>
      </c>
    </row>
    <row r="4" spans="2:47" ht="15.95" customHeight="1">
      <c r="B4" s="15" t="s">
        <v>730</v>
      </c>
      <c r="D4" s="26"/>
      <c r="F4" s="16">
        <f t="shared" ref="F4:F9" si="20">+NPV($E$11,G4:AU4)</f>
        <v>599220.50313254795</v>
      </c>
      <c r="G4" s="76">
        <f>+SUMIF(Assumptions!$F$22:$H$22,'Public Benefits'!G$3,Infrastructure!$G$6:$I$6)+SUMIF(Assumptions!$F$24:$H$24,'Public Benefits'!G$3,Infrastructure!$G$7:$I$7)</f>
        <v>0</v>
      </c>
      <c r="H4" s="76">
        <f>+SUMIF(Assumptions!$F$22:$H$22,'Public Benefits'!H$3,Infrastructure!$G$6:$I$6)+SUMIF(Assumptions!$F$24:$H$24,'Public Benefits'!H$3,Infrastructure!$G$7:$I$7)</f>
        <v>404737.5</v>
      </c>
      <c r="I4" s="76">
        <f>+SUMIF(Assumptions!$F$22:$H$22,'Public Benefits'!I$3,Infrastructure!$G$6:$I$6)+SUMIF(Assumptions!$F$24:$H$24,'Public Benefits'!I$3,Infrastructure!$G$7:$I$7)</f>
        <v>0</v>
      </c>
      <c r="J4" s="76">
        <f>+SUMIF(Assumptions!$F$22:$H$22,'Public Benefits'!J$3,Infrastructure!$G$6:$I$6)+SUMIF(Assumptions!$F$24:$H$24,'Public Benefits'!J$3,Infrastructure!$G$7:$I$7)</f>
        <v>0</v>
      </c>
      <c r="K4" s="76">
        <f>+SUMIF(Assumptions!$F$22:$H$22,'Public Benefits'!K$3,Infrastructure!$G$6:$I$6)+SUMIF(Assumptions!$F$24:$H$24,'Public Benefits'!K$3,Infrastructure!$G$7:$I$7)</f>
        <v>426345</v>
      </c>
      <c r="L4" s="76">
        <f>+SUMIF(Assumptions!$F$22:$H$22,'Public Benefits'!L$3,Infrastructure!$G$6:$I$6)+SUMIF(Assumptions!$F$24:$H$24,'Public Benefits'!L$3,Infrastructure!$G$7:$I$7)</f>
        <v>0</v>
      </c>
      <c r="M4" s="76">
        <f>+SUMIF(Assumptions!$F$22:$H$22,'Public Benefits'!M$3,Infrastructure!$G$6:$I$6)+SUMIF(Assumptions!$F$24:$H$24,'Public Benefits'!M$3,Infrastructure!$G$7:$I$7)</f>
        <v>0</v>
      </c>
      <c r="N4" s="76">
        <f>+SUMIF(Assumptions!$F$22:$H$22,'Public Benefits'!N$3,Infrastructure!$G$6:$I$6)+SUMIF(Assumptions!$F$24:$H$24,'Public Benefits'!N$3,Infrastructure!$G$7:$I$7)</f>
        <v>0</v>
      </c>
      <c r="O4" s="76">
        <f>+SUMIF(Assumptions!$F$22:$H$22,'Public Benefits'!O$3,Infrastructure!$G$6:$I$6)+SUMIF(Assumptions!$F$24:$H$24,'Public Benefits'!O$3,Infrastructure!$G$7:$I$7)</f>
        <v>0</v>
      </c>
      <c r="P4" s="76">
        <f>+SUMIF(Assumptions!$F$22:$H$22,'Public Benefits'!P$3,Infrastructure!$G$6:$I$6)+SUMIF(Assumptions!$F$24:$H$24,'Public Benefits'!P$3,Infrastructure!$G$7:$I$7)</f>
        <v>0</v>
      </c>
      <c r="Q4" s="76">
        <f>+SUMIF(Assumptions!$F$22:$H$22,'Public Benefits'!Q$3,Infrastructure!$G$6:$I$6)+SUMIF(Assumptions!$F$24:$H$24,'Public Benefits'!Q$3,Infrastructure!$G$7:$I$7)</f>
        <v>0</v>
      </c>
      <c r="R4" s="76">
        <f>+SUMIF(Assumptions!$F$22:$H$22,'Public Benefits'!R$3,Infrastructure!$G$6:$I$6)+SUMIF(Assumptions!$F$24:$H$24,'Public Benefits'!R$3,Infrastructure!$G$7:$I$7)</f>
        <v>0</v>
      </c>
      <c r="S4" s="76">
        <f>+SUMIF(Assumptions!$F$22:$H$22,'Public Benefits'!S$3,Infrastructure!$G$6:$I$6)+SUMIF(Assumptions!$F$24:$H$24,'Public Benefits'!S$3,Infrastructure!$G$7:$I$7)</f>
        <v>0</v>
      </c>
      <c r="T4" s="76">
        <f>+SUMIF(Assumptions!$F$22:$H$22,'Public Benefits'!T$3,Infrastructure!$G$6:$I$6)+SUMIF(Assumptions!$F$24:$H$24,'Public Benefits'!T$3,Infrastructure!$G$7:$I$7)</f>
        <v>0</v>
      </c>
      <c r="U4" s="76">
        <f>+SUMIF(Assumptions!$F$22:$H$22,'Public Benefits'!U$3,Infrastructure!$G$6:$I$6)+SUMIF(Assumptions!$F$24:$H$24,'Public Benefits'!U$3,Infrastructure!$G$7:$I$7)</f>
        <v>0</v>
      </c>
      <c r="V4" s="76">
        <f>+SUMIF(Assumptions!$F$22:$H$22,'Public Benefits'!V$3,Infrastructure!$G$6:$I$6)+SUMIF(Assumptions!$F$24:$H$24,'Public Benefits'!V$3,Infrastructure!$G$7:$I$7)</f>
        <v>0</v>
      </c>
      <c r="W4" s="76">
        <f>+SUMIF(Assumptions!$F$22:$H$22,'Public Benefits'!W$3,Infrastructure!$G$6:$I$6)+SUMIF(Assumptions!$F$24:$H$24,'Public Benefits'!W$3,Infrastructure!$G$7:$I$7)</f>
        <v>0</v>
      </c>
      <c r="X4" s="76">
        <f>+SUMIF(Assumptions!$F$22:$H$22,'Public Benefits'!X$3,Infrastructure!$G$6:$I$6)+SUMIF(Assumptions!$F$24:$H$24,'Public Benefits'!X$3,Infrastructure!$G$7:$I$7)</f>
        <v>0</v>
      </c>
      <c r="Y4" s="76">
        <f>+SUMIF(Assumptions!$F$22:$H$22,'Public Benefits'!Y$3,Infrastructure!$G$6:$I$6)+SUMIF(Assumptions!$F$24:$H$24,'Public Benefits'!Y$3,Infrastructure!$G$7:$I$7)</f>
        <v>0</v>
      </c>
      <c r="Z4" s="76">
        <f>+SUMIF(Assumptions!$F$22:$H$22,'Public Benefits'!Z$3,Infrastructure!$G$6:$I$6)+SUMIF(Assumptions!$F$24:$H$24,'Public Benefits'!Z$3,Infrastructure!$G$7:$I$7)</f>
        <v>0</v>
      </c>
      <c r="AA4" s="76">
        <f>+SUMIF(Assumptions!$F$22:$H$22,'Public Benefits'!AA$3,Infrastructure!$G$6:$I$6)+SUMIF(Assumptions!$F$24:$H$24,'Public Benefits'!AA$3,Infrastructure!$G$7:$I$7)</f>
        <v>0</v>
      </c>
      <c r="AB4" s="76">
        <f>+SUMIF(Assumptions!$F$22:$H$22,'Public Benefits'!AB$3,Infrastructure!$G$6:$I$6)+SUMIF(Assumptions!$F$24:$H$24,'Public Benefits'!AB$3,Infrastructure!$G$7:$I$7)</f>
        <v>0</v>
      </c>
      <c r="AC4" s="76">
        <f>+SUMIF(Assumptions!$F$22:$H$22,'Public Benefits'!AC$3,Infrastructure!$G$6:$I$6)+SUMIF(Assumptions!$F$24:$H$24,'Public Benefits'!AC$3,Infrastructure!$G$7:$I$7)</f>
        <v>0</v>
      </c>
      <c r="AD4" s="76">
        <f>+SUMIF(Assumptions!$F$22:$H$22,'Public Benefits'!AD$3,Infrastructure!$G$6:$I$6)+SUMIF(Assumptions!$F$24:$H$24,'Public Benefits'!AD$3,Infrastructure!$G$7:$I$7)</f>
        <v>0</v>
      </c>
      <c r="AE4" s="76">
        <f>+SUMIF(Assumptions!$F$22:$H$22,'Public Benefits'!AE$3,Infrastructure!$G$6:$I$6)+SUMIF(Assumptions!$F$24:$H$24,'Public Benefits'!AE$3,Infrastructure!$G$7:$I$7)</f>
        <v>0</v>
      </c>
      <c r="AF4" s="76">
        <f>+SUMIF(Assumptions!$F$22:$H$22,'Public Benefits'!AF$3,Infrastructure!$G$6:$I$6)+SUMIF(Assumptions!$F$24:$H$24,'Public Benefits'!AF$3,Infrastructure!$G$7:$I$7)</f>
        <v>0</v>
      </c>
      <c r="AG4" s="76">
        <f>+SUMIF(Assumptions!$F$22:$H$22,'Public Benefits'!AG$3,Infrastructure!$G$6:$I$6)+SUMIF(Assumptions!$F$24:$H$24,'Public Benefits'!AG$3,Infrastructure!$G$7:$I$7)</f>
        <v>0</v>
      </c>
      <c r="AH4" s="76">
        <f>+SUMIF(Assumptions!$F$22:$H$22,'Public Benefits'!AH$3,Infrastructure!$G$6:$I$6)+SUMIF(Assumptions!$F$24:$H$24,'Public Benefits'!AH$3,Infrastructure!$G$7:$I$7)</f>
        <v>0</v>
      </c>
      <c r="AI4" s="76">
        <f>+SUMIF(Assumptions!$F$22:$H$22,'Public Benefits'!AI$3,Infrastructure!$G$6:$I$6)+SUMIF(Assumptions!$F$24:$H$24,'Public Benefits'!AI$3,Infrastructure!$G$7:$I$7)</f>
        <v>0</v>
      </c>
      <c r="AJ4" s="76">
        <f>+SUMIF(Assumptions!$F$22:$H$22,'Public Benefits'!AJ$3,Infrastructure!$G$6:$I$6)+SUMIF(Assumptions!$F$24:$H$24,'Public Benefits'!AJ$3,Infrastructure!$G$7:$I$7)</f>
        <v>0</v>
      </c>
      <c r="AK4" s="76">
        <f>+SUMIF(Assumptions!$F$22:$H$22,'Public Benefits'!AK$3,Infrastructure!$G$6:$I$6)+SUMIF(Assumptions!$F$24:$H$24,'Public Benefits'!AK$3,Infrastructure!$G$7:$I$7)</f>
        <v>0</v>
      </c>
      <c r="AL4" s="76">
        <f>+SUMIF(Assumptions!$F$22:$H$22,'Public Benefits'!AL$3,Infrastructure!$G$6:$I$6)+SUMIF(Assumptions!$F$24:$H$24,'Public Benefits'!AL$3,Infrastructure!$G$7:$I$7)</f>
        <v>0</v>
      </c>
      <c r="AM4" s="76">
        <f>+SUMIF(Assumptions!$F$22:$H$22,'Public Benefits'!AM$3,Infrastructure!$G$6:$I$6)+SUMIF(Assumptions!$F$24:$H$24,'Public Benefits'!AM$3,Infrastructure!$G$7:$I$7)</f>
        <v>0</v>
      </c>
      <c r="AN4" s="76">
        <f>+SUMIF(Assumptions!$F$22:$H$22,'Public Benefits'!AN$3,Infrastructure!$G$6:$I$6)+SUMIF(Assumptions!$F$24:$H$24,'Public Benefits'!AN$3,Infrastructure!$G$7:$I$7)</f>
        <v>0</v>
      </c>
      <c r="AO4" s="76">
        <f>+SUMIF(Assumptions!$F$22:$H$22,'Public Benefits'!AO$3,Infrastructure!$G$6:$I$6)+SUMIF(Assumptions!$F$24:$H$24,'Public Benefits'!AO$3,Infrastructure!$G$7:$I$7)</f>
        <v>0</v>
      </c>
      <c r="AP4" s="76">
        <f>+SUMIF(Assumptions!$F$22:$H$22,'Public Benefits'!AP$3,Infrastructure!$G$6:$I$6)+SUMIF(Assumptions!$F$24:$H$24,'Public Benefits'!AP$3,Infrastructure!$G$7:$I$7)</f>
        <v>0</v>
      </c>
      <c r="AQ4" s="76">
        <f>+SUMIF(Assumptions!$F$22:$H$22,'Public Benefits'!AQ$3,Infrastructure!$G$6:$I$6)+SUMIF(Assumptions!$F$24:$H$24,'Public Benefits'!AQ$3,Infrastructure!$G$7:$I$7)</f>
        <v>0</v>
      </c>
      <c r="AR4" s="76">
        <f>+SUMIF(Assumptions!$F$22:$H$22,'Public Benefits'!AR$3,Infrastructure!$G$6:$I$6)+SUMIF(Assumptions!$F$24:$H$24,'Public Benefits'!AR$3,Infrastructure!$G$7:$I$7)</f>
        <v>0</v>
      </c>
      <c r="AS4" s="76">
        <f>+SUMIF(Assumptions!$F$22:$H$22,'Public Benefits'!AS$3,Infrastructure!$G$6:$I$6)+SUMIF(Assumptions!$F$24:$H$24,'Public Benefits'!AS$3,Infrastructure!$G$7:$I$7)</f>
        <v>0</v>
      </c>
      <c r="AT4" s="76">
        <f>+SUMIF(Assumptions!$F$22:$H$22,'Public Benefits'!AT$3,Infrastructure!$G$6:$I$6)+SUMIF(Assumptions!$F$24:$H$24,'Public Benefits'!AT$3,Infrastructure!$G$7:$I$7)</f>
        <v>0</v>
      </c>
      <c r="AU4" s="76">
        <f>+SUMIF(Assumptions!$F$22:$H$22,'Public Benefits'!AU$3,Infrastructure!$G$6:$I$6)+SUMIF(Assumptions!$F$24:$H$24,'Public Benefits'!AU$3,Infrastructure!$G$7:$I$7)</f>
        <v>0</v>
      </c>
    </row>
    <row r="5" spans="2:47" ht="15.95" customHeight="1">
      <c r="B5" s="15" t="s">
        <v>102</v>
      </c>
      <c r="D5" s="11"/>
      <c r="F5" s="16">
        <f t="shared" si="20"/>
        <v>0</v>
      </c>
      <c r="G5" s="76">
        <f>+IF(G$3=Assumptions!$H$22,Infrastructure!$I$15,0)</f>
        <v>0</v>
      </c>
      <c r="H5" s="76">
        <f>+IF(H$3=Assumptions!$H$22,Infrastructure!$I$15,0)</f>
        <v>0</v>
      </c>
      <c r="I5" s="76">
        <f>+IF(I$3=Assumptions!$H$22,Infrastructure!$I$15,0)</f>
        <v>0</v>
      </c>
      <c r="J5" s="76">
        <f>+IF(J$3=Assumptions!$H$22,Infrastructure!$I$15,0)</f>
        <v>0</v>
      </c>
      <c r="K5" s="76">
        <f>+IF(K$3=Assumptions!$H$22,Infrastructure!$I$15,0)</f>
        <v>0</v>
      </c>
      <c r="L5" s="76">
        <f>+IF(L$3=Assumptions!$H$22,Infrastructure!$I$15,0)</f>
        <v>0</v>
      </c>
      <c r="M5" s="76">
        <f>+IF(M$3=Assumptions!$H$22,Infrastructure!$I$15,0)</f>
        <v>0</v>
      </c>
      <c r="N5" s="76">
        <f>+IF(N$3=Assumptions!$H$22,Infrastructure!$I$15,0)</f>
        <v>0</v>
      </c>
      <c r="O5" s="76">
        <f>+IF(O$3=Assumptions!$H$22,Infrastructure!$I$15,0)</f>
        <v>0</v>
      </c>
      <c r="P5" s="76">
        <f>+IF(P$3=Assumptions!$H$22,Infrastructure!$I$15,0)</f>
        <v>0</v>
      </c>
      <c r="Q5" s="76">
        <f>+IF(Q$3=Assumptions!$H$22,Infrastructure!$I$15,0)</f>
        <v>0</v>
      </c>
      <c r="R5" s="76">
        <f>+IF(R$3=Assumptions!$H$22,Infrastructure!$I$15,0)</f>
        <v>0</v>
      </c>
      <c r="S5" s="76">
        <f>+IF(S$3=Assumptions!$H$22,Infrastructure!$I$15,0)</f>
        <v>0</v>
      </c>
      <c r="T5" s="76">
        <f>+IF(T$3=Assumptions!$H$22,Infrastructure!$I$15,0)</f>
        <v>0</v>
      </c>
      <c r="U5" s="76">
        <f>+IF(U$3=Assumptions!$H$22,Infrastructure!$I$15,0)</f>
        <v>0</v>
      </c>
      <c r="V5" s="76">
        <f>+IF(V$3=Assumptions!$H$22,Infrastructure!$I$15,0)</f>
        <v>0</v>
      </c>
      <c r="W5" s="76">
        <f>+IF(W$3=Assumptions!$H$22,Infrastructure!$I$15,0)</f>
        <v>0</v>
      </c>
      <c r="X5" s="76">
        <f>+IF(X$3=Assumptions!$H$22,Infrastructure!$I$15,0)</f>
        <v>0</v>
      </c>
      <c r="Y5" s="76">
        <f>+IF(Y$3=Assumptions!$H$22,Infrastructure!$I$15,0)</f>
        <v>0</v>
      </c>
      <c r="Z5" s="76">
        <f>+IF(Z$3=Assumptions!$H$22,Infrastructure!$I$15,0)</f>
        <v>0</v>
      </c>
      <c r="AA5" s="76">
        <f>+IF(AA$3=Assumptions!$H$22,Infrastructure!$I$15,0)</f>
        <v>0</v>
      </c>
      <c r="AB5" s="76">
        <f>+IF(AB$3=Assumptions!$H$22,Infrastructure!$I$15,0)</f>
        <v>0</v>
      </c>
      <c r="AC5" s="76">
        <f>+IF(AC$3=Assumptions!$H$22,Infrastructure!$I$15,0)</f>
        <v>0</v>
      </c>
      <c r="AD5" s="76">
        <f>+IF(AD$3=Assumptions!$H$22,Infrastructure!$I$15,0)</f>
        <v>0</v>
      </c>
      <c r="AE5" s="76">
        <f>+IF(AE$3=Assumptions!$H$22,Infrastructure!$I$15,0)</f>
        <v>0</v>
      </c>
      <c r="AF5" s="76">
        <f>+IF(AF$3=Assumptions!$H$22,Infrastructure!$I$15,0)</f>
        <v>0</v>
      </c>
      <c r="AG5" s="76">
        <f>+IF(AG$3=Assumptions!$H$22,Infrastructure!$I$15,0)</f>
        <v>0</v>
      </c>
      <c r="AH5" s="76">
        <f>+IF(AH$3=Assumptions!$H$22,Infrastructure!$I$15,0)</f>
        <v>0</v>
      </c>
      <c r="AI5" s="76">
        <f>+IF(AI$3=Assumptions!$H$22,Infrastructure!$I$15,0)</f>
        <v>0</v>
      </c>
      <c r="AJ5" s="76">
        <f>+IF(AJ$3=Assumptions!$H$22,Infrastructure!$I$15,0)</f>
        <v>0</v>
      </c>
      <c r="AK5" s="76">
        <f>+IF(AK$3=Assumptions!$H$22,Infrastructure!$I$15,0)</f>
        <v>0</v>
      </c>
      <c r="AL5" s="76">
        <f>+IF(AL$3=Assumptions!$H$22,Infrastructure!$I$15,0)</f>
        <v>0</v>
      </c>
      <c r="AM5" s="76">
        <f>+IF(AM$3=Assumptions!$H$22,Infrastructure!$I$15,0)</f>
        <v>0</v>
      </c>
      <c r="AN5" s="76">
        <f>+IF(AN$3=Assumptions!$H$22,Infrastructure!$I$15,0)</f>
        <v>0</v>
      </c>
      <c r="AO5" s="76">
        <f>+IF(AO$3=Assumptions!$H$22,Infrastructure!$I$15,0)</f>
        <v>0</v>
      </c>
      <c r="AP5" s="76">
        <f>+IF(AP$3=Assumptions!$H$22,Infrastructure!$I$15,0)</f>
        <v>0</v>
      </c>
      <c r="AQ5" s="76">
        <f>+IF(AQ$3=Assumptions!$H$22,Infrastructure!$I$15,0)</f>
        <v>0</v>
      </c>
      <c r="AR5" s="76">
        <f>+IF(AR$3=Assumptions!$H$22,Infrastructure!$I$15,0)</f>
        <v>0</v>
      </c>
      <c r="AS5" s="76">
        <f>+IF(AS$3=Assumptions!$H$22,Infrastructure!$I$15,0)</f>
        <v>0</v>
      </c>
      <c r="AT5" s="76">
        <f>+IF(AT$3=Assumptions!$H$22,Infrastructure!$I$15,0)</f>
        <v>0</v>
      </c>
      <c r="AU5" s="76">
        <f>+IF(AU$3=Assumptions!$H$22,Infrastructure!$I$15,0)</f>
        <v>0</v>
      </c>
    </row>
    <row r="6" spans="2:47" ht="15.95" customHeight="1">
      <c r="B6" s="15" t="s">
        <v>731</v>
      </c>
      <c r="D6" s="11"/>
      <c r="F6" s="16">
        <f t="shared" si="20"/>
        <v>17103409.09090909</v>
      </c>
      <c r="G6" s="76">
        <f>+IF(G$3=Assumptions!$F$24,Assumptions!$F$142*Budget!$D$39,0)</f>
        <v>0</v>
      </c>
      <c r="H6" s="76">
        <f>+IF(H$3=Assumptions!$F$24,Assumptions!$F$142*Budget!$D$39,0)</f>
        <v>20695125</v>
      </c>
      <c r="I6" s="76">
        <f>+IF(I$3=Assumptions!$F$24,Assumptions!$F$142*Budget!$D$39,0)</f>
        <v>0</v>
      </c>
      <c r="J6" s="76">
        <f>+IF(J$3=Assumptions!$F$24,Assumptions!$F$142*Budget!$D$39,0)</f>
        <v>0</v>
      </c>
      <c r="K6" s="76">
        <f>+IF(K$3=Assumptions!$F$24,Assumptions!$F$142*Budget!$D$39,0)</f>
        <v>0</v>
      </c>
      <c r="L6" s="76">
        <f>+IF(L$3=Assumptions!$F$24,Assumptions!$F$142*Budget!$D$39,0)</f>
        <v>0</v>
      </c>
      <c r="M6" s="76">
        <f>+IF(M$3=Assumptions!$F$24,Assumptions!$F$142*Budget!$D$39,0)</f>
        <v>0</v>
      </c>
      <c r="N6" s="76">
        <f>+IF(N$3=Assumptions!$F$24,Assumptions!$F$142*Budget!$D$39,0)</f>
        <v>0</v>
      </c>
      <c r="O6" s="76">
        <f>+IF(O$3=Assumptions!$F$24,Assumptions!$F$142*Budget!$D$39,0)</f>
        <v>0</v>
      </c>
      <c r="P6" s="76">
        <f>+IF(P$3=Assumptions!$F$24,Assumptions!$F$142*Budget!$D$39,0)</f>
        <v>0</v>
      </c>
      <c r="Q6" s="76">
        <f>+IF(Q$3=Assumptions!$F$24,Assumptions!$F$142*Budget!$D$39,0)</f>
        <v>0</v>
      </c>
      <c r="R6" s="76">
        <f>+IF(R$3=Assumptions!$F$24,Assumptions!$F$142*Budget!$D$39,0)</f>
        <v>0</v>
      </c>
      <c r="S6" s="76">
        <f>+IF(S$3=Assumptions!$F$24,Assumptions!$F$142*Budget!$D$39,0)</f>
        <v>0</v>
      </c>
      <c r="T6" s="76">
        <f>+IF(T$3=Assumptions!$F$24,Assumptions!$F$142*Budget!$D$39,0)</f>
        <v>0</v>
      </c>
      <c r="U6" s="76">
        <f>+IF(U$3=Assumptions!$F$24,Assumptions!$F$142*Budget!$D$39,0)</f>
        <v>0</v>
      </c>
      <c r="V6" s="76">
        <f>+IF(V$3=Assumptions!$F$24,Assumptions!$F$142*Budget!$D$39,0)</f>
        <v>0</v>
      </c>
      <c r="W6" s="76">
        <f>+IF(W$3=Assumptions!$F$24,Assumptions!$F$142*Budget!$D$39,0)</f>
        <v>0</v>
      </c>
      <c r="X6" s="76">
        <f>+IF(X$3=Assumptions!$F$24,Assumptions!$F$142*Budget!$D$39,0)</f>
        <v>0</v>
      </c>
      <c r="Y6" s="76">
        <f>+IF(Y$3=Assumptions!$F$24,Assumptions!$F$142*Budget!$D$39,0)</f>
        <v>0</v>
      </c>
      <c r="Z6" s="76">
        <f>+IF(Z$3=Assumptions!$F$24,Assumptions!$F$142*Budget!$D$39,0)</f>
        <v>0</v>
      </c>
      <c r="AA6" s="76">
        <f>+IF(AA$3=Assumptions!$F$24,Assumptions!$F$142*Budget!$D$39,0)</f>
        <v>0</v>
      </c>
      <c r="AB6" s="76">
        <f>+IF(AB$3=Assumptions!$F$24,Assumptions!$F$142*Budget!$D$39,0)</f>
        <v>0</v>
      </c>
      <c r="AC6" s="76">
        <f>+IF(AC$3=Assumptions!$F$24,Assumptions!$F$142*Budget!$D$39,0)</f>
        <v>0</v>
      </c>
      <c r="AD6" s="76">
        <f>+IF(AD$3=Assumptions!$F$24,Assumptions!$F$142*Budget!$D$39,0)</f>
        <v>0</v>
      </c>
      <c r="AE6" s="76">
        <f>+IF(AE$3=Assumptions!$F$24,Assumptions!$F$142*Budget!$D$39,0)</f>
        <v>0</v>
      </c>
      <c r="AF6" s="76">
        <f>+IF(AF$3=Assumptions!$F$24,Assumptions!$F$142*Budget!$D$39,0)</f>
        <v>0</v>
      </c>
      <c r="AG6" s="76">
        <f>+IF(AG$3=Assumptions!$F$24,Assumptions!$F$142*Budget!$D$39,0)</f>
        <v>0</v>
      </c>
      <c r="AH6" s="76">
        <f>+IF(AH$3=Assumptions!$F$24,Assumptions!$F$142*Budget!$D$39,0)</f>
        <v>0</v>
      </c>
      <c r="AI6" s="76">
        <f>+IF(AI$3=Assumptions!$F$24,Assumptions!$F$142*Budget!$D$39,0)</f>
        <v>0</v>
      </c>
      <c r="AJ6" s="76">
        <f>+IF(AJ$3=Assumptions!$F$24,Assumptions!$F$142*Budget!$D$39,0)</f>
        <v>0</v>
      </c>
      <c r="AK6" s="76">
        <f>+IF(AK$3=Assumptions!$F$24,Assumptions!$F$142*Budget!$D$39,0)</f>
        <v>0</v>
      </c>
      <c r="AL6" s="76">
        <f>+IF(AL$3=Assumptions!$F$24,Assumptions!$F$142*Budget!$D$39,0)</f>
        <v>0</v>
      </c>
      <c r="AM6" s="76">
        <f>+IF(AM$3=Assumptions!$F$24,Assumptions!$F$142*Budget!$D$39,0)</f>
        <v>0</v>
      </c>
      <c r="AN6" s="76">
        <f>+IF(AN$3=Assumptions!$F$24,Assumptions!$F$142*Budget!$D$39,0)</f>
        <v>0</v>
      </c>
      <c r="AO6" s="76">
        <f>+IF(AO$3=Assumptions!$F$24,Assumptions!$F$142*Budget!$D$39,0)</f>
        <v>0</v>
      </c>
      <c r="AP6" s="76">
        <f>+IF(AP$3=Assumptions!$F$24,Assumptions!$F$142*Budget!$D$39,0)</f>
        <v>0</v>
      </c>
      <c r="AQ6" s="76">
        <f>+IF(AQ$3=Assumptions!$F$24,Assumptions!$F$142*Budget!$D$39,0)</f>
        <v>0</v>
      </c>
      <c r="AR6" s="76">
        <f>+IF(AR$3=Assumptions!$F$24,Assumptions!$F$142*Budget!$D$39,0)</f>
        <v>0</v>
      </c>
      <c r="AS6" s="76">
        <f>+IF(AS$3=Assumptions!$F$24,Assumptions!$F$142*Budget!$D$39,0)</f>
        <v>0</v>
      </c>
      <c r="AT6" s="76">
        <f>+IF(AT$3=Assumptions!$F$24,Assumptions!$F$142*Budget!$D$39,0)</f>
        <v>0</v>
      </c>
      <c r="AU6" s="76">
        <f>+IF(AU$3=Assumptions!$F$24,Assumptions!$F$142*Budget!$D$39,0)</f>
        <v>0</v>
      </c>
    </row>
    <row r="7" spans="2:47" ht="15.95" customHeight="1">
      <c r="B7" s="15" t="s">
        <v>732</v>
      </c>
      <c r="D7" s="11"/>
      <c r="F7" s="16">
        <v>0</v>
      </c>
      <c r="G7" s="76">
        <v>0</v>
      </c>
      <c r="H7" s="76">
        <v>0</v>
      </c>
      <c r="I7" s="76">
        <v>0</v>
      </c>
      <c r="J7" s="76">
        <v>0</v>
      </c>
      <c r="K7" s="76">
        <v>0</v>
      </c>
      <c r="L7" s="76">
        <v>0</v>
      </c>
      <c r="M7" s="76">
        <v>0</v>
      </c>
      <c r="N7" s="76">
        <v>0</v>
      </c>
      <c r="O7" s="76">
        <v>0</v>
      </c>
      <c r="P7" s="76">
        <v>0</v>
      </c>
      <c r="Q7" s="76">
        <v>0</v>
      </c>
      <c r="R7" s="76">
        <v>0</v>
      </c>
      <c r="S7" s="76">
        <v>0</v>
      </c>
      <c r="T7" s="76">
        <v>0</v>
      </c>
      <c r="U7" s="76">
        <v>0</v>
      </c>
      <c r="V7" s="76">
        <v>0</v>
      </c>
      <c r="W7" s="76">
        <v>0</v>
      </c>
      <c r="X7" s="76">
        <v>0</v>
      </c>
      <c r="Y7" s="76">
        <v>0</v>
      </c>
      <c r="Z7" s="76">
        <v>0</v>
      </c>
      <c r="AA7" s="76">
        <v>0</v>
      </c>
      <c r="AB7" s="76">
        <v>0</v>
      </c>
      <c r="AC7" s="76">
        <v>0</v>
      </c>
      <c r="AD7" s="76">
        <v>0</v>
      </c>
      <c r="AE7" s="76">
        <v>0</v>
      </c>
      <c r="AF7" s="76">
        <v>0</v>
      </c>
      <c r="AG7" s="76">
        <v>0</v>
      </c>
      <c r="AH7" s="76">
        <v>0</v>
      </c>
      <c r="AI7" s="76">
        <v>0</v>
      </c>
      <c r="AJ7" s="76">
        <v>0</v>
      </c>
      <c r="AK7" s="76">
        <v>0</v>
      </c>
      <c r="AL7" s="76">
        <v>0</v>
      </c>
      <c r="AM7" s="76">
        <v>0</v>
      </c>
      <c r="AN7" s="76">
        <v>0</v>
      </c>
      <c r="AO7" s="76">
        <v>0</v>
      </c>
      <c r="AP7" s="76">
        <f t="shared" ref="H7:AU7" si="21">+AP15-AP14</f>
        <v>0</v>
      </c>
      <c r="AQ7" s="76">
        <v>0</v>
      </c>
      <c r="AR7" s="76">
        <v>0</v>
      </c>
      <c r="AS7" s="76">
        <f t="shared" si="21"/>
        <v>0</v>
      </c>
      <c r="AT7" s="76">
        <v>0</v>
      </c>
      <c r="AU7" s="76">
        <v>0</v>
      </c>
    </row>
    <row r="8" spans="2:47" ht="15.95" customHeight="1">
      <c r="B8" s="15" t="s">
        <v>733</v>
      </c>
      <c r="D8" s="11"/>
      <c r="F8" s="16">
        <f t="shared" si="20"/>
        <v>12571159.445082441</v>
      </c>
      <c r="G8" s="76">
        <f>+G19-G18</f>
        <v>0</v>
      </c>
      <c r="H8" s="76">
        <f t="shared" ref="H8:AU8" si="22">+H19-H18</f>
        <v>0</v>
      </c>
      <c r="I8" s="76">
        <f t="shared" si="22"/>
        <v>0</v>
      </c>
      <c r="J8" s="76">
        <f t="shared" si="22"/>
        <v>2094597.5</v>
      </c>
      <c r="K8" s="76">
        <f t="shared" si="22"/>
        <v>4189195</v>
      </c>
      <c r="L8" s="76">
        <f t="shared" si="22"/>
        <v>4189195</v>
      </c>
      <c r="M8" s="76">
        <f t="shared" si="22"/>
        <v>4398654.75</v>
      </c>
      <c r="N8" s="76">
        <f t="shared" si="22"/>
        <v>4398654.75</v>
      </c>
      <c r="O8" s="76">
        <f t="shared" si="22"/>
        <v>4398654.75</v>
      </c>
      <c r="P8" s="76">
        <f t="shared" si="22"/>
        <v>0</v>
      </c>
      <c r="Q8" s="76">
        <f t="shared" si="22"/>
        <v>0</v>
      </c>
      <c r="R8" s="76">
        <f t="shared" si="22"/>
        <v>0</v>
      </c>
      <c r="S8" s="76">
        <f t="shared" si="22"/>
        <v>0</v>
      </c>
      <c r="T8" s="76">
        <f t="shared" si="22"/>
        <v>0</v>
      </c>
      <c r="U8" s="76">
        <f t="shared" si="22"/>
        <v>0</v>
      </c>
      <c r="V8" s="76">
        <f t="shared" si="22"/>
        <v>0</v>
      </c>
      <c r="W8" s="76">
        <f t="shared" si="22"/>
        <v>0</v>
      </c>
      <c r="X8" s="76">
        <f t="shared" si="22"/>
        <v>0</v>
      </c>
      <c r="Y8" s="76">
        <f t="shared" si="22"/>
        <v>0</v>
      </c>
      <c r="Z8" s="76">
        <f t="shared" si="22"/>
        <v>0</v>
      </c>
      <c r="AA8" s="76">
        <f t="shared" si="22"/>
        <v>0</v>
      </c>
      <c r="AB8" s="76">
        <f t="shared" si="22"/>
        <v>0</v>
      </c>
      <c r="AC8" s="76">
        <f t="shared" si="22"/>
        <v>0</v>
      </c>
      <c r="AD8" s="76">
        <f t="shared" si="22"/>
        <v>0</v>
      </c>
      <c r="AE8" s="76">
        <f t="shared" si="22"/>
        <v>0</v>
      </c>
      <c r="AF8" s="76">
        <f t="shared" si="22"/>
        <v>0</v>
      </c>
      <c r="AG8" s="76">
        <f t="shared" si="22"/>
        <v>0</v>
      </c>
      <c r="AH8" s="76">
        <f t="shared" si="22"/>
        <v>0</v>
      </c>
      <c r="AI8" s="76">
        <f t="shared" si="22"/>
        <v>0</v>
      </c>
      <c r="AJ8" s="76">
        <f t="shared" si="22"/>
        <v>0</v>
      </c>
      <c r="AK8" s="76">
        <f t="shared" si="22"/>
        <v>0</v>
      </c>
      <c r="AL8" s="76">
        <f t="shared" si="22"/>
        <v>0</v>
      </c>
      <c r="AM8" s="76">
        <f t="shared" si="22"/>
        <v>0</v>
      </c>
      <c r="AN8" s="76">
        <f t="shared" si="22"/>
        <v>0</v>
      </c>
      <c r="AO8" s="76">
        <f t="shared" si="22"/>
        <v>0</v>
      </c>
      <c r="AP8" s="76">
        <f t="shared" si="22"/>
        <v>0</v>
      </c>
      <c r="AQ8" s="76">
        <f t="shared" si="22"/>
        <v>0</v>
      </c>
      <c r="AR8" s="76">
        <f t="shared" si="22"/>
        <v>0</v>
      </c>
      <c r="AS8" s="76">
        <f t="shared" si="22"/>
        <v>0</v>
      </c>
      <c r="AT8" s="76">
        <f t="shared" si="22"/>
        <v>0</v>
      </c>
      <c r="AU8" s="76">
        <f t="shared" si="22"/>
        <v>0</v>
      </c>
    </row>
    <row r="9" spans="2:47" ht="15.95" customHeight="1">
      <c r="B9" s="15" t="s">
        <v>734</v>
      </c>
      <c r="D9" s="11"/>
      <c r="F9" s="16">
        <f t="shared" si="20"/>
        <v>30271718.487205856</v>
      </c>
      <c r="G9" s="76">
        <f>+G23-G22</f>
        <v>0</v>
      </c>
      <c r="H9" s="76">
        <f t="shared" ref="H9:AU9" si="23">+H23-H22</f>
        <v>0</v>
      </c>
      <c r="I9" s="76">
        <f t="shared" si="23"/>
        <v>0</v>
      </c>
      <c r="J9" s="76">
        <f t="shared" si="23"/>
        <v>250507.16178624541</v>
      </c>
      <c r="K9" s="76">
        <f t="shared" si="23"/>
        <v>1984537.1223643604</v>
      </c>
      <c r="L9" s="76">
        <f t="shared" si="23"/>
        <v>3535260.047084169</v>
      </c>
      <c r="M9" s="76">
        <f t="shared" si="23"/>
        <v>4861880.8334005643</v>
      </c>
      <c r="N9" s="76">
        <f t="shared" si="23"/>
        <v>6244893.5692063915</v>
      </c>
      <c r="O9" s="76">
        <f t="shared" si="23"/>
        <v>6386164.2252211981</v>
      </c>
      <c r="P9" s="76">
        <f t="shared" si="23"/>
        <v>5941766.6992650153</v>
      </c>
      <c r="Q9" s="76">
        <f t="shared" si="23"/>
        <v>6059581.7356630983</v>
      </c>
      <c r="R9" s="76">
        <f t="shared" si="23"/>
        <v>6179753.0727891494</v>
      </c>
      <c r="S9" s="76">
        <f t="shared" si="23"/>
        <v>6302327.8366577141</v>
      </c>
      <c r="T9" s="76">
        <f t="shared" si="23"/>
        <v>6427354.0958036529</v>
      </c>
      <c r="U9" s="76">
        <f t="shared" si="23"/>
        <v>6554880.8801325103</v>
      </c>
      <c r="V9" s="76">
        <f t="shared" si="23"/>
        <v>6684958.2001479492</v>
      </c>
      <c r="W9" s="76">
        <f t="shared" si="23"/>
        <v>6817637.0665636929</v>
      </c>
      <c r="X9" s="76">
        <f t="shared" si="23"/>
        <v>6952969.5103077488</v>
      </c>
      <c r="Y9" s="76">
        <f t="shared" si="23"/>
        <v>7091008.6029266901</v>
      </c>
      <c r="Z9" s="76">
        <f t="shared" si="23"/>
        <v>7231808.4773980081</v>
      </c>
      <c r="AA9" s="76">
        <f t="shared" si="23"/>
        <v>7375424.3493587524</v>
      </c>
      <c r="AB9" s="76">
        <f t="shared" si="23"/>
        <v>0</v>
      </c>
      <c r="AC9" s="76">
        <f t="shared" si="23"/>
        <v>0</v>
      </c>
      <c r="AD9" s="76">
        <f t="shared" si="23"/>
        <v>0</v>
      </c>
      <c r="AE9" s="76">
        <f t="shared" si="23"/>
        <v>0</v>
      </c>
      <c r="AF9" s="76">
        <f t="shared" si="23"/>
        <v>0</v>
      </c>
      <c r="AG9" s="76">
        <f t="shared" si="23"/>
        <v>0</v>
      </c>
      <c r="AH9" s="76">
        <f t="shared" si="23"/>
        <v>0</v>
      </c>
      <c r="AI9" s="76">
        <f t="shared" si="23"/>
        <v>0</v>
      </c>
      <c r="AJ9" s="76">
        <f t="shared" si="23"/>
        <v>0</v>
      </c>
      <c r="AK9" s="76">
        <f t="shared" si="23"/>
        <v>0</v>
      </c>
      <c r="AL9" s="76">
        <f t="shared" si="23"/>
        <v>0</v>
      </c>
      <c r="AM9" s="76">
        <f t="shared" si="23"/>
        <v>0</v>
      </c>
      <c r="AN9" s="76">
        <f t="shared" si="23"/>
        <v>0</v>
      </c>
      <c r="AO9" s="76">
        <f t="shared" si="23"/>
        <v>0</v>
      </c>
      <c r="AP9" s="76">
        <f t="shared" si="23"/>
        <v>0</v>
      </c>
      <c r="AQ9" s="76">
        <f t="shared" si="23"/>
        <v>0</v>
      </c>
      <c r="AR9" s="76">
        <f t="shared" si="23"/>
        <v>0</v>
      </c>
      <c r="AS9" s="76">
        <f t="shared" si="23"/>
        <v>0</v>
      </c>
      <c r="AT9" s="76">
        <f t="shared" si="23"/>
        <v>0</v>
      </c>
      <c r="AU9" s="76">
        <f t="shared" si="23"/>
        <v>0</v>
      </c>
    </row>
    <row r="10" spans="2:47" ht="15.95" customHeight="1">
      <c r="B10" s="549" t="s">
        <v>70</v>
      </c>
      <c r="C10" s="549"/>
      <c r="D10" s="549"/>
      <c r="E10" s="549"/>
      <c r="F10" s="551"/>
      <c r="G10" s="551">
        <f>+SUM(G4:G9)</f>
        <v>0</v>
      </c>
      <c r="H10" s="551">
        <f>+SUM(H4:H9)</f>
        <v>21099862.5</v>
      </c>
      <c r="I10" s="551">
        <f>+SUM(I4:I9)</f>
        <v>0</v>
      </c>
      <c r="J10" s="551">
        <f>+SUM(J4:J9)</f>
        <v>2345104.6617862452</v>
      </c>
      <c r="K10" s="551">
        <f>+SUM(K4:K9)</f>
        <v>6600077.1223643608</v>
      </c>
      <c r="L10" s="551">
        <f>+SUM(L4:L9)</f>
        <v>7724455.0470841695</v>
      </c>
      <c r="M10" s="551">
        <f>+SUM(M4:M9)</f>
        <v>9260535.5834005643</v>
      </c>
      <c r="N10" s="551">
        <f>+SUM(N4:N9)</f>
        <v>10643548.319206391</v>
      </c>
      <c r="O10" s="551">
        <f>+SUM(O4:O9)</f>
        <v>10784818.975221198</v>
      </c>
      <c r="P10" s="551">
        <f>+SUM(P4:P9)</f>
        <v>5941766.6992650153</v>
      </c>
      <c r="Q10" s="551">
        <f>+SUM(Q4:Q9)</f>
        <v>6059581.7356630983</v>
      </c>
      <c r="R10" s="551">
        <f>+SUM(R4:R9)</f>
        <v>6179753.0727891494</v>
      </c>
      <c r="S10" s="551">
        <f>+SUM(S4:S9)</f>
        <v>6302327.8366577141</v>
      </c>
      <c r="T10" s="551">
        <f>+SUM(T4:T9)</f>
        <v>6427354.0958036529</v>
      </c>
      <c r="U10" s="551">
        <f>+SUM(U4:U9)</f>
        <v>6554880.8801325103</v>
      </c>
      <c r="V10" s="551">
        <f>+SUM(V4:V9)</f>
        <v>6684958.2001479492</v>
      </c>
      <c r="W10" s="551">
        <f>+SUM(W4:W9)</f>
        <v>6817637.0665636929</v>
      </c>
      <c r="X10" s="551">
        <f>+SUM(X4:X9)</f>
        <v>6952969.5103077488</v>
      </c>
      <c r="Y10" s="551">
        <f>+SUM(Y4:Y9)</f>
        <v>7091008.6029266901</v>
      </c>
      <c r="Z10" s="551">
        <f>+SUM(Z4:Z9)</f>
        <v>7231808.4773980081</v>
      </c>
      <c r="AA10" s="551">
        <f>+SUM(AA4:AA9)</f>
        <v>7375424.3493587524</v>
      </c>
      <c r="AB10" s="551">
        <f t="shared" ref="H10:AU10" si="24">+SUM(AB4:AB9)</f>
        <v>0</v>
      </c>
      <c r="AC10" s="551">
        <f t="shared" si="24"/>
        <v>0</v>
      </c>
      <c r="AD10" s="551">
        <f t="shared" si="24"/>
        <v>0</v>
      </c>
      <c r="AE10" s="551">
        <f t="shared" si="24"/>
        <v>0</v>
      </c>
      <c r="AF10" s="551">
        <f t="shared" si="24"/>
        <v>0</v>
      </c>
      <c r="AG10" s="551">
        <f t="shared" si="24"/>
        <v>0</v>
      </c>
      <c r="AH10" s="551">
        <f t="shared" si="24"/>
        <v>0</v>
      </c>
      <c r="AI10" s="551">
        <f t="shared" si="24"/>
        <v>0</v>
      </c>
      <c r="AJ10" s="551">
        <f t="shared" si="24"/>
        <v>0</v>
      </c>
      <c r="AK10" s="551">
        <f t="shared" si="24"/>
        <v>0</v>
      </c>
      <c r="AL10" s="551">
        <f t="shared" si="24"/>
        <v>0</v>
      </c>
      <c r="AM10" s="551">
        <f t="shared" si="24"/>
        <v>0</v>
      </c>
      <c r="AN10" s="551">
        <f t="shared" si="24"/>
        <v>0</v>
      </c>
      <c r="AO10" s="551">
        <f t="shared" si="24"/>
        <v>0</v>
      </c>
      <c r="AP10" s="551">
        <f t="shared" si="24"/>
        <v>0</v>
      </c>
      <c r="AQ10" s="551">
        <f t="shared" si="24"/>
        <v>0</v>
      </c>
      <c r="AR10" s="551">
        <f t="shared" si="24"/>
        <v>0</v>
      </c>
      <c r="AS10" s="551">
        <f t="shared" si="24"/>
        <v>0</v>
      </c>
      <c r="AT10" s="551">
        <f t="shared" si="24"/>
        <v>0</v>
      </c>
      <c r="AU10" s="551">
        <f t="shared" si="24"/>
        <v>0</v>
      </c>
    </row>
    <row r="11" spans="2:47" ht="15.95" customHeight="1">
      <c r="B11" s="54" t="s">
        <v>475</v>
      </c>
      <c r="C11" s="54"/>
      <c r="D11" s="54"/>
      <c r="E11" s="240">
        <v>0.1</v>
      </c>
      <c r="F11" s="239">
        <f>+NPV(E11,G10:AU10)</f>
        <v>60545507.52632992</v>
      </c>
      <c r="AB11" s="100"/>
    </row>
    <row r="12" spans="2:47" ht="15.95" customHeight="1">
      <c r="AB12" s="100"/>
    </row>
    <row r="13" spans="2:47" ht="15.95" customHeight="1">
      <c r="B13" s="73" t="s">
        <v>735</v>
      </c>
      <c r="AB13" s="100"/>
    </row>
    <row r="14" spans="2:47" ht="15.95" customHeight="1">
      <c r="B14" s="15" t="s">
        <v>736</v>
      </c>
      <c r="G14" s="76">
        <f>+SUMIF('Phase III Pro Forma'!$F$74:$Z$74,'Public Benefits'!G$3,'Phase III Pro Forma'!$F$82:$Z$82)</f>
        <v>0</v>
      </c>
      <c r="H14" s="76">
        <f>+SUMIF('Phase III Pro Forma'!$F$74:$Z$74,'Public Benefits'!H$3,'Phase III Pro Forma'!$F$82:$Z$82)</f>
        <v>0</v>
      </c>
      <c r="I14" s="76">
        <f>+SUMIF('Phase III Pro Forma'!$F$74:$Z$74,'Public Benefits'!I$3,'Phase III Pro Forma'!$F$82:$Z$82)</f>
        <v>0</v>
      </c>
      <c r="J14" s="76">
        <v>0</v>
      </c>
      <c r="K14" s="76">
        <v>0</v>
      </c>
      <c r="L14" s="76">
        <v>0</v>
      </c>
      <c r="M14" s="76">
        <v>0</v>
      </c>
      <c r="N14" s="76">
        <v>0</v>
      </c>
      <c r="O14" s="76">
        <v>0</v>
      </c>
      <c r="P14" s="76">
        <v>0</v>
      </c>
      <c r="Q14" s="76">
        <v>0</v>
      </c>
      <c r="R14" s="76">
        <v>0</v>
      </c>
      <c r="S14" s="76">
        <v>0</v>
      </c>
      <c r="T14" s="76">
        <v>0</v>
      </c>
      <c r="U14" s="76">
        <v>0</v>
      </c>
      <c r="V14" s="76">
        <v>0</v>
      </c>
      <c r="W14" s="76">
        <v>0</v>
      </c>
      <c r="X14" s="76">
        <v>0</v>
      </c>
      <c r="Y14" s="76">
        <v>0</v>
      </c>
      <c r="Z14" s="76">
        <v>0</v>
      </c>
      <c r="AA14" s="76">
        <v>0</v>
      </c>
      <c r="AB14" s="76"/>
      <c r="AC14" s="76"/>
      <c r="AD14" s="76"/>
      <c r="AE14" s="76"/>
      <c r="AF14" s="76"/>
      <c r="AG14" s="76"/>
      <c r="AH14" s="76"/>
      <c r="AI14" s="76"/>
      <c r="AJ14" s="76"/>
      <c r="AK14" s="76"/>
      <c r="AL14" s="76"/>
      <c r="AM14" s="76"/>
      <c r="AN14" s="76"/>
      <c r="AO14" s="76"/>
      <c r="AP14" s="76"/>
      <c r="AQ14" s="76"/>
      <c r="AR14" s="76"/>
      <c r="AS14" s="76"/>
      <c r="AT14" s="76"/>
      <c r="AU14" s="76"/>
    </row>
    <row r="15" spans="2:47" ht="15.95" customHeight="1">
      <c r="B15" s="15" t="s">
        <v>737</v>
      </c>
      <c r="G15" s="76">
        <v>0</v>
      </c>
      <c r="H15" s="76">
        <v>0</v>
      </c>
      <c r="I15" s="76">
        <v>0</v>
      </c>
      <c r="J15" s="76">
        <v>0</v>
      </c>
      <c r="K15" s="76">
        <v>0</v>
      </c>
      <c r="L15" s="76">
        <v>0</v>
      </c>
      <c r="M15" s="76">
        <v>0</v>
      </c>
      <c r="N15" s="76">
        <v>0</v>
      </c>
      <c r="O15" s="76">
        <v>0</v>
      </c>
      <c r="P15" s="76">
        <v>0</v>
      </c>
      <c r="Q15" s="76">
        <v>0</v>
      </c>
      <c r="R15" s="76">
        <v>0</v>
      </c>
      <c r="S15" s="76">
        <v>0</v>
      </c>
      <c r="T15" s="76">
        <v>0</v>
      </c>
      <c r="U15" s="76">
        <v>0</v>
      </c>
      <c r="V15" s="76">
        <v>0</v>
      </c>
      <c r="W15" s="76">
        <v>0</v>
      </c>
      <c r="X15" s="76">
        <v>0</v>
      </c>
      <c r="Y15" s="76">
        <v>0</v>
      </c>
      <c r="Z15" s="76">
        <v>0</v>
      </c>
      <c r="AA15" s="76">
        <v>0</v>
      </c>
      <c r="AB15" s="76"/>
      <c r="AC15" s="76"/>
      <c r="AD15" s="76"/>
      <c r="AE15" s="76"/>
      <c r="AF15" s="76"/>
      <c r="AG15" s="76"/>
      <c r="AH15" s="76"/>
      <c r="AI15" s="76"/>
      <c r="AJ15" s="76"/>
      <c r="AK15" s="76"/>
      <c r="AL15" s="76"/>
      <c r="AM15" s="76"/>
      <c r="AN15" s="76"/>
      <c r="AO15" s="76"/>
      <c r="AP15" s="76"/>
      <c r="AQ15" s="76"/>
      <c r="AR15" s="76"/>
      <c r="AS15" s="76"/>
      <c r="AT15" s="76"/>
      <c r="AU15" s="76"/>
    </row>
    <row r="16" spans="2:47" ht="15.95" customHeight="1">
      <c r="AB16" s="100"/>
    </row>
    <row r="17" spans="2:47" ht="15.95" customHeight="1">
      <c r="B17" s="73" t="s">
        <v>738</v>
      </c>
      <c r="AB17" s="100"/>
    </row>
    <row r="18" spans="2:47" ht="15.95" customHeight="1">
      <c r="B18" s="15" t="s">
        <v>736</v>
      </c>
      <c r="G18" s="76">
        <f>+SUMIF('Phase I Pro Forma'!$F$73:$Z$73,'Public Benefits'!G$3,'Phase I Pro Forma'!$F$81:$Z$81)</f>
        <v>0</v>
      </c>
      <c r="H18" s="76">
        <f>+SUMIF('Phase I Pro Forma'!$F$73:$Z$73,'Public Benefits'!H$3,'Phase I Pro Forma'!$F$81:$Z$81)</f>
        <v>0</v>
      </c>
      <c r="I18" s="76">
        <f>+SUMIF('Phase I Pro Forma'!$F$73:$Z$73,'Public Benefits'!I$3,'Phase I Pro Forma'!$F$81:$Z$81)</f>
        <v>0</v>
      </c>
      <c r="J18" s="76">
        <f>+SUMIF('Phase I Pro Forma'!$F$73:$Z$73,'Public Benefits'!J$3,'Phase I Pro Forma'!$F$81:$Z$81)</f>
        <v>627125</v>
      </c>
      <c r="K18" s="76">
        <f>+SUMIF('Phase I Pro Forma'!$F$73:$Z$73,'Public Benefits'!K$3,'Phase I Pro Forma'!$F$81:$Z$81)</f>
        <v>1254250</v>
      </c>
      <c r="L18" s="76">
        <f>+SUMIF('Phase I Pro Forma'!$F$73:$Z$73,'Public Benefits'!L$3,'Phase I Pro Forma'!$F$81:$Z$81)</f>
        <v>1254250</v>
      </c>
      <c r="M18" s="76">
        <f>+SUMIF('Phase I Pro Forma'!$F$73:$Z$73,'Public Benefits'!M$3,'Phase I Pro Forma'!$F$81:$Z$81)</f>
        <v>1316962.5</v>
      </c>
      <c r="N18" s="76">
        <f>+SUMIF('Phase I Pro Forma'!$F$73:$Z$73,'Public Benefits'!N$3,'Phase I Pro Forma'!$F$81:$Z$81)</f>
        <v>1316962.5</v>
      </c>
      <c r="O18" s="76">
        <f>+SUMIF('Phase I Pro Forma'!$F$73:$Z$73,'Public Benefits'!O$3,'Phase I Pro Forma'!$F$81:$Z$81)</f>
        <v>1316962.5</v>
      </c>
      <c r="P18" s="76">
        <f>+SUMIF('Phase I Pro Forma'!$F$73:$Z$73,'Public Benefits'!P$3,'Phase I Pro Forma'!$F$81:$Z$81)</f>
        <v>0</v>
      </c>
      <c r="Q18" s="76">
        <f>+SUMIF('Phase I Pro Forma'!$F$73:$Z$73,'Public Benefits'!Q$3,'Phase I Pro Forma'!$F$81:$Z$81)</f>
        <v>0</v>
      </c>
      <c r="R18" s="76">
        <f>+SUMIF('Phase I Pro Forma'!$F$73:$Z$73,'Public Benefits'!R$3,'Phase I Pro Forma'!$F$81:$Z$81)</f>
        <v>0</v>
      </c>
      <c r="S18" s="76">
        <f>+SUMIF('Phase I Pro Forma'!$F$73:$Z$73,'Public Benefits'!S$3,'Phase I Pro Forma'!$F$81:$Z$81)</f>
        <v>0</v>
      </c>
      <c r="T18" s="76">
        <f>+SUMIF('Phase I Pro Forma'!$F$73:$Z$73,'Public Benefits'!T$3,'Phase I Pro Forma'!$F$81:$Z$81)</f>
        <v>0</v>
      </c>
      <c r="U18" s="76">
        <f>+SUMIF('Phase I Pro Forma'!$F$73:$Z$73,'Public Benefits'!U$3,'Phase I Pro Forma'!$F$81:$Z$81)</f>
        <v>0</v>
      </c>
      <c r="V18" s="76">
        <f>+SUMIF('Phase I Pro Forma'!$F$73:$Z$73,'Public Benefits'!V$3,'Phase I Pro Forma'!$F$81:$Z$81)</f>
        <v>0</v>
      </c>
      <c r="W18" s="76">
        <f>+SUMIF('Phase I Pro Forma'!$F$73:$Z$73,'Public Benefits'!W$3,'Phase I Pro Forma'!$F$81:$Z$81)</f>
        <v>0</v>
      </c>
      <c r="X18" s="76">
        <f>+SUMIF('Phase I Pro Forma'!$F$73:$Z$73,'Public Benefits'!X$3,'Phase I Pro Forma'!$F$81:$Z$81)</f>
        <v>0</v>
      </c>
      <c r="Y18" s="76">
        <f>+SUMIF('Phase I Pro Forma'!$F$73:$Z$73,'Public Benefits'!Y$3,'Phase I Pro Forma'!$F$81:$Z$81)</f>
        <v>0</v>
      </c>
      <c r="Z18" s="76">
        <f>+SUMIF('Phase I Pro Forma'!$F$73:$Z$73,'Public Benefits'!Z$3,'Phase I Pro Forma'!$F$81:$Z$81)</f>
        <v>0</v>
      </c>
      <c r="AA18" s="76">
        <f>+SUMIF('Phase I Pro Forma'!$F$73:$Z$73,'Public Benefits'!AA$3,'Phase I Pro Forma'!$F$81:$Z$81)</f>
        <v>0</v>
      </c>
      <c r="AB18" s="76"/>
      <c r="AC18" s="76"/>
      <c r="AD18" s="76"/>
      <c r="AE18" s="76"/>
      <c r="AF18" s="76"/>
      <c r="AG18" s="76"/>
      <c r="AH18" s="76"/>
      <c r="AI18" s="76"/>
      <c r="AJ18" s="76"/>
      <c r="AK18" s="76"/>
      <c r="AL18" s="76"/>
      <c r="AM18" s="76"/>
      <c r="AN18" s="76"/>
      <c r="AO18" s="76"/>
      <c r="AP18" s="76"/>
      <c r="AQ18" s="76"/>
      <c r="AR18" s="76"/>
      <c r="AS18" s="76"/>
      <c r="AT18" s="76"/>
      <c r="AU18" s="76"/>
    </row>
    <row r="19" spans="2:47" ht="15.95" customHeight="1">
      <c r="B19" s="15" t="s">
        <v>737</v>
      </c>
      <c r="G19" s="76">
        <f>+G18*(Assumptions!$F$161/Assumptions!$F$151)</f>
        <v>0</v>
      </c>
      <c r="H19" s="76">
        <f>+H18*(Assumptions!$F$161/Assumptions!$F$151)</f>
        <v>0</v>
      </c>
      <c r="I19" s="76">
        <f>+I18*(Assumptions!$F$161/Assumptions!$F$151)</f>
        <v>0</v>
      </c>
      <c r="J19" s="76">
        <f>+J18*(Assumptions!$F$161/Assumptions!$F$151)</f>
        <v>2721722.5</v>
      </c>
      <c r="K19" s="76">
        <f>+K18*(Assumptions!$F$161/Assumptions!$F$151)</f>
        <v>5443445</v>
      </c>
      <c r="L19" s="76">
        <f>+L18*(Assumptions!$F$161/Assumptions!$F$151)</f>
        <v>5443445</v>
      </c>
      <c r="M19" s="76">
        <f>+M18*(Assumptions!$F$161/Assumptions!$F$151)</f>
        <v>5715617.25</v>
      </c>
      <c r="N19" s="76">
        <f>+N18*(Assumptions!$F$161/Assumptions!$F$151)</f>
        <v>5715617.25</v>
      </c>
      <c r="O19" s="76">
        <f>+O18*(Assumptions!$F$161/Assumptions!$F$151)</f>
        <v>5715617.25</v>
      </c>
      <c r="P19" s="76">
        <f>+P18*(Assumptions!$F$161/Assumptions!$F$151)</f>
        <v>0</v>
      </c>
      <c r="Q19" s="76">
        <f>+Q18*(Assumptions!$F$161/Assumptions!$F$151)</f>
        <v>0</v>
      </c>
      <c r="R19" s="76">
        <f>+R18*(Assumptions!$F$161/Assumptions!$F$151)</f>
        <v>0</v>
      </c>
      <c r="S19" s="76">
        <f>+S18*(Assumptions!$F$161/Assumptions!$F$151)</f>
        <v>0</v>
      </c>
      <c r="T19" s="76">
        <f>+T18*(Assumptions!$F$161/Assumptions!$F$151)</f>
        <v>0</v>
      </c>
      <c r="U19" s="76">
        <f>+U18*(Assumptions!$F$161/Assumptions!$F$151)</f>
        <v>0</v>
      </c>
      <c r="V19" s="76">
        <f>+V18*(Assumptions!$F$161/Assumptions!$F$151)</f>
        <v>0</v>
      </c>
      <c r="W19" s="76">
        <f>+W18*(Assumptions!$F$161/Assumptions!$F$151)</f>
        <v>0</v>
      </c>
      <c r="X19" s="76">
        <f>+X18*(Assumptions!$F$161/Assumptions!$F$151)</f>
        <v>0</v>
      </c>
      <c r="Y19" s="76">
        <f>+Y18*(Assumptions!$F$161/Assumptions!$F$151)</f>
        <v>0</v>
      </c>
      <c r="Z19" s="76">
        <f>+Z18*(Assumptions!$F$161/Assumptions!$F$151)</f>
        <v>0</v>
      </c>
      <c r="AA19" s="76">
        <f>+AA18*(Assumptions!$F$161/Assumptions!$F$151)</f>
        <v>0</v>
      </c>
      <c r="AB19" s="76"/>
      <c r="AC19" s="76"/>
      <c r="AD19" s="76"/>
      <c r="AE19" s="76"/>
      <c r="AF19" s="76"/>
      <c r="AG19" s="76"/>
      <c r="AH19" s="76"/>
      <c r="AI19" s="76"/>
      <c r="AJ19" s="76"/>
      <c r="AK19" s="76"/>
      <c r="AL19" s="76"/>
      <c r="AM19" s="76"/>
      <c r="AN19" s="76"/>
      <c r="AO19" s="76"/>
      <c r="AP19" s="76"/>
      <c r="AQ19" s="76"/>
      <c r="AR19" s="76"/>
      <c r="AS19" s="76"/>
      <c r="AT19" s="76"/>
      <c r="AU19" s="76"/>
    </row>
    <row r="20" spans="2:47" ht="15.95" customHeight="1">
      <c r="AB20" s="100"/>
    </row>
    <row r="21" spans="2:47" ht="15.95" customHeight="1">
      <c r="B21" s="73" t="s">
        <v>739</v>
      </c>
      <c r="AB21" s="100"/>
    </row>
    <row r="22" spans="2:47" ht="15.95" customHeight="1">
      <c r="B22" s="15" t="s">
        <v>740</v>
      </c>
      <c r="G22" s="76">
        <f>+SUMIF('Phase I Pro Forma'!$F$73:$Z$73,'Public Benefits'!G$3,'Phase I Pro Forma'!$F$25:$Z$25)+SUMIF('Phase II Pro Forma'!$F$73:$Z$73,'Public Benefits'!G$3,'Phase II Pro Forma'!$F$25:$Z$25)+SUMIF('Phase III Pro Forma'!$F$74:$Z$74,'Public Benefits'!G$3,'Phase III Pro Forma'!$F$26:$Z$26)</f>
        <v>0</v>
      </c>
      <c r="H22" s="76">
        <f>+SUMIF('Phase I Pro Forma'!$F$73:$Z$73,'Public Benefits'!H$3,'Phase I Pro Forma'!$F$25:$Z$25)+SUMIF('Phase II Pro Forma'!$F$73:$Z$73,'Public Benefits'!H$3,'Phase II Pro Forma'!$F$25:$Z$25)+SUMIF('Phase III Pro Forma'!$F$74:$Z$74,'Public Benefits'!H$3,'Phase III Pro Forma'!$F$26:$Z$26)</f>
        <v>0</v>
      </c>
      <c r="I22" s="76">
        <f>+SUMIF('Phase I Pro Forma'!$F$73:$Z$73,'Public Benefits'!I$3,'Phase I Pro Forma'!$F$25:$Z$25)+SUMIF('Phase II Pro Forma'!$F$73:$Z$73,'Public Benefits'!I$3,'Phase II Pro Forma'!$F$25:$Z$25)+SUMIF('Phase III Pro Forma'!$F$74:$Z$74,'Public Benefits'!I$3,'Phase III Pro Forma'!$F$26:$Z$26)</f>
        <v>0</v>
      </c>
      <c r="J22" s="76">
        <f>+SUMIF('Phase I Pro Forma'!$F$73:$Z$73,'Public Benefits'!J$3,'Phase I Pro Forma'!$F$25:$Z$25)+SUMIF('Phase II Pro Forma'!$F$73:$Z$73,'Public Benefits'!J$3,'Phase II Pro Forma'!$F$25:$Z$25)+SUMIF('Phase III Pro Forma'!$F$74:$Z$74,'Public Benefits'!J$3,'Phase III Pro Forma'!$F$26:$Z$26)</f>
        <v>189965</v>
      </c>
      <c r="K22" s="76">
        <f>+SUMIF('Phase I Pro Forma'!$F$73:$Z$73,'Public Benefits'!K$3,'Phase I Pro Forma'!$F$25:$Z$25)+SUMIF('Phase II Pro Forma'!$F$73:$Z$73,'Public Benefits'!K$3,'Phase II Pro Forma'!$F$25:$Z$25)+SUMIF('Phase III Pro Forma'!$F$74:$Z$74,'Public Benefits'!K$3,'Phase III Pro Forma'!$F$26:$Z$26)</f>
        <v>1504917.4313492435</v>
      </c>
      <c r="L22" s="76">
        <f>+SUMIF('Phase I Pro Forma'!$F$73:$Z$73,'Public Benefits'!L$3,'Phase I Pro Forma'!$F$25:$Z$25)+SUMIF('Phase II Pro Forma'!$F$73:$Z$73,'Public Benefits'!L$3,'Phase II Pro Forma'!$F$25:$Z$25)+SUMIF('Phase III Pro Forma'!$F$74:$Z$74,'Public Benefits'!L$3,'Phase III Pro Forma'!$F$26:$Z$26)</f>
        <v>2680864.1719289101</v>
      </c>
      <c r="M22" s="76">
        <f>+SUMIF('Phase I Pro Forma'!$F$73:$Z$73,'Public Benefits'!M$3,'Phase I Pro Forma'!$F$25:$Z$25)+SUMIF('Phase II Pro Forma'!$F$73:$Z$73,'Public Benefits'!M$3,'Phase II Pro Forma'!$F$25:$Z$25)+SUMIF('Phase III Pro Forma'!$F$74:$Z$74,'Public Benefits'!M$3,'Phase III Pro Forma'!$F$26:$Z$26)</f>
        <v>3686869.4129592343</v>
      </c>
      <c r="N22" s="76">
        <f>+SUMIF('Phase I Pro Forma'!$F$73:$Z$73,'Public Benefits'!N$3,'Phase I Pro Forma'!$F$25:$Z$25)+SUMIF('Phase II Pro Forma'!$F$73:$Z$73,'Public Benefits'!N$3,'Phase II Pro Forma'!$F$25:$Z$25)+SUMIF('Phase III Pro Forma'!$F$74:$Z$74,'Public Benefits'!N$3,'Phase III Pro Forma'!$F$26:$Z$26)</f>
        <v>4735637.8892135499</v>
      </c>
      <c r="O22" s="76">
        <f>+SUMIF('Phase I Pro Forma'!$F$73:$Z$73,'Public Benefits'!O$3,'Phase I Pro Forma'!$F$25:$Z$25)+SUMIF('Phase II Pro Forma'!$F$73:$Z$73,'Public Benefits'!O$3,'Phase II Pro Forma'!$F$25:$Z$25)+SUMIF('Phase III Pro Forma'!$F$74:$Z$74,'Public Benefits'!O$3,'Phase III Pro Forma'!$F$26:$Z$26)</f>
        <v>4842766.4837754574</v>
      </c>
      <c r="P22" s="76">
        <f>+SUMIF('Phase I Pro Forma'!$F$73:$Z$73,'Public Benefits'!P$3,'Phase I Pro Forma'!$F$25:$Z$25)+SUMIF('Phase II Pro Forma'!$F$73:$Z$73,'Public Benefits'!P$3,'Phase II Pro Forma'!$F$25:$Z$25)+SUMIF('Phase III Pro Forma'!$F$74:$Z$74,'Public Benefits'!P$3,'Phase III Pro Forma'!$F$26:$Z$26)</f>
        <v>4505770.2261981955</v>
      </c>
      <c r="Q22" s="76">
        <f>+SUMIF('Phase I Pro Forma'!$F$73:$Z$73,'Public Benefits'!Q$3,'Phase I Pro Forma'!$F$25:$Z$25)+SUMIF('Phase II Pro Forma'!$F$73:$Z$73,'Public Benefits'!Q$3,'Phase II Pro Forma'!$F$25:$Z$25)+SUMIF('Phase III Pro Forma'!$F$74:$Z$74,'Public Benefits'!Q$3,'Phase III Pro Forma'!$F$26:$Z$26)</f>
        <v>4595111.9169896906</v>
      </c>
      <c r="R22" s="76">
        <f>+SUMIF('Phase I Pro Forma'!$F$73:$Z$73,'Public Benefits'!R$3,'Phase I Pro Forma'!$F$25:$Z$25)+SUMIF('Phase II Pro Forma'!$F$73:$Z$73,'Public Benefits'!R$3,'Phase II Pro Forma'!$F$25:$Z$25)+SUMIF('Phase III Pro Forma'!$F$74:$Z$74,'Public Benefits'!R$3,'Phase III Pro Forma'!$F$26:$Z$26)</f>
        <v>4686240.4415970203</v>
      </c>
      <c r="S22" s="76">
        <f>+SUMIF('Phase I Pro Forma'!$F$73:$Z$73,'Public Benefits'!S$3,'Phase I Pro Forma'!$F$25:$Z$25)+SUMIF('Phase II Pro Forma'!$F$73:$Z$73,'Public Benefits'!S$3,'Phase II Pro Forma'!$F$25:$Z$25)+SUMIF('Phase III Pro Forma'!$F$74:$Z$74,'Public Benefits'!S$3,'Phase III Pro Forma'!$F$26:$Z$26)</f>
        <v>4779191.5366964918</v>
      </c>
      <c r="T22" s="76">
        <f>+SUMIF('Phase I Pro Forma'!$F$73:$Z$73,'Public Benefits'!T$3,'Phase I Pro Forma'!$F$25:$Z$25)+SUMIF('Phase II Pro Forma'!$F$73:$Z$73,'Public Benefits'!T$3,'Phase II Pro Forma'!$F$25:$Z$25)+SUMIF('Phase III Pro Forma'!$F$74:$Z$74,'Public Benefits'!T$3,'Phase III Pro Forma'!$F$26:$Z$26)</f>
        <v>4874001.6536979554</v>
      </c>
      <c r="U22" s="76">
        <f>+SUMIF('Phase I Pro Forma'!$F$73:$Z$73,'Public Benefits'!U$3,'Phase I Pro Forma'!$F$25:$Z$25)+SUMIF('Phase II Pro Forma'!$F$73:$Z$73,'Public Benefits'!U$3,'Phase II Pro Forma'!$F$25:$Z$25)+SUMIF('Phase III Pro Forma'!$F$74:$Z$74,'Public Benefits'!U$3,'Phase III Pro Forma'!$F$26:$Z$26)</f>
        <v>4970707.9730394473</v>
      </c>
      <c r="V22" s="76">
        <f>+SUMIF('Phase I Pro Forma'!$F$73:$Z$73,'Public Benefits'!V$3,'Phase I Pro Forma'!$F$25:$Z$25)+SUMIF('Phase II Pro Forma'!$F$73:$Z$73,'Public Benefits'!V$3,'Phase II Pro Forma'!$F$25:$Z$25)+SUMIF('Phase III Pro Forma'!$F$74:$Z$74,'Public Benefits'!V$3,'Phase III Pro Forma'!$F$26:$Z$26)</f>
        <v>5069348.4187677708</v>
      </c>
      <c r="W22" s="76">
        <f>+SUMIF('Phase I Pro Forma'!$F$73:$Z$73,'Public Benefits'!W$3,'Phase I Pro Forma'!$F$25:$Z$25)+SUMIF('Phase II Pro Forma'!$F$73:$Z$73,'Public Benefits'!W$3,'Phase II Pro Forma'!$F$25:$Z$25)+SUMIF('Phase III Pro Forma'!$F$74:$Z$74,'Public Benefits'!W$3,'Phase III Pro Forma'!$F$26:$Z$26)</f>
        <v>5169961.6734106587</v>
      </c>
      <c r="X22" s="76">
        <f>+SUMIF('Phase I Pro Forma'!$F$73:$Z$73,'Public Benefits'!X$3,'Phase I Pro Forma'!$F$25:$Z$25)+SUMIF('Phase II Pro Forma'!$F$73:$Z$73,'Public Benefits'!X$3,'Phase II Pro Forma'!$F$25:$Z$25)+SUMIF('Phase III Pro Forma'!$F$74:$Z$74,'Public Benefits'!X$3,'Phase III Pro Forma'!$F$26:$Z$26)</f>
        <v>5272587.1931464048</v>
      </c>
      <c r="Y22" s="76">
        <f>+SUMIF('Phase I Pro Forma'!$F$73:$Z$73,'Public Benefits'!Y$3,'Phase I Pro Forma'!$F$25:$Z$25)+SUMIF('Phase II Pro Forma'!$F$73:$Z$73,'Public Benefits'!Y$3,'Phase II Pro Forma'!$F$25:$Z$25)+SUMIF('Phase III Pro Forma'!$F$74:$Z$74,'Public Benefits'!Y$3,'Phase III Pro Forma'!$F$26:$Z$26)</f>
        <v>5377265.2232768666</v>
      </c>
      <c r="Z22" s="76">
        <f>+SUMIF('Phase I Pro Forma'!$F$73:$Z$73,'Public Benefits'!Z$3,'Phase I Pro Forma'!$F$25:$Z$25)+SUMIF('Phase II Pro Forma'!$F$73:$Z$73,'Public Benefits'!Z$3,'Phase II Pro Forma'!$F$25:$Z$25)+SUMIF('Phase III Pro Forma'!$F$74:$Z$74,'Public Benefits'!Z$3,'Phase III Pro Forma'!$F$26:$Z$26)</f>
        <v>5484036.8140099365</v>
      </c>
      <c r="AA22" s="76">
        <f>+SUMIF('Phase I Pro Forma'!$F$73:$Z$73,'Public Benefits'!AA$3,'Phase I Pro Forma'!$F$25:$Z$25)+SUMIF('Phase II Pro Forma'!$F$73:$Z$73,'Public Benefits'!AA$3,'Phase II Pro Forma'!$F$25:$Z$25)+SUMIF('Phase III Pro Forma'!$F$74:$Z$74,'Public Benefits'!AA$3,'Phase III Pro Forma'!$F$26:$Z$26)</f>
        <v>5592943.8365576677</v>
      </c>
      <c r="AB22" s="76"/>
      <c r="AC22" s="76"/>
      <c r="AD22" s="76"/>
      <c r="AE22" s="76"/>
      <c r="AF22" s="76"/>
      <c r="AG22" s="76"/>
      <c r="AH22" s="76"/>
      <c r="AI22" s="76"/>
      <c r="AJ22" s="76"/>
      <c r="AK22" s="76"/>
      <c r="AL22" s="76"/>
      <c r="AM22" s="76"/>
      <c r="AN22" s="76"/>
      <c r="AO22" s="76"/>
      <c r="AP22" s="76"/>
      <c r="AQ22" s="76"/>
      <c r="AR22" s="76"/>
      <c r="AS22" s="76"/>
      <c r="AT22" s="76"/>
      <c r="AU22" s="76"/>
    </row>
    <row r="23" spans="2:47" ht="15.95" customHeight="1">
      <c r="B23" s="15" t="s">
        <v>737</v>
      </c>
      <c r="G23" s="76">
        <f>+G22*AVERAGE(Assumptions!$F$63,Assumptions!$F$67,Assumptions!$F$71,Assumptions!$F$75,Assumptions!$F$79)/AVERAGE(Assumptions!$F$36,Assumptions!$F$40,Assumptions!$F$44,Assumptions!$F$48,Assumptions!$F$52)</f>
        <v>0</v>
      </c>
      <c r="H23" s="76">
        <f>+H22*AVERAGE(Assumptions!$F$63,Assumptions!$F$67,Assumptions!$F$71,Assumptions!$F$75,Assumptions!$F$79)/AVERAGE(Assumptions!$F$36,Assumptions!$F$40,Assumptions!$F$44,Assumptions!$F$48,Assumptions!$F$52)</f>
        <v>0</v>
      </c>
      <c r="I23" s="76">
        <f>+I22*AVERAGE(Assumptions!$F$63,Assumptions!$F$67,Assumptions!$F$71,Assumptions!$F$75,Assumptions!$F$79)/AVERAGE(Assumptions!$F$36,Assumptions!$F$40,Assumptions!$F$44,Assumptions!$F$48,Assumptions!$F$52)</f>
        <v>0</v>
      </c>
      <c r="J23" s="76">
        <f>+J22*AVERAGE(Assumptions!$F$63,Assumptions!$F$67,Assumptions!$F$71,Assumptions!$F$75,Assumptions!$F$79)/AVERAGE(Assumptions!$F$36,Assumptions!$F$40,Assumptions!$F$44,Assumptions!$F$48,Assumptions!$F$52)</f>
        <v>440472.16178624541</v>
      </c>
      <c r="K23" s="76">
        <f>+K22*AVERAGE(Assumptions!$F$63,Assumptions!$F$67,Assumptions!$F$71,Assumptions!$F$75,Assumptions!$F$79)/AVERAGE(Assumptions!$F$36,Assumptions!$F$40,Assumptions!$F$44,Assumptions!$F$48,Assumptions!$F$52)</f>
        <v>3489454.5537136039</v>
      </c>
      <c r="L23" s="76">
        <f>+L22*AVERAGE(Assumptions!$F$63,Assumptions!$F$67,Assumptions!$F$71,Assumptions!$F$75,Assumptions!$F$79)/AVERAGE(Assumptions!$F$36,Assumptions!$F$40,Assumptions!$F$44,Assumptions!$F$48,Assumptions!$F$52)</f>
        <v>6216124.2190130791</v>
      </c>
      <c r="M23" s="76">
        <f>+M22*AVERAGE(Assumptions!$F$63,Assumptions!$F$67,Assumptions!$F$71,Assumptions!$F$75,Assumptions!$F$79)/AVERAGE(Assumptions!$F$36,Assumptions!$F$40,Assumptions!$F$44,Assumptions!$F$48,Assumptions!$F$52)</f>
        <v>8548750.2463597991</v>
      </c>
      <c r="N23" s="76">
        <f>+N22*AVERAGE(Assumptions!$F$63,Assumptions!$F$67,Assumptions!$F$71,Assumptions!$F$75,Assumptions!$F$79)/AVERAGE(Assumptions!$F$36,Assumptions!$F$40,Assumptions!$F$44,Assumptions!$F$48,Assumptions!$F$52)</f>
        <v>10980531.458419941</v>
      </c>
      <c r="O23" s="76">
        <f>+O22*AVERAGE(Assumptions!$F$63,Assumptions!$F$67,Assumptions!$F$71,Assumptions!$F$75,Assumptions!$F$79)/AVERAGE(Assumptions!$F$36,Assumptions!$F$40,Assumptions!$F$44,Assumptions!$F$48,Assumptions!$F$52)</f>
        <v>11228930.708996655</v>
      </c>
      <c r="P23" s="76">
        <f>+P22*AVERAGE(Assumptions!$F$63,Assumptions!$F$67,Assumptions!$F$71,Assumptions!$F$75,Assumptions!$F$79)/AVERAGE(Assumptions!$F$36,Assumptions!$F$40,Assumptions!$F$44,Assumptions!$F$48,Assumptions!$F$52)</f>
        <v>10447536.925463211</v>
      </c>
      <c r="Q23" s="76">
        <f>+Q22*AVERAGE(Assumptions!$F$63,Assumptions!$F$67,Assumptions!$F$71,Assumptions!$F$75,Assumptions!$F$79)/AVERAGE(Assumptions!$F$36,Assumptions!$F$40,Assumptions!$F$44,Assumptions!$F$48,Assumptions!$F$52)</f>
        <v>10654693.652652789</v>
      </c>
      <c r="R23" s="76">
        <f>+R22*AVERAGE(Assumptions!$F$63,Assumptions!$F$67,Assumptions!$F$71,Assumptions!$F$75,Assumptions!$F$79)/AVERAGE(Assumptions!$F$36,Assumptions!$F$40,Assumptions!$F$44,Assumptions!$F$48,Assumptions!$F$52)</f>
        <v>10865993.51438617</v>
      </c>
      <c r="S23" s="76">
        <f>+S22*AVERAGE(Assumptions!$F$63,Assumptions!$F$67,Assumptions!$F$71,Assumptions!$F$75,Assumptions!$F$79)/AVERAGE(Assumptions!$F$36,Assumptions!$F$40,Assumptions!$F$44,Assumptions!$F$48,Assumptions!$F$52)</f>
        <v>11081519.373354206</v>
      </c>
      <c r="T23" s="76">
        <f>+T22*AVERAGE(Assumptions!$F$63,Assumptions!$F$67,Assumptions!$F$71,Assumptions!$F$75,Assumptions!$F$79)/AVERAGE(Assumptions!$F$36,Assumptions!$F$40,Assumptions!$F$44,Assumptions!$F$48,Assumptions!$F$52)</f>
        <v>11301355.749501608</v>
      </c>
      <c r="U23" s="76">
        <f>+U22*AVERAGE(Assumptions!$F$63,Assumptions!$F$67,Assumptions!$F$71,Assumptions!$F$75,Assumptions!$F$79)/AVERAGE(Assumptions!$F$36,Assumptions!$F$40,Assumptions!$F$44,Assumptions!$F$48,Assumptions!$F$52)</f>
        <v>11525588.853171958</v>
      </c>
      <c r="V23" s="76">
        <f>+V22*AVERAGE(Assumptions!$F$63,Assumptions!$F$67,Assumptions!$F$71,Assumptions!$F$75,Assumptions!$F$79)/AVERAGE(Assumptions!$F$36,Assumptions!$F$40,Assumptions!$F$44,Assumptions!$F$48,Assumptions!$F$52)</f>
        <v>11754306.61891572</v>
      </c>
      <c r="W23" s="76">
        <f>+W22*AVERAGE(Assumptions!$F$63,Assumptions!$F$67,Assumptions!$F$71,Assumptions!$F$75,Assumptions!$F$79)/AVERAGE(Assumptions!$F$36,Assumptions!$F$40,Assumptions!$F$44,Assumptions!$F$48,Assumptions!$F$52)</f>
        <v>11987598.739974352</v>
      </c>
      <c r="X23" s="76">
        <f>+X22*AVERAGE(Assumptions!$F$63,Assumptions!$F$67,Assumptions!$F$71,Assumptions!$F$75,Assumptions!$F$79)/AVERAGE(Assumptions!$F$36,Assumptions!$F$40,Assumptions!$F$44,Assumptions!$F$48,Assumptions!$F$52)</f>
        <v>12225556.703454154</v>
      </c>
      <c r="Y23" s="76">
        <f>+Y22*AVERAGE(Assumptions!$F$63,Assumptions!$F$67,Assumptions!$F$71,Assumptions!$F$75,Assumptions!$F$79)/AVERAGE(Assumptions!$F$36,Assumptions!$F$40,Assumptions!$F$44,Assumptions!$F$48,Assumptions!$F$52)</f>
        <v>12468273.826203557</v>
      </c>
      <c r="Z23" s="76">
        <f>+Z22*AVERAGE(Assumptions!$F$63,Assumptions!$F$67,Assumptions!$F$71,Assumptions!$F$75,Assumptions!$F$79)/AVERAGE(Assumptions!$F$36,Assumptions!$F$40,Assumptions!$F$44,Assumptions!$F$48,Assumptions!$F$52)</f>
        <v>12715845.291407945</v>
      </c>
      <c r="AA23" s="76">
        <f>+AA22*AVERAGE(Assumptions!$F$63,Assumptions!$F$67,Assumptions!$F$71,Assumptions!$F$75,Assumptions!$F$79)/AVERAGE(Assumptions!$F$36,Assumptions!$F$40,Assumptions!$F$44,Assumptions!$F$48,Assumptions!$F$52)</f>
        <v>12968368.18591642</v>
      </c>
      <c r="AB23" s="76"/>
      <c r="AC23" s="76"/>
      <c r="AD23" s="76"/>
      <c r="AE23" s="76"/>
      <c r="AF23" s="76"/>
      <c r="AG23" s="76"/>
      <c r="AH23" s="76"/>
      <c r="AI23" s="76"/>
      <c r="AJ23" s="76"/>
      <c r="AK23" s="76"/>
      <c r="AL23" s="76"/>
      <c r="AM23" s="76"/>
      <c r="AN23" s="76"/>
      <c r="AO23" s="76"/>
      <c r="AP23" s="76"/>
      <c r="AQ23" s="76"/>
      <c r="AR23" s="76"/>
      <c r="AS23" s="76"/>
      <c r="AT23" s="76"/>
      <c r="AU23" s="76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  <pageSetUpPr fitToPage="1"/>
  </sheetPr>
  <dimension ref="B1:P151"/>
  <sheetViews>
    <sheetView showGridLines="0" showWhiteSpace="0" view="pageBreakPreview" zoomScale="90" zoomScaleNormal="70" zoomScaleSheetLayoutView="90" workbookViewId="0">
      <selection activeCell="C1" sqref="C1"/>
    </sheetView>
  </sheetViews>
  <sheetFormatPr defaultColWidth="9.140625" defaultRowHeight="14.25" customHeight="1" outlineLevelRow="1"/>
  <cols>
    <col min="1" max="1" width="5" style="186" customWidth="1"/>
    <col min="2" max="2" width="31.42578125" style="110" customWidth="1"/>
    <col min="3" max="3" width="25.85546875" style="110" customWidth="1"/>
    <col min="4" max="4" width="17.85546875" style="119" customWidth="1"/>
    <col min="5" max="5" width="18.42578125" style="110" customWidth="1"/>
    <col min="6" max="6" width="18" style="110" customWidth="1"/>
    <col min="7" max="7" width="20.140625" style="110" customWidth="1"/>
    <col min="8" max="8" width="15.42578125" style="110" bestFit="1" customWidth="1"/>
    <col min="9" max="9" width="16.42578125" style="110" customWidth="1"/>
    <col min="10" max="10" width="17.140625" style="110" customWidth="1"/>
    <col min="11" max="11" width="18.28515625" style="110" customWidth="1"/>
    <col min="12" max="12" width="15.7109375" style="110" customWidth="1"/>
    <col min="13" max="13" width="18.140625" style="110" customWidth="1"/>
    <col min="14" max="14" width="16.85546875" style="110" bestFit="1" customWidth="1"/>
    <col min="15" max="15" width="5.85546875" style="186" customWidth="1"/>
    <col min="16" max="16" width="18" style="186" bestFit="1" customWidth="1"/>
    <col min="17" max="16384" width="9.140625" style="186"/>
  </cols>
  <sheetData>
    <row r="1" spans="2:16" ht="95.25" customHeight="1">
      <c r="D1" s="125"/>
    </row>
    <row r="2" spans="2:16" ht="18.95" customHeight="1">
      <c r="B2" s="153" t="s">
        <v>800</v>
      </c>
      <c r="D2" s="567"/>
    </row>
    <row r="3" spans="2:16" ht="18.95" customHeight="1">
      <c r="B3" s="153"/>
      <c r="D3" s="567"/>
    </row>
    <row r="4" spans="2:16" s="263" customFormat="1" ht="18.95" customHeight="1">
      <c r="B4" s="444" t="s">
        <v>0</v>
      </c>
      <c r="C4" s="445"/>
      <c r="D4" s="445"/>
      <c r="E4" s="447"/>
      <c r="F4" s="446"/>
      <c r="G4" s="446"/>
      <c r="H4" s="446"/>
      <c r="I4" s="832"/>
      <c r="J4" s="832"/>
      <c r="K4" s="832"/>
      <c r="L4" s="832"/>
      <c r="M4" s="832"/>
      <c r="N4" s="832"/>
    </row>
    <row r="5" spans="2:16" ht="18.95" customHeight="1">
      <c r="B5" s="109"/>
      <c r="C5" s="109"/>
      <c r="D5" s="467" t="s">
        <v>1</v>
      </c>
      <c r="F5" s="472" t="s">
        <v>2</v>
      </c>
      <c r="G5" s="130"/>
      <c r="H5" s="478" t="s">
        <v>3</v>
      </c>
      <c r="I5" s="130"/>
      <c r="J5" s="130"/>
      <c r="K5" s="130"/>
      <c r="L5" s="130"/>
      <c r="M5" s="130"/>
      <c r="N5" s="448" t="s">
        <v>4</v>
      </c>
    </row>
    <row r="6" spans="2:16" ht="18.95" customHeight="1">
      <c r="B6" s="556"/>
      <c r="C6" s="556"/>
      <c r="D6" s="468" t="s">
        <v>5</v>
      </c>
      <c r="E6" s="112">
        <v>2022</v>
      </c>
      <c r="F6" s="473">
        <f>E6+1</f>
        <v>2023</v>
      </c>
      <c r="G6" s="112">
        <f t="shared" ref="G6:L6" si="0">F6+1</f>
        <v>2024</v>
      </c>
      <c r="H6" s="479">
        <f t="shared" si="0"/>
        <v>2025</v>
      </c>
      <c r="I6" s="112">
        <f t="shared" si="0"/>
        <v>2026</v>
      </c>
      <c r="J6" s="112">
        <f t="shared" si="0"/>
        <v>2027</v>
      </c>
      <c r="K6" s="112">
        <f t="shared" si="0"/>
        <v>2028</v>
      </c>
      <c r="L6" s="112">
        <f t="shared" si="0"/>
        <v>2029</v>
      </c>
      <c r="M6" s="112">
        <f>L6+1</f>
        <v>2030</v>
      </c>
      <c r="N6" s="449">
        <f>M6+1</f>
        <v>2031</v>
      </c>
    </row>
    <row r="7" spans="2:16" ht="18.95" customHeight="1">
      <c r="B7" s="556"/>
      <c r="C7" s="556"/>
      <c r="D7" s="468">
        <v>2021</v>
      </c>
      <c r="E7" s="112">
        <f>+D7+1</f>
        <v>2022</v>
      </c>
      <c r="F7" s="473">
        <f t="shared" ref="F7:M7" si="1">+E7+1</f>
        <v>2023</v>
      </c>
      <c r="G7" s="112">
        <f t="shared" si="1"/>
        <v>2024</v>
      </c>
      <c r="H7" s="479">
        <f t="shared" si="1"/>
        <v>2025</v>
      </c>
      <c r="I7" s="112">
        <f t="shared" si="1"/>
        <v>2026</v>
      </c>
      <c r="J7" s="112">
        <f t="shared" si="1"/>
        <v>2027</v>
      </c>
      <c r="K7" s="112">
        <f t="shared" si="1"/>
        <v>2028</v>
      </c>
      <c r="L7" s="112">
        <f t="shared" si="1"/>
        <v>2029</v>
      </c>
      <c r="M7" s="112">
        <f t="shared" si="1"/>
        <v>2030</v>
      </c>
      <c r="N7" s="449">
        <f>+M7+1</f>
        <v>2031</v>
      </c>
    </row>
    <row r="8" spans="2:16" ht="18.95" customHeight="1">
      <c r="B8" s="134" t="s">
        <v>6</v>
      </c>
      <c r="C8" s="131"/>
      <c r="D8" s="468"/>
      <c r="E8" s="124"/>
      <c r="F8" s="474"/>
      <c r="G8" s="124"/>
      <c r="H8" s="480"/>
      <c r="I8" s="124"/>
      <c r="J8" s="124"/>
      <c r="K8" s="124"/>
      <c r="L8" s="124"/>
      <c r="M8" s="560"/>
      <c r="N8" s="450"/>
    </row>
    <row r="9" spans="2:16" ht="18.95" customHeight="1">
      <c r="B9" s="137" t="s">
        <v>7</v>
      </c>
      <c r="C9" s="565"/>
      <c r="D9" s="469">
        <f>+SUMIF('Phase I Pro Forma'!$F$6:$Z$6,,'Phase I Pro Forma'!$F$48:$Z$48)+SUMIF('Phase II Pro Forma'!$F$5:$Z$5,'Official Summary'!D$7,'Phase II Pro Forma'!$F$48:$Z$48)+SUMIF('Phase III Pro Forma'!$F$6:$Z$6,'Official Summary'!D$7,'Phase III Pro Forma'!$F$49:$Z$49)</f>
        <v>0</v>
      </c>
      <c r="E9" s="555">
        <f>+SUMIF('Phase I Pro Forma'!$F$6:$Z$6,'Official Summary'!E$7,'Phase I Pro Forma'!$F$48:$Z$48)+SUMIF('Phase II Pro Forma'!$F$5:$Z$5,'Official Summary'!E$7,'Phase II Pro Forma'!$F$48:$Z$48)+SUMIF('Phase III Pro Forma'!$F$6:$Z$6,'Official Summary'!E$7,'Phase III Pro Forma'!$F$49:$Z$49)</f>
        <v>0</v>
      </c>
      <c r="F9" s="475">
        <f>+SUMIF('Phase I Pro Forma'!$F$6:$Z$6,'Official Summary'!F$7,'Phase I Pro Forma'!$F$48:$Z$48)+SUMIF('Phase II Pro Forma'!$F$5:$Z$5,'Official Summary'!F$7,'Phase II Pro Forma'!$F$48:$Z$48)+SUMIF('Phase III Pro Forma'!$F$6:$Z$6,'Official Summary'!F$7,'Phase III Pro Forma'!$F$49:$Z$49)</f>
        <v>0</v>
      </c>
      <c r="G9" s="555">
        <f>+SUMIF('Phase I Pro Forma'!$F$6:$Z$6,'Official Summary'!G$7,'Phase I Pro Forma'!$F$48:$Z$48)+SUMIF('Phase II Pro Forma'!$F$5:$Z$5,'Official Summary'!G$7,'Phase II Pro Forma'!$F$48:$Z$48)+SUMIF('Phase III Pro Forma'!$F$6:$Z$6,'Official Summary'!G$7,'Phase III Pro Forma'!$F$49:$Z$49)</f>
        <v>836965.16953286773</v>
      </c>
      <c r="H9" s="481">
        <f>+SUMIF('Phase I Pro Forma'!$F$6:$Z$6,'Official Summary'!H$7,'Phase I Pro Forma'!$F$48:$Z$48)+SUMIF('Phase II Pro Forma'!$F$5:$Z$5,'Official Summary'!H$7,'Phase II Pro Forma'!$F$48:$Z$48)+SUMIF('Phase III Pro Forma'!$F$6:$Z$6,'Official Summary'!H$7,'Phase III Pro Forma'!$F$49:$Z$49)</f>
        <v>7035391.930576914</v>
      </c>
      <c r="I9" s="555">
        <f>+SUMIF('Phase I Pro Forma'!$F$6:$Z$6,'Official Summary'!I$7,'Phase I Pro Forma'!$F$48:$Z$48)+SUMIF('Phase II Pro Forma'!$F$5:$Z$5,'Official Summary'!I$7,'Phase II Pro Forma'!$F$48:$Z$48)+SUMIF('Phase III Pro Forma'!$F$6:$Z$6,'Official Summary'!I$7,'Phase III Pro Forma'!$F$49:$Z$49)</f>
        <v>12694901.724778054</v>
      </c>
      <c r="J9" s="555">
        <f>+SUMIF('Phase I Pro Forma'!$F$6:$Z$6,'Official Summary'!J$7,'Phase I Pro Forma'!$F$48:$Z$48)+SUMIF('Phase II Pro Forma'!$F$5:$Z$5,'Official Summary'!J$7,'Phase II Pro Forma'!$F$48:$Z$48)+SUMIF('Phase III Pro Forma'!$F$6:$Z$6,'Official Summary'!J$7,'Phase III Pro Forma'!$F$49:$Z$49)</f>
        <v>17467871.869613744</v>
      </c>
      <c r="K9" s="555">
        <f>+SUMIF('Phase I Pro Forma'!$F$6:$Z$6,'Official Summary'!K$7,'Phase I Pro Forma'!$F$48:$Z$48)+SUMIF('Phase II Pro Forma'!$F$5:$Z$5,'Official Summary'!K$7,'Phase II Pro Forma'!$F$48:$Z$48)+SUMIF('Phase III Pro Forma'!$F$6:$Z$6,'Official Summary'!K$7,'Phase III Pro Forma'!$F$49:$Z$49)</f>
        <v>22587361.164852414</v>
      </c>
      <c r="L9" s="555">
        <f>+SUMIF('Phase I Pro Forma'!$F$6:$Z$6,'Official Summary'!L$7,'Phase I Pro Forma'!$F$48:$Z$48)+SUMIF('Phase II Pro Forma'!$F$5:$Z$5,'Official Summary'!L$7,'Phase II Pro Forma'!$F$48:$Z$48)+SUMIF('Phase III Pro Forma'!$F$6:$Z$6,'Official Summary'!L$7,'Phase III Pro Forma'!$F$49:$Z$49)</f>
        <v>23348230.001115575</v>
      </c>
      <c r="M9" s="555">
        <f>+SUMIF('Phase I Pro Forma'!$F$6:$Z$6,'Official Summary'!M$7,'Phase I Pro Forma'!$F$48:$Z$48)+SUMIF('Phase II Pro Forma'!$F$5:$Z$5,'Official Summary'!M$7,'Phase II Pro Forma'!$F$48:$Z$48)+SUMIF('Phase III Pro Forma'!$F$6:$Z$6,'Official Summary'!M$7,'Phase III Pro Forma'!$F$49:$Z$49)</f>
        <v>24101598.847318996</v>
      </c>
      <c r="N9" s="451">
        <f>+SUMIF('Phase I Pro Forma'!$F$6:$Z$6,'Official Summary'!N$7,'Phase I Pro Forma'!$F$48:$Z$48)+SUMIF('Phase II Pro Forma'!$F$5:$Z$5,'Official Summary'!N$7,'Phase II Pro Forma'!$F$48:$Z$48)+SUMIF('Phase III Pro Forma'!$F$6:$Z$6,'Official Summary'!N$7,'Phase III Pro Forma'!$F$49:$Z$49)</f>
        <v>24907273.208276875</v>
      </c>
    </row>
    <row r="10" spans="2:16" ht="18.95" customHeight="1">
      <c r="B10" s="137" t="s">
        <v>8</v>
      </c>
      <c r="C10" s="565"/>
      <c r="D10" s="470" t="s">
        <v>9</v>
      </c>
      <c r="E10" s="127" t="s">
        <v>9</v>
      </c>
      <c r="F10" s="476" t="s">
        <v>9</v>
      </c>
      <c r="G10" s="127" t="s">
        <v>9</v>
      </c>
      <c r="H10" s="482" t="s">
        <v>9</v>
      </c>
      <c r="I10" s="127" t="s">
        <v>9</v>
      </c>
      <c r="J10" s="127" t="s">
        <v>9</v>
      </c>
      <c r="K10" s="127" t="s">
        <v>9</v>
      </c>
      <c r="L10" s="127" t="s">
        <v>9</v>
      </c>
      <c r="M10" s="127" t="s">
        <v>9</v>
      </c>
      <c r="N10" s="452" t="s">
        <v>9</v>
      </c>
    </row>
    <row r="11" spans="2:16" ht="18.95" customHeight="1">
      <c r="B11" s="137" t="s">
        <v>10</v>
      </c>
      <c r="C11" s="565"/>
      <c r="D11" s="470" t="s">
        <v>9</v>
      </c>
      <c r="E11" s="127" t="s">
        <v>9</v>
      </c>
      <c r="F11" s="476" t="s">
        <v>9</v>
      </c>
      <c r="G11" s="127" t="s">
        <v>9</v>
      </c>
      <c r="H11" s="482" t="s">
        <v>9</v>
      </c>
      <c r="I11" s="127" t="s">
        <v>9</v>
      </c>
      <c r="J11" s="127" t="s">
        <v>9</v>
      </c>
      <c r="K11" s="127" t="s">
        <v>9</v>
      </c>
      <c r="L11" s="127" t="s">
        <v>9</v>
      </c>
      <c r="M11" s="127" t="s">
        <v>9</v>
      </c>
      <c r="N11" s="452" t="s">
        <v>9</v>
      </c>
    </row>
    <row r="12" spans="2:16" ht="18.95" customHeight="1">
      <c r="B12" s="137" t="s">
        <v>11</v>
      </c>
      <c r="C12" s="565"/>
      <c r="D12" s="470">
        <f>+SUMIF('Phase I Pro Forma'!$F$6:$Z$6,'Official Summary'!D$7,'Phase I Pro Forma'!$F$25:$Z$25)+SUMIF('Phase II Pro Forma'!$F$5:$Z$5,'Official Summary'!D$7,'Phase II Pro Forma'!$F$25:$Z$25)+SUMIF('Phase III Pro Forma'!$F$6:$Z$6,'Official Summary'!D$7,'Phase III Pro Forma'!$F$26:$Z$26)</f>
        <v>0</v>
      </c>
      <c r="E12" s="127">
        <f>+SUMIF('Phase I Pro Forma'!$F$6:$Z$6,'Official Summary'!E$7,'Phase I Pro Forma'!$F$25:$Z$25)+SUMIF('Phase II Pro Forma'!$F$5:$Z$5,'Official Summary'!E$7,'Phase II Pro Forma'!$F$25:$Z$25)+SUMIF('Phase III Pro Forma'!$F$6:$Z$6,'Official Summary'!E$7,'Phase III Pro Forma'!$F$26:$Z$26)</f>
        <v>0</v>
      </c>
      <c r="F12" s="476">
        <f>+SUMIF('Phase I Pro Forma'!$F$6:$Z$6,'Official Summary'!F$7,'Phase I Pro Forma'!$F$25:$Z$25)+SUMIF('Phase II Pro Forma'!$F$5:$Z$5,'Official Summary'!F$7,'Phase II Pro Forma'!$F$25:$Z$25)+SUMIF('Phase III Pro Forma'!$F$6:$Z$6,'Official Summary'!F$7,'Phase III Pro Forma'!$F$26:$Z$26)</f>
        <v>0</v>
      </c>
      <c r="G12" s="127">
        <f>+SUMIF('Phase I Pro Forma'!$F$6:$Z$6,'Official Summary'!G$7,'Phase I Pro Forma'!$F$25:$Z$25)+SUMIF('Phase II Pro Forma'!$F$5:$Z$5,'Official Summary'!G$7,'Phase II Pro Forma'!$F$25:$Z$25)+SUMIF('Phase III Pro Forma'!$F$6:$Z$6,'Official Summary'!G$7,'Phase III Pro Forma'!$F$26:$Z$26)</f>
        <v>189965</v>
      </c>
      <c r="H12" s="482">
        <f>+SUMIF('Phase I Pro Forma'!$F$6:$Z$6,'Official Summary'!H$7,'Phase I Pro Forma'!$F$25:$Z$25)+SUMIF('Phase II Pro Forma'!$F$5:$Z$5,'Official Summary'!H$7,'Phase II Pro Forma'!$F$25:$Z$25)+SUMIF('Phase III Pro Forma'!$F$6:$Z$6,'Official Summary'!H$7,'Phase III Pro Forma'!$F$26:$Z$26)</f>
        <v>1504917.4313492435</v>
      </c>
      <c r="I12" s="127">
        <f>+SUMIF('Phase I Pro Forma'!$F$6:$Z$6,'Official Summary'!I$7,'Phase I Pro Forma'!$F$25:$Z$25)+SUMIF('Phase II Pro Forma'!$F$5:$Z$5,'Official Summary'!I$7,'Phase II Pro Forma'!$F$25:$Z$25)+SUMIF('Phase III Pro Forma'!$F$6:$Z$6,'Official Summary'!I$7,'Phase III Pro Forma'!$F$26:$Z$26)</f>
        <v>2680864.1719289101</v>
      </c>
      <c r="J12" s="127">
        <f>+SUMIF('Phase I Pro Forma'!$F$6:$Z$6,'Official Summary'!J$7,'Phase I Pro Forma'!$F$25:$Z$25)+SUMIF('Phase II Pro Forma'!$F$5:$Z$5,'Official Summary'!J$7,'Phase II Pro Forma'!$F$25:$Z$25)+SUMIF('Phase III Pro Forma'!$F$6:$Z$6,'Official Summary'!J$7,'Phase III Pro Forma'!$F$26:$Z$26)</f>
        <v>3686869.4129592343</v>
      </c>
      <c r="K12" s="127">
        <f>+SUMIF('Phase I Pro Forma'!$F$6:$Z$6,'Official Summary'!K$7,'Phase I Pro Forma'!$F$25:$Z$25)+SUMIF('Phase II Pro Forma'!$F$5:$Z$5,'Official Summary'!K$7,'Phase II Pro Forma'!$F$25:$Z$25)+SUMIF('Phase III Pro Forma'!$F$6:$Z$6,'Official Summary'!K$7,'Phase III Pro Forma'!$F$26:$Z$26)</f>
        <v>4735637.8892135499</v>
      </c>
      <c r="L12" s="127">
        <f>+SUMIF('Phase I Pro Forma'!$F$6:$Z$6,'Official Summary'!L$7,'Phase I Pro Forma'!$F$25:$Z$25)+SUMIF('Phase II Pro Forma'!$F$5:$Z$5,'Official Summary'!L$7,'Phase II Pro Forma'!$F$25:$Z$25)+SUMIF('Phase III Pro Forma'!$F$6:$Z$6,'Official Summary'!L$7,'Phase III Pro Forma'!$F$26:$Z$26)</f>
        <v>4842766.4837754574</v>
      </c>
      <c r="M12" s="127">
        <f>+SUMIF('Phase I Pro Forma'!$F$6:$Z$6,'Official Summary'!M$7,'Phase I Pro Forma'!$F$25:$Z$25)+SUMIF('Phase II Pro Forma'!$F$5:$Z$5,'Official Summary'!M$7,'Phase II Pro Forma'!$F$25:$Z$25)+SUMIF('Phase III Pro Forma'!$F$6:$Z$6,'Official Summary'!M$7,'Phase III Pro Forma'!$F$26:$Z$26)</f>
        <v>4923952.2261981955</v>
      </c>
      <c r="N12" s="452">
        <f>+SUMIF('Phase I Pro Forma'!$F$6:$Z$6,'Official Summary'!N$7,'Phase I Pro Forma'!$F$25:$Z$25)+SUMIF('Phase II Pro Forma'!$F$5:$Z$5,'Official Summary'!N$7,'Phase II Pro Forma'!$F$25:$Z$25)+SUMIF('Phase III Pro Forma'!$F$6:$Z$6,'Official Summary'!N$7,'Phase III Pro Forma'!$F$26:$Z$26)</f>
        <v>5023044.9169896906</v>
      </c>
    </row>
    <row r="13" spans="2:16" ht="18.95" customHeight="1">
      <c r="B13" s="137" t="s">
        <v>12</v>
      </c>
      <c r="C13" s="565"/>
      <c r="D13" s="470" t="s">
        <v>9</v>
      </c>
      <c r="E13" s="127" t="s">
        <v>9</v>
      </c>
      <c r="F13" s="476" t="s">
        <v>9</v>
      </c>
      <c r="G13" s="127" t="s">
        <v>9</v>
      </c>
      <c r="H13" s="482" t="s">
        <v>9</v>
      </c>
      <c r="I13" s="127" t="s">
        <v>9</v>
      </c>
      <c r="J13" s="127" t="s">
        <v>9</v>
      </c>
      <c r="K13" s="127" t="s">
        <v>9</v>
      </c>
      <c r="L13" s="127" t="s">
        <v>9</v>
      </c>
      <c r="M13" s="127" t="s">
        <v>9</v>
      </c>
      <c r="N13" s="452" t="s">
        <v>9</v>
      </c>
    </row>
    <row r="14" spans="2:16" ht="18.95" customHeight="1">
      <c r="B14" s="844" t="s">
        <v>13</v>
      </c>
      <c r="C14" s="844"/>
      <c r="D14" s="470">
        <f>+SUMIF('Phase I Pro Forma'!$F$6:$Z$6,'Official Summary'!D$7,'Phase I Pro Forma'!$F$111:$Z$111)+SUMIF('Phase II Pro Forma'!$F$5:$Z$5,'Official Summary'!D$7,'Phase II Pro Forma'!$F$111:$Z$111)+SUMIF('Phase III Pro Forma'!$F$6:$Z$6,'Official Summary'!D$7,'Phase III Pro Forma'!$F$112:$Z$112)</f>
        <v>0</v>
      </c>
      <c r="E14" s="127">
        <f>+SUMIF('Phase I Pro Forma'!$F$6:$Z$6,'Official Summary'!E$7,'Phase I Pro Forma'!$F$111:$Z$111)+SUMIF('Phase II Pro Forma'!$F$5:$Z$5,'Official Summary'!E$7,'Phase II Pro Forma'!$F$111:$Z$111)+SUMIF('Phase III Pro Forma'!$F$6:$Z$6,'Official Summary'!E$7,'Phase III Pro Forma'!$F$112:$Z$112)</f>
        <v>0</v>
      </c>
      <c r="F14" s="476">
        <f>+SUMIF('Phase I Pro Forma'!$F$6:$Z$6,'Official Summary'!F$7,'Phase I Pro Forma'!$F$111:$Z$111)+SUMIF('Phase II Pro Forma'!$F$5:$Z$5,'Official Summary'!F$7,'Phase II Pro Forma'!$F$111:$Z$111)+SUMIF('Phase III Pro Forma'!$F$6:$Z$6,'Official Summary'!F$7,'Phase III Pro Forma'!$F$112:$Z$112)</f>
        <v>0</v>
      </c>
      <c r="G14" s="127">
        <f>+SUMIF('Phase I Pro Forma'!$F$6:$Z$6,'Official Summary'!G$7,'Phase I Pro Forma'!$F$111:$Z$111)+SUMIF('Phase II Pro Forma'!$F$5:$Z$5,'Official Summary'!G$7,'Phase II Pro Forma'!$F$111:$Z$111)+SUMIF('Phase III Pro Forma'!$F$6:$Z$6,'Official Summary'!G$7,'Phase III Pro Forma'!$F$112:$Z$112)</f>
        <v>7678517.8099999987</v>
      </c>
      <c r="H14" s="482">
        <f>+SUMIF('Phase I Pro Forma'!$F$6:$Z$6,'Official Summary'!H$7,'Phase I Pro Forma'!$F$111:$Z$111)+SUMIF('Phase II Pro Forma'!$F$5:$Z$5,'Official Summary'!H$7,'Phase II Pro Forma'!$F$111:$Z$111)+SUMIF('Phase III Pro Forma'!$F$6:$Z$6,'Official Summary'!H$7,'Phase III Pro Forma'!$F$112:$Z$112)</f>
        <v>21265016.112598196</v>
      </c>
      <c r="I14" s="127">
        <f>+SUMIF('Phase I Pro Forma'!$F$6:$Z$6,'Official Summary'!I$7,'Phase I Pro Forma'!$F$111:$Z$111)+SUMIF('Phase II Pro Forma'!$F$5:$Z$5,'Official Summary'!I$7,'Phase II Pro Forma'!$F$111:$Z$111)+SUMIF('Phase III Pro Forma'!$F$6:$Z$6,'Official Summary'!I$7,'Phase III Pro Forma'!$F$112:$Z$112)</f>
        <v>27117679.509347647</v>
      </c>
      <c r="J14" s="127">
        <f>+SUMIF('Phase I Pro Forma'!$F$6:$Z$6,'Official Summary'!J$7,'Phase I Pro Forma'!$F$111:$Z$111)+SUMIF('Phase II Pro Forma'!$F$5:$Z$5,'Official Summary'!J$7,'Phase II Pro Forma'!$F$111:$Z$111)+SUMIF('Phase III Pro Forma'!$F$6:$Z$6,'Official Summary'!J$7,'Phase III Pro Forma'!$F$112:$Z$112)</f>
        <v>28362504.359620046</v>
      </c>
      <c r="K14" s="127">
        <f>+SUMIF('Phase I Pro Forma'!$F$6:$Z$6,'Official Summary'!K$7,'Phase I Pro Forma'!$F$111:$Z$111)+SUMIF('Phase II Pro Forma'!$F$5:$Z$5,'Official Summary'!K$7,'Phase II Pro Forma'!$F$111:$Z$111)+SUMIF('Phase III Pro Forma'!$F$6:$Z$6,'Official Summary'!K$7,'Phase III Pro Forma'!$F$112:$Z$112)</f>
        <v>29651764.585230686</v>
      </c>
      <c r="L14" s="127">
        <f>+SUMIF('Phase I Pro Forma'!$F$6:$Z$6,'Official Summary'!L$7,'Phase I Pro Forma'!$F$111:$Z$111)+SUMIF('Phase II Pro Forma'!$F$5:$Z$5,'Official Summary'!L$7,'Phase II Pro Forma'!$F$111:$Z$111)+SUMIF('Phase III Pro Forma'!$F$6:$Z$6,'Official Summary'!L$7,'Phase III Pro Forma'!$F$112:$Z$112)</f>
        <v>29697330.834829286</v>
      </c>
      <c r="M14" s="127">
        <f>+SUMIF('Phase I Pro Forma'!$F$6:$Z$6,'Official Summary'!M$7,'Phase I Pro Forma'!$F$111:$Z$111)+SUMIF('Phase II Pro Forma'!$F$5:$Z$5,'Official Summary'!M$7,'Phase II Pro Forma'!$F$111:$Z$111)+SUMIF('Phase III Pro Forma'!$F$6:$Z$6,'Official Summary'!M$7,'Phase III Pro Forma'!$F$112:$Z$112)</f>
        <v>29744830.289419852</v>
      </c>
      <c r="N14" s="452">
        <f>+SUMIF('Phase I Pro Forma'!$F$6:$Z$6,'Official Summary'!N$7,'Phase I Pro Forma'!$F$111:$Z$111)+SUMIF('Phase II Pro Forma'!$F$5:$Z$5,'Official Summary'!N$7,'Phase II Pro Forma'!$F$111:$Z$111)+SUMIF('Phase III Pro Forma'!$F$6:$Z$6,'Official Summary'!N$7,'Phase III Pro Forma'!$F$112:$Z$112)</f>
        <v>29848958.433102235</v>
      </c>
      <c r="P14" s="400"/>
    </row>
    <row r="15" spans="2:16" ht="18.95" customHeight="1">
      <c r="B15" s="844" t="s">
        <v>14</v>
      </c>
      <c r="C15" s="844"/>
      <c r="D15" s="470">
        <f>+SUMIF('Phase I Pro Forma'!$F$6:$Z$6,'Official Summary'!D$7,'Phase I Pro Forma'!$F$69:$Z$69)+SUMIF('Phase II Pro Forma'!$F$5:$Z$5,'Official Summary'!D$7,'Phase II Pro Forma'!$F$69:$Z$69)+SUMIF('Phase III Pro Forma'!$F$6:$Z$6,'Official Summary'!D$7,'Phase III Pro Forma'!$F$70:$Z$70)</f>
        <v>0</v>
      </c>
      <c r="E15" s="127">
        <f>+SUMIF('Phase I Pro Forma'!$F$6:$Z$6,'Official Summary'!E$7,'Phase I Pro Forma'!$F$69:$Z$69)+SUMIF('Phase II Pro Forma'!$F$5:$Z$5,'Official Summary'!E$7,'Phase II Pro Forma'!$F$69:$Z$69)+SUMIF('Phase III Pro Forma'!$F$6:$Z$6,'Official Summary'!E$7,'Phase III Pro Forma'!$F$70:$Z$70)</f>
        <v>0</v>
      </c>
      <c r="F15" s="476">
        <f>+SUMIF('Phase I Pro Forma'!$F$6:$Z$6,'Official Summary'!F$7,'Phase I Pro Forma'!$F$69:$Z$69)+SUMIF('Phase II Pro Forma'!$F$5:$Z$5,'Official Summary'!F$7,'Phase II Pro Forma'!$F$69:$Z$69)+SUMIF('Phase III Pro Forma'!$F$6:$Z$6,'Official Summary'!F$7,'Phase III Pro Forma'!$F$70:$Z$70)</f>
        <v>0</v>
      </c>
      <c r="G15" s="127">
        <f>+SUMIF('Phase I Pro Forma'!$F$6:$Z$6,'Official Summary'!G$7,'Phase I Pro Forma'!$F$69:$Z$69)+SUMIF('Phase II Pro Forma'!$F$5:$Z$5,'Official Summary'!G$7,'Phase II Pro Forma'!$F$69:$Z$69)+SUMIF('Phase III Pro Forma'!$F$6:$Z$6,'Official Summary'!G$7,'Phase III Pro Forma'!$F$70:$Z$70)</f>
        <v>2386765.8654088001</v>
      </c>
      <c r="H15" s="482">
        <f>+SUMIF('Phase I Pro Forma'!$F$6:$Z$6,'Official Summary'!H$7,'Phase I Pro Forma'!$F$69:$Z$69)+SUMIF('Phase II Pro Forma'!$F$5:$Z$5,'Official Summary'!H$7,'Phase II Pro Forma'!$F$69:$Z$69)+SUMIF('Phase III Pro Forma'!$F$6:$Z$6,'Official Summary'!H$7,'Phase III Pro Forma'!$F$70:$Z$70)</f>
        <v>10071408.882869229</v>
      </c>
      <c r="I15" s="127">
        <f>+SUMIF('Phase I Pro Forma'!$F$6:$Z$6,'Official Summary'!I$7,'Phase I Pro Forma'!$F$69:$Z$69)+SUMIF('Phase II Pro Forma'!$F$5:$Z$5,'Official Summary'!I$7,'Phase II Pro Forma'!$F$69:$Z$69)+SUMIF('Phase III Pro Forma'!$F$6:$Z$6,'Official Summary'!I$7,'Phase III Pro Forma'!$F$70:$Z$70)</f>
        <v>13551280.216617895</v>
      </c>
      <c r="J15" s="127">
        <f>+SUMIF('Phase I Pro Forma'!$F$6:$Z$6,'Official Summary'!J$7,'Phase I Pro Forma'!$F$69:$Z$69)+SUMIF('Phase II Pro Forma'!$F$5:$Z$5,'Official Summary'!J$7,'Phase II Pro Forma'!$F$69:$Z$69)+SUMIF('Phase III Pro Forma'!$F$6:$Z$6,'Official Summary'!J$7,'Phase III Pro Forma'!$F$70:$Z$70)</f>
        <v>15233702.379348367</v>
      </c>
      <c r="K15" s="127">
        <f>+SUMIF('Phase I Pro Forma'!$F$6:$Z$6,'Official Summary'!K$7,'Phase I Pro Forma'!$F$69:$Z$69)+SUMIF('Phase II Pro Forma'!$F$5:$Z$5,'Official Summary'!K$7,'Phase II Pro Forma'!$F$69:$Z$69)+SUMIF('Phase III Pro Forma'!$F$6:$Z$6,'Official Summary'!K$7,'Phase III Pro Forma'!$F$70:$Z$70)</f>
        <v>17245813.682335295</v>
      </c>
      <c r="L15" s="127">
        <f>+SUMIF('Phase I Pro Forma'!$F$6:$Z$6,'Official Summary'!L$7,'Phase I Pro Forma'!$F$69:$Z$69)+SUMIF('Phase II Pro Forma'!$F$5:$Z$5,'Official Summary'!L$7,'Phase II Pro Forma'!$F$69:$Z$69)+SUMIF('Phase III Pro Forma'!$F$6:$Z$6,'Official Summary'!L$7,'Phase III Pro Forma'!$F$70:$Z$70)</f>
        <v>17266165.82104072</v>
      </c>
      <c r="M15" s="127">
        <f>+SUMIF('Phase I Pro Forma'!$F$6:$Z$6,'Official Summary'!M$7,'Phase I Pro Forma'!$F$69:$Z$69)+SUMIF('Phase II Pro Forma'!$F$5:$Z$5,'Official Summary'!M$7,'Phase II Pro Forma'!$F$69:$Z$69)+SUMIF('Phase III Pro Forma'!$F$6:$Z$6,'Official Summary'!M$7,'Phase III Pro Forma'!$F$70:$Z$70)</f>
        <v>17546047.23308485</v>
      </c>
      <c r="N15" s="452">
        <f>+SUMIF('Phase I Pro Forma'!$F$6:$Z$6,'Official Summary'!N$7,'Phase I Pro Forma'!$F$69:$Z$69)+SUMIF('Phase II Pro Forma'!$F$5:$Z$5,'Official Summary'!N$7,'Phase II Pro Forma'!$F$69:$Z$69)+SUMIF('Phase III Pro Forma'!$F$6:$Z$6,'Official Summary'!N$7,'Phase III Pro Forma'!$F$70:$Z$70)</f>
        <v>17592602.305165127</v>
      </c>
    </row>
    <row r="16" spans="2:16" ht="18.95" customHeight="1">
      <c r="B16" s="565" t="s">
        <v>769</v>
      </c>
      <c r="C16" s="138"/>
      <c r="D16" s="470">
        <f>+SUMIF('Phase I Pro Forma'!$F$6:$Z$6,'Official Summary'!D$7,'Phase I Pro Forma'!$F$90:$Z$90)+SUMIF('Phase II Pro Forma'!$F$5:$Z$5,'Official Summary'!D$7,'Phase II Pro Forma'!$F$90:$Z$90)+SUMIF('Phase III Pro Forma'!$F$6:$Z$6,'Official Summary'!D$7,'Phase III Pro Forma'!$F$91:$Z$91)</f>
        <v>0</v>
      </c>
      <c r="E16" s="127">
        <f ca="1">+SUMIF('Phase I Pro Forma'!$F$6:$Z$6,'Official Summary'!E$7,'Phase I Pro Forma'!$F$90:$Z$90)+SUMIF('Phase II Pro Forma'!$F$5:$Z$5,'Official Summary'!E$7,'Phase II Pro Forma'!$F$90:$Z$90)+SUMIF('Phase III Pro Forma'!$F$6:$Z$6,'Official Summary'!E$7,'Phase III Pro Forma'!$F$91:$Z$91)</f>
        <v>0</v>
      </c>
      <c r="F16" s="476">
        <f ca="1">+SUMIF('Phase I Pro Forma'!$F$6:$Z$6,'Official Summary'!F$7,'Phase I Pro Forma'!$F$90:$Z$90)+SUMIF('Phase II Pro Forma'!$F$5:$Z$5,'Official Summary'!F$7,'Phase II Pro Forma'!$F$90:$Z$90)+SUMIF('Phase III Pro Forma'!$F$6:$Z$6,'Official Summary'!F$7,'Phase III Pro Forma'!$F$91:$Z$91)</f>
        <v>0</v>
      </c>
      <c r="G16" s="127">
        <f ca="1">+SUMIF('Phase I Pro Forma'!$F$6:$Z$6,'Official Summary'!G$7,'Phase I Pro Forma'!$F$90:$Z$90)+SUMIF('Phase II Pro Forma'!$F$5:$Z$5,'Official Summary'!G$7,'Phase II Pro Forma'!$F$90:$Z$90)+SUMIF('Phase III Pro Forma'!$F$6:$Z$6,'Official Summary'!G$7,'Phase III Pro Forma'!$F$91:$Z$91)</f>
        <v>595768.75</v>
      </c>
      <c r="H16" s="482">
        <f ca="1">+SUMIF('Phase I Pro Forma'!$F$6:$Z$6,'Official Summary'!H$7,'Phase I Pro Forma'!$F$90:$Z$90)+SUMIF('Phase II Pro Forma'!$F$5:$Z$5,'Official Summary'!H$7,'Phase II Pro Forma'!$F$90:$Z$90)+SUMIF('Phase III Pro Forma'!$F$6:$Z$6,'Official Summary'!H$7,'Phase III Pro Forma'!$F$91:$Z$91)</f>
        <v>1191537.5</v>
      </c>
      <c r="I16" s="127">
        <f ca="1">+SUMIF('Phase I Pro Forma'!$F$6:$Z$6,'Official Summary'!I$7,'Phase I Pro Forma'!$F$90:$Z$90)+SUMIF('Phase II Pro Forma'!$F$5:$Z$5,'Official Summary'!I$7,'Phase II Pro Forma'!$F$90:$Z$90)+SUMIF('Phase III Pro Forma'!$F$6:$Z$6,'Official Summary'!I$7,'Phase III Pro Forma'!$F$91:$Z$91)</f>
        <v>1191537.5</v>
      </c>
      <c r="J16" s="127">
        <f ca="1">+SUMIF('Phase I Pro Forma'!$F$6:$Z$6,'Official Summary'!J$7,'Phase I Pro Forma'!$F$90:$Z$90)+SUMIF('Phase II Pro Forma'!$F$5:$Z$5,'Official Summary'!J$7,'Phase II Pro Forma'!$F$90:$Z$90)+SUMIF('Phase III Pro Forma'!$F$6:$Z$6,'Official Summary'!J$7,'Phase III Pro Forma'!$F$91:$Z$91)</f>
        <v>1622611.875</v>
      </c>
      <c r="K16" s="127">
        <f ca="1">+SUMIF('Phase I Pro Forma'!$F$6:$Z$6,'Official Summary'!K$7,'Phase I Pro Forma'!$F$90:$Z$90)+SUMIF('Phase II Pro Forma'!$F$5:$Z$5,'Official Summary'!K$7,'Phase II Pro Forma'!$F$90:$Z$90)+SUMIF('Phase III Pro Forma'!$F$6:$Z$6,'Official Summary'!K$7,'Phase III Pro Forma'!$F$91:$Z$91)</f>
        <v>1994109.3750000002</v>
      </c>
      <c r="L16" s="127">
        <f ca="1">+SUMIF('Phase I Pro Forma'!$F$6:$Z$6,'Official Summary'!L$7,'Phase I Pro Forma'!$F$90:$Z$90)+SUMIF('Phase II Pro Forma'!$F$5:$Z$5,'Official Summary'!L$7,'Phase II Pro Forma'!$F$90:$Z$90)+SUMIF('Phase III Pro Forma'!$F$6:$Z$6,'Official Summary'!L$7,'Phase III Pro Forma'!$F$91:$Z$91)</f>
        <v>1994109.3750000005</v>
      </c>
      <c r="M16" s="127">
        <f ca="1">+SUMIF('Phase I Pro Forma'!$F$6:$Z$6,'Official Summary'!M$7,'Phase I Pro Forma'!$F$90:$Z$90)+SUMIF('Phase II Pro Forma'!$F$5:$Z$5,'Official Summary'!M$7,'Phase II Pro Forma'!$F$90:$Z$90)+SUMIF('Phase III Pro Forma'!$F$6:$Z$6,'Official Summary'!M$7,'Phase III Pro Forma'!$F$91:$Z$91)</f>
        <v>2031259.1250000002</v>
      </c>
      <c r="N16" s="452">
        <f ca="1">+SUMIF('Phase I Pro Forma'!$F$6:$Z$6,'Official Summary'!N$7,'Phase I Pro Forma'!$F$90:$Z$90)+SUMIF('Phase II Pro Forma'!$F$5:$Z$5,'Official Summary'!N$7,'Phase II Pro Forma'!$F$90:$Z$90)+SUMIF('Phase III Pro Forma'!$F$6:$Z$6,'Official Summary'!N$7,'Phase III Pro Forma'!$F$91:$Z$91)</f>
        <v>2031259.125</v>
      </c>
    </row>
    <row r="17" spans="2:14" ht="18.95" customHeight="1">
      <c r="B17" s="565" t="s">
        <v>16</v>
      </c>
      <c r="C17" s="565"/>
      <c r="D17" s="470">
        <v>0</v>
      </c>
      <c r="E17" s="127">
        <v>0</v>
      </c>
      <c r="F17" s="476">
        <v>0</v>
      </c>
      <c r="G17" s="127">
        <f ca="1">'Phase I Pro Forma'!I205</f>
        <v>1623774.8996631454</v>
      </c>
      <c r="H17" s="482">
        <f ca="1">'Phase I Pro Forma'!J205</f>
        <v>1650469.7137109479</v>
      </c>
      <c r="I17" s="127">
        <f ca="1">'Phase I Pro Forma'!K205</f>
        <v>1907359.776791367</v>
      </c>
      <c r="J17" s="127">
        <f ca="1">'Phase I Pro Forma'!M205</f>
        <v>2025134.5087664351</v>
      </c>
      <c r="K17" s="127">
        <f ca="1">'Phase I Pro Forma'!N205</f>
        <v>2106354.5959344609</v>
      </c>
      <c r="L17" s="127">
        <f>2106355*1.02</f>
        <v>2148482.1</v>
      </c>
      <c r="M17" s="127">
        <f ca="1">'Phase I Pro Forma'!P205</f>
        <v>2232983.0665427642</v>
      </c>
      <c r="N17" s="452">
        <f ca="1">'Phase I Pro Forma'!Q205</f>
        <v>2319174.472806171</v>
      </c>
    </row>
    <row r="18" spans="2:14" ht="18.95" customHeight="1">
      <c r="B18" s="565" t="s">
        <v>29</v>
      </c>
      <c r="C18" s="565"/>
      <c r="D18" s="470">
        <f>+SUMIF('Phase I Pro Forma'!$F$6:$Z$6,'Official Summary'!D$7,'Phase I Pro Forma'!$F$133:$Z$133)+SUMIF('Phase II Pro Forma'!$F$5:$Z$5,'Official Summary'!D$7,'Phase II Pro Forma'!$F$133:$Z$133)+SUMIF('Phase III Pro Forma'!$F$6:$Z$6,'Official Summary'!D$7,'Phase III Pro Forma'!$F$134:$Z$134)</f>
        <v>0</v>
      </c>
      <c r="E18" s="127">
        <f>+SUMIF('Phase I Pro Forma'!$F$6:$Z$6,'Official Summary'!E$7,'Phase I Pro Forma'!$F$133:$Z$133)+SUMIF('Phase II Pro Forma'!$F$5:$Z$5,'Official Summary'!E$7,'Phase II Pro Forma'!$F$133:$Z$133)+SUMIF('Phase III Pro Forma'!$F$6:$Z$6,'Official Summary'!E$7,'Phase III Pro Forma'!$F$134:$Z$134)</f>
        <v>0</v>
      </c>
      <c r="F18" s="476">
        <f>+SUMIF('Phase I Pro Forma'!$F$6:$Z$6,'Official Summary'!F$7,'Phase I Pro Forma'!$F$133:$Z$133)+SUMIF('Phase II Pro Forma'!$F$5:$Z$5,'Official Summary'!F$7,'Phase II Pro Forma'!$F$133:$Z$133)+SUMIF('Phase III Pro Forma'!$F$6:$Z$6,'Official Summary'!F$7,'Phase III Pro Forma'!$F$134:$Z$134)</f>
        <v>0</v>
      </c>
      <c r="G18" s="127">
        <f>+SUMIF('Phase I Pro Forma'!$F$6:$Z$6,'Official Summary'!G$7,'Phase I Pro Forma'!$F$133:$Z$133)+SUMIF('Phase II Pro Forma'!$F$5:$Z$5,'Official Summary'!G$7,'Phase II Pro Forma'!$F$133:$Z$133)+SUMIF('Phase III Pro Forma'!$F$6:$Z$6,'Official Summary'!G$7,'Phase III Pro Forma'!$F$134:$Z$134)</f>
        <v>801973.77004674985</v>
      </c>
      <c r="H18" s="482">
        <f>+SUMIF('Phase I Pro Forma'!$F$6:$Z$6,'Official Summary'!H$7,'Phase I Pro Forma'!$F$133:$Z$133)+SUMIF('Phase II Pro Forma'!$F$5:$Z$5,'Official Summary'!H$7,'Phase II Pro Forma'!$F$133:$Z$133)+SUMIF('Phase III Pro Forma'!$F$6:$Z$6,'Official Summary'!H$7,'Phase III Pro Forma'!$F$134:$Z$134)</f>
        <v>2023476.0682778908</v>
      </c>
      <c r="I18" s="127">
        <f>+SUMIF('Phase I Pro Forma'!$F$6:$Z$6,'Official Summary'!I$7,'Phase I Pro Forma'!$F$133:$Z$133)+SUMIF('Phase II Pro Forma'!$F$5:$Z$5,'Official Summary'!I$7,'Phase II Pro Forma'!$F$133:$Z$133)+SUMIF('Phase III Pro Forma'!$F$6:$Z$6,'Official Summary'!I$7,'Phase III Pro Forma'!$F$134:$Z$134)</f>
        <v>2461216.0844508307</v>
      </c>
      <c r="J18" s="127">
        <f>+SUMIF('Phase I Pro Forma'!$F$6:$Z$6,'Official Summary'!J$7,'Phase I Pro Forma'!$F$133:$Z$133)+SUMIF('Phase II Pro Forma'!$F$5:$Z$5,'Official Summary'!J$7,'Phase II Pro Forma'!$F$133:$Z$133)+SUMIF('Phase III Pro Forma'!$F$6:$Z$6,'Official Summary'!J$7,'Phase III Pro Forma'!$F$134:$Z$134)</f>
        <v>2709711.9616191126</v>
      </c>
      <c r="K18" s="127">
        <f>+SUMIF('Phase I Pro Forma'!$F$6:$Z$6,'Official Summary'!K$7,'Phase I Pro Forma'!$F$133:$Z$133)+SUMIF('Phase II Pro Forma'!$F$5:$Z$5,'Official Summary'!K$7,'Phase II Pro Forma'!$F$133:$Z$133)+SUMIF('Phase III Pro Forma'!$F$6:$Z$6,'Official Summary'!K$7,'Phase III Pro Forma'!$F$134:$Z$134)</f>
        <v>3190726.0976492856</v>
      </c>
      <c r="L18" s="127">
        <f>+SUMIF('Phase I Pro Forma'!$F$6:$Z$6,'Official Summary'!L$7,'Phase I Pro Forma'!$F$133:$Z$133)+SUMIF('Phase II Pro Forma'!$F$5:$Z$5,'Official Summary'!L$7,'Phase II Pro Forma'!$F$133:$Z$133)+SUMIF('Phase III Pro Forma'!$F$6:$Z$6,'Official Summary'!L$7,'Phase III Pro Forma'!$F$134:$Z$134)</f>
        <v>3249800.4176182719</v>
      </c>
      <c r="M18" s="127">
        <f>+SUMIF('Phase I Pro Forma'!$F$6:$Z$6,'Official Summary'!M$7,'Phase I Pro Forma'!$F$133:$Z$133)+SUMIF('Phase II Pro Forma'!$F$5:$Z$5,'Official Summary'!M$7,'Phase II Pro Forma'!$F$133:$Z$133)+SUMIF('Phase III Pro Forma'!$F$6:$Z$6,'Official Summary'!M$7,'Phase III Pro Forma'!$F$134:$Z$134)</f>
        <v>3324788.4085086803</v>
      </c>
      <c r="N18" s="452">
        <f>+SUMIF('Phase I Pro Forma'!$F$6:$Z$6,'Official Summary'!N$7,'Phase I Pro Forma'!$F$133:$Z$133)+SUMIF('Phase II Pro Forma'!$F$5:$Z$5,'Official Summary'!N$7,'Phase II Pro Forma'!$F$133:$Z$133)+SUMIF('Phase III Pro Forma'!$F$6:$Z$6,'Official Summary'!N$7,'Phase III Pro Forma'!$F$134:$Z$134)</f>
        <v>3384963.9073668537</v>
      </c>
    </row>
    <row r="19" spans="2:14" ht="18.95" customHeight="1">
      <c r="B19" s="565" t="s">
        <v>17</v>
      </c>
      <c r="C19" s="565"/>
      <c r="D19" s="470" t="s">
        <v>9</v>
      </c>
      <c r="E19" s="127" t="s">
        <v>9</v>
      </c>
      <c r="F19" s="476" t="s">
        <v>9</v>
      </c>
      <c r="G19" s="127" t="s">
        <v>9</v>
      </c>
      <c r="H19" s="482" t="s">
        <v>9</v>
      </c>
      <c r="I19" s="127" t="s">
        <v>9</v>
      </c>
      <c r="J19" s="127" t="s">
        <v>9</v>
      </c>
      <c r="K19" s="127" t="s">
        <v>9</v>
      </c>
      <c r="L19" s="127" t="s">
        <v>9</v>
      </c>
      <c r="M19" s="127" t="s">
        <v>9</v>
      </c>
      <c r="N19" s="452" t="s">
        <v>9</v>
      </c>
    </row>
    <row r="20" spans="2:14" ht="18.95" customHeight="1">
      <c r="B20" s="565" t="s">
        <v>18</v>
      </c>
      <c r="C20" s="138"/>
      <c r="D20" s="470">
        <v>0</v>
      </c>
      <c r="E20" s="127">
        <f ca="1">+SUMIF('Phase I Pro Forma'!$F$6:$Z$6,'Official Summary'!E$7,'Phase I Pro Forma'!$F$250:$Z$250)+SUMIF('Phase II Pro Forma'!$F$5:$Z$5,'Official Summary'!E$7,'Phase II Pro Forma'!$F$183:$Z$183)+SUMIF('Phase III Pro Forma'!$F$6:$Z$6,'Official Summary'!E$7,'Phase III Pro Forma'!#REF!)</f>
        <v>0</v>
      </c>
      <c r="F20" s="476">
        <f ca="1">+SUMIF('Phase I Pro Forma'!$F$6:$Z$6,'Official Summary'!F$7,'Phase I Pro Forma'!$F$250:$Z$250)+SUMIF('Phase II Pro Forma'!$F$5:$Z$5,'Official Summary'!F$7,'Phase II Pro Forma'!$F$183:$Z$183)+SUMIF('Phase III Pro Forma'!$F$6:$Z$6,'Official Summary'!F$7,'Phase III Pro Forma'!#REF!)</f>
        <v>0</v>
      </c>
      <c r="G20" s="127">
        <f ca="1">+SUMIF('Phase I Pro Forma'!$F$6:$Z$6,'Official Summary'!G$7,'Phase I Pro Forma'!$F$250:$Z$250)+SUMIF('Phase II Pro Forma'!$F$5:$Z$5,'Official Summary'!G$7,'Phase II Pro Forma'!$F$183:$Z$183)+SUMIF('Phase III Pro Forma'!$F$6:$Z$6,'Official Summary'!G$7,'Phase III Pro Forma'!#REF!)</f>
        <v>122001.34853749</v>
      </c>
      <c r="H20" s="482">
        <f ca="1">+SUMIF('Phase I Pro Forma'!$F$6:$Z$6,'Official Summary'!H$7,'Phase I Pro Forma'!$F$250:$Z$250)+SUMIF('Phase II Pro Forma'!$F$5:$Z$5,'Official Summary'!H$7,'Phase II Pro Forma'!$F$183:$Z$183)+SUMIF('Phase III Pro Forma'!$F$6:$Z$6,'Official Summary'!H$7,'Phase III Pro Forma'!#REF!)</f>
        <v>186054.51216102787</v>
      </c>
      <c r="I20" s="127">
        <f ca="1">+SUMIF('Phase I Pro Forma'!$F$6:$Z$6,'Official Summary'!I$7,'Phase I Pro Forma'!$F$250:$Z$250)+SUMIF('Phase II Pro Forma'!$F$5:$Z$5,'Official Summary'!I$7,'Phase II Pro Forma'!$F$183:$Z$183)+SUMIF('Phase III Pro Forma'!$F$6:$Z$6,'Official Summary'!I$7,'Phase III Pro Forma'!#REF!)</f>
        <v>184018.75440999892</v>
      </c>
      <c r="J20" s="127">
        <f ca="1">+SUMIF('Phase I Pro Forma'!$F$6:$Z$6,'Official Summary'!J$7,'Phase I Pro Forma'!$F$250:$Z$250)+SUMIF('Phase II Pro Forma'!$F$5:$Z$5,'Official Summary'!J$7,'Phase II Pro Forma'!$F$183:$Z$183)+SUMIF('Phase III Pro Forma'!$F$6:$Z$6,'Official Summary'!J$7,'Phase III Pro Forma'!#REF!)</f>
        <v>1643123.2869304763</v>
      </c>
      <c r="K20" s="127">
        <f ca="1">+SUMIF('Phase I Pro Forma'!$F$6:$Z$6,'Official Summary'!K$7,'Phase I Pro Forma'!$F$250:$Z$250)+SUMIF('Phase II Pro Forma'!$F$5:$Z$5,'Official Summary'!K$7,'Phase II Pro Forma'!$F$183:$Z$183)+SUMIF('Phase III Pro Forma'!$F$6:$Z$6,'Official Summary'!K$7,'Phase III Pro Forma'!#REF!)</f>
        <v>3073402.0499938871</v>
      </c>
      <c r="L20" s="127">
        <f ca="1">+SUMIF('Phase I Pro Forma'!$F$6:$Z$6,'Official Summary'!L$7,'Phase I Pro Forma'!$F$250:$Z$250)+SUMIF('Phase II Pro Forma'!$F$5:$Z$5,'Official Summary'!L$7,'Phase II Pro Forma'!$F$183:$Z$183)+SUMIF('Phase III Pro Forma'!$F$6:$Z$6,'Official Summary'!L$7,'Phase III Pro Forma'!#REF!)</f>
        <v>3071241.6875762064</v>
      </c>
      <c r="M20" s="127">
        <f ca="1">+SUMIF('Phase I Pro Forma'!$F$6:$Z$6,'Official Summary'!M$7,'Phase I Pro Forma'!$F$250:$Z$250)+SUMIF('Phase II Pro Forma'!$F$5:$Z$5,'Official Summary'!M$7,'Phase II Pro Forma'!$F$183:$Z$183)+SUMIF('Phase III Pro Forma'!$F$6:$Z$6,'Official Summary'!M$7,'Phase III Pro Forma'!#REF!)</f>
        <v>3355517.4709966742</v>
      </c>
      <c r="N20" s="452">
        <f ca="1">+SUMIF('Phase I Pro Forma'!$F$6:$Z$6,'Official Summary'!N$7,'Phase I Pro Forma'!$F$250:$Z$250)+SUMIF('Phase II Pro Forma'!$F$5:$Z$5,'Official Summary'!N$7,'Phase II Pro Forma'!$F$183:$Z$183)+SUMIF('Phase III Pro Forma'!$F$6:$Z$6,'Official Summary'!N$7,'Phase III Pro Forma'!#REF!)</f>
        <v>3353269.8299373188</v>
      </c>
    </row>
    <row r="21" spans="2:14" ht="18.95" customHeight="1">
      <c r="B21" s="133" t="s">
        <v>19</v>
      </c>
      <c r="C21" s="138"/>
      <c r="D21" s="470" t="s">
        <v>9</v>
      </c>
      <c r="E21" s="127" t="s">
        <v>9</v>
      </c>
      <c r="F21" s="476" t="s">
        <v>9</v>
      </c>
      <c r="G21" s="127" t="s">
        <v>9</v>
      </c>
      <c r="H21" s="482" t="s">
        <v>9</v>
      </c>
      <c r="I21" s="127" t="s">
        <v>9</v>
      </c>
      <c r="J21" s="127" t="s">
        <v>9</v>
      </c>
      <c r="K21" s="127" t="s">
        <v>9</v>
      </c>
      <c r="L21" s="127" t="s">
        <v>9</v>
      </c>
      <c r="M21" s="127" t="s">
        <v>9</v>
      </c>
      <c r="N21" s="452" t="s">
        <v>9</v>
      </c>
    </row>
    <row r="22" spans="2:14" ht="18.95" customHeight="1">
      <c r="B22" s="133" t="s">
        <v>20</v>
      </c>
      <c r="C22" s="565"/>
      <c r="D22" s="470" t="s">
        <v>9</v>
      </c>
      <c r="E22" s="127" t="s">
        <v>9</v>
      </c>
      <c r="F22" s="476" t="s">
        <v>9</v>
      </c>
      <c r="G22" s="127" t="s">
        <v>9</v>
      </c>
      <c r="H22" s="482" t="s">
        <v>9</v>
      </c>
      <c r="I22" s="127" t="s">
        <v>9</v>
      </c>
      <c r="J22" s="127" t="s">
        <v>9</v>
      </c>
      <c r="K22" s="127" t="s">
        <v>9</v>
      </c>
      <c r="L22" s="127" t="s">
        <v>9</v>
      </c>
      <c r="M22" s="127" t="s">
        <v>9</v>
      </c>
      <c r="N22" s="452" t="s">
        <v>9</v>
      </c>
    </row>
    <row r="23" spans="2:14" ht="18.95" customHeight="1">
      <c r="B23" s="133" t="s">
        <v>21</v>
      </c>
      <c r="C23" s="138"/>
      <c r="D23" s="470">
        <f ca="1">-SUMIF('Phase I Pro Forma'!$F$6:$Z$6,'Official Summary'!D$7,'Phase I Pro Forma'!$F$290:$Z$290)-SUMIF('Phase II Pro Forma'!$F$5:$Z$5,'Official Summary'!D$7,'Phase II Pro Forma'!$F$223:$Z$223)-SUMIF('Phase III Pro Forma'!$F$6:$Z$6,'Official Summary'!D$7,'Phase III Pro Forma'!$F$187:$Z$187)</f>
        <v>0</v>
      </c>
      <c r="E23" s="127">
        <f ca="1">-SUMIF('Phase I Pro Forma'!$F$6:$Z$6,'Official Summary'!E$7,'Phase I Pro Forma'!$F$290:$Z$290)-SUMIF('Phase II Pro Forma'!$F$5:$Z$5,'Official Summary'!E$7,'Phase II Pro Forma'!$F$223:$Z$223)-SUMIF('Phase III Pro Forma'!$F$6:$Z$6,'Official Summary'!E$7,'Phase III Pro Forma'!$F$187:$Z$187)</f>
        <v>-2859790.3477560584</v>
      </c>
      <c r="F23" s="476">
        <f ca="1">-SUMIF('Phase I Pro Forma'!$F$6:$Z$6,'Official Summary'!F$7,'Phase I Pro Forma'!$F$290:$Z$290)-SUMIF('Phase II Pro Forma'!$F$5:$Z$5,'Official Summary'!F$7,'Phase II Pro Forma'!$F$223:$Z$223)-SUMIF('Phase III Pro Forma'!$F$6:$Z$6,'Official Summary'!F$7,'Phase III Pro Forma'!$F$187:$Z$187)</f>
        <v>-4468462.7085562535</v>
      </c>
      <c r="G23" s="127">
        <f ca="1">-SUMIF('Phase I Pro Forma'!$F$6:$Z$6,'Official Summary'!G$7,'Phase I Pro Forma'!$F$290:$Z$290)-SUMIF('Phase II Pro Forma'!$F$5:$Z$5,'Official Summary'!G$7,'Phase II Pro Forma'!$F$223:$Z$223)-SUMIF('Phase III Pro Forma'!$F$6:$Z$6,'Official Summary'!G$7,'Phase III Pro Forma'!$F$187:$Z$187)</f>
        <v>-4468462.7085562535</v>
      </c>
      <c r="H23" s="482">
        <f ca="1">-SUMIF('Phase I Pro Forma'!$F$6:$Z$6,'Official Summary'!H$7,'Phase I Pro Forma'!$F$290:$Z$290)-SUMIF('Phase II Pro Forma'!$F$5:$Z$5,'Official Summary'!H$7,'Phase II Pro Forma'!$F$223:$Z$223)-SUMIF('Phase III Pro Forma'!$F$6:$Z$6,'Official Summary'!H$7,'Phase III Pro Forma'!$F$187:$Z$187)</f>
        <v>-7267679.8625852708</v>
      </c>
      <c r="I23" s="127">
        <f ca="1">-SUMIF('Phase I Pro Forma'!$F$6:$Z$6,'Official Summary'!I$7,'Phase I Pro Forma'!$F$290:$Z$290)-SUMIF('Phase II Pro Forma'!$F$5:$Z$5,'Official Summary'!I$7,'Phase II Pro Forma'!$F$223:$Z$223)-SUMIF('Phase III Pro Forma'!$F$6:$Z$6,'Official Summary'!I$7,'Phase III Pro Forma'!$F$187:$Z$187)</f>
        <v>-4407889.5148292128</v>
      </c>
      <c r="J23" s="127">
        <f ca="1">-SUMIF('Phase I Pro Forma'!$F$6:$Z$6,'Official Summary'!J$7,'Phase I Pro Forma'!$F$290:$Z$290)-SUMIF('Phase II Pro Forma'!$F$5:$Z$5,'Official Summary'!J$7,'Phase II Pro Forma'!$F$223:$Z$223)-SUMIF('Phase III Pro Forma'!$F$6:$Z$6,'Official Summary'!J$7,'Phase III Pro Forma'!$F$187:$Z$187)</f>
        <v>-2799217.1540290178</v>
      </c>
      <c r="K23" s="127">
        <f ca="1">-SUMIF('Phase I Pro Forma'!$F$6:$Z$6,'Official Summary'!K$7,'Phase I Pro Forma'!$F$290:$Z$290)-SUMIF('Phase II Pro Forma'!$F$5:$Z$5,'Official Summary'!K$7,'Phase II Pro Forma'!$F$223:$Z$223)-SUMIF('Phase III Pro Forma'!$F$6:$Z$6,'Official Summary'!K$7,'Phase III Pro Forma'!$F$187:$Z$187)</f>
        <v>-2799217.1540290178</v>
      </c>
      <c r="L23" s="127">
        <f>-SUMIF('Phase I Pro Forma'!$F$6:$Z$6,'Official Summary'!L$7,'Phase I Pro Forma'!$F$290:$Z$290)-SUMIF('Phase II Pro Forma'!$F$5:$Z$5,'Official Summary'!L$7,'Phase II Pro Forma'!$F$223:$Z$223)-SUMIF('Phase III Pro Forma'!$F$6:$Z$6,'Official Summary'!L$7,'Phase III Pro Forma'!$F$187:$Z$187)</f>
        <v>0</v>
      </c>
      <c r="M23" s="127">
        <f>-SUMIF('Phase I Pro Forma'!$F$6:$Z$6,'Official Summary'!M$7,'Phase I Pro Forma'!$F$290:$Z$290)-SUMIF('Phase II Pro Forma'!$F$5:$Z$5,'Official Summary'!M$7,'Phase II Pro Forma'!$F$223:$Z$223)-SUMIF('Phase III Pro Forma'!$F$6:$Z$6,'Official Summary'!M$7,'Phase III Pro Forma'!$F$187:$Z$187)</f>
        <v>0</v>
      </c>
      <c r="N23" s="452">
        <f>-SUMIF('Phase I Pro Forma'!$F$6:$Z$6,'Official Summary'!N$7,'Phase I Pro Forma'!$F$290:$Z$290)-SUMIF('Phase II Pro Forma'!$F$5:$Z$5,'Official Summary'!N$7,'Phase II Pro Forma'!$F$223:$Z$223)-SUMIF('Phase III Pro Forma'!$F$6:$Z$6,'Official Summary'!N$7,'Phase III Pro Forma'!$F$187:$Z$187)</f>
        <v>0</v>
      </c>
    </row>
    <row r="24" spans="2:14" ht="18.95" customHeight="1">
      <c r="B24" s="133" t="s">
        <v>22</v>
      </c>
      <c r="C24" s="565"/>
      <c r="D24" s="470">
        <v>0</v>
      </c>
      <c r="E24" s="127">
        <v>0</v>
      </c>
      <c r="F24" s="476">
        <v>0</v>
      </c>
      <c r="G24" s="127">
        <v>0</v>
      </c>
      <c r="H24" s="482">
        <v>0</v>
      </c>
      <c r="I24" s="127">
        <v>0</v>
      </c>
      <c r="J24" s="127">
        <v>0</v>
      </c>
      <c r="K24" s="127">
        <v>0</v>
      </c>
      <c r="L24" s="127">
        <v>0</v>
      </c>
      <c r="M24" s="127">
        <v>0</v>
      </c>
      <c r="N24" s="452">
        <v>0</v>
      </c>
    </row>
    <row r="25" spans="2:14" ht="18.95" customHeight="1">
      <c r="B25" s="846" t="s">
        <v>23</v>
      </c>
      <c r="C25" s="846"/>
      <c r="D25" s="136">
        <f t="shared" ref="D25:N25" ca="1" si="2">+SUM(D9:D24)</f>
        <v>0</v>
      </c>
      <c r="E25" s="136">
        <f t="shared" ca="1" si="2"/>
        <v>-2859790.3477560584</v>
      </c>
      <c r="F25" s="136">
        <f t="shared" ca="1" si="2"/>
        <v>-4468462.7085562535</v>
      </c>
      <c r="G25" s="136">
        <f t="shared" ca="1" si="2"/>
        <v>9767269.9046327975</v>
      </c>
      <c r="H25" s="136">
        <f t="shared" ca="1" si="2"/>
        <v>37660592.288958177</v>
      </c>
      <c r="I25" s="136">
        <f t="shared" ca="1" si="2"/>
        <v>57380968.223495498</v>
      </c>
      <c r="J25" s="136">
        <f t="shared" ca="1" si="2"/>
        <v>69952312.499828398</v>
      </c>
      <c r="K25" s="136">
        <f t="shared" ca="1" si="2"/>
        <v>81785952.286180571</v>
      </c>
      <c r="L25" s="136">
        <f t="shared" ca="1" si="2"/>
        <v>85618126.720955521</v>
      </c>
      <c r="M25" s="136">
        <f t="shared" ca="1" si="2"/>
        <v>87260976.667070001</v>
      </c>
      <c r="N25" s="136">
        <f t="shared" ca="1" si="2"/>
        <v>88460546.19864428</v>
      </c>
    </row>
    <row r="26" spans="2:14" ht="18.95" customHeight="1">
      <c r="B26" s="845" t="s">
        <v>24</v>
      </c>
      <c r="C26" s="845"/>
      <c r="D26" s="471">
        <v>0</v>
      </c>
      <c r="E26" s="143">
        <f ca="1">E25</f>
        <v>-2859790.3477560584</v>
      </c>
      <c r="F26" s="477">
        <f ca="1">F25</f>
        <v>-4468462.7085562535</v>
      </c>
      <c r="G26" s="143">
        <f ca="1">G25</f>
        <v>9767269.9046327975</v>
      </c>
      <c r="H26" s="483">
        <f ca="1">H25</f>
        <v>37660592.288958177</v>
      </c>
      <c r="I26" s="143">
        <f ca="1">I25</f>
        <v>57380968.223495498</v>
      </c>
      <c r="J26" s="934">
        <f ca="1">J25</f>
        <v>69952312.499828398</v>
      </c>
      <c r="K26" s="934">
        <f ca="1">K25</f>
        <v>81785952.286180571</v>
      </c>
      <c r="L26" s="934">
        <f ca="1">L25</f>
        <v>85618126.720955521</v>
      </c>
      <c r="M26" s="143">
        <f ca="1">M25</f>
        <v>87260976.667070001</v>
      </c>
      <c r="N26" s="453">
        <f ca="1">'Cash Flow Roll-up'!D57</f>
        <v>0.23359811410389453</v>
      </c>
    </row>
    <row r="27" spans="2:14" ht="18.95" customHeight="1">
      <c r="B27" s="142" t="s">
        <v>25</v>
      </c>
      <c r="C27" s="141"/>
      <c r="D27" s="470">
        <v>0</v>
      </c>
      <c r="E27" s="144">
        <f>+SUMIF('Phase I Pro Forma'!$F$6:$Z$6,'Phase I Pro Forma'!$F$270:$Z$270)+SUMIF('Phase II Pro Forma'!$F$5:$Z$5,'Phase II Pro Forma'!$F$203:$Z$203)+SUMIF('Phase III Pro Forma'!$F$6:$Z$6,'Phase III Pro Forma'!$F$167:$Z$167)+SUMIF('Phase I Pro Forma'!$F$6:$Z$6,'Official Summary'!E$7,'Phase I Pro Forma'!$F$225:$Z$225)+SUMIF('Phase II Pro Forma'!$F$5:$Z$5,'Phase II Pro Forma'!#REF!)+SUMIF('Phase III Pro Forma'!$F$6:$Z$6,'Phase III Pro Forma'!#REF!)+SUMIF('Phase I Pro Forma'!$F$6:$Z$6,'Phase I Pro Forma'!$F$156:$Z$156)+SUMIF('Phase II Pro Forma'!$F$5:$Z$5,'Phase II Pro Forma'!$F$156:$Z$156)+SUMIF('Phase III Pro Forma'!$F$6:$Z$6,'Phase III Pro Forma'!$F$157:$Z$157)</f>
        <v>0</v>
      </c>
      <c r="F27" s="476">
        <v>0</v>
      </c>
      <c r="G27" s="144">
        <v>0</v>
      </c>
      <c r="H27" s="482">
        <v>0</v>
      </c>
      <c r="I27" s="144">
        <v>0</v>
      </c>
      <c r="J27" s="144">
        <v>0</v>
      </c>
      <c r="K27" s="144">
        <v>0</v>
      </c>
      <c r="L27" s="144">
        <v>0</v>
      </c>
      <c r="M27" s="144">
        <v>0</v>
      </c>
      <c r="N27" s="452">
        <v>0</v>
      </c>
    </row>
    <row r="28" spans="2:14" ht="18.95" customHeight="1">
      <c r="B28" s="460" t="s">
        <v>26</v>
      </c>
      <c r="C28" s="461"/>
      <c r="D28" s="462">
        <f ca="1">+SUM(D25:D27)</f>
        <v>0</v>
      </c>
      <c r="E28" s="462">
        <f ca="1">+SUM(E25:E27)</f>
        <v>-5719580.6955121169</v>
      </c>
      <c r="F28" s="462">
        <f ca="1">+SUM(F25:F27)</f>
        <v>-8936925.4171125069</v>
      </c>
      <c r="G28" s="462">
        <f ca="1">+SUM(G25:G27)</f>
        <v>19534539.809265595</v>
      </c>
      <c r="H28" s="462">
        <f ca="1">+SUM(H25:H27)</f>
        <v>75321184.577916354</v>
      </c>
      <c r="I28" s="462">
        <f ca="1">+SUM(I25:I27)</f>
        <v>114761936.446991</v>
      </c>
      <c r="J28" s="462">
        <f ca="1">+SUM(J25:J27)</f>
        <v>139904624.9996568</v>
      </c>
      <c r="K28" s="462">
        <f ca="1">+SUM(K25:K27)</f>
        <v>163571904.57236114</v>
      </c>
      <c r="L28" s="462">
        <f ca="1">+SUM(L25:L27)</f>
        <v>171236253.44191104</v>
      </c>
      <c r="M28" s="462">
        <f ca="1">+SUM(M25:M27)</f>
        <v>174521953.33414</v>
      </c>
      <c r="N28" s="462">
        <f ca="1">+SUM(N25:N27)</f>
        <v>88460546.432242393</v>
      </c>
    </row>
    <row r="29" spans="2:14" ht="18.95" customHeight="1">
      <c r="B29" s="454"/>
      <c r="C29" s="454"/>
      <c r="D29" s="455"/>
      <c r="E29" s="456"/>
      <c r="F29" s="456"/>
      <c r="G29" s="456"/>
      <c r="H29" s="456"/>
      <c r="I29" s="456"/>
      <c r="J29" s="456"/>
      <c r="K29" s="456"/>
      <c r="L29" s="456"/>
      <c r="M29" s="564"/>
      <c r="N29" s="456"/>
    </row>
    <row r="30" spans="2:14" ht="18.95" customHeight="1">
      <c r="B30" s="131" t="s">
        <v>27</v>
      </c>
      <c r="C30" s="129"/>
      <c r="D30" s="467" t="s">
        <v>1</v>
      </c>
      <c r="F30" s="472" t="s">
        <v>2</v>
      </c>
      <c r="G30" s="130"/>
      <c r="H30" s="478" t="s">
        <v>3</v>
      </c>
      <c r="I30" s="130"/>
      <c r="J30" s="130"/>
      <c r="K30" s="130"/>
      <c r="L30" s="130"/>
      <c r="M30" s="118"/>
      <c r="N30" s="448" t="s">
        <v>4</v>
      </c>
    </row>
    <row r="31" spans="2:14" ht="18.95" customHeight="1">
      <c r="B31" s="565" t="s">
        <v>28</v>
      </c>
      <c r="C31" s="131"/>
      <c r="D31" s="468"/>
      <c r="F31" s="473"/>
      <c r="G31" s="115"/>
      <c r="H31" s="479"/>
      <c r="I31" s="115"/>
      <c r="J31" s="115"/>
      <c r="K31" s="115"/>
      <c r="L31" s="115"/>
      <c r="M31" s="561"/>
      <c r="N31" s="450"/>
    </row>
    <row r="32" spans="2:14" ht="18.95" customHeight="1">
      <c r="B32" s="139" t="s">
        <v>7</v>
      </c>
      <c r="C32" s="139"/>
      <c r="D32" s="469">
        <f ca="1">+(SUMIF('Phase I Pro Forma'!$F$6:$Z$6,'Official Summary'!D$7,'Phase I Pro Forma'!$F$286:$Z$286)+SUMIF('Phase II Pro Forma'!$F$5:$Z$5,'Official Summary'!D$7,'Phase II Pro Forma'!$F$219:$Z$219)+SUMIF('Phase III Pro Forma'!$F$6:$Z$6,'Official Summary'!D$7,'Phase III Pro Forma'!$F$183:$Z$183))*(SUM(Budget!$N$35:$N$44)/SUM(Budget!$M$35:$U$44))</f>
        <v>1129202.4761614501</v>
      </c>
      <c r="E32" s="555">
        <f ca="1">+(SUMIF('Phase I Pro Forma'!$F$6:$Z$6,'Official Summary'!E$7,'Phase I Pro Forma'!$F$286:$Z$286)+SUMIF('Phase II Pro Forma'!$F$5:$Z$5,'Official Summary'!E$7,'Phase II Pro Forma'!$F$219:$Z$219)+SUMIF('Phase III Pro Forma'!$F$6:$Z$6,'Official Summary'!E$7,'Phase III Pro Forma'!$F$183:$Z$183))*(SUM(Budget!$N$35:$N$44)/SUM(Budget!$M$35:$U$44))</f>
        <v>66153203.185380057</v>
      </c>
      <c r="F32" s="475">
        <f ca="1">+(SUMIF('Phase I Pro Forma'!$F$6:$Z$6,'Official Summary'!F$7,'Phase I Pro Forma'!$F$286:$Z$286)+SUMIF('Phase II Pro Forma'!$F$5:$Z$5,'Official Summary'!F$7,'Phase II Pro Forma'!$F$219:$Z$219)+SUMIF('Phase III Pro Forma'!$F$6:$Z$6,'Official Summary'!F$7,'Phase III Pro Forma'!$F$183:$Z$183))*(SUM(Budget!$N$35:$N$44)/SUM(Budget!$M$35:$U$44))</f>
        <v>117355465.13910812</v>
      </c>
      <c r="G32" s="555">
        <f ca="1">+(SUMIF('Phase I Pro Forma'!$F$6:$Z$6,'Official Summary'!G$7,'Phase I Pro Forma'!$F$286:$Z$286)+SUMIF('Phase II Pro Forma'!$F$5:$Z$5,'Official Summary'!G$7,'Phase II Pro Forma'!$F$219:$Z$219)+SUMIF('Phase III Pro Forma'!$F$6:$Z$6,'Official Summary'!G$7,'Phase III Pro Forma'!$F$183:$Z$183))*(SUM(Budget!$N$35:$N$44)/SUM(Budget!$M$35:$U$44))</f>
        <v>51202261.953728057</v>
      </c>
      <c r="H32" s="481">
        <f ca="1">+(SUMIF('Phase I Pro Forma'!$F$6:$Z$6,'Official Summary'!H$7,'Phase I Pro Forma'!$F$286:$Z$286)+SUMIF('Phase II Pro Forma'!$F$5:$Z$5,'Official Summary'!H$7,'Phase II Pro Forma'!$F$219:$Z$219)+SUMIF('Phase III Pro Forma'!$F$6:$Z$6,'Official Summary'!H$7,'Phase III Pro Forma'!$F$183:$Z$183))*(SUM(Budget!$N$35:$N$44)/SUM(Budget!$M$35:$U$44))</f>
        <v>42858859.852895066</v>
      </c>
      <c r="I32" s="555">
        <f ca="1">+(SUMIF('Phase I Pro Forma'!$F$6:$Z$6,'Official Summary'!I$7,'Phase I Pro Forma'!$F$286:$Z$286)+SUMIF('Phase II Pro Forma'!$F$5:$Z$5,'Official Summary'!I$7,'Phase II Pro Forma'!$F$219:$Z$219)+SUMIF('Phase III Pro Forma'!$F$6:$Z$6,'Official Summary'!I$7,'Phase III Pro Forma'!$F$183:$Z$183))*(SUM(Budget!$N$35:$N$44)/SUM(Budget!$M$35:$U$44))</f>
        <v>42858859.852895066</v>
      </c>
      <c r="J32" s="555">
        <f ca="1">+(SUMIF('Phase I Pro Forma'!$F$6:$Z$6,'Official Summary'!J$7,'Phase I Pro Forma'!$F$286:$Z$286)+SUMIF('Phase II Pro Forma'!$F$5:$Z$5,'Official Summary'!J$7,'Phase II Pro Forma'!$F$219:$Z$219)+SUMIF('Phase III Pro Forma'!$F$6:$Z$6,'Official Summary'!J$7,'Phase III Pro Forma'!$F$183:$Z$183))*(SUM(Budget!$N$35:$N$44)/SUM(Budget!$M$35:$U$44))</f>
        <v>0</v>
      </c>
      <c r="K32" s="555">
        <f ca="1">+(SUMIF('Phase I Pro Forma'!$F$6:$Z$6,'Official Summary'!K$7,'Phase I Pro Forma'!$F$286:$Z$286)+SUMIF('Phase II Pro Forma'!$F$5:$Z$5,'Official Summary'!K$7,'Phase II Pro Forma'!$F$219:$Z$219)+SUMIF('Phase III Pro Forma'!$F$6:$Z$6,'Official Summary'!K$7,'Phase III Pro Forma'!$F$183:$Z$183))*(SUM(Budget!$N$35:$N$44)/SUM(Budget!$M$35:$U$44))</f>
        <v>0</v>
      </c>
      <c r="L32" s="555">
        <f ca="1">+(SUMIF('Phase I Pro Forma'!$F$6:$Z$6,'Official Summary'!L$7,'Phase I Pro Forma'!$F$286:$Z$286)+SUMIF('Phase II Pro Forma'!$F$5:$Z$5,'Official Summary'!L$7,'Phase II Pro Forma'!$F$219:$Z$219)+SUMIF('Phase III Pro Forma'!$F$6:$Z$6,'Official Summary'!L$7,'Phase III Pro Forma'!$F$183:$Z$183))*(SUM(Budget!$N$35:$N$44)/SUM(Budget!$M$35:$U$44))</f>
        <v>0</v>
      </c>
      <c r="M32" s="555">
        <f ca="1">+(SUMIF('Phase I Pro Forma'!$F$6:$Z$6,'Official Summary'!M$7,'Phase I Pro Forma'!$F$286:$Z$286)+SUMIF('Phase II Pro Forma'!$F$5:$Z$5,'Official Summary'!M$7,'Phase II Pro Forma'!$F$219:$Z$219)+SUMIF('Phase III Pro Forma'!$F$6:$Z$6,'Official Summary'!M$7,'Phase III Pro Forma'!$F$183:$Z$183))*(SUM(Budget!$N$35:$N$44)/SUM(Budget!$M$35:$U$44))</f>
        <v>0</v>
      </c>
      <c r="N32" s="451">
        <f ca="1">+(SUMIF('Phase I Pro Forma'!$F$6:$Z$6,'Official Summary'!N$7,'Phase I Pro Forma'!$F$286:$Z$286)+SUMIF('Phase II Pro Forma'!$F$5:$Z$5,'Official Summary'!N$7,'Phase II Pro Forma'!$F$219:$Z$219)+SUMIF('Phase III Pro Forma'!$F$6:$Z$6,'Official Summary'!N$7,'Phase III Pro Forma'!$F$183:$Z$183))*(SUM(Budget!$N$35:$N$44)/SUM(Budget!$M$35:$U$44))</f>
        <v>0</v>
      </c>
    </row>
    <row r="33" spans="2:14" ht="18.95" customHeight="1">
      <c r="B33" s="139" t="s">
        <v>8</v>
      </c>
      <c r="C33" s="139"/>
      <c r="D33" s="470" t="s">
        <v>9</v>
      </c>
      <c r="E33" s="127" t="s">
        <v>9</v>
      </c>
      <c r="F33" s="476" t="s">
        <v>9</v>
      </c>
      <c r="G33" s="127" t="s">
        <v>9</v>
      </c>
      <c r="H33" s="482" t="s">
        <v>9</v>
      </c>
      <c r="I33" s="127" t="s">
        <v>9</v>
      </c>
      <c r="J33" s="127" t="s">
        <v>9</v>
      </c>
      <c r="K33" s="127" t="s">
        <v>9</v>
      </c>
      <c r="L33" s="127" t="s">
        <v>9</v>
      </c>
      <c r="M33" s="127" t="s">
        <v>9</v>
      </c>
      <c r="N33" s="452" t="s">
        <v>9</v>
      </c>
    </row>
    <row r="34" spans="2:14" ht="18.95" customHeight="1">
      <c r="B34" s="139" t="s">
        <v>10</v>
      </c>
      <c r="C34" s="139"/>
      <c r="D34" s="470" t="s">
        <v>9</v>
      </c>
      <c r="E34" s="127" t="s">
        <v>9</v>
      </c>
      <c r="F34" s="476" t="s">
        <v>9</v>
      </c>
      <c r="G34" s="127" t="s">
        <v>9</v>
      </c>
      <c r="H34" s="482" t="s">
        <v>9</v>
      </c>
      <c r="I34" s="127" t="s">
        <v>9</v>
      </c>
      <c r="J34" s="127" t="s">
        <v>9</v>
      </c>
      <c r="K34" s="127" t="s">
        <v>9</v>
      </c>
      <c r="L34" s="127" t="s">
        <v>9</v>
      </c>
      <c r="M34" s="127" t="s">
        <v>9</v>
      </c>
      <c r="N34" s="452" t="s">
        <v>9</v>
      </c>
    </row>
    <row r="35" spans="2:14" ht="18.95" customHeight="1">
      <c r="B35" s="139" t="s">
        <v>11</v>
      </c>
      <c r="C35" s="167"/>
      <c r="D35" s="470">
        <f ca="1">+(SUMIF('Phase I Pro Forma'!$F$6:$Z$6,'Official Summary'!D$7,'Phase I Pro Forma'!$F$286:$Z$286)+SUMIF('Phase II Pro Forma'!$F$5:$Z$5,'Official Summary'!D$7,'Phase II Pro Forma'!$F$219:$Z$219)+SUMIF('Phase III Pro Forma'!$F$6:$Z$6,'Official Summary'!D$7,'Phase III Pro Forma'!$F$183:$Z$183))*(SUM(Budget!$M$35:$M$44)/SUM(Budget!$M$35:$U$44))</f>
        <v>752801.65077429998</v>
      </c>
      <c r="E35" s="127">
        <f ca="1">+(SUMIF('Phase I Pro Forma'!$F$6:$Z$6,'Official Summary'!E$7,'Phase I Pro Forma'!$F$286:$Z$286)+SUMIF('Phase II Pro Forma'!$F$5:$Z$5,'Official Summary'!E$7,'Phase II Pro Forma'!$F$219:$Z$219)+SUMIF('Phase III Pro Forma'!$F$6:$Z$6,'Official Summary'!E$7,'Phase III Pro Forma'!$F$183:$Z$183))*(SUM(Budget!$M$35:$M$44)/SUM(Budget!$M$35:$U$44))</f>
        <v>44102135.456920035</v>
      </c>
      <c r="F35" s="476">
        <f ca="1">+(SUMIF('Phase I Pro Forma'!$F$6:$Z$6,'Official Summary'!F$7,'Phase I Pro Forma'!$F$286:$Z$286)+SUMIF('Phase II Pro Forma'!$F$5:$Z$5,'Official Summary'!F$7,'Phase II Pro Forma'!$F$219:$Z$219)+SUMIF('Phase III Pro Forma'!$F$6:$Z$6,'Official Summary'!F$7,'Phase III Pro Forma'!$F$183:$Z$183))*(SUM(Budget!$M$35:$M$44)/SUM(Budget!$M$35:$U$44))</f>
        <v>78236976.759405404</v>
      </c>
      <c r="G35" s="127">
        <f ca="1">+(SUMIF('Phase I Pro Forma'!$F$6:$Z$6,'Official Summary'!G$7,'Phase I Pro Forma'!$F$286:$Z$286)+SUMIF('Phase II Pro Forma'!$F$5:$Z$5,'Official Summary'!G$7,'Phase II Pro Forma'!$F$219:$Z$219)+SUMIF('Phase III Pro Forma'!$F$6:$Z$6,'Official Summary'!G$7,'Phase III Pro Forma'!$F$183:$Z$183))*(SUM(Budget!$M$35:$M$44)/SUM(Budget!$M$35:$U$44))</f>
        <v>34134841.302485369</v>
      </c>
      <c r="H35" s="482">
        <f ca="1">+(SUMIF('Phase I Pro Forma'!$F$6:$Z$6,'Official Summary'!H$7,'Phase I Pro Forma'!$F$286:$Z$286)+SUMIF('Phase II Pro Forma'!$F$5:$Z$5,'Official Summary'!H$7,'Phase II Pro Forma'!$F$219:$Z$219)+SUMIF('Phase III Pro Forma'!$F$6:$Z$6,'Official Summary'!H$7,'Phase III Pro Forma'!$F$183:$Z$183))*(SUM(Budget!$M$35:$M$44)/SUM(Budget!$M$35:$U$44))</f>
        <v>28572573.235263377</v>
      </c>
      <c r="I35" s="127">
        <f ca="1">+(SUMIF('Phase I Pro Forma'!$F$6:$Z$6,'Official Summary'!I$7,'Phase I Pro Forma'!$F$286:$Z$286)+SUMIF('Phase II Pro Forma'!$F$5:$Z$5,'Official Summary'!I$7,'Phase II Pro Forma'!$F$219:$Z$219)+SUMIF('Phase III Pro Forma'!$F$6:$Z$6,'Official Summary'!I$7,'Phase III Pro Forma'!$F$183:$Z$183))*(SUM(Budget!$M$35:$M$44)/SUM(Budget!$M$35:$U$44))</f>
        <v>28572573.235263377</v>
      </c>
      <c r="J35" s="127">
        <f ca="1">+(SUMIF('Phase I Pro Forma'!$F$6:$Z$6,'Official Summary'!J$7,'Phase I Pro Forma'!$F$286:$Z$286)+SUMIF('Phase II Pro Forma'!$F$5:$Z$5,'Official Summary'!J$7,'Phase II Pro Forma'!$F$219:$Z$219)+SUMIF('Phase III Pro Forma'!$F$6:$Z$6,'Official Summary'!J$7,'Phase III Pro Forma'!$F$183:$Z$183))*(SUM(Budget!$M$35:$M$44)/SUM(Budget!$M$35:$U$44))</f>
        <v>0</v>
      </c>
      <c r="K35" s="127">
        <f ca="1">+(SUMIF('Phase I Pro Forma'!$F$6:$Z$6,'Official Summary'!K$7,'Phase I Pro Forma'!$F$286:$Z$286)+SUMIF('Phase II Pro Forma'!$F$5:$Z$5,'Official Summary'!K$7,'Phase II Pro Forma'!$F$219:$Z$219)+SUMIF('Phase III Pro Forma'!$F$6:$Z$6,'Official Summary'!K$7,'Phase III Pro Forma'!$F$183:$Z$183))*(SUM(Budget!$M$35:$M$44)/SUM(Budget!$M$35:$U$44))</f>
        <v>0</v>
      </c>
      <c r="L35" s="127">
        <f ca="1">+(SUMIF('Phase I Pro Forma'!$F$6:$Z$6,'Official Summary'!L$7,'Phase I Pro Forma'!$F$286:$Z$286)+SUMIF('Phase II Pro Forma'!$F$5:$Z$5,'Official Summary'!L$7,'Phase II Pro Forma'!$F$219:$Z$219)+SUMIF('Phase III Pro Forma'!$F$6:$Z$6,'Official Summary'!L$7,'Phase III Pro Forma'!$F$183:$Z$183))*(SUM(Budget!$M$35:$M$44)/SUM(Budget!$M$35:$U$44))</f>
        <v>0</v>
      </c>
      <c r="M35" s="127">
        <f ca="1">+(SUMIF('Phase I Pro Forma'!$F$6:$Z$6,'Official Summary'!M$7,'Phase I Pro Forma'!$F$286:$Z$286)+SUMIF('Phase II Pro Forma'!$F$5:$Z$5,'Official Summary'!M$7,'Phase II Pro Forma'!$F$219:$Z$219)+SUMIF('Phase III Pro Forma'!$F$6:$Z$6,'Official Summary'!M$7,'Phase III Pro Forma'!$F$183:$Z$183))*(SUM(Budget!$M$35:$M$44)/SUM(Budget!$M$35:$U$44))</f>
        <v>0</v>
      </c>
      <c r="N35" s="452">
        <f ca="1">+(SUMIF('Phase I Pro Forma'!$F$6:$Z$6,'Official Summary'!N$7,'Phase I Pro Forma'!$F$286:$Z$286)+SUMIF('Phase II Pro Forma'!$F$5:$Z$5,'Official Summary'!N$7,'Phase II Pro Forma'!$F$219:$Z$219)+SUMIF('Phase III Pro Forma'!$F$6:$Z$6,'Official Summary'!N$7,'Phase III Pro Forma'!$F$183:$Z$183))*(SUM(Budget!$M$35:$M$44)/SUM(Budget!$M$35:$U$44))</f>
        <v>0</v>
      </c>
    </row>
    <row r="36" spans="2:14" ht="18.95" customHeight="1">
      <c r="B36" s="139" t="s">
        <v>12</v>
      </c>
      <c r="C36" s="167"/>
      <c r="D36" s="470" t="s">
        <v>9</v>
      </c>
      <c r="E36" s="127" t="s">
        <v>9</v>
      </c>
      <c r="F36" s="476" t="s">
        <v>9</v>
      </c>
      <c r="G36" s="127" t="s">
        <v>9</v>
      </c>
      <c r="H36" s="482" t="s">
        <v>9</v>
      </c>
      <c r="I36" s="127" t="s">
        <v>9</v>
      </c>
      <c r="J36" s="127" t="s">
        <v>9</v>
      </c>
      <c r="K36" s="127" t="s">
        <v>9</v>
      </c>
      <c r="L36" s="127" t="s">
        <v>9</v>
      </c>
      <c r="M36" s="127" t="s">
        <v>9</v>
      </c>
      <c r="N36" s="452" t="s">
        <v>9</v>
      </c>
    </row>
    <row r="37" spans="2:14" ht="18.95" customHeight="1">
      <c r="B37" s="167" t="s">
        <v>13</v>
      </c>
      <c r="C37" s="565"/>
      <c r="D37" s="470">
        <f ca="1">+(SUMIF('Phase I Pro Forma'!$F$6:$Z$6,'Official Summary'!D$7,'Phase I Pro Forma'!$F$286:$Z$286)+SUMIF('Phase II Pro Forma'!$F$5:$Z$5,'Official Summary'!D$7,'Phase II Pro Forma'!$F$219:$Z$219)+SUMIF('Phase III Pro Forma'!$F$6:$Z$6,'Official Summary'!D$7,'Phase III Pro Forma'!$F$183:$Z$183))*(SUM(Budget!$R$35:$R$44)/SUM(Budget!$M$35:$U$44))</f>
        <v>392473.47882654128</v>
      </c>
      <c r="E37" s="127">
        <f ca="1">+(SUMIF('Phase I Pro Forma'!$F$6:$Z$6,'Official Summary'!E$7,'Phase I Pro Forma'!$F$286:$Z$286)+SUMIF('Phase II Pro Forma'!$F$5:$Z$5,'Official Summary'!E$7,'Phase II Pro Forma'!$F$219:$Z$219)+SUMIF('Phase III Pro Forma'!$F$6:$Z$6,'Official Summary'!E$7,'Phase III Pro Forma'!$F$183:$Z$183))*(SUM(Budget!$R$35:$R$44)/SUM(Budget!$M$35:$U$44))</f>
        <v>22992668.133303821</v>
      </c>
      <c r="F37" s="476">
        <f ca="1">+(SUMIF('Phase I Pro Forma'!$F$6:$Z$6,'Official Summary'!F$7,'Phase I Pro Forma'!$F$286:$Z$286)+SUMIF('Phase II Pro Forma'!$F$5:$Z$5,'Official Summary'!F$7,'Phase II Pro Forma'!$F$219:$Z$219)+SUMIF('Phase III Pro Forma'!$F$6:$Z$6,'Official Summary'!F$7,'Phase III Pro Forma'!$F$183:$Z$183))*(SUM(Budget!$R$35:$R$44)/SUM(Budget!$M$35:$U$44))</f>
        <v>40788882.981396586</v>
      </c>
      <c r="G37" s="127">
        <f ca="1">+(SUMIF('Phase I Pro Forma'!$F$6:$Z$6,'Official Summary'!G$7,'Phase I Pro Forma'!$F$286:$Z$286)+SUMIF('Phase II Pro Forma'!$F$5:$Z$5,'Official Summary'!G$7,'Phase II Pro Forma'!$F$219:$Z$219)+SUMIF('Phase III Pro Forma'!$F$6:$Z$6,'Official Summary'!G$7,'Phase III Pro Forma'!$F$183:$Z$183))*(SUM(Budget!$R$35:$R$44)/SUM(Budget!$M$35:$U$44))</f>
        <v>17796214.848092761</v>
      </c>
      <c r="H37" s="482">
        <f ca="1">+(SUMIF('Phase I Pro Forma'!$F$6:$Z$6,'Official Summary'!H$7,'Phase I Pro Forma'!$F$286:$Z$286)+SUMIF('Phase II Pro Forma'!$F$5:$Z$5,'Official Summary'!H$7,'Phase II Pro Forma'!$F$219:$Z$219)+SUMIF('Phase III Pro Forma'!$F$6:$Z$6,'Official Summary'!H$7,'Phase III Pro Forma'!$F$183:$Z$183))*(SUM(Budget!$R$35:$R$44)/SUM(Budget!$M$35:$U$44))</f>
        <v>14896323.89240342</v>
      </c>
      <c r="I37" s="127">
        <f ca="1">+(SUMIF('Phase I Pro Forma'!$F$6:$Z$6,'Official Summary'!I$7,'Phase I Pro Forma'!$F$286:$Z$286)+SUMIF('Phase II Pro Forma'!$F$5:$Z$5,'Official Summary'!I$7,'Phase II Pro Forma'!$F$219:$Z$219)+SUMIF('Phase III Pro Forma'!$F$6:$Z$6,'Official Summary'!I$7,'Phase III Pro Forma'!$F$183:$Z$183))*(SUM(Budget!$R$35:$R$44)/SUM(Budget!$M$35:$U$44))</f>
        <v>14896323.89240342</v>
      </c>
      <c r="J37" s="127">
        <f ca="1">+(SUMIF('Phase I Pro Forma'!$F$6:$Z$6,'Official Summary'!J$7,'Phase I Pro Forma'!$F$286:$Z$286)+SUMIF('Phase II Pro Forma'!$F$5:$Z$5,'Official Summary'!J$7,'Phase II Pro Forma'!$F$219:$Z$219)+SUMIF('Phase III Pro Forma'!$F$6:$Z$6,'Official Summary'!J$7,'Phase III Pro Forma'!$F$183:$Z$183))*(SUM(Budget!$R$35:$R$44)/SUM(Budget!$M$35:$U$44))</f>
        <v>0</v>
      </c>
      <c r="K37" s="127">
        <f ca="1">+(SUMIF('Phase I Pro Forma'!$F$6:$Z$6,'Official Summary'!K$7,'Phase I Pro Forma'!$F$286:$Z$286)+SUMIF('Phase II Pro Forma'!$F$5:$Z$5,'Official Summary'!K$7,'Phase II Pro Forma'!$F$219:$Z$219)+SUMIF('Phase III Pro Forma'!$F$6:$Z$6,'Official Summary'!K$7,'Phase III Pro Forma'!$F$183:$Z$183))*(SUM(Budget!$R$35:$R$44)/SUM(Budget!$M$35:$U$44))</f>
        <v>0</v>
      </c>
      <c r="L37" s="127">
        <f ca="1">+(SUMIF('Phase I Pro Forma'!$F$6:$Z$6,'Official Summary'!L$7,'Phase I Pro Forma'!$F$286:$Z$286)+SUMIF('Phase II Pro Forma'!$F$5:$Z$5,'Official Summary'!L$7,'Phase II Pro Forma'!$F$219:$Z$219)+SUMIF('Phase III Pro Forma'!$F$6:$Z$6,'Official Summary'!L$7,'Phase III Pro Forma'!$F$183:$Z$183))*(SUM(Budget!$R$35:$R$44)/SUM(Budget!$M$35:$U$44))</f>
        <v>0</v>
      </c>
      <c r="M37" s="127">
        <f ca="1">+(SUMIF('Phase I Pro Forma'!$F$6:$Z$6,'Official Summary'!M$7,'Phase I Pro Forma'!$F$286:$Z$286)+SUMIF('Phase II Pro Forma'!$F$5:$Z$5,'Official Summary'!M$7,'Phase II Pro Forma'!$F$219:$Z$219)+SUMIF('Phase III Pro Forma'!$F$6:$Z$6,'Official Summary'!M$7,'Phase III Pro Forma'!$F$183:$Z$183))*(SUM(Budget!$R$35:$R$44)/SUM(Budget!$M$35:$U$44))</f>
        <v>0</v>
      </c>
      <c r="N37" s="452">
        <f ca="1">+(SUMIF('Phase I Pro Forma'!$F$6:$Z$6,'Official Summary'!N$7,'Phase I Pro Forma'!$F$286:$Z$286)+SUMIF('Phase II Pro Forma'!$F$5:$Z$5,'Official Summary'!N$7,'Phase II Pro Forma'!$F$219:$Z$219)+SUMIF('Phase III Pro Forma'!$F$6:$Z$6,'Official Summary'!N$7,'Phase III Pro Forma'!$F$183:$Z$183))*(SUM(Budget!$R$35:$R$44)/SUM(Budget!$M$35:$U$44))</f>
        <v>0</v>
      </c>
    </row>
    <row r="38" spans="2:14" ht="18.95" customHeight="1">
      <c r="B38" s="167" t="s">
        <v>14</v>
      </c>
      <c r="C38" s="167"/>
      <c r="D38" s="470">
        <f ca="1">+(SUMIF('Phase I Pro Forma'!$F$6:$Z$6,'Official Summary'!D$7,'Phase I Pro Forma'!$F$286:$Z$286)+SUMIF('Phase II Pro Forma'!$F$5:$Z$5,'Official Summary'!D$7,'Phase II Pro Forma'!$F$219:$Z$219)+SUMIF('Phase III Pro Forma'!$F$6:$Z$6,'Official Summary'!D$7,'Phase III Pro Forma'!$F$183:$Z$183))*(SUM(Budget!$O$35:$O$44)/SUM(Budget!$M$35:$U$44))</f>
        <v>172192.56555051843</v>
      </c>
      <c r="E38" s="127">
        <f ca="1">+(SUMIF('Phase I Pro Forma'!$F$6:$Z$6,'Official Summary'!E$7,'Phase I Pro Forma'!$F$286:$Z$286)+SUMIF('Phase II Pro Forma'!$F$5:$Z$5,'Official Summary'!E$7,'Phase II Pro Forma'!$F$219:$Z$219)+SUMIF('Phase III Pro Forma'!$F$6:$Z$6,'Official Summary'!E$7,'Phase III Pro Forma'!$F$183:$Z$183))*(SUM(Budget!$O$35:$O$44)/SUM(Budget!$M$35:$U$44))</f>
        <v>10087730.071756108</v>
      </c>
      <c r="F38" s="476">
        <f ca="1">+(SUMIF('Phase I Pro Forma'!$F$6:$Z$6,'Official Summary'!F$7,'Phase I Pro Forma'!$F$286:$Z$286)+SUMIF('Phase II Pro Forma'!$F$5:$Z$5,'Official Summary'!F$7,'Phase II Pro Forma'!$F$219:$Z$219)+SUMIF('Phase III Pro Forma'!$F$6:$Z$6,'Official Summary'!F$7,'Phase III Pro Forma'!$F$183:$Z$183))*(SUM(Budget!$O$35:$O$44)/SUM(Budget!$M$35:$U$44))</f>
        <v>17895584.760290775</v>
      </c>
      <c r="G38" s="127">
        <f ca="1">+(SUMIF('Phase I Pro Forma'!$F$6:$Z$6,'Official Summary'!G$7,'Phase I Pro Forma'!$F$286:$Z$286)+SUMIF('Phase II Pro Forma'!$F$5:$Z$5,'Official Summary'!G$7,'Phase II Pro Forma'!$F$219:$Z$219)+SUMIF('Phase III Pro Forma'!$F$6:$Z$6,'Official Summary'!G$7,'Phase III Pro Forma'!$F$183:$Z$183))*(SUM(Budget!$O$35:$O$44)/SUM(Budget!$M$35:$U$44))</f>
        <v>7807854.6885346677</v>
      </c>
      <c r="H38" s="482">
        <f ca="1">+(SUMIF('Phase I Pro Forma'!$F$6:$Z$6,'Official Summary'!H$7,'Phase I Pro Forma'!$F$286:$Z$286)+SUMIF('Phase II Pro Forma'!$F$5:$Z$5,'Official Summary'!H$7,'Phase II Pro Forma'!$F$219:$Z$219)+SUMIF('Phase III Pro Forma'!$F$6:$Z$6,'Official Summary'!H$7,'Phase III Pro Forma'!$F$183:$Z$183))*(SUM(Budget!$O$35:$O$44)/SUM(Budget!$M$35:$U$44))</f>
        <v>6535565.7558662212</v>
      </c>
      <c r="I38" s="127">
        <f ca="1">+(SUMIF('Phase I Pro Forma'!$F$6:$Z$6,'Official Summary'!I$7,'Phase I Pro Forma'!$F$286:$Z$286)+SUMIF('Phase II Pro Forma'!$F$5:$Z$5,'Official Summary'!I$7,'Phase II Pro Forma'!$F$219:$Z$219)+SUMIF('Phase III Pro Forma'!$F$6:$Z$6,'Official Summary'!I$7,'Phase III Pro Forma'!$F$183:$Z$183))*(SUM(Budget!$O$35:$O$44)/SUM(Budget!$M$35:$U$44))</f>
        <v>6535565.7558662212</v>
      </c>
      <c r="J38" s="127">
        <f ca="1">+(SUMIF('Phase I Pro Forma'!$F$6:$Z$6,'Official Summary'!J$7,'Phase I Pro Forma'!$F$286:$Z$286)+SUMIF('Phase II Pro Forma'!$F$5:$Z$5,'Official Summary'!J$7,'Phase II Pro Forma'!$F$219:$Z$219)+SUMIF('Phase III Pro Forma'!$F$6:$Z$6,'Official Summary'!J$7,'Phase III Pro Forma'!$F$183:$Z$183))*(SUM(Budget!$O$35:$O$44)/SUM(Budget!$M$35:$U$44))</f>
        <v>0</v>
      </c>
      <c r="K38" s="127">
        <f ca="1">+(SUMIF('Phase I Pro Forma'!$F$6:$Z$6,'Official Summary'!K$7,'Phase I Pro Forma'!$F$286:$Z$286)+SUMIF('Phase II Pro Forma'!$F$5:$Z$5,'Official Summary'!K$7,'Phase II Pro Forma'!$F$219:$Z$219)+SUMIF('Phase III Pro Forma'!$F$6:$Z$6,'Official Summary'!K$7,'Phase III Pro Forma'!$F$183:$Z$183))*(SUM(Budget!$O$35:$O$44)/SUM(Budget!$M$35:$U$44))</f>
        <v>0</v>
      </c>
      <c r="L38" s="127">
        <f ca="1">+(SUMIF('Phase I Pro Forma'!$F$6:$Z$6,'Official Summary'!L$7,'Phase I Pro Forma'!$F$286:$Z$286)+SUMIF('Phase II Pro Forma'!$F$5:$Z$5,'Official Summary'!L$7,'Phase II Pro Forma'!$F$219:$Z$219)+SUMIF('Phase III Pro Forma'!$F$6:$Z$6,'Official Summary'!L$7,'Phase III Pro Forma'!$F$183:$Z$183))*(SUM(Budget!$O$35:$O$44)/SUM(Budget!$M$35:$U$44))</f>
        <v>0</v>
      </c>
      <c r="M38" s="127">
        <f ca="1">+(SUMIF('Phase I Pro Forma'!$F$6:$Z$6,'Official Summary'!M$7,'Phase I Pro Forma'!$F$286:$Z$286)+SUMIF('Phase II Pro Forma'!$F$5:$Z$5,'Official Summary'!M$7,'Phase II Pro Forma'!$F$219:$Z$219)+SUMIF('Phase III Pro Forma'!$F$6:$Z$6,'Official Summary'!M$7,'Phase III Pro Forma'!$F$183:$Z$183))*(SUM(Budget!$O$35:$O$44)/SUM(Budget!$M$35:$U$44))</f>
        <v>0</v>
      </c>
      <c r="N38" s="452">
        <f ca="1">+(SUMIF('Phase I Pro Forma'!$F$6:$Z$6,'Official Summary'!N$7,'Phase I Pro Forma'!$F$286:$Z$286)+SUMIF('Phase II Pro Forma'!$F$5:$Z$5,'Official Summary'!N$7,'Phase II Pro Forma'!$F$219:$Z$219)+SUMIF('Phase III Pro Forma'!$F$6:$Z$6,'Official Summary'!N$7,'Phase III Pro Forma'!$F$183:$Z$183))*(SUM(Budget!$O$35:$O$44)/SUM(Budget!$M$35:$U$44))</f>
        <v>0</v>
      </c>
    </row>
    <row r="39" spans="2:14" ht="18.95" customHeight="1">
      <c r="B39" s="167" t="s">
        <v>769</v>
      </c>
      <c r="C39" s="140"/>
      <c r="D39" s="470">
        <f ca="1">+(SUMIF('Phase I Pro Forma'!$F$6:$Z$6,'Official Summary'!D$7,'Phase I Pro Forma'!$F$286:$Z$286)+SUMIF('Phase II Pro Forma'!$F$5:$Z$5,'Official Summary'!D$7,'Phase II Pro Forma'!$F$219:$Z$219)+SUMIF('Phase III Pro Forma'!$F$6:$Z$6,'Official Summary'!D$7,'Phase III Pro Forma'!$F$183:$Z$183))*(SUM(Budget!$Q$35:$Q$44)/SUM(Budget!$M$35:$U$44))</f>
        <v>76576.909447451122</v>
      </c>
      <c r="E39" s="127">
        <f ca="1">+(SUMIF('Phase I Pro Forma'!$F$6:$Z$6,'Official Summary'!E$7,'Phase I Pro Forma'!$F$286:$Z$286)+SUMIF('Phase II Pro Forma'!$F$5:$Z$5,'Official Summary'!E$7,'Phase II Pro Forma'!$F$219:$Z$219)+SUMIF('Phase III Pro Forma'!$F$6:$Z$6,'Official Summary'!E$7,'Phase III Pro Forma'!$F$183:$Z$183))*(SUM(Budget!$Q$35:$Q$44)/SUM(Budget!$M$35:$U$44))</f>
        <v>4486182.0239768839</v>
      </c>
      <c r="F39" s="476">
        <f ca="1">+(SUMIF('Phase I Pro Forma'!$F$6:$Z$6,'Official Summary'!F$7,'Phase I Pro Forma'!$F$286:$Z$286)+SUMIF('Phase II Pro Forma'!$F$5:$Z$5,'Official Summary'!F$7,'Phase II Pro Forma'!$F$219:$Z$219)+SUMIF('Phase III Pro Forma'!$F$6:$Z$6,'Official Summary'!F$7,'Phase III Pro Forma'!$F$183:$Z$183))*(SUM(Budget!$Q$35:$Q$44)/SUM(Budget!$M$35:$U$44))</f>
        <v>7958465.3920260211</v>
      </c>
      <c r="G39" s="127">
        <f ca="1">+(SUMIF('Phase I Pro Forma'!$F$6:$Z$6,'Official Summary'!G$7,'Phase I Pro Forma'!$F$286:$Z$286)+SUMIF('Phase II Pro Forma'!$F$5:$Z$5,'Official Summary'!G$7,'Phase II Pro Forma'!$F$219:$Z$219)+SUMIF('Phase III Pro Forma'!$F$6:$Z$6,'Official Summary'!G$7,'Phase III Pro Forma'!$F$183:$Z$183))*(SUM(Budget!$Q$35:$Q$44)/SUM(Budget!$M$35:$U$44))</f>
        <v>3472283.3680491368</v>
      </c>
      <c r="H39" s="482">
        <f ca="1">+(SUMIF('Phase I Pro Forma'!$F$6:$Z$6,'Official Summary'!H$7,'Phase I Pro Forma'!$F$286:$Z$286)+SUMIF('Phase II Pro Forma'!$F$5:$Z$5,'Official Summary'!H$7,'Phase II Pro Forma'!$F$219:$Z$219)+SUMIF('Phase III Pro Forma'!$F$6:$Z$6,'Official Summary'!H$7,'Phase III Pro Forma'!$F$183:$Z$183))*(SUM(Budget!$Q$35:$Q$44)/SUM(Budget!$M$35:$U$44))</f>
        <v>2906475.2329739779</v>
      </c>
      <c r="I39" s="127">
        <f ca="1">+(SUMIF('Phase I Pro Forma'!$F$6:$Z$6,'Official Summary'!I$7,'Phase I Pro Forma'!$F$286:$Z$286)+SUMIF('Phase II Pro Forma'!$F$5:$Z$5,'Official Summary'!I$7,'Phase II Pro Forma'!$F$219:$Z$219)+SUMIF('Phase III Pro Forma'!$F$6:$Z$6,'Official Summary'!I$7,'Phase III Pro Forma'!$F$183:$Z$183))*(SUM(Budget!$Q$35:$Q$44)/SUM(Budget!$M$35:$U$44))</f>
        <v>2906475.2329739779</v>
      </c>
      <c r="J39" s="127">
        <f ca="1">+(SUMIF('Phase I Pro Forma'!$F$6:$Z$6,'Official Summary'!J$7,'Phase I Pro Forma'!$F$286:$Z$286)+SUMIF('Phase II Pro Forma'!$F$5:$Z$5,'Official Summary'!J$7,'Phase II Pro Forma'!$F$219:$Z$219)+SUMIF('Phase III Pro Forma'!$F$6:$Z$6,'Official Summary'!J$7,'Phase III Pro Forma'!$F$183:$Z$183))*(SUM(Budget!$Q$35:$Q$44)/SUM(Budget!$M$35:$U$44))</f>
        <v>0</v>
      </c>
      <c r="K39" s="127">
        <f ca="1">+(SUMIF('Phase I Pro Forma'!$F$6:$Z$6,'Official Summary'!K$7,'Phase I Pro Forma'!$F$286:$Z$286)+SUMIF('Phase II Pro Forma'!$F$5:$Z$5,'Official Summary'!K$7,'Phase II Pro Forma'!$F$219:$Z$219)+SUMIF('Phase III Pro Forma'!$F$6:$Z$6,'Official Summary'!K$7,'Phase III Pro Forma'!$F$183:$Z$183))*(SUM(Budget!$Q$35:$Q$44)/SUM(Budget!$M$35:$U$44))</f>
        <v>0</v>
      </c>
      <c r="L39" s="127">
        <f ca="1">+(SUMIF('Phase I Pro Forma'!$F$6:$Z$6,'Official Summary'!L$7,'Phase I Pro Forma'!$F$286:$Z$286)+SUMIF('Phase II Pro Forma'!$F$5:$Z$5,'Official Summary'!L$7,'Phase II Pro Forma'!$F$219:$Z$219)+SUMIF('Phase III Pro Forma'!$F$6:$Z$6,'Official Summary'!L$7,'Phase III Pro Forma'!$F$183:$Z$183))*(SUM(Budget!$Q$35:$Q$44)/SUM(Budget!$M$35:$U$44))</f>
        <v>0</v>
      </c>
      <c r="M39" s="127">
        <f ca="1">+(SUMIF('Phase I Pro Forma'!$F$6:$Z$6,'Official Summary'!M$7,'Phase I Pro Forma'!$F$286:$Z$286)+SUMIF('Phase II Pro Forma'!$F$5:$Z$5,'Official Summary'!M$7,'Phase II Pro Forma'!$F$219:$Z$219)+SUMIF('Phase III Pro Forma'!$F$6:$Z$6,'Official Summary'!M$7,'Phase III Pro Forma'!$F$183:$Z$183))*(SUM(Budget!$Q$35:$Q$44)/SUM(Budget!$M$35:$U$44))</f>
        <v>0</v>
      </c>
      <c r="N39" s="452">
        <f ca="1">+(SUMIF('Phase I Pro Forma'!$F$6:$Z$6,'Official Summary'!N$7,'Phase I Pro Forma'!$F$286:$Z$286)+SUMIF('Phase II Pro Forma'!$F$5:$Z$5,'Official Summary'!N$7,'Phase II Pro Forma'!$F$219:$Z$219)+SUMIF('Phase III Pro Forma'!$F$6:$Z$6,'Official Summary'!N$7,'Phase III Pro Forma'!$F$183:$Z$183))*(SUM(Budget!$Q$35:$Q$44)/SUM(Budget!$M$35:$U$44))</f>
        <v>0</v>
      </c>
    </row>
    <row r="40" spans="2:14" ht="18.95" customHeight="1">
      <c r="B40" s="167" t="s">
        <v>16</v>
      </c>
      <c r="C40" s="167"/>
      <c r="D40" s="470">
        <f ca="1">+(SUMIF('Phase I Pro Forma'!$F$6:$Z$6,'Official Summary'!D$7,'Phase I Pro Forma'!$F$286:$Z$286)+SUMIF('Phase II Pro Forma'!$F$5:$Z$5,'Official Summary'!D$7,'Phase II Pro Forma'!$F$219:$Z$219)+SUMIF('Phase III Pro Forma'!$F$6:$Z$6,'Official Summary'!D$7,'Phase III Pro Forma'!$F$183:$Z$183))*(SUM(Budget!$P$35:$P$44)/SUM(Budget!$M$35:$U$44))</f>
        <v>51321.575426785661</v>
      </c>
      <c r="E40" s="127">
        <f ca="1">+(SUMIF('Phase I Pro Forma'!$F$6:$Z$6,'Official Summary'!E$7,'Phase I Pro Forma'!$F$286:$Z$286)+SUMIF('Phase II Pro Forma'!$F$5:$Z$5,'Official Summary'!E$7,'Phase II Pro Forma'!$F$219:$Z$219)+SUMIF('Phase III Pro Forma'!$F$6:$Z$6,'Official Summary'!E$7,'Phase III Pro Forma'!$F$183:$Z$183))*(SUM(Budget!$P$35:$P$44)/SUM(Budget!$M$35:$U$44))</f>
        <v>3006623.4166816869</v>
      </c>
      <c r="F40" s="476">
        <f ca="1">+(SUMIF('Phase I Pro Forma'!$F$6:$Z$6,'Official Summary'!F$7,'Phase I Pro Forma'!$F$286:$Z$286)+SUMIF('Phase II Pro Forma'!$F$5:$Z$5,'Official Summary'!F$7,'Phase II Pro Forma'!$F$219:$Z$219)+SUMIF('Phase III Pro Forma'!$F$6:$Z$6,'Official Summary'!F$7,'Phase III Pro Forma'!$F$183:$Z$183))*(SUM(Budget!$P$35:$P$44)/SUM(Budget!$M$35:$U$44))</f>
        <v>5333735.51956427</v>
      </c>
      <c r="G40" s="127">
        <f ca="1">+(SUMIF('Phase I Pro Forma'!$F$6:$Z$6,'Official Summary'!G$7,'Phase I Pro Forma'!$F$286:$Z$286)+SUMIF('Phase II Pro Forma'!$F$5:$Z$5,'Official Summary'!G$7,'Phase II Pro Forma'!$F$219:$Z$219)+SUMIF('Phase III Pro Forma'!$F$6:$Z$6,'Official Summary'!G$7,'Phase III Pro Forma'!$F$183:$Z$183))*(SUM(Budget!$P$35:$P$44)/SUM(Budget!$M$35:$U$44))</f>
        <v>2327112.1028825832</v>
      </c>
      <c r="H40" s="482">
        <f ca="1">+(SUMIF('Phase I Pro Forma'!$F$6:$Z$6,'Official Summary'!H$7,'Phase I Pro Forma'!$F$286:$Z$286)+SUMIF('Phase II Pro Forma'!$F$5:$Z$5,'Official Summary'!H$7,'Phase II Pro Forma'!$F$219:$Z$219)+SUMIF('Phase III Pro Forma'!$F$6:$Z$6,'Official Summary'!H$7,'Phase III Pro Forma'!$F$183:$Z$183))*(SUM(Budget!$P$35:$P$44)/SUM(Budget!$M$35:$U$44))</f>
        <v>1947909.48043573</v>
      </c>
      <c r="I40" s="127">
        <f ca="1">+(SUMIF('Phase I Pro Forma'!$F$6:$Z$6,'Official Summary'!I$7,'Phase I Pro Forma'!$F$286:$Z$286)+SUMIF('Phase II Pro Forma'!$F$5:$Z$5,'Official Summary'!I$7,'Phase II Pro Forma'!$F$219:$Z$219)+SUMIF('Phase III Pro Forma'!$F$6:$Z$6,'Official Summary'!I$7,'Phase III Pro Forma'!$F$183:$Z$183))*(SUM(Budget!$P$35:$P$44)/SUM(Budget!$M$35:$U$44))</f>
        <v>1947909.48043573</v>
      </c>
      <c r="J40" s="127">
        <f ca="1">+(SUMIF('Phase I Pro Forma'!$F$6:$Z$6,'Official Summary'!J$7,'Phase I Pro Forma'!$F$286:$Z$286)+SUMIF('Phase II Pro Forma'!$F$5:$Z$5,'Official Summary'!J$7,'Phase II Pro Forma'!$F$219:$Z$219)+SUMIF('Phase III Pro Forma'!$F$6:$Z$6,'Official Summary'!J$7,'Phase III Pro Forma'!$F$183:$Z$183))*(SUM(Budget!$P$35:$P$44)/SUM(Budget!$M$35:$U$44))</f>
        <v>0</v>
      </c>
      <c r="K40" s="127">
        <f ca="1">+(SUMIF('Phase I Pro Forma'!$F$6:$Z$6,'Official Summary'!K$7,'Phase I Pro Forma'!$F$286:$Z$286)+SUMIF('Phase II Pro Forma'!$F$5:$Z$5,'Official Summary'!K$7,'Phase II Pro Forma'!$F$219:$Z$219)+SUMIF('Phase III Pro Forma'!$F$6:$Z$6,'Official Summary'!K$7,'Phase III Pro Forma'!$F$183:$Z$183))*(SUM(Budget!$P$35:$P$44)/SUM(Budget!$M$35:$U$44))</f>
        <v>0</v>
      </c>
      <c r="L40" s="127">
        <f ca="1">+(SUMIF('Phase I Pro Forma'!$F$6:$Z$6,'Official Summary'!L$7,'Phase I Pro Forma'!$F$286:$Z$286)+SUMIF('Phase II Pro Forma'!$F$5:$Z$5,'Official Summary'!L$7,'Phase II Pro Forma'!$F$219:$Z$219)+SUMIF('Phase III Pro Forma'!$F$6:$Z$6,'Official Summary'!L$7,'Phase III Pro Forma'!$F$183:$Z$183))*(SUM(Budget!$P$35:$P$44)/SUM(Budget!$M$35:$U$44))</f>
        <v>0</v>
      </c>
      <c r="M40" s="127">
        <f ca="1">+(SUMIF('Phase I Pro Forma'!$F$6:$Z$6,'Official Summary'!M$7,'Phase I Pro Forma'!$F$286:$Z$286)+SUMIF('Phase II Pro Forma'!$F$5:$Z$5,'Official Summary'!M$7,'Phase II Pro Forma'!$F$219:$Z$219)+SUMIF('Phase III Pro Forma'!$F$6:$Z$6,'Official Summary'!M$7,'Phase III Pro Forma'!$F$183:$Z$183))*(SUM(Budget!$P$35:$P$44)/SUM(Budget!$M$35:$U$44))</f>
        <v>0</v>
      </c>
      <c r="N40" s="452">
        <f ca="1">+(SUMIF('Phase I Pro Forma'!$F$6:$Z$6,'Official Summary'!N$7,'Phase I Pro Forma'!$F$286:$Z$286)+SUMIF('Phase II Pro Forma'!$F$5:$Z$5,'Official Summary'!N$7,'Phase II Pro Forma'!$F$219:$Z$219)+SUMIF('Phase III Pro Forma'!$F$6:$Z$6,'Official Summary'!N$7,'Phase III Pro Forma'!$F$183:$Z$183))*(SUM(Budget!$P$35:$P$44)/SUM(Budget!$M$35:$U$44))</f>
        <v>0</v>
      </c>
    </row>
    <row r="41" spans="2:14" ht="18.95" customHeight="1">
      <c r="B41" s="167" t="s">
        <v>29</v>
      </c>
      <c r="C41" s="167"/>
      <c r="D41" s="470">
        <f ca="1">+(SUMIF('Phase I Pro Forma'!$F$6:$Z$6,'Official Summary'!D$7,'Phase I Pro Forma'!$F$286:$Z$286)+SUMIF('Phase II Pro Forma'!$F$5:$Z$5,'Official Summary'!D$7,'Phase II Pro Forma'!$F$219:$Z$219)+SUMIF('Phase III Pro Forma'!$F$6:$Z$6,'Official Summary'!D$7,'Phase III Pro Forma'!$F$183:$Z$183))*(SUM(Budget!$T$35:$T$44)/SUM(Budget!$M$35:$U$44))</f>
        <v>97375.58230840211</v>
      </c>
      <c r="E41" s="127">
        <f ca="1">+(SUMIF('Phase I Pro Forma'!$F$6:$Z$6,'Official Summary'!E$7,'Phase I Pro Forma'!$F$286:$Z$286)+SUMIF('Phase II Pro Forma'!$F$5:$Z$5,'Official Summary'!E$7,'Phase II Pro Forma'!$F$219:$Z$219)+SUMIF('Phase III Pro Forma'!$F$6:$Z$6,'Official Summary'!E$7,'Phase III Pro Forma'!$F$183:$Z$183))*(SUM(Budget!$T$35:$T$44)/SUM(Budget!$M$35:$U$44))</f>
        <v>5704651.5728871003</v>
      </c>
      <c r="F41" s="476">
        <f ca="1">+(SUMIF('Phase I Pro Forma'!$F$6:$Z$6,'Official Summary'!F$7,'Phase I Pro Forma'!$F$286:$Z$286)+SUMIF('Phase II Pro Forma'!$F$5:$Z$5,'Official Summary'!F$7,'Phase II Pro Forma'!$F$219:$Z$219)+SUMIF('Phase III Pro Forma'!$F$6:$Z$6,'Official Summary'!F$7,'Phase III Pro Forma'!$F$183:$Z$183))*(SUM(Budget!$T$35:$T$44)/SUM(Budget!$M$35:$U$44))</f>
        <v>10120024.527257729</v>
      </c>
      <c r="G41" s="127">
        <f ca="1">+(SUMIF('Phase I Pro Forma'!$F$6:$Z$6,'Official Summary'!G$7,'Phase I Pro Forma'!$F$286:$Z$286)+SUMIF('Phase II Pro Forma'!$F$5:$Z$5,'Official Summary'!G$7,'Phase II Pro Forma'!$F$219:$Z$219)+SUMIF('Phase III Pro Forma'!$F$6:$Z$6,'Official Summary'!G$7,'Phase III Pro Forma'!$F$183:$Z$183))*(SUM(Budget!$T$35:$T$44)/SUM(Budget!$M$35:$U$44))</f>
        <v>4415372.95437063</v>
      </c>
      <c r="H41" s="482">
        <f ca="1">+(SUMIF('Phase I Pro Forma'!$F$6:$Z$6,'Official Summary'!H$7,'Phase I Pro Forma'!$F$286:$Z$286)+SUMIF('Phase II Pro Forma'!$F$5:$Z$5,'Official Summary'!H$7,'Phase II Pro Forma'!$F$219:$Z$219)+SUMIF('Phase III Pro Forma'!$F$6:$Z$6,'Official Summary'!H$7,'Phase III Pro Forma'!$F$183:$Z$183))*(SUM(Budget!$T$35:$T$44)/SUM(Budget!$M$35:$U$44))</f>
        <v>3695888.4906422687</v>
      </c>
      <c r="I41" s="127">
        <f ca="1">+(SUMIF('Phase I Pro Forma'!$F$6:$Z$6,'Official Summary'!I$7,'Phase I Pro Forma'!$F$286:$Z$286)+SUMIF('Phase II Pro Forma'!$F$5:$Z$5,'Official Summary'!I$7,'Phase II Pro Forma'!$F$219:$Z$219)+SUMIF('Phase III Pro Forma'!$F$6:$Z$6,'Official Summary'!I$7,'Phase III Pro Forma'!$F$183:$Z$183))*(SUM(Budget!$T$35:$T$44)/SUM(Budget!$M$35:$U$44))</f>
        <v>3695888.4906422687</v>
      </c>
      <c r="J41" s="127">
        <f ca="1">+(SUMIF('Phase I Pro Forma'!$F$6:$Z$6,'Official Summary'!J$7,'Phase I Pro Forma'!$F$286:$Z$286)+SUMIF('Phase II Pro Forma'!$F$5:$Z$5,'Official Summary'!J$7,'Phase II Pro Forma'!$F$219:$Z$219)+SUMIF('Phase III Pro Forma'!$F$6:$Z$6,'Official Summary'!J$7,'Phase III Pro Forma'!$F$183:$Z$183))*(SUM(Budget!$T$35:$T$44)/SUM(Budget!$M$35:$U$44))</f>
        <v>0</v>
      </c>
      <c r="K41" s="127">
        <f ca="1">+(SUMIF('Phase I Pro Forma'!$F$6:$Z$6,'Official Summary'!K$7,'Phase I Pro Forma'!$F$286:$Z$286)+SUMIF('Phase II Pro Forma'!$F$5:$Z$5,'Official Summary'!K$7,'Phase II Pro Forma'!$F$219:$Z$219)+SUMIF('Phase III Pro Forma'!$F$6:$Z$6,'Official Summary'!K$7,'Phase III Pro Forma'!$F$183:$Z$183))*(SUM(Budget!$T$35:$T$44)/SUM(Budget!$M$35:$U$44))</f>
        <v>0</v>
      </c>
      <c r="L41" s="127">
        <f ca="1">+(SUMIF('Phase I Pro Forma'!$F$6:$Z$6,'Official Summary'!L$7,'Phase I Pro Forma'!$F$286:$Z$286)+SUMIF('Phase II Pro Forma'!$F$5:$Z$5,'Official Summary'!L$7,'Phase II Pro Forma'!$F$219:$Z$219)+SUMIF('Phase III Pro Forma'!$F$6:$Z$6,'Official Summary'!L$7,'Phase III Pro Forma'!$F$183:$Z$183))*(SUM(Budget!$T$35:$T$44)/SUM(Budget!$M$35:$U$44))</f>
        <v>0</v>
      </c>
      <c r="M41" s="127">
        <f ca="1">+(SUMIF('Phase I Pro Forma'!$F$6:$Z$6,'Official Summary'!M$7,'Phase I Pro Forma'!$F$286:$Z$286)+SUMIF('Phase II Pro Forma'!$F$5:$Z$5,'Official Summary'!M$7,'Phase II Pro Forma'!$F$219:$Z$219)+SUMIF('Phase III Pro Forma'!$F$6:$Z$6,'Official Summary'!M$7,'Phase III Pro Forma'!$F$183:$Z$183))*(SUM(Budget!$T$35:$T$44)/SUM(Budget!$M$35:$U$44))</f>
        <v>0</v>
      </c>
      <c r="N41" s="452">
        <f ca="1">+(SUMIF('Phase I Pro Forma'!$F$6:$Z$6,'Official Summary'!N$7,'Phase I Pro Forma'!$F$286:$Z$286)+SUMIF('Phase II Pro Forma'!$F$5:$Z$5,'Official Summary'!N$7,'Phase II Pro Forma'!$F$219:$Z$219)+SUMIF('Phase III Pro Forma'!$F$6:$Z$6,'Official Summary'!N$7,'Phase III Pro Forma'!$F$183:$Z$183))*(SUM(Budget!$T$35:$T$44)/SUM(Budget!$M$35:$U$44))</f>
        <v>0</v>
      </c>
    </row>
    <row r="42" spans="2:14" ht="18.95" customHeight="1">
      <c r="B42" s="167" t="s">
        <v>30</v>
      </c>
      <c r="C42" s="181"/>
      <c r="D42" s="470">
        <f ca="1">+(SUMIF('Phase I Pro Forma'!$F$6:$Z$6,'Official Summary'!D$7,'Phase I Pro Forma'!$F$286:$Z$286)+SUMIF('Phase II Pro Forma'!$F$5:$Z$5,'Official Summary'!D$7,'Phase II Pro Forma'!$F$219:$Z$219)+SUMIF('Phase III Pro Forma'!$F$6:$Z$6,'Official Summary'!D$7,'Phase III Pro Forma'!$F$183:$Z$183))*(SUM(Budget!$U$35:$U$44)/SUM(Budget!$M$35:$U$44))</f>
        <v>0</v>
      </c>
      <c r="E42" s="127">
        <f ca="1">+(SUMIF('Phase I Pro Forma'!$F$6:$Z$6,'Official Summary'!E$7,'Phase I Pro Forma'!$F$286:$Z$286)+SUMIF('Phase II Pro Forma'!$F$5:$Z$5,'Official Summary'!E$7,'Phase II Pro Forma'!$F$219:$Z$219)+SUMIF('Phase III Pro Forma'!$F$6:$Z$6,'Official Summary'!E$7,'Phase III Pro Forma'!$F$183:$Z$183))*(SUM(Budget!$U$35:$U$44)/SUM(Budget!$M$35:$U$44))</f>
        <v>0</v>
      </c>
      <c r="F42" s="476">
        <f ca="1">+(SUMIF('Phase I Pro Forma'!$F$6:$Z$6,'Official Summary'!F$7,'Phase I Pro Forma'!$F$286:$Z$286)+SUMIF('Phase II Pro Forma'!$F$5:$Z$5,'Official Summary'!F$7,'Phase II Pro Forma'!$F$219:$Z$219)+SUMIF('Phase III Pro Forma'!$F$6:$Z$6,'Official Summary'!F$7,'Phase III Pro Forma'!$F$183:$Z$183))*(SUM(Budget!$U$35:$U$44)/SUM(Budget!$M$35:$U$44))</f>
        <v>0</v>
      </c>
      <c r="G42" s="127">
        <f ca="1">+(SUMIF('Phase I Pro Forma'!$F$6:$Z$6,'Official Summary'!G$7,'Phase I Pro Forma'!$F$286:$Z$286)+SUMIF('Phase II Pro Forma'!$F$5:$Z$5,'Official Summary'!G$7,'Phase II Pro Forma'!$F$219:$Z$219)+SUMIF('Phase III Pro Forma'!$F$6:$Z$6,'Official Summary'!G$7,'Phase III Pro Forma'!$F$183:$Z$183))*(SUM(Budget!$U$35:$U$44)/SUM(Budget!$M$35:$U$44))</f>
        <v>0</v>
      </c>
      <c r="H42" s="482">
        <f ca="1">+(SUMIF('Phase I Pro Forma'!$F$6:$Z$6,'Official Summary'!H$7,'Phase I Pro Forma'!$F$286:$Z$286)+SUMIF('Phase II Pro Forma'!$F$5:$Z$5,'Official Summary'!H$7,'Phase II Pro Forma'!$F$219:$Z$219)+SUMIF('Phase III Pro Forma'!$F$6:$Z$6,'Official Summary'!H$7,'Phase III Pro Forma'!$F$183:$Z$183))*(SUM(Budget!$U$35:$U$44)/SUM(Budget!$M$35:$U$44))</f>
        <v>0</v>
      </c>
      <c r="I42" s="127">
        <f ca="1">+(SUMIF('Phase I Pro Forma'!$F$6:$Z$6,'Official Summary'!I$7,'Phase I Pro Forma'!$F$286:$Z$286)+SUMIF('Phase II Pro Forma'!$F$5:$Z$5,'Official Summary'!I$7,'Phase II Pro Forma'!$F$219:$Z$219)+SUMIF('Phase III Pro Forma'!$F$6:$Z$6,'Official Summary'!I$7,'Phase III Pro Forma'!$F$183:$Z$183))*(SUM(Budget!$U$35:$U$44)/SUM(Budget!$M$35:$U$44))</f>
        <v>0</v>
      </c>
      <c r="J42" s="127">
        <f ca="1">+(SUMIF('Phase I Pro Forma'!$F$6:$Z$6,'Official Summary'!J$7,'Phase I Pro Forma'!$F$286:$Z$286)+SUMIF('Phase II Pro Forma'!$F$5:$Z$5,'Official Summary'!J$7,'Phase II Pro Forma'!$F$219:$Z$219)+SUMIF('Phase III Pro Forma'!$F$6:$Z$6,'Official Summary'!J$7,'Phase III Pro Forma'!$F$183:$Z$183))*(SUM(Budget!$U$35:$U$44)/SUM(Budget!$M$35:$U$44))</f>
        <v>0</v>
      </c>
      <c r="K42" s="127">
        <f ca="1">+(SUMIF('Phase I Pro Forma'!$F$6:$Z$6,'Official Summary'!K$7,'Phase I Pro Forma'!$F$286:$Z$286)+SUMIF('Phase II Pro Forma'!$F$5:$Z$5,'Official Summary'!K$7,'Phase II Pro Forma'!$F$219:$Z$219)+SUMIF('Phase III Pro Forma'!$F$6:$Z$6,'Official Summary'!K$7,'Phase III Pro Forma'!$F$183:$Z$183))*(SUM(Budget!$U$35:$U$44)/SUM(Budget!$M$35:$U$44))</f>
        <v>0</v>
      </c>
      <c r="L42" s="127">
        <f ca="1">+(SUMIF('Phase I Pro Forma'!$F$6:$Z$6,'Official Summary'!L$7,'Phase I Pro Forma'!$F$286:$Z$286)+SUMIF('Phase II Pro Forma'!$F$5:$Z$5,'Official Summary'!L$7,'Phase II Pro Forma'!$F$219:$Z$219)+SUMIF('Phase III Pro Forma'!$F$6:$Z$6,'Official Summary'!L$7,'Phase III Pro Forma'!$F$183:$Z$183))*(SUM(Budget!$U$35:$U$44)/SUM(Budget!$M$35:$U$44))</f>
        <v>0</v>
      </c>
      <c r="M42" s="127">
        <f ca="1">+(SUMIF('Phase I Pro Forma'!$F$6:$Z$6,'Official Summary'!M$7,'Phase I Pro Forma'!$F$286:$Z$286)+SUMIF('Phase II Pro Forma'!$F$5:$Z$5,'Official Summary'!M$7,'Phase II Pro Forma'!$F$219:$Z$219)+SUMIF('Phase III Pro Forma'!$F$6:$Z$6,'Official Summary'!M$7,'Phase III Pro Forma'!$F$183:$Z$183))*(SUM(Budget!$U$35:$U$44)/SUM(Budget!$M$35:$U$44))</f>
        <v>0</v>
      </c>
      <c r="N42" s="452">
        <f ca="1">+(SUMIF('Phase I Pro Forma'!$F$6:$Z$6,'Official Summary'!N$7,'Phase I Pro Forma'!$F$286:$Z$286)+SUMIF('Phase II Pro Forma'!$F$5:$Z$5,'Official Summary'!N$7,'Phase II Pro Forma'!$F$219:$Z$219)+SUMIF('Phase III Pro Forma'!$F$6:$Z$6,'Official Summary'!N$7,'Phase III Pro Forma'!$F$183:$Z$183))*(SUM(Budget!$U$35:$U$44)/SUM(Budget!$M$35:$U$44))</f>
        <v>0</v>
      </c>
    </row>
    <row r="43" spans="2:14" ht="18.95" customHeight="1">
      <c r="B43" s="167" t="s">
        <v>17</v>
      </c>
      <c r="C43" s="167"/>
      <c r="D43" s="470" t="s">
        <v>9</v>
      </c>
      <c r="E43" s="127" t="s">
        <v>9</v>
      </c>
      <c r="F43" s="476" t="s">
        <v>9</v>
      </c>
      <c r="G43" s="127" t="s">
        <v>9</v>
      </c>
      <c r="H43" s="482" t="s">
        <v>9</v>
      </c>
      <c r="I43" s="127" t="s">
        <v>9</v>
      </c>
      <c r="J43" s="127" t="s">
        <v>9</v>
      </c>
      <c r="K43" s="127" t="s">
        <v>9</v>
      </c>
      <c r="L43" s="127" t="s">
        <v>9</v>
      </c>
      <c r="M43" s="127" t="s">
        <v>9</v>
      </c>
      <c r="N43" s="452" t="s">
        <v>9</v>
      </c>
    </row>
    <row r="44" spans="2:14" ht="18.95" customHeight="1">
      <c r="B44" s="167" t="s">
        <v>18</v>
      </c>
      <c r="C44" s="167"/>
      <c r="D44" s="470">
        <f ca="1">+(SUMIF('Phase I Pro Forma'!$F$6:$Z$6,'Official Summary'!D$7,'Phase I Pro Forma'!$F$286:$Z$286)+SUMIF('Phase II Pro Forma'!$F$5:$Z$5,'Official Summary'!D$7,'Phase II Pro Forma'!$F$219:$Z$219)+SUMIF('Phase III Pro Forma'!$F$6:$Z$6,'Official Summary'!D$7,'Phase III Pro Forma'!$F$183:$Z$183))*(SUM(Budget!$S$35:$S$44)/SUM(Budget!$M$35:$U$44))</f>
        <v>15379.081504551155</v>
      </c>
      <c r="E44" s="127">
        <f ca="1">+(SUMIF('Phase I Pro Forma'!$F$6:$Z$6,'Official Summary'!E$7,'Phase I Pro Forma'!$F$286:$Z$286)+SUMIF('Phase II Pro Forma'!$F$5:$Z$5,'Official Summary'!E$7,'Phase II Pro Forma'!$F$219:$Z$219)+SUMIF('Phase III Pro Forma'!$F$6:$Z$6,'Official Summary'!E$7,'Phase III Pro Forma'!$F$183:$Z$183))*(SUM(Budget!$S$35:$S$44)/SUM(Budget!$M$35:$U$44))</f>
        <v>900968.18334432307</v>
      </c>
      <c r="F44" s="476">
        <f ca="1">+(SUMIF('Phase I Pro Forma'!$F$6:$Z$6,'Official Summary'!F$7,'Phase I Pro Forma'!$F$286:$Z$286)+SUMIF('Phase II Pro Forma'!$F$5:$Z$5,'Official Summary'!F$7,'Phase II Pro Forma'!$F$219:$Z$219)+SUMIF('Phase III Pro Forma'!$F$6:$Z$6,'Official Summary'!F$7,'Phase III Pro Forma'!$F$183:$Z$183))*(SUM(Budget!$S$35:$S$44)/SUM(Budget!$M$35:$U$44))</f>
        <v>1598313.2356511126</v>
      </c>
      <c r="G44" s="127">
        <f ca="1">+(SUMIF('Phase I Pro Forma'!$F$6:$Z$6,'Official Summary'!G$7,'Phase I Pro Forma'!$F$286:$Z$286)+SUMIF('Phase II Pro Forma'!$F$5:$Z$5,'Official Summary'!G$7,'Phase II Pro Forma'!$F$219:$Z$219)+SUMIF('Phase III Pro Forma'!$F$6:$Z$6,'Official Summary'!G$7,'Phase III Pro Forma'!$F$183:$Z$183))*(SUM(Budget!$S$35:$S$44)/SUM(Budget!$M$35:$U$44))</f>
        <v>697345.05230678944</v>
      </c>
      <c r="H44" s="482">
        <f ca="1">+(SUMIF('Phase I Pro Forma'!$F$6:$Z$6,'Official Summary'!H$7,'Phase I Pro Forma'!$F$286:$Z$286)+SUMIF('Phase II Pro Forma'!$F$5:$Z$5,'Official Summary'!H$7,'Phase II Pro Forma'!$F$219:$Z$219)+SUMIF('Phase III Pro Forma'!$F$6:$Z$6,'Official Summary'!H$7,'Phase III Pro Forma'!$F$183:$Z$183))*(SUM(Budget!$S$35:$S$44)/SUM(Budget!$M$35:$U$44))</f>
        <v>583712.76434888737</v>
      </c>
      <c r="I44" s="127">
        <f ca="1">+(SUMIF('Phase I Pro Forma'!$F$6:$Z$6,'Official Summary'!I$7,'Phase I Pro Forma'!$F$286:$Z$286)+SUMIF('Phase II Pro Forma'!$F$5:$Z$5,'Official Summary'!I$7,'Phase II Pro Forma'!$F$219:$Z$219)+SUMIF('Phase III Pro Forma'!$F$6:$Z$6,'Official Summary'!I$7,'Phase III Pro Forma'!$F$183:$Z$183))*(SUM(Budget!$S$35:$S$44)/SUM(Budget!$M$35:$U$44))</f>
        <v>583712.76434888737</v>
      </c>
      <c r="J44" s="127">
        <f ca="1">+(SUMIF('Phase I Pro Forma'!$F$6:$Z$6,'Official Summary'!J$7,'Phase I Pro Forma'!$F$286:$Z$286)+SUMIF('Phase II Pro Forma'!$F$5:$Z$5,'Official Summary'!J$7,'Phase II Pro Forma'!$F$219:$Z$219)+SUMIF('Phase III Pro Forma'!$F$6:$Z$6,'Official Summary'!J$7,'Phase III Pro Forma'!$F$183:$Z$183))*(SUM(Budget!$S$35:$S$44)/SUM(Budget!$M$35:$U$44))</f>
        <v>0</v>
      </c>
      <c r="K44" s="127">
        <f ca="1">+(SUMIF('Phase I Pro Forma'!$F$6:$Z$6,'Official Summary'!K$7,'Phase I Pro Forma'!$F$286:$Z$286)+SUMIF('Phase II Pro Forma'!$F$5:$Z$5,'Official Summary'!K$7,'Phase II Pro Forma'!$F$219:$Z$219)+SUMIF('Phase III Pro Forma'!$F$6:$Z$6,'Official Summary'!K$7,'Phase III Pro Forma'!$F$183:$Z$183))*(SUM(Budget!$S$35:$S$44)/SUM(Budget!$M$35:$U$44))</f>
        <v>0</v>
      </c>
      <c r="L44" s="127">
        <f ca="1">+(SUMIF('Phase I Pro Forma'!$F$6:$Z$6,'Official Summary'!L$7,'Phase I Pro Forma'!$F$286:$Z$286)+SUMIF('Phase II Pro Forma'!$F$5:$Z$5,'Official Summary'!L$7,'Phase II Pro Forma'!$F$219:$Z$219)+SUMIF('Phase III Pro Forma'!$F$6:$Z$6,'Official Summary'!L$7,'Phase III Pro Forma'!$F$183:$Z$183))*(SUM(Budget!$S$35:$S$44)/SUM(Budget!$M$35:$U$44))</f>
        <v>0</v>
      </c>
      <c r="M44" s="127">
        <f ca="1">+(SUMIF('Phase I Pro Forma'!$F$6:$Z$6,'Official Summary'!M$7,'Phase I Pro Forma'!$F$286:$Z$286)+SUMIF('Phase II Pro Forma'!$F$5:$Z$5,'Official Summary'!M$7,'Phase II Pro Forma'!$F$219:$Z$219)+SUMIF('Phase III Pro Forma'!$F$6:$Z$6,'Official Summary'!M$7,'Phase III Pro Forma'!$F$183:$Z$183))*(SUM(Budget!$S$35:$S$44)/SUM(Budget!$M$35:$U$44))</f>
        <v>0</v>
      </c>
      <c r="N44" s="452">
        <f ca="1">+(SUMIF('Phase I Pro Forma'!$F$6:$Z$6,'Official Summary'!N$7,'Phase I Pro Forma'!$F$286:$Z$286)+SUMIF('Phase II Pro Forma'!$F$5:$Z$5,'Official Summary'!N$7,'Phase II Pro Forma'!$F$219:$Z$219)+SUMIF('Phase III Pro Forma'!$F$6:$Z$6,'Official Summary'!N$7,'Phase III Pro Forma'!$F$183:$Z$183))*(SUM(Budget!$S$35:$S$44)/SUM(Budget!$M$35:$U$44))</f>
        <v>0</v>
      </c>
    </row>
    <row r="45" spans="2:14" ht="18.95" customHeight="1">
      <c r="B45" s="565" t="s">
        <v>31</v>
      </c>
      <c r="D45" s="470">
        <f>+(SUMIF('Phase I Pro Forma'!$F$6:$Z$6,'Official Summary'!D$7,'Phase I Pro Forma'!$F$284:$Z$284)+SUMIF('Phase II Pro Forma'!$F$5:$Z$5,'Official Summary'!D$7,'Phase II Pro Forma'!$F$217:$Z$217)+SUMIF('Phase III Pro Forma'!$F$6:$Z$6,'Official Summary'!D$7,'Phase III Pro Forma'!$F$181:$Z$181))</f>
        <v>69576802</v>
      </c>
      <c r="E45" s="127">
        <f>+(SUMIF('Phase I Pro Forma'!$F$6:$Z$6,'Official Summary'!E$7,'Phase I Pro Forma'!$F$284:$Z$284)+SUMIF('Phase II Pro Forma'!$F$5:$Z$5,'Official Summary'!E$7,'Phase II Pro Forma'!$F$217:$Z$217)+SUMIF('Phase III Pro Forma'!$F$6:$Z$6,'Official Summary'!E$7,'Phase III Pro Forma'!$F$181:$Z$181))</f>
        <v>0</v>
      </c>
      <c r="F45" s="476">
        <f>+(SUMIF('Phase I Pro Forma'!$F$6:$Z$6,'Official Summary'!F$7,'Phase I Pro Forma'!$F$284:$Z$284)+SUMIF('Phase II Pro Forma'!$F$5:$Z$5,'Official Summary'!F$7,'Phase II Pro Forma'!$F$217:$Z$217)+SUMIF('Phase III Pro Forma'!$F$6:$Z$6,'Official Summary'!F$7,'Phase III Pro Forma'!$F$181:$Z$181))</f>
        <v>0</v>
      </c>
      <c r="G45" s="127">
        <f>+(SUMIF('Phase I Pro Forma'!$F$6:$Z$6,'Official Summary'!G$7,'Phase I Pro Forma'!$F$284:$Z$284)+SUMIF('Phase II Pro Forma'!$F$5:$Z$5,'Official Summary'!G$7,'Phase II Pro Forma'!$F$217:$Z$217)+SUMIF('Phase III Pro Forma'!$F$6:$Z$6,'Official Summary'!G$7,'Phase III Pro Forma'!$F$181:$Z$181))</f>
        <v>0</v>
      </c>
      <c r="H45" s="482">
        <f>+(SUMIF('Phase I Pro Forma'!$F$6:$Z$6,'Official Summary'!H$7,'Phase I Pro Forma'!$F$284:$Z$284)+SUMIF('Phase II Pro Forma'!$F$5:$Z$5,'Official Summary'!H$7,'Phase II Pro Forma'!$F$217:$Z$217)+SUMIF('Phase III Pro Forma'!$F$6:$Z$6,'Official Summary'!H$7,'Phase III Pro Forma'!$F$181:$Z$181))</f>
        <v>0</v>
      </c>
      <c r="I45" s="127">
        <f>+(SUMIF('Phase I Pro Forma'!$F$6:$Z$6,'Official Summary'!I$7,'Phase I Pro Forma'!$F$284:$Z$284)+SUMIF('Phase II Pro Forma'!$F$5:$Z$5,'Official Summary'!I$7,'Phase II Pro Forma'!$F$217:$Z$217)+SUMIF('Phase III Pro Forma'!$F$6:$Z$6,'Official Summary'!I$7,'Phase III Pro Forma'!$F$181:$Z$181))</f>
        <v>0</v>
      </c>
      <c r="J45" s="127">
        <f>+(SUMIF('Phase I Pro Forma'!$F$6:$Z$6,'Official Summary'!J$7,'Phase I Pro Forma'!$F$284:$Z$284)+SUMIF('Phase II Pro Forma'!$F$5:$Z$5,'Official Summary'!J$7,'Phase II Pro Forma'!$F$217:$Z$217)+SUMIF('Phase III Pro Forma'!$F$6:$Z$6,'Official Summary'!J$7,'Phase III Pro Forma'!$F$181:$Z$181))</f>
        <v>0</v>
      </c>
      <c r="K45" s="127">
        <f>+(SUMIF('Phase I Pro Forma'!$F$6:$Z$6,'Official Summary'!K$7,'Phase I Pro Forma'!$F$284:$Z$284)+SUMIF('Phase II Pro Forma'!$F$5:$Z$5,'Official Summary'!K$7,'Phase II Pro Forma'!$F$217:$Z$217)+SUMIF('Phase III Pro Forma'!$F$6:$Z$6,'Official Summary'!K$7,'Phase III Pro Forma'!$F$181:$Z$181))</f>
        <v>0</v>
      </c>
      <c r="L45" s="127">
        <f>+(SUMIF('Phase I Pro Forma'!$F$6:$Z$6,'Official Summary'!L$7,'Phase I Pro Forma'!$F$284:$Z$284)+SUMIF('Phase II Pro Forma'!$F$5:$Z$5,'Official Summary'!L$7,'Phase II Pro Forma'!$F$217:$Z$217)+SUMIF('Phase III Pro Forma'!$F$6:$Z$6,'Official Summary'!L$7,'Phase III Pro Forma'!$F$181:$Z$181))</f>
        <v>0</v>
      </c>
      <c r="M45" s="127">
        <f>+(SUMIF('Phase I Pro Forma'!$F$6:$Z$6,'Official Summary'!M$7,'Phase I Pro Forma'!$F$284:$Z$284)+SUMIF('Phase II Pro Forma'!$F$5:$Z$5,'Official Summary'!M$7,'Phase II Pro Forma'!$F$217:$Z$217)+SUMIF('Phase III Pro Forma'!$F$6:$Z$6,'Official Summary'!M$7,'Phase III Pro Forma'!$F$181:$Z$181))</f>
        <v>0</v>
      </c>
      <c r="N45" s="452">
        <f>+(SUMIF('Phase I Pro Forma'!$F$6:$Z$6,'Official Summary'!N$7,'Phase I Pro Forma'!$F$284:$Z$284)+SUMIF('Phase II Pro Forma'!$F$5:$Z$5,'Official Summary'!N$7,'Phase II Pro Forma'!$F$217:$Z$217)+SUMIF('Phase III Pro Forma'!$F$6:$Z$6,'Official Summary'!N$7,'Phase III Pro Forma'!$F$181:$Z$181))</f>
        <v>0</v>
      </c>
    </row>
    <row r="46" spans="2:14" ht="18.95" customHeight="1">
      <c r="B46" s="565" t="s">
        <v>32</v>
      </c>
      <c r="C46" s="560"/>
      <c r="D46" s="470">
        <f>+(SUMIF('Phase I Pro Forma'!$F$6:$Z$6,'Official Summary'!D$7,'Phase I Pro Forma'!$F$285:$Z$285)+SUMIF('Phase II Pro Forma'!$F$5:$Z$5,'Official Summary'!D$7,'Phase II Pro Forma'!$F$218:$Z$218)+SUMIF('Phase III Pro Forma'!$F$6:$Z$6,'Official Summary'!D$7,'Phase III Pro Forma'!$F$182:$Z$182))</f>
        <v>4779023.2142857146</v>
      </c>
      <c r="E46" s="127">
        <f>+(SUMIF('Phase I Pro Forma'!$F$6:$Z$6,'Official Summary'!E$7,'Phase I Pro Forma'!$F$285:$Z$285)+SUMIF('Phase II Pro Forma'!$F$5:$Z$5,'Official Summary'!E$7,'Phase II Pro Forma'!$F$218:$Z$218)+SUMIF('Phase III Pro Forma'!$F$6:$Z$6,'Official Summary'!E$7,'Phase III Pro Forma'!$F$182:$Z$182))</f>
        <v>372000</v>
      </c>
      <c r="F46" s="476">
        <f>+(SUMIF('Phase I Pro Forma'!$F$6:$Z$6,'Official Summary'!F$7,'Phase I Pro Forma'!$F$285:$Z$285)+SUMIF('Phase II Pro Forma'!$F$5:$Z$5,'Official Summary'!F$7,'Phase II Pro Forma'!$F$218:$Z$218)+SUMIF('Phase III Pro Forma'!$F$6:$Z$6,'Official Summary'!F$7,'Phase III Pro Forma'!$F$182:$Z$182))</f>
        <v>0</v>
      </c>
      <c r="G46" s="127">
        <f>+(SUMIF('Phase I Pro Forma'!$F$6:$Z$6,'Official Summary'!G$7,'Phase I Pro Forma'!$F$285:$Z$285)+SUMIF('Phase II Pro Forma'!$F$5:$Z$5,'Official Summary'!G$7,'Phase II Pro Forma'!$F$218:$Z$218)+SUMIF('Phase III Pro Forma'!$F$6:$Z$6,'Official Summary'!G$7,'Phase III Pro Forma'!$F$182:$Z$182))</f>
        <v>1652345</v>
      </c>
      <c r="H46" s="482">
        <f>+(SUMIF('Phase I Pro Forma'!$F$6:$Z$6,'Official Summary'!H$7,'Phase I Pro Forma'!$F$285:$Z$285)+SUMIF('Phase II Pro Forma'!$F$5:$Z$5,'Official Summary'!H$7,'Phase II Pro Forma'!$F$218:$Z$218)+SUMIF('Phase III Pro Forma'!$F$6:$Z$6,'Official Summary'!H$7,'Phase III Pro Forma'!$F$182:$Z$182))</f>
        <v>0</v>
      </c>
      <c r="I46" s="127">
        <f>+(SUMIF('Phase I Pro Forma'!$F$6:$Z$6,'Official Summary'!I$7,'Phase I Pro Forma'!$F$285:$Z$285)+SUMIF('Phase II Pro Forma'!$F$5:$Z$5,'Official Summary'!I$7,'Phase II Pro Forma'!$F$218:$Z$218)+SUMIF('Phase III Pro Forma'!$F$6:$Z$6,'Official Summary'!I$7,'Phase III Pro Forma'!$F$182:$Z$182))</f>
        <v>0</v>
      </c>
      <c r="J46" s="127">
        <f>+(SUMIF('Phase I Pro Forma'!$F$6:$Z$6,'Official Summary'!J$7,'Phase I Pro Forma'!$F$285:$Z$285)+SUMIF('Phase II Pro Forma'!$F$5:$Z$5,'Official Summary'!J$7,'Phase II Pro Forma'!$F$218:$Z$218)+SUMIF('Phase III Pro Forma'!$F$6:$Z$6,'Official Summary'!J$7,'Phase III Pro Forma'!$F$182:$Z$182))</f>
        <v>0</v>
      </c>
      <c r="K46" s="127">
        <f>+(SUMIF('Phase I Pro Forma'!$F$6:$Z$6,'Official Summary'!K$7,'Phase I Pro Forma'!$F$285:$Z$285)+SUMIF('Phase II Pro Forma'!$F$5:$Z$5,'Official Summary'!K$7,'Phase II Pro Forma'!$F$218:$Z$218)+SUMIF('Phase III Pro Forma'!$F$6:$Z$6,'Official Summary'!K$7,'Phase III Pro Forma'!$F$182:$Z$182))</f>
        <v>0</v>
      </c>
      <c r="L46" s="127">
        <f>+(SUMIF('Phase I Pro Forma'!$F$6:$Z$6,'Official Summary'!L$7,'Phase I Pro Forma'!$F$285:$Z$285)+SUMIF('Phase II Pro Forma'!$F$5:$Z$5,'Official Summary'!L$7,'Phase II Pro Forma'!$F$218:$Z$218)+SUMIF('Phase III Pro Forma'!$F$6:$Z$6,'Official Summary'!L$7,'Phase III Pro Forma'!$F$182:$Z$182))</f>
        <v>0</v>
      </c>
      <c r="M46" s="127">
        <f>+(SUMIF('Phase I Pro Forma'!$F$6:$Z$6,'Official Summary'!M$7,'Phase I Pro Forma'!$F$285:$Z$285)+SUMIF('Phase II Pro Forma'!$F$5:$Z$5,'Official Summary'!M$7,'Phase II Pro Forma'!$F$218:$Z$218)+SUMIF('Phase III Pro Forma'!$F$6:$Z$6,'Official Summary'!M$7,'Phase III Pro Forma'!$F$182:$Z$182))</f>
        <v>0</v>
      </c>
      <c r="N46" s="452">
        <f>+(SUMIF('Phase I Pro Forma'!$F$6:$Z$6,'Official Summary'!N$7,'Phase I Pro Forma'!$F$285:$Z$285)+SUMIF('Phase II Pro Forma'!$F$5:$Z$5,'Official Summary'!N$7,'Phase II Pro Forma'!$F$218:$Z$218)+SUMIF('Phase III Pro Forma'!$F$6:$Z$6,'Official Summary'!N$7,'Phase III Pro Forma'!$F$182:$Z$182))</f>
        <v>0</v>
      </c>
    </row>
    <row r="47" spans="2:14" ht="18.95" customHeight="1">
      <c r="B47" s="565" t="s">
        <v>33</v>
      </c>
      <c r="C47" s="560"/>
      <c r="D47" s="470">
        <f ca="1">+(SUMIF('Phase I Pro Forma'!$F$6:$Z$6,'Official Summary'!D$7,'Phase I Pro Forma'!$F$287:$Z$287)+SUMIF('Phase II Pro Forma'!$F$5:$Z$5,'Official Summary'!D$7,'Phase II Pro Forma'!$F$220:$Z$220)+SUMIF('Phase III Pro Forma'!$F$6:$Z$6,'Official Summary'!D$7,'Phase III Pro Forma'!$F$184:$Z$184))+(SUMIF('Phase I Pro Forma'!$F$6:$Z$6,'Official Summary'!D$7,'Phase I Pro Forma'!$F$289:$Z$289)+SUMIF('Phase II Pro Forma'!$F$5:$Z$5,'Official Summary'!D$7,'Phase II Pro Forma'!$F$222:$Z$222)+SUMIF('Phase III Pro Forma'!$F$6:$Z$6,'Official Summary'!D$7,'Phase III Pro Forma'!$F$186:$Z$186))</f>
        <v>9526669.4222550001</v>
      </c>
      <c r="E47" s="127">
        <f ca="1">+(SUMIF('Phase I Pro Forma'!$F$6:$Z$6,'Official Summary'!E$7,'Phase I Pro Forma'!$F$287:$Z$287)+SUMIF('Phase II Pro Forma'!$F$5:$Z$5,'Official Summary'!E$7,'Phase II Pro Forma'!$F$220:$Z$220)+SUMIF('Phase III Pro Forma'!$F$6:$Z$6,'Official Summary'!E$7,'Phase III Pro Forma'!$F$184:$Z$184))+(SUMIF('Phase I Pro Forma'!$F$6:$Z$6,'Official Summary'!E$7,'Phase I Pro Forma'!$F$289:$Z$289)+SUMIF('Phase II Pro Forma'!$F$5:$Z$5,'Official Summary'!E$7,'Phase II Pro Forma'!$F$222:$Z$222)+SUMIF('Phase III Pro Forma'!$F$6:$Z$6,'Official Summary'!E$7,'Phase III Pro Forma'!$F$186:$Z$186))</f>
        <v>3612681.8792113056</v>
      </c>
      <c r="F47" s="476">
        <f ca="1">+(SUMIF('Phase I Pro Forma'!$F$6:$Z$6,'Official Summary'!F$7,'Phase I Pro Forma'!$F$287:$Z$287)+SUMIF('Phase II Pro Forma'!$F$5:$Z$5,'Official Summary'!F$7,'Phase II Pro Forma'!$F$220:$Z$220)+SUMIF('Phase III Pro Forma'!$F$6:$Z$6,'Official Summary'!F$7,'Phase III Pro Forma'!$F$184:$Z$184))+(SUMIF('Phase I Pro Forma'!$F$6:$Z$6,'Official Summary'!F$7,'Phase I Pro Forma'!$F$289:$Z$289)+SUMIF('Phase II Pro Forma'!$F$5:$Z$5,'Official Summary'!F$7,'Phase II Pro Forma'!$F$222:$Z$222)+SUMIF('Phase III Pro Forma'!$F$6:$Z$6,'Official Summary'!F$7,'Phase III Pro Forma'!$F$186:$Z$186))</f>
        <v>15229195.995116765</v>
      </c>
      <c r="G47" s="127">
        <f ca="1">+(SUMIF('Phase I Pro Forma'!$F$6:$Z$6,'Official Summary'!G$7,'Phase I Pro Forma'!$F$287:$Z$287)+SUMIF('Phase II Pro Forma'!$F$5:$Z$5,'Official Summary'!G$7,'Phase II Pro Forma'!$F$220:$Z$220)+SUMIF('Phase III Pro Forma'!$F$6:$Z$6,'Phase III Pro Forma'!$F$184:$Z$184))+(SUMIF('Phase I Pro Forma'!$F$6:$Z$6,'Phase I Pro Forma'!$F$289:$Z$289)+SUMIF('Phase II Pro Forma'!$F$5:$Z$5,'Official Summary'!G$7,'Phase II Pro Forma'!$F$222:$Z$222)+SUMIF('Phase III Pro Forma'!$F$6:$Z$6,'Official Summary'!G$7,'Phase III Pro Forma'!$F$186:$Z$186))</f>
        <v>411974075.77691519</v>
      </c>
      <c r="H47" s="482">
        <f ca="1">+(SUMIF('Phase I Pro Forma'!$F$6:$Z$6,'Official Summary'!H$7,'Phase I Pro Forma'!$F$287:$Z$287)+SUMIF('Phase II Pro Forma'!$F$5:$Z$5,'Official Summary'!H$7,'Phase II Pro Forma'!$F$220:$Z$220)+SUMIF('Phase III Pro Forma'!$F$6:$Z$6,'Official Summary'!H$7,'Phase III Pro Forma'!$F$184:$Z$184))+(SUMIF('Phase I Pro Forma'!$F$6:$Z$6,'Official Summary'!H$7,'Phase I Pro Forma'!$F$289:$Z$289)+SUMIF('Phase II Pro Forma'!$F$5:$Z$5,'Official Summary'!H$7,'Phase II Pro Forma'!$F$222:$Z$222)+SUMIF('Phase III Pro Forma'!$F$6:$Z$6,'Official Summary'!H$7,'Phase III Pro Forma'!$F$186:$Z$186))</f>
        <v>365772945.37935549</v>
      </c>
      <c r="I47" s="127">
        <f ca="1">+(SUMIF('Phase I Pro Forma'!$F$6:$Z$6,'Official Summary'!I$7,'Phase I Pro Forma'!$F$287:$Z$287)+SUMIF('Phase II Pro Forma'!$F$5:$Z$5,'Official Summary'!I$7,'Phase II Pro Forma'!$F$220:$Z$220)+SUMIF('Phase III Pro Forma'!$F$6:$Z$6,'Official Summary'!I$7,'Phase III Pro Forma'!$F$184:$Z$184))+(SUMIF('Phase I Pro Forma'!$F$6:$Z$6,'Official Summary'!I$7,'Phase I Pro Forma'!$F$289:$Z$289)+SUMIF('Phase II Pro Forma'!$F$5:$Z$5,'Official Summary'!I$7,'Phase II Pro Forma'!$F$222:$Z$222)+SUMIF('Phase III Pro Forma'!$F$6:$Z$6,'Official Summary'!I$7,'Phase III Pro Forma'!$F$186:$Z$186))</f>
        <v>9553244.59792725</v>
      </c>
      <c r="J47" s="127">
        <f>+(SUMIF('Phase I Pro Forma'!$F$6:$Z$6,'Official Summary'!J$7,'Phase I Pro Forma'!$F$287:$Z$287)+SUMIF('Phase II Pro Forma'!$F$5:$Z$5,'Official Summary'!J$7,'Phase II Pro Forma'!$F$220:$Z$220)+SUMIF('Phase III Pro Forma'!$F$6:$Z$6,'Official Summary'!J$7,'Phase III Pro Forma'!$F$184:$Z$184))+(SUMIF('Phase I Pro Forma'!$F$6:$Z$6,'Official Summary'!J$7,'Phase I Pro Forma'!$F$289:$Z$289)+SUMIF('Phase II Pro Forma'!$F$5:$Z$5,'Official Summary'!J$7,'Phase II Pro Forma'!$F$222:$Z$222)+SUMIF('Phase III Pro Forma'!$F$6:$Z$6,'Official Summary'!J$7,'Phase III Pro Forma'!$F$186:$Z$186))</f>
        <v>0</v>
      </c>
      <c r="K47" s="127">
        <f>+(SUMIF('Phase I Pro Forma'!$F$6:$Z$6,'Official Summary'!K$7,'Phase I Pro Forma'!$F$287:$Z$287)+SUMIF('Phase II Pro Forma'!$F$5:$Z$5,'Official Summary'!K$7,'Phase II Pro Forma'!$F$220:$Z$220)+SUMIF('Phase III Pro Forma'!$F$6:$Z$6,'Official Summary'!K$7,'Phase III Pro Forma'!$F$184:$Z$184))+(SUMIF('Phase I Pro Forma'!$F$6:$Z$6,'Official Summary'!K$7,'Phase I Pro Forma'!$F$289:$Z$289)+SUMIF('Phase II Pro Forma'!$F$5:$Z$5,'Official Summary'!K$7,'Phase II Pro Forma'!$F$222:$Z$222)+SUMIF('Phase III Pro Forma'!$F$6:$Z$6,'Official Summary'!K$7,'Phase III Pro Forma'!$F$186:$Z$186))</f>
        <v>0</v>
      </c>
      <c r="L47" s="127">
        <f>+(SUMIF('Phase I Pro Forma'!$F$6:$Z$6,'Official Summary'!L$7,'Phase I Pro Forma'!$F$287:$Z$287)+SUMIF('Phase II Pro Forma'!$F$5:$Z$5,'Official Summary'!L$7,'Phase II Pro Forma'!$F$220:$Z$220)+SUMIF('Phase III Pro Forma'!$F$6:$Z$6,'Official Summary'!L$7,'Phase III Pro Forma'!$F$184:$Z$184))+(SUMIF('Phase I Pro Forma'!$F$6:$Z$6,'Official Summary'!L$7,'Phase I Pro Forma'!$F$289:$Z$289)+SUMIF('Phase II Pro Forma'!$F$5:$Z$5,'Official Summary'!L$7,'Phase II Pro Forma'!$F$222:$Z$222)+SUMIF('Phase III Pro Forma'!$F$6:$Z$6,'Official Summary'!L$7,'Phase III Pro Forma'!$F$186:$Z$186))</f>
        <v>0</v>
      </c>
      <c r="M47" s="127">
        <f>+(SUMIF('Phase I Pro Forma'!$F$6:$Z$6,'Official Summary'!M$7,'Phase I Pro Forma'!$F$287:$Z$287)+SUMIF('Phase II Pro Forma'!$F$5:$Z$5,'Official Summary'!M$7,'Phase II Pro Forma'!$F$220:$Z$220)+SUMIF('Phase III Pro Forma'!$F$6:$Z$6,'Official Summary'!M$7,'Phase III Pro Forma'!$F$184:$Z$184))+(SUMIF('Phase I Pro Forma'!$F$6:$Z$6,'Official Summary'!M$7,'Phase I Pro Forma'!$F$289:$Z$289)+SUMIF('Phase II Pro Forma'!$F$5:$Z$5,'Official Summary'!M$7,'Phase II Pro Forma'!$F$222:$Z$222)+SUMIF('Phase III Pro Forma'!$F$6:$Z$6,'Official Summary'!M$7,'Phase III Pro Forma'!$F$186:$Z$186))</f>
        <v>0</v>
      </c>
      <c r="N47" s="452">
        <f>+(SUMIF('Phase I Pro Forma'!$F$6:$Z$6,'Official Summary'!N$7,'Phase I Pro Forma'!$F$287:$Z$287)+SUMIF('Phase II Pro Forma'!$F$5:$Z$5,'Official Summary'!N$7,'Phase II Pro Forma'!$F$220:$Z$220)+SUMIF('Phase III Pro Forma'!$F$6:$Z$6,'Official Summary'!N$7,'Phase III Pro Forma'!$F$184:$Z$184))+(SUMIF('Phase I Pro Forma'!$F$6:$Z$6,'Official Summary'!N$7,'Phase I Pro Forma'!$F$289:$Z$289)+SUMIF('Phase II Pro Forma'!$F$5:$Z$5,'Official Summary'!N$7,'Phase II Pro Forma'!$F$222:$Z$222)+SUMIF('Phase III Pro Forma'!$F$6:$Z$6,'Official Summary'!N$7,'Phase III Pro Forma'!$F$186:$Z$186))</f>
        <v>0</v>
      </c>
    </row>
    <row r="48" spans="2:14" ht="18.95" customHeight="1">
      <c r="B48" s="566" t="s">
        <v>34</v>
      </c>
      <c r="C48" s="147"/>
      <c r="D48" s="148">
        <f t="shared" ref="D48:N48" ca="1" si="3">+SUM(D32:D47)</f>
        <v>86569817.956540704</v>
      </c>
      <c r="E48" s="148">
        <f t="shared" ca="1" si="3"/>
        <v>161418843.92346132</v>
      </c>
      <c r="F48" s="148">
        <f t="shared" ca="1" si="3"/>
        <v>294516644.30981678</v>
      </c>
      <c r="G48" s="148">
        <f ca="1">+SUM(G32:G47)</f>
        <v>535479707.04736519</v>
      </c>
      <c r="H48" s="148">
        <f t="shared" ca="1" si="3"/>
        <v>467770254.08418441</v>
      </c>
      <c r="I48" s="148">
        <f t="shared" ca="1" si="3"/>
        <v>111550553.30275619</v>
      </c>
      <c r="J48" s="148">
        <f t="shared" ca="1" si="3"/>
        <v>0</v>
      </c>
      <c r="K48" s="148">
        <f t="shared" ca="1" si="3"/>
        <v>0</v>
      </c>
      <c r="L48" s="148">
        <f t="shared" ca="1" si="3"/>
        <v>0</v>
      </c>
      <c r="M48" s="148">
        <f t="shared" ca="1" si="3"/>
        <v>0</v>
      </c>
      <c r="N48" s="148">
        <f t="shared" ca="1" si="3"/>
        <v>0</v>
      </c>
    </row>
    <row r="49" spans="2:14" ht="18.95" customHeight="1">
      <c r="B49" s="565" t="s">
        <v>35</v>
      </c>
      <c r="C49" s="560"/>
      <c r="D49" s="470">
        <f ca="1">-SUMIF('Phase I Pro Forma'!$F$6:$Z$6,'Official Summary'!D$7,'Phase I Pro Forma'!$F$303:$Z$303)-SUMIF('Phase II Pro Forma'!$F$5:$Z$5,'Official Summary'!D$7,'Phase II Pro Forma'!$F$236:$Z$236)-SUMIF('Phase III Pro Forma'!$F$6:$Z$6,'Official Summary'!D$7,'Phase III Pro Forma'!$F$200:$Z$200)</f>
        <v>-34373733.868790217</v>
      </c>
      <c r="E49" s="127">
        <f ca="1">-SUMIF('Phase I Pro Forma'!$F$6:$Z$6,'Official Summary'!E$7,'Phase I Pro Forma'!$F$303:$Z$303)-SUMIF('Phase II Pro Forma'!$F$5:$Z$5,'Official Summary'!E$7,'Phase II Pro Forma'!$F$236:$Z$236)-SUMIF('Phase III Pro Forma'!$F$6:$Z$6,'Official Summary'!E$7,'Phase III Pro Forma'!$F$200:$Z$200)</f>
        <v>-12040788.691751458</v>
      </c>
      <c r="F49" s="476">
        <f ca="1">-SUMIF('Phase I Pro Forma'!$F$6:$Z$6,'Official Summary'!F$7,'Phase I Pro Forma'!$F$303:$Z$303)-SUMIF('Phase II Pro Forma'!$F$5:$Z$5,'Official Summary'!F$7,'Phase II Pro Forma'!$F$236:$Z$236)-SUMIF('Phase III Pro Forma'!$F$6:$Z$6,'Official Summary'!F$7,'Phase III Pro Forma'!$F$200:$Z$200)</f>
        <v>-74372784.67176494</v>
      </c>
      <c r="G49" s="127">
        <f ca="1">-SUMIF('Phase I Pro Forma'!$F$6:$Z$6,'Official Summary'!G$7,'Phase I Pro Forma'!$F$303:$Z$303)-SUMIF('Phase II Pro Forma'!$F$5:$Z$5,'Official Summary'!G$7,'Phase II Pro Forma'!$F$236:$Z$236)-SUMIF('Phase III Pro Forma'!$F$6:$Z$6,'Official Summary'!G$7,'Phase III Pro Forma'!$F$200:$Z$200)</f>
        <v>-43227357.784903631</v>
      </c>
      <c r="H49" s="482">
        <f ca="1">-SUMIF('Phase I Pro Forma'!$F$6:$Z$6,'Official Summary'!H$7,'Phase I Pro Forma'!$F$303:$Z$303)-SUMIF('Phase II Pro Forma'!$F$5:$Z$5,'Official Summary'!H$7,'Phase II Pro Forma'!$F$236:$Z$236)-SUMIF('Phase III Pro Forma'!$F$6:$Z$6,'Official Summary'!H$7,'Phase III Pro Forma'!$F$200:$Z$200)</f>
        <v>-7497764.0260882741</v>
      </c>
      <c r="I49" s="127">
        <f ca="1">-SUMIF('Phase I Pro Forma'!$F$6:$Z$6,'Official Summary'!I$7,'Phase I Pro Forma'!$F$303:$Z$303)-SUMIF('Phase II Pro Forma'!$F$5:$Z$5,'Official Summary'!I$7,'Phase II Pro Forma'!$F$236:$Z$236)-SUMIF('Phase III Pro Forma'!$F$6:$Z$6,'Official Summary'!I$7,'Phase III Pro Forma'!$F$200:$Z$200)</f>
        <v>62616449.450191706</v>
      </c>
      <c r="J49" s="127">
        <f ca="1">-SUMIF('Phase I Pro Forma'!$F$6:$Z$6,'Official Summary'!J$7,'Phase I Pro Forma'!$F$303:$Z$303)-SUMIF('Phase II Pro Forma'!$F$5:$Z$5,'Official Summary'!J$7,'Phase II Pro Forma'!$F$236:$Z$236)-SUMIF('Phase III Pro Forma'!$F$6:$Z$6,'Official Summary'!J$7,'Phase III Pro Forma'!$F$200:$Z$200)</f>
        <v>42834912.158747971</v>
      </c>
      <c r="K49" s="127">
        <f ca="1">-SUMIF('Phase I Pro Forma'!$F$6:$Z$6,'Official Summary'!K$7,'Phase I Pro Forma'!$F$303:$Z$303)-SUMIF('Phase II Pro Forma'!$F$5:$Z$5,'Official Summary'!K$7,'Phase II Pro Forma'!$F$236:$Z$236)-SUMIF('Phase III Pro Forma'!$F$6:$Z$6,'Official Summary'!K$7,'Phase III Pro Forma'!$F$200:$Z$200)</f>
        <v>40035695.004718974</v>
      </c>
      <c r="L49" s="127">
        <f ca="1">-SUMIF('Phase I Pro Forma'!$F$6:$Z$6,'Official Summary'!L$7,'Phase I Pro Forma'!$F$303:$Z$303)-SUMIF('Phase II Pro Forma'!$F$5:$Z$5,'Official Summary'!L$7,'Phase II Pro Forma'!$F$236:$Z$236)-SUMIF('Phase III Pro Forma'!$F$6:$Z$6,'Official Summary'!L$7,'Phase III Pro Forma'!$F$200:$Z$200)</f>
        <v>2859790.347756058</v>
      </c>
      <c r="M49" s="127">
        <f ca="1">-SUMIF('Phase I Pro Forma'!$F$6:$Z$6,'Official Summary'!M$7,'Phase I Pro Forma'!$F$303:$Z$303)-SUMIF('Phase II Pro Forma'!$F$5:$Z$5,'Official Summary'!M$7,'Phase II Pro Forma'!$F$236:$Z$236)-SUMIF('Phase III Pro Forma'!$F$6:$Z$6,'Official Summary'!M$7,'Phase III Pro Forma'!$F$200:$Z$200)</f>
        <v>-10000000</v>
      </c>
      <c r="N49" s="452">
        <f ca="1">-SUMIF('Phase I Pro Forma'!$F$6:$Z$6,'Official Summary'!N$7,'Phase I Pro Forma'!$F$303:$Z$303)-SUMIF('Phase II Pro Forma'!$F$5:$Z$5,'Official Summary'!N$7,'Phase II Pro Forma'!$F$236:$Z$236)-SUMIF('Phase III Pro Forma'!$F$6:$Z$6,'Official Summary'!N$7,'Phase III Pro Forma'!$F$200:$Z$200)</f>
        <v>25323040.275790907</v>
      </c>
    </row>
    <row r="50" spans="2:14" ht="18.95" customHeight="1">
      <c r="B50" s="566" t="s">
        <v>36</v>
      </c>
      <c r="C50" s="147"/>
      <c r="D50" s="148">
        <f ca="1">+D48+D49</f>
        <v>52196084.087750487</v>
      </c>
      <c r="E50" s="148">
        <f t="shared" ref="E50:N50" ca="1" si="4">+E48+E49</f>
        <v>139909746.76602</v>
      </c>
      <c r="F50" s="148">
        <f t="shared" ca="1" si="4"/>
        <v>226046457.26353404</v>
      </c>
      <c r="G50" s="148">
        <f ca="1">+G48+G49</f>
        <v>492252349.26246154</v>
      </c>
      <c r="H50" s="148">
        <f ca="1">+H48+H49</f>
        <v>460272490.05809611</v>
      </c>
      <c r="I50" s="148">
        <f ca="1">+I48+I49</f>
        <v>174167002.7529479</v>
      </c>
      <c r="J50" s="148">
        <f t="shared" ca="1" si="4"/>
        <v>-60284474.639002524</v>
      </c>
      <c r="K50" s="148">
        <f t="shared" ca="1" si="4"/>
        <v>-2799217.1540290178</v>
      </c>
      <c r="L50" s="148">
        <f t="shared" ca="1" si="4"/>
        <v>-2799217.1540290178</v>
      </c>
      <c r="M50" s="148">
        <f ca="1">+M48+M49</f>
        <v>-10000000</v>
      </c>
      <c r="N50" s="148">
        <f t="shared" ca="1" si="4"/>
        <v>0</v>
      </c>
    </row>
    <row r="51" spans="2:14" ht="18.95" customHeight="1">
      <c r="B51" s="565" t="s">
        <v>37</v>
      </c>
      <c r="D51" s="470">
        <f>+(SUMIF('Phase I Pro Forma'!$F$6:$Z$6,'Official Summary'!D$7,'Phase I Pro Forma'!$F$288:$Z$288)+SUMIF('Phase II Pro Forma'!$F$5:$Z$5,'Official Summary'!D$7,'Phase II Pro Forma'!$F$221:$Z$221)+SUMIF('Phase III Pro Forma'!$F$6:$Z$6,'Official Summary'!D$7,'Phase III Pro Forma'!$F$185:$Z$185))</f>
        <v>0</v>
      </c>
      <c r="E51" s="127">
        <f ca="1">+(SUMIF('Phase I Pro Forma'!$F$6:$Z$6,'Official Summary'!E$7,'Phase I Pro Forma'!$F$288:$Z$288)+SUMIF('Phase II Pro Forma'!$F$5:$Z$5,'Official Summary'!E$7,'Phase II Pro Forma'!$F$221:$Z$221)+SUMIF('Phase III Pro Forma'!$F$6:$Z$6,'Official Summary'!E$7,'Phase III Pro Forma'!$F$185:$Z$185))</f>
        <v>14082430.321682071</v>
      </c>
      <c r="F51" s="476">
        <f ca="1">+(SUMIF('Phase I Pro Forma'!$F$6:$Z$6,'Official Summary'!F$7,'Phase I Pro Forma'!$F$288:$Z$288)+SUMIF('Phase II Pro Forma'!$F$5:$Z$5,'Official Summary'!F$7,'Phase II Pro Forma'!$F$221:$Z$221)+SUMIF('Phase III Pro Forma'!$F$6:$Z$6,'Official Summary'!F$7,'Phase III Pro Forma'!$F$185:$Z$185))</f>
        <v>22110524.83225584</v>
      </c>
      <c r="G51" s="127">
        <f ca="1">+(SUMIF('Phase I Pro Forma'!$F$6:$Z$6,'Official Summary'!G$7,'Phase I Pro Forma'!$F$288:$Z$288)+SUMIF('Phase II Pro Forma'!$F$5:$Z$5,'Official Summary'!G$7,'Phase II Pro Forma'!$F$221:$Z$221)+SUMIF('Phase III Pro Forma'!$F$6:$Z$6,'Official Summary'!G$7,'Phase III Pro Forma'!$F$185:$Z$185))</f>
        <v>8028094.510573769</v>
      </c>
      <c r="H51" s="482">
        <f ca="1">+(SUMIF('Phase I Pro Forma'!$F$6:$Z$6,'Official Summary'!H$7,'Phase I Pro Forma'!$F$288:$Z$288)+SUMIF('Phase II Pro Forma'!$F$5:$Z$5,'Official Summary'!H$7,'Phase II Pro Forma'!$F$221:$Z$221)+SUMIF('Phase III Pro Forma'!$F$6:$Z$6,'Official Summary'!H$7,'Phase III Pro Forma'!$F$185:$Z$185))</f>
        <v>13790376.063715179</v>
      </c>
      <c r="I51" s="127">
        <f ca="1">+(SUMIF('Phase I Pro Forma'!$F$6:$Z$6,'Official Summary'!I$7,'Phase I Pro Forma'!$F$288:$Z$288)+SUMIF('Phase II Pro Forma'!$F$5:$Z$5,'Official Summary'!I$7,'Phase II Pro Forma'!$F$221:$Z$221)+SUMIF('Phase III Pro Forma'!$F$6:$Z$6,'Official Summary'!I$7,'Phase III Pro Forma'!$F$185:$Z$185))</f>
        <v>13790376.063715179</v>
      </c>
      <c r="J51" s="127">
        <f>+(SUMIF('Phase I Pro Forma'!$F$6:$Z$6,'Official Summary'!J$7,'Phase I Pro Forma'!$F$288:$Z$288)+SUMIF('Phase II Pro Forma'!$F$5:$Z$5,'Official Summary'!J$7,'Phase II Pro Forma'!$F$221:$Z$221)+SUMIF('Phase III Pro Forma'!$F$6:$Z$6,'Official Summary'!J$7,'Phase III Pro Forma'!$F$185:$Z$185))</f>
        <v>0</v>
      </c>
      <c r="K51" s="127">
        <f>+(SUMIF('Phase I Pro Forma'!$F$6:$Z$6,'Official Summary'!K$7,'Phase I Pro Forma'!$F$288:$Z$288)+SUMIF('Phase II Pro Forma'!$F$5:$Z$5,'Official Summary'!K$7,'Phase II Pro Forma'!$F$221:$Z$221)+SUMIF('Phase III Pro Forma'!$F$6:$Z$6,'Official Summary'!K$7,'Phase III Pro Forma'!$F$185:$Z$185))</f>
        <v>0</v>
      </c>
      <c r="L51" s="127">
        <f>+(SUMIF('Phase I Pro Forma'!$F$6:$Z$6,'Official Summary'!L$7,'Phase I Pro Forma'!$F$288:$Z$288)+SUMIF('Phase II Pro Forma'!$F$5:$Z$5,'Official Summary'!L$7,'Phase II Pro Forma'!$F$221:$Z$221)+SUMIF('Phase III Pro Forma'!$F$6:$Z$6,'Official Summary'!L$7,'Phase III Pro Forma'!$F$185:$Z$185))</f>
        <v>0</v>
      </c>
      <c r="M51" s="127">
        <f>+(SUMIF('Phase I Pro Forma'!$F$6:$Z$6,'Official Summary'!M$7,'Phase I Pro Forma'!$F$288:$Z$288)+SUMIF('Phase II Pro Forma'!$F$5:$Z$5,'Official Summary'!M$7,'Phase II Pro Forma'!$F$221:$Z$221)+SUMIF('Phase III Pro Forma'!$F$6:$Z$6,'Official Summary'!M$7,'Phase III Pro Forma'!$F$185:$Z$185))</f>
        <v>0</v>
      </c>
      <c r="N51" s="452">
        <f>+(SUMIF('Phase I Pro Forma'!$F$6:$Z$6,'Official Summary'!N$7,'Phase I Pro Forma'!$F$288:$Z$288)+SUMIF('Phase II Pro Forma'!$F$5:$Z$5,'Official Summary'!N$7,'Phase II Pro Forma'!$F$221:$Z$221)+SUMIF('Phase III Pro Forma'!$F$6:$Z$6,'Official Summary'!N$7,'Phase III Pro Forma'!$F$185:$Z$185))</f>
        <v>0</v>
      </c>
    </row>
    <row r="52" spans="2:14" ht="18.95" customHeight="1">
      <c r="B52" s="463" t="s">
        <v>38</v>
      </c>
      <c r="C52" s="461"/>
      <c r="D52" s="462">
        <f t="shared" ref="D52:N52" ca="1" si="5">+D50+D51</f>
        <v>51495790.787373006</v>
      </c>
      <c r="E52" s="462">
        <f t="shared" ca="1" si="5"/>
        <v>146845772.79927614</v>
      </c>
      <c r="F52" s="462">
        <f t="shared" ca="1" si="5"/>
        <v>118753039.28749263</v>
      </c>
      <c r="G52" s="462">
        <f t="shared" ca="1" si="5"/>
        <v>86528002.340115786</v>
      </c>
      <c r="H52" s="462">
        <f t="shared" ca="1" si="5"/>
        <v>107162789.56993331</v>
      </c>
      <c r="I52" s="462">
        <f t="shared" ca="1" si="5"/>
        <v>147318563.80240178</v>
      </c>
      <c r="J52" s="462">
        <f t="shared" ca="1" si="5"/>
        <v>91015412.264326096</v>
      </c>
      <c r="K52" s="462">
        <f t="shared" ca="1" si="5"/>
        <v>-2799217.1540290178</v>
      </c>
      <c r="L52" s="462">
        <f t="shared" ca="1" si="5"/>
        <v>-2799217.1540290178</v>
      </c>
      <c r="M52" s="462">
        <f ca="1">+M50+M51</f>
        <v>-10000000</v>
      </c>
      <c r="N52" s="462">
        <f t="shared" ca="1" si="5"/>
        <v>0</v>
      </c>
    </row>
    <row r="53" spans="2:14" ht="18.95" customHeight="1">
      <c r="B53" s="457"/>
      <c r="C53" s="457"/>
      <c r="D53" s="558"/>
      <c r="E53" s="458"/>
      <c r="F53" s="115"/>
      <c r="G53" s="115"/>
      <c r="H53" s="115"/>
      <c r="I53" s="115"/>
      <c r="J53" s="115"/>
      <c r="K53" s="115"/>
      <c r="L53" s="115"/>
      <c r="M53" s="459"/>
      <c r="N53" s="115"/>
    </row>
    <row r="54" spans="2:14" ht="18.95" customHeight="1">
      <c r="B54" s="129" t="s">
        <v>39</v>
      </c>
      <c r="C54" s="129"/>
      <c r="D54" s="135"/>
      <c r="E54" s="130"/>
      <c r="F54" s="130"/>
      <c r="G54" s="130"/>
      <c r="H54" s="130"/>
      <c r="I54" s="130"/>
      <c r="J54" s="130"/>
      <c r="K54" s="130"/>
      <c r="L54" s="130"/>
      <c r="M54" s="118"/>
      <c r="N54" s="130"/>
    </row>
    <row r="55" spans="2:14" ht="18.95" customHeight="1">
      <c r="B55" s="560" t="s">
        <v>40</v>
      </c>
      <c r="C55" s="560"/>
      <c r="D55" s="469">
        <f ca="1">+D25</f>
        <v>0</v>
      </c>
      <c r="E55" s="555">
        <f ca="1">E25</f>
        <v>-2859790.3477560584</v>
      </c>
      <c r="F55" s="475">
        <f ca="1">+F25</f>
        <v>-4468462.7085562535</v>
      </c>
      <c r="G55" s="555">
        <f ca="1">+G25</f>
        <v>9767269.9046327975</v>
      </c>
      <c r="H55" s="481">
        <f ca="1">+H25</f>
        <v>37660592.288958177</v>
      </c>
      <c r="I55" s="555">
        <f ca="1">+I25</f>
        <v>57380968.223495498</v>
      </c>
      <c r="J55" s="555">
        <f ca="1">+J25</f>
        <v>69952312.499828398</v>
      </c>
      <c r="K55" s="555">
        <f ca="1">+K25</f>
        <v>81785952.286180571</v>
      </c>
      <c r="L55" s="555">
        <f ca="1">+L25</f>
        <v>85618126.720955521</v>
      </c>
      <c r="M55" s="555">
        <f ca="1">+M25</f>
        <v>87260976.667070001</v>
      </c>
      <c r="N55" s="451">
        <f ca="1">+N25</f>
        <v>88460546.19864428</v>
      </c>
    </row>
    <row r="56" spans="2:14" ht="18.95" customHeight="1">
      <c r="B56" s="133" t="s">
        <v>41</v>
      </c>
      <c r="C56" s="124"/>
      <c r="D56" s="470">
        <f>+D26</f>
        <v>0</v>
      </c>
      <c r="E56" s="127">
        <f ca="1">+E26</f>
        <v>-2859790.3477560584</v>
      </c>
      <c r="F56" s="476">
        <f ca="1">+F26</f>
        <v>-4468462.7085562535</v>
      </c>
      <c r="G56" s="127">
        <f ca="1">+G26</f>
        <v>9767269.9046327975</v>
      </c>
      <c r="H56" s="482">
        <f ca="1">+H26</f>
        <v>37660592.288958177</v>
      </c>
      <c r="I56" s="127">
        <f ca="1">+I26</f>
        <v>57380968.223495498</v>
      </c>
      <c r="J56" s="127">
        <f ca="1">+J26</f>
        <v>69952312.499828398</v>
      </c>
      <c r="K56" s="127">
        <f ca="1">+K26</f>
        <v>81785952.286180571</v>
      </c>
      <c r="L56" s="127">
        <f ca="1">+L26</f>
        <v>85618126.720955521</v>
      </c>
      <c r="M56" s="127">
        <f ca="1">+M26</f>
        <v>87260976.667070001</v>
      </c>
      <c r="N56" s="452">
        <f ca="1">+N26</f>
        <v>0.23359811410389453</v>
      </c>
    </row>
    <row r="57" spans="2:14" ht="18.95" customHeight="1">
      <c r="B57" s="560" t="s">
        <v>42</v>
      </c>
      <c r="C57" s="560"/>
      <c r="D57" s="470">
        <f>+D27</f>
        <v>0</v>
      </c>
      <c r="E57" s="127">
        <f>+E27</f>
        <v>0</v>
      </c>
      <c r="F57" s="476">
        <f t="shared" ref="F57:N57" si="6">+F27</f>
        <v>0</v>
      </c>
      <c r="G57" s="127">
        <f t="shared" si="6"/>
        <v>0</v>
      </c>
      <c r="H57" s="482">
        <f>+H27</f>
        <v>0</v>
      </c>
      <c r="I57" s="127">
        <f>+I27</f>
        <v>0</v>
      </c>
      <c r="J57" s="127">
        <f>+J27</f>
        <v>0</v>
      </c>
      <c r="K57" s="127">
        <f>+K27</f>
        <v>0</v>
      </c>
      <c r="L57" s="127">
        <f>+L27</f>
        <v>0</v>
      </c>
      <c r="M57" s="127">
        <f>+M27</f>
        <v>0</v>
      </c>
      <c r="N57" s="452">
        <f>+N27</f>
        <v>0</v>
      </c>
    </row>
    <row r="58" spans="2:14" ht="18.95" customHeight="1">
      <c r="B58" s="560" t="s">
        <v>43</v>
      </c>
      <c r="C58" s="560"/>
      <c r="D58" s="470">
        <f ca="1">-D50</f>
        <v>-51495790.787373006</v>
      </c>
      <c r="E58" s="127">
        <f t="shared" ref="E58:N58" ca="1" si="7">-E50</f>
        <v>-132763342.47759408</v>
      </c>
      <c r="F58" s="476">
        <f t="shared" ca="1" si="7"/>
        <v>-104670608.96581057</v>
      </c>
      <c r="G58" s="127">
        <f t="shared" ca="1" si="7"/>
        <v>-78499907.829542011</v>
      </c>
      <c r="H58" s="482">
        <f t="shared" ca="1" si="7"/>
        <v>-99134695.059359536</v>
      </c>
      <c r="I58" s="127">
        <f t="shared" ca="1" si="7"/>
        <v>-133528187.73868661</v>
      </c>
      <c r="J58" s="127">
        <f t="shared" ca="1" si="7"/>
        <v>-91015412.264326096</v>
      </c>
      <c r="K58" s="127">
        <f t="shared" ca="1" si="7"/>
        <v>2799217.1540290178</v>
      </c>
      <c r="L58" s="127">
        <f t="shared" ca="1" si="7"/>
        <v>2799217.1540290178</v>
      </c>
      <c r="M58" s="127">
        <f t="shared" ca="1" si="7"/>
        <v>0</v>
      </c>
      <c r="N58" s="452">
        <f t="shared" ca="1" si="7"/>
        <v>0</v>
      </c>
    </row>
    <row r="59" spans="2:14" ht="18.95" customHeight="1">
      <c r="B59" s="846" t="s">
        <v>44</v>
      </c>
      <c r="C59" s="846"/>
      <c r="D59" s="136">
        <f ca="1">+SUM(D55:D58)</f>
        <v>-51495790.787373006</v>
      </c>
      <c r="E59" s="136">
        <f ca="1">+SUM(E55:E58)</f>
        <v>-138482923.17310619</v>
      </c>
      <c r="F59" s="136">
        <f ca="1">+SUM(F55:F58)</f>
        <v>-113607534.38292307</v>
      </c>
      <c r="G59" s="136">
        <f ca="1">+SUM(G55:G58)</f>
        <v>-58965368.020276412</v>
      </c>
      <c r="H59" s="136">
        <f ca="1">+SUM(H55:H58)</f>
        <v>-23813510.481443182</v>
      </c>
      <c r="I59" s="136">
        <f ca="1">+SUM(I55:I58)</f>
        <v>-18766251.29169561</v>
      </c>
      <c r="J59" s="136">
        <f ca="1">+SUM(J55:J58)</f>
        <v>48889212.735330701</v>
      </c>
      <c r="K59" s="136">
        <f ca="1">+SUM(K55:K58)</f>
        <v>166371121.72639015</v>
      </c>
      <c r="L59" s="136">
        <f ca="1">+SUM(L55:L58)</f>
        <v>174035470.59594005</v>
      </c>
      <c r="M59" s="136">
        <f ca="1">+SUM(M55:M58)</f>
        <v>174521953.33414</v>
      </c>
      <c r="N59" s="136">
        <f ca="1">+SUM(N55:N58)</f>
        <v>88460546.432242393</v>
      </c>
    </row>
    <row r="60" spans="2:14" ht="18.95" customHeight="1">
      <c r="B60" s="565" t="s">
        <v>45</v>
      </c>
      <c r="C60" s="132"/>
      <c r="D60" s="470">
        <f>-D51</f>
        <v>0</v>
      </c>
      <c r="E60" s="127">
        <f t="shared" ref="E60:N60" ca="1" si="8">-E51</f>
        <v>-14082430.321682071</v>
      </c>
      <c r="F60" s="476">
        <f t="shared" ca="1" si="8"/>
        <v>-22110524.83225584</v>
      </c>
      <c r="G60" s="127">
        <f t="shared" ca="1" si="8"/>
        <v>-8028094.510573769</v>
      </c>
      <c r="H60" s="482">
        <f t="shared" ca="1" si="8"/>
        <v>-13790376.063715179</v>
      </c>
      <c r="I60" s="127">
        <f t="shared" ca="1" si="8"/>
        <v>-13790376.063715179</v>
      </c>
      <c r="J60" s="127">
        <f t="shared" si="8"/>
        <v>0</v>
      </c>
      <c r="K60" s="127">
        <f t="shared" si="8"/>
        <v>0</v>
      </c>
      <c r="L60" s="127">
        <f t="shared" si="8"/>
        <v>0</v>
      </c>
      <c r="M60" s="127">
        <f t="shared" si="8"/>
        <v>0</v>
      </c>
      <c r="N60" s="452">
        <f t="shared" si="8"/>
        <v>0</v>
      </c>
    </row>
    <row r="61" spans="2:14" ht="18.95" customHeight="1">
      <c r="B61" s="565" t="s">
        <v>46</v>
      </c>
      <c r="C61" s="132"/>
      <c r="D61" s="470">
        <f ca="1">+SUMIF('Phase I Pro Forma'!$F$6:$Z$6,'Official Summary'!D$7,'Phase I Pro Forma'!$F278:$Z278)+SUMIF('Phase II Pro Forma'!$F$5:$Z$5,'Official Summary'!D$7,'Phase II Pro Forma'!$F211:$Z211)+SUMIF('Phase III Pro Forma'!$F$6:$Z$6,'Official Summary'!D$7,'Phase III Pro Forma'!$F175:$Z175)</f>
        <v>0</v>
      </c>
      <c r="E61" s="127">
        <f ca="1">+SUMIF('Phase I Pro Forma'!$F$6:$Z$6,'Official Summary'!E$7,'Phase I Pro Forma'!$F278:$Z278)+SUMIF('Phase II Pro Forma'!$F$5:$Z$5,'Official Summary'!E$7,'Phase II Pro Forma'!$F211:$Z211)+SUMIF('Phase III Pro Forma'!$F$6:$Z$6,'Official Summary'!E$7,'Phase III Pro Forma'!$F175:$Z175)</f>
        <v>137042341.99690846</v>
      </c>
      <c r="F61" s="476">
        <f ca="1">+SUMIF('Phase I Pro Forma'!$F$6:$Z$6,'Official Summary'!F$7,'Phase I Pro Forma'!$F278:$Z278)+SUMIF('Phase II Pro Forma'!$F$5:$Z$5,'Official Summary'!F$7,'Phase II Pro Forma'!$F211:$Z211)+SUMIF('Phase III Pro Forma'!$F$6:$Z$6,'Official Summary'!F$7,'Phase III Pro Forma'!$F175:$Z175)</f>
        <v>176329222.31037113</v>
      </c>
      <c r="G61" s="127">
        <f ca="1">+SUMIF('Phase I Pro Forma'!$F$6:$Z$6,'Official Summary'!G$7,'Phase I Pro Forma'!$F278:$Z278)+SUMIF('Phase II Pro Forma'!$F$5:$Z$5,'Official Summary'!G$7,'Phase II Pro Forma'!$F211:$Z211)+SUMIF('Phase III Pro Forma'!$F$6:$Z$6,'Official Summary'!G$7,'Phase III Pro Forma'!$F175:$Z175)</f>
        <v>116620249.27953815</v>
      </c>
      <c r="H61" s="482">
        <f ca="1">+SUMIF('Phase I Pro Forma'!$F$6:$Z$6,'Official Summary'!H$7,'Phase I Pro Forma'!$F278:$Z278)+SUMIF('Phase II Pro Forma'!$F$5:$Z$5,'Official Summary'!H$7,'Phase II Pro Forma'!$F211:$Z211)+SUMIF('Phase III Pro Forma'!$F$6:$Z$6,'Official Summary'!H$7,'Phase III Pro Forma'!$F175:$Z175)</f>
        <v>151592881.38377202</v>
      </c>
      <c r="I61" s="127">
        <f ca="1">+SUMIF('Phase I Pro Forma'!$F$6:$Z$6,'Official Summary'!I$7,'Phase I Pro Forma'!$F278:$Z278)+SUMIF('Phase II Pro Forma'!$F$5:$Z$5,'Official Summary'!I$7,'Phase II Pro Forma'!$F211:$Z211)+SUMIF('Phase III Pro Forma'!$F$6:$Z$6,'Official Summary'!I$7,'Phase III Pro Forma'!$F175:$Z175)</f>
        <v>0</v>
      </c>
      <c r="J61" s="127">
        <f ca="1">+SUMIF('Phase I Pro Forma'!$F$6:$Z$6,'Official Summary'!J$7,'Phase I Pro Forma'!$F278:$Z278)+SUMIF('Phase II Pro Forma'!$F$5:$Z$5,'Official Summary'!J$7,'Phase II Pro Forma'!$F211:$Z211)+SUMIF('Phase III Pro Forma'!$F$6:$Z$6,'Official Summary'!J$7,'Phase III Pro Forma'!$F175:$Z175)</f>
        <v>46705947.854801953</v>
      </c>
      <c r="K61" s="127">
        <f ca="1">+SUMIF('Phase I Pro Forma'!$F$6:$Z$6,'Official Summary'!K$7,'Phase I Pro Forma'!$F278:$Z278)+SUMIF('Phase II Pro Forma'!$F$5:$Z$5,'Official Summary'!K$7,'Phase II Pro Forma'!$F211:$Z211)+SUMIF('Phase III Pro Forma'!$F$6:$Z$6,'Official Summary'!K$7,'Phase III Pro Forma'!$F175:$Z175)</f>
        <v>0</v>
      </c>
      <c r="L61" s="127">
        <f ca="1">+SUMIF('Phase I Pro Forma'!$F$6:$Z$6,'Official Summary'!L$7,'Phase I Pro Forma'!$F278:$Z278)+SUMIF('Phase II Pro Forma'!$F$5:$Z$5,'Official Summary'!L$7,'Phase II Pro Forma'!$F211:$Z211)+SUMIF('Phase III Pro Forma'!$F$6:$Z$6,'Official Summary'!L$7,'Phase III Pro Forma'!$F175:$Z175)</f>
        <v>-36992712.75411582</v>
      </c>
      <c r="M61" s="127">
        <f ca="1">+SUMIF('Phase I Pro Forma'!$F$6:$Z$6,'Official Summary'!M$7,'Phase I Pro Forma'!$F278:$Z278)+SUMIF('Phase II Pro Forma'!$F$5:$Z$5,'Official Summary'!M$7,'Phase II Pro Forma'!$F211:$Z211)+SUMIF('Phase III Pro Forma'!$F$6:$Z$6,'Official Summary'!M$7,'Phase III Pro Forma'!$F175:$Z175)</f>
        <v>-36992712.75411582</v>
      </c>
      <c r="N61" s="452">
        <f ca="1">+SUMIF('Phase I Pro Forma'!$F$6:$Z$6,'Official Summary'!N$7,'Phase I Pro Forma'!$F278:$Z278)+SUMIF('Phase II Pro Forma'!$F$5:$Z$5,'Official Summary'!N$7,'Phase II Pro Forma'!$F211:$Z211)+SUMIF('Phase III Pro Forma'!$F$6:$Z$6,'Official Summary'!N$7,'Phase III Pro Forma'!$F175:$Z175)</f>
        <v>-41193006.054493308</v>
      </c>
    </row>
    <row r="62" spans="2:14" ht="18.95" customHeight="1">
      <c r="B62" s="565" t="s">
        <v>47</v>
      </c>
      <c r="C62" s="132"/>
      <c r="D62" s="470">
        <f>-SUMIF('Phase I Pro Forma'!$F$6:$Z$6,'Official Summary'!D$7,'Phase I Pro Forma'!$F279:$Z279)-SUMIF('Phase II Pro Forma'!$F$5:$Z$5,'Official Summary'!D$7,'Phase II Pro Forma'!$F212:$Z212)-SUMIF('Phase III Pro Forma'!$F$6:$Z$6,'Official Summary'!D$7,'Phase III Pro Forma'!$F176:$Z176)</f>
        <v>0</v>
      </c>
      <c r="E62" s="127">
        <f>-SUMIF('Phase I Pro Forma'!$F$6:$Z$6,'Official Summary'!E$7,'Phase I Pro Forma'!$F$279:$Z$279)-SUMIF('Phase II Pro Forma'!$F$5:$Z$5,'Official Summary'!E$7,'Phase II Pro Forma'!$F$212:$Z$212)-SUMIF('Phase III Pro Forma'!$F$6:$Z$6,'Official Summary'!E$7,'Phase III Pro Forma'!$F$176:$Z$176)</f>
        <v>0</v>
      </c>
      <c r="F62" s="476">
        <f>-SUMIF('Phase I Pro Forma'!$F$6:$Z$6,'Official Summary'!F$7,'Phase I Pro Forma'!$F$279:$Z$279)-SUMIF('Phase II Pro Forma'!$F$5:$Z$5,'Official Summary'!F$7,'Phase II Pro Forma'!$F$212:$Z$212)-SUMIF('Phase III Pro Forma'!$F$6:$Z$6,'Official Summary'!F$7,'Phase III Pro Forma'!$F$176:$Z$176)</f>
        <v>0</v>
      </c>
      <c r="G62" s="127">
        <f>-SUMIF('Phase I Pro Forma'!$F$6:$Z$6,'Official Summary'!G$7,'Phase I Pro Forma'!$F$279:$Z$279)-SUMIF('Phase II Pro Forma'!$F$5:$Z$5,'Official Summary'!G$7,'Phase II Pro Forma'!$F$212:$Z$212)-SUMIF('Phase III Pro Forma'!$F$6:$Z$6,'Official Summary'!G$7,'Phase III Pro Forma'!$F$176:$Z$176)</f>
        <v>0</v>
      </c>
      <c r="H62" s="482">
        <f>-SUMIF('Phase I Pro Forma'!$F$6:$Z$6,'Official Summary'!H$7,'Phase I Pro Forma'!$F$279:$Z$279)-SUMIF('Phase II Pro Forma'!$F$5:$Z$5,'Official Summary'!H$7,'Phase II Pro Forma'!$F$212:$Z$212)-SUMIF('Phase III Pro Forma'!$F$6:$Z$6,'Official Summary'!H$7,'Phase III Pro Forma'!$F$176:$Z$176)</f>
        <v>-21498085.837996561</v>
      </c>
      <c r="I62" s="127">
        <f>-SUMIF('Phase I Pro Forma'!$F$6:$Z$6,'Official Summary'!I$7,'Phase I Pro Forma'!$F$279:$Z$279)-SUMIF('Phase II Pro Forma'!$F$5:$Z$5,'Official Summary'!I$7,'Phase II Pro Forma'!$F$212:$Z$212)-SUMIF('Phase III Pro Forma'!$F$6:$Z$6,'Official Summary'!I$7,'Phase III Pro Forma'!$F$176:$Z$176)</f>
        <v>-21498085.837996561</v>
      </c>
      <c r="J62" s="127">
        <f>-SUMIF('Phase I Pro Forma'!$F$6:$Z$6,'Official Summary'!J$7,'Phase I Pro Forma'!$F$279:$Z$279)-SUMIF('Phase II Pro Forma'!$F$5:$Z$5,'Official Summary'!J$7,'Phase II Pro Forma'!$F$212:$Z$212)-SUMIF('Phase III Pro Forma'!$F$6:$Z$6,'Official Summary'!J$7,'Phase III Pro Forma'!$F$176:$Z$176)</f>
        <v>-32991933.548776209</v>
      </c>
      <c r="K62" s="127">
        <f>-SUMIF('Phase I Pro Forma'!$F$6:$Z$6,'Official Summary'!K$7,'Phase I Pro Forma'!$F$279:$Z$279)-SUMIF('Phase II Pro Forma'!$F$5:$Z$5,'Official Summary'!K$7,'Phase II Pro Forma'!$F$212:$Z$212)-SUMIF('Phase III Pro Forma'!$F$6:$Z$6,'Official Summary'!K$7,'Phase III Pro Forma'!$F$176:$Z$176)</f>
        <v>-32991933.548776202</v>
      </c>
      <c r="L62" s="127">
        <f>-SUMIF('Phase I Pro Forma'!$F$6:$Z$6,'Official Summary'!L$7,'Phase I Pro Forma'!$F$279:$Z$279)-SUMIF('Phase II Pro Forma'!$F$5:$Z$5,'Official Summary'!L$7,'Phase II Pro Forma'!$F$212:$Z$212)-SUMIF('Phase III Pro Forma'!$F$6:$Z$6,'Official Summary'!L$7,'Phase III Pro Forma'!$F$176:$Z$176)</f>
        <v>-32991933.548776209</v>
      </c>
      <c r="M62" s="127">
        <f>-SUMIF('Phase I Pro Forma'!$F$6:$Z$6,'Official Summary'!M$7,'Phase I Pro Forma'!$F$279:$Z$279)-SUMIF('Phase II Pro Forma'!$F$5:$Z$5,'Official Summary'!M$7,'Phase II Pro Forma'!$F$212:$Z$212)-SUMIF('Phase III Pro Forma'!$F$6:$Z$6,'Official Summary'!M$7,'Phase III Pro Forma'!$F$176:$Z$176)</f>
        <v>-32991933.548776213</v>
      </c>
      <c r="N62" s="452">
        <f>-SUMIF('Phase I Pro Forma'!$F$6:$Z$6,'Official Summary'!N$7,'Phase I Pro Forma'!$F$279:$Z$279)-SUMIF('Phase II Pro Forma'!$F$5:$Z$5,'Official Summary'!N$7,'Phase II Pro Forma'!$F$212:$Z$212)-SUMIF('Phase III Pro Forma'!$F$6:$Z$6,'Official Summary'!N$7,'Phase III Pro Forma'!$F$176:$Z$176)</f>
        <v>-283002284.20707595</v>
      </c>
    </row>
    <row r="63" spans="2:14" ht="18.95" customHeight="1">
      <c r="B63" s="463" t="s">
        <v>48</v>
      </c>
      <c r="C63" s="461"/>
      <c r="D63" s="462">
        <f ca="1">+SUM(D59:D62)</f>
        <v>-51495790.787373006</v>
      </c>
      <c r="E63" s="462">
        <f ca="1">+SUM(E59:E62)</f>
        <v>-15523011.497879803</v>
      </c>
      <c r="F63" s="462">
        <f ca="1">+SUM(F59:F62)</f>
        <v>40611163.095192224</v>
      </c>
      <c r="G63" s="462">
        <f ca="1">+SUM(G59:G62)</f>
        <v>49626786.748687975</v>
      </c>
      <c r="H63" s="462">
        <f ca="1">+SUM(H59:H62)</f>
        <v>92490909.000617102</v>
      </c>
      <c r="I63" s="462">
        <f ca="1">+SUM(I59:I62)</f>
        <v>-54054713.193407349</v>
      </c>
      <c r="J63" s="462">
        <f ca="1">+SUM(J59:J62)</f>
        <v>62603227.041356444</v>
      </c>
      <c r="K63" s="462">
        <f ca="1">+SUM(K59:K62)</f>
        <v>133379188.17761394</v>
      </c>
      <c r="L63" s="462">
        <f ca="1">+SUM(L59:L62)</f>
        <v>104050824.29304802</v>
      </c>
      <c r="M63" s="462">
        <f ca="1">+SUM(M59:M62)</f>
        <v>104537307.03124797</v>
      </c>
      <c r="N63" s="462">
        <f ca="1">+SUM(N59:N62)</f>
        <v>-235734743.82932687</v>
      </c>
    </row>
    <row r="64" spans="2:14" ht="18.95" hidden="1" customHeight="1" outlineLevel="1">
      <c r="B64" s="189" t="s">
        <v>49</v>
      </c>
      <c r="C64" s="186"/>
      <c r="D64" s="190" t="e">
        <f ca="1">+D63-'Cash Flow Roll-up'!F6</f>
        <v>#REF!</v>
      </c>
      <c r="E64" s="190" t="e">
        <f ca="1">+E63-'Cash Flow Roll-up'!G6</f>
        <v>#DIV/0!</v>
      </c>
      <c r="F64" s="190" t="e">
        <f ca="1">+F63-'Cash Flow Roll-up'!H6</f>
        <v>#DIV/0!</v>
      </c>
      <c r="G64" s="190" t="e">
        <f ca="1">+G63-'Cash Flow Roll-up'!I6</f>
        <v>#DIV/0!</v>
      </c>
      <c r="H64" s="190" t="e">
        <f ca="1">+H63-'Cash Flow Roll-up'!J6</f>
        <v>#DIV/0!</v>
      </c>
      <c r="I64" s="190" t="e">
        <f ca="1">+I63-'Cash Flow Roll-up'!K6</f>
        <v>#DIV/0!</v>
      </c>
      <c r="J64" s="190" t="e">
        <f ca="1">+J63-'Cash Flow Roll-up'!L6</f>
        <v>#DIV/0!</v>
      </c>
      <c r="K64" s="190" t="e">
        <f ca="1">+K63-'Cash Flow Roll-up'!M6</f>
        <v>#DIV/0!</v>
      </c>
      <c r="L64" s="190" t="e">
        <f ca="1">+L63-'Cash Flow Roll-up'!N6</f>
        <v>#DIV/0!</v>
      </c>
      <c r="M64" s="190" t="e">
        <f ca="1">+M63-'Cash Flow Roll-up'!O6</f>
        <v>#DIV/0!</v>
      </c>
      <c r="N64" s="190" t="e">
        <f ca="1">+N63-'Cash Flow Roll-up'!P6</f>
        <v>#DIV/0!</v>
      </c>
    </row>
    <row r="65" spans="2:14" ht="18.95" customHeight="1" collapsed="1">
      <c r="B65" s="141"/>
      <c r="C65" s="186"/>
      <c r="D65" s="187"/>
      <c r="E65" s="187"/>
      <c r="F65" s="187"/>
      <c r="G65" s="187"/>
      <c r="H65" s="187"/>
      <c r="I65" s="187"/>
      <c r="J65" s="187"/>
      <c r="K65" s="187"/>
      <c r="L65" s="187"/>
      <c r="M65" s="187"/>
      <c r="N65" s="187"/>
    </row>
    <row r="66" spans="2:14" ht="18.95" customHeight="1">
      <c r="B66" s="131" t="s">
        <v>50</v>
      </c>
      <c r="C66" s="149">
        <v>0.15</v>
      </c>
      <c r="D66" s="150">
        <f ca="1">+NPV(C66,D63:N63)</f>
        <v>93060125.30588524</v>
      </c>
      <c r="E66" s="115"/>
      <c r="F66" s="115"/>
      <c r="G66" s="115"/>
      <c r="H66" s="124"/>
      <c r="I66" s="115"/>
      <c r="J66" s="115"/>
      <c r="K66" s="115"/>
      <c r="L66" s="115"/>
      <c r="M66" s="561"/>
      <c r="N66" s="115"/>
    </row>
    <row r="67" spans="2:14" ht="18.95" customHeight="1">
      <c r="B67" s="114" t="s">
        <v>51</v>
      </c>
      <c r="C67" s="131"/>
      <c r="D67" s="151">
        <f ca="1">+('S&amp;U'!$Q$17*Assumptions!$N$149+'S&amp;U'!$Q$18*Assumptions!$N$155+'S&amp;U'!Q19*Assumptions!$N$161)/SUM('S&amp;U'!$Q$17:$Q$19)</f>
        <v>0.6601304793581515</v>
      </c>
      <c r="E67" s="115"/>
      <c r="F67" s="115"/>
      <c r="J67" s="115"/>
      <c r="K67" s="115"/>
      <c r="L67" s="115"/>
      <c r="M67" s="561"/>
      <c r="N67" s="115"/>
    </row>
    <row r="68" spans="2:14" ht="18.95" customHeight="1">
      <c r="B68" s="131" t="s">
        <v>52</v>
      </c>
      <c r="C68" s="131"/>
      <c r="D68" s="151">
        <f ca="1">+Assumptions!$E$4</f>
        <v>0.13026177012390683</v>
      </c>
      <c r="E68" s="115"/>
      <c r="F68" s="115"/>
      <c r="G68" s="145" t="s">
        <v>53</v>
      </c>
      <c r="H68" s="115"/>
      <c r="I68" s="115"/>
      <c r="J68" s="241">
        <f>+Budget!G25+'Public Benefits'!F11</f>
        <v>130122309.52632992</v>
      </c>
      <c r="K68" s="115"/>
      <c r="L68" s="115"/>
      <c r="M68" s="561"/>
      <c r="N68" s="115"/>
    </row>
    <row r="69" spans="2:14" ht="18.95" customHeight="1">
      <c r="B69" s="131" t="s">
        <v>54</v>
      </c>
      <c r="C69" s="131"/>
      <c r="D69" s="151">
        <f ca="1">+Assumptions!$E$3</f>
        <v>0.22324328826435935</v>
      </c>
    </row>
    <row r="70" spans="2:14" ht="18.95" customHeight="1">
      <c r="B70" s="117" t="s">
        <v>55</v>
      </c>
      <c r="C70" s="388"/>
      <c r="D70" s="152">
        <f ca="1">+Assumptions!M3</f>
        <v>0.30439856080056821</v>
      </c>
      <c r="E70" s="113"/>
      <c r="F70" s="113"/>
      <c r="G70" s="146" t="s">
        <v>56</v>
      </c>
      <c r="H70" s="113"/>
      <c r="I70" s="113"/>
      <c r="J70" s="154">
        <f ca="1">+N56</f>
        <v>0</v>
      </c>
      <c r="K70" s="155"/>
      <c r="L70" s="113"/>
      <c r="M70" s="128"/>
      <c r="N70" s="113"/>
    </row>
    <row r="71" spans="2:14" ht="38.1" customHeight="1">
      <c r="B71" s="843" t="s">
        <v>57</v>
      </c>
      <c r="C71" s="843"/>
      <c r="D71" s="843"/>
      <c r="E71" s="843"/>
      <c r="F71" s="843"/>
      <c r="G71" s="843"/>
      <c r="H71" s="843"/>
      <c r="I71" s="843"/>
      <c r="J71" s="843"/>
      <c r="K71" s="843"/>
      <c r="L71" s="843"/>
      <c r="M71" s="843"/>
      <c r="N71" s="843"/>
    </row>
    <row r="72" spans="2:14" ht="38.1" customHeight="1">
      <c r="B72" s="843" t="s">
        <v>58</v>
      </c>
      <c r="C72" s="843"/>
      <c r="D72" s="843"/>
      <c r="E72" s="843"/>
      <c r="F72" s="843"/>
      <c r="G72" s="843"/>
      <c r="H72" s="843"/>
      <c r="I72" s="843"/>
      <c r="J72" s="843"/>
      <c r="K72" s="843"/>
      <c r="L72" s="843"/>
      <c r="M72" s="843"/>
      <c r="N72" s="843"/>
    </row>
    <row r="73" spans="2:14" ht="18.95" customHeight="1">
      <c r="D73" s="567"/>
      <c r="N73" s="120"/>
    </row>
    <row r="74" spans="2:14" s="263" customFormat="1" ht="18.95" customHeight="1">
      <c r="B74" s="444" t="s">
        <v>59</v>
      </c>
      <c r="C74" s="445"/>
      <c r="D74" s="445"/>
      <c r="E74" s="444"/>
      <c r="F74" s="446"/>
      <c r="G74" s="446"/>
      <c r="H74" s="446"/>
      <c r="I74" s="832"/>
      <c r="J74" s="832"/>
      <c r="K74" s="832"/>
      <c r="L74" s="832"/>
      <c r="M74" s="832"/>
      <c r="N74" s="832"/>
    </row>
    <row r="75" spans="2:14" ht="18.95" customHeight="1">
      <c r="D75" s="556"/>
      <c r="E75" s="833" t="s">
        <v>60</v>
      </c>
      <c r="F75" s="833"/>
      <c r="G75" s="833"/>
      <c r="H75" s="833"/>
      <c r="I75" s="833"/>
      <c r="J75" s="833"/>
      <c r="K75" s="833"/>
      <c r="L75" s="833"/>
      <c r="M75" s="833"/>
      <c r="N75" s="833"/>
    </row>
    <row r="76" spans="2:14" s="401" customFormat="1" ht="18.95" customHeight="1">
      <c r="B76" s="111"/>
      <c r="C76" s="111"/>
      <c r="D76" s="116" t="s">
        <v>61</v>
      </c>
      <c r="E76" s="568">
        <f>+E6</f>
        <v>2022</v>
      </c>
      <c r="F76" s="568">
        <f t="shared" ref="F76:L76" si="9">E76+1</f>
        <v>2023</v>
      </c>
      <c r="G76" s="568">
        <f t="shared" si="9"/>
        <v>2024</v>
      </c>
      <c r="H76" s="568">
        <f t="shared" si="9"/>
        <v>2025</v>
      </c>
      <c r="I76" s="568">
        <f t="shared" si="9"/>
        <v>2026</v>
      </c>
      <c r="J76" s="568">
        <f t="shared" si="9"/>
        <v>2027</v>
      </c>
      <c r="K76" s="568">
        <f t="shared" si="9"/>
        <v>2028</v>
      </c>
      <c r="L76" s="568">
        <f t="shared" si="9"/>
        <v>2029</v>
      </c>
      <c r="M76" s="568">
        <f>L76+1</f>
        <v>2030</v>
      </c>
      <c r="N76" s="568">
        <f>M76+1</f>
        <v>2031</v>
      </c>
    </row>
    <row r="77" spans="2:14" ht="18.95" customHeight="1">
      <c r="B77" s="129" t="s">
        <v>62</v>
      </c>
      <c r="C77" s="129"/>
      <c r="D77" s="156"/>
      <c r="E77" s="109"/>
      <c r="F77" s="109"/>
      <c r="G77" s="109"/>
      <c r="H77" s="109"/>
      <c r="I77" s="109"/>
      <c r="J77" s="109"/>
      <c r="K77" s="109"/>
      <c r="L77" s="109"/>
      <c r="M77" s="157"/>
      <c r="N77" s="109"/>
    </row>
    <row r="78" spans="2:14" ht="18.95" customHeight="1">
      <c r="B78" s="137" t="s">
        <v>7</v>
      </c>
      <c r="C78" s="563"/>
      <c r="D78" s="556" t="s">
        <v>63</v>
      </c>
      <c r="E78" s="127">
        <f>+SUMIF('Phase I Pro Forma'!$F$6:$Z$6,'Official Summary'!E$7,'Phase I Pro Forma'!$F$32:$Z$32)+SUMIF('Phase II Pro Forma'!$F$5:$Z$5,'Official Summary'!E$7,'Phase II Pro Forma'!$F$32:$Z$32)+SUMIF('Phase III Pro Forma'!$F$6:$Z$6,'Official Summary'!E$7,'Phase III Pro Forma'!$F$33:$Z$33)</f>
        <v>0</v>
      </c>
      <c r="F78" s="127">
        <f>+SUMIF('Phase I Pro Forma'!$F$6:$Z$6,'Official Summary'!F$7,'Phase I Pro Forma'!$F$32:$Z$32)+SUMIF('Phase II Pro Forma'!$F$5:$Z$5,'Official Summary'!F$7,'Phase II Pro Forma'!$F$32:$Z$32)+SUMIF('Phase III Pro Forma'!$F$6:$Z$6,'Official Summary'!F$7,'Phase III Pro Forma'!$F$33:$Z$33)</f>
        <v>0</v>
      </c>
      <c r="G78" s="127">
        <f>+SUMIF('Phase I Pro Forma'!$F$6:$Z$6,'Official Summary'!G$7,'Phase I Pro Forma'!$F$32:$Z$32)+SUMIF('Phase II Pro Forma'!$F$5:$Z$5,'Official Summary'!G$7,'Phase II Pro Forma'!$F$32:$Z$32)+SUMIF('Phase III Pro Forma'!$F$6:$Z$6,'Official Summary'!G$7,'Phase III Pro Forma'!$F$33:$Z$33)</f>
        <v>47</v>
      </c>
      <c r="H78" s="127">
        <f>+SUMIF('Phase I Pro Forma'!$F$6:$Z$6,'Official Summary'!H$7,'Phase I Pro Forma'!$F$32:$Z$32)+SUMIF('Phase II Pro Forma'!$F$5:$Z$5,'Official Summary'!H$7,'Phase II Pro Forma'!$F$32:$Z$32)+SUMIF('Phase III Pro Forma'!$F$6:$Z$6,'Official Summary'!H$7,'Phase III Pro Forma'!$F$33:$Z$33)</f>
        <v>318.39542317959103</v>
      </c>
      <c r="I78" s="127">
        <f>+SUMIF('Phase I Pro Forma'!$F$6:$Z$6,'Official Summary'!I$7,'Phase I Pro Forma'!$F$32:$Z$32)+SUMIF('Phase II Pro Forma'!$F$5:$Z$5,'Official Summary'!I$7,'Phase II Pro Forma'!$F$32:$Z$32)+SUMIF('Phase III Pro Forma'!$F$6:$Z$6,'Official Summary'!I$7,'Phase III Pro Forma'!$F$33:$Z$33)</f>
        <v>271.39542317959103</v>
      </c>
      <c r="J78" s="127">
        <f>+SUMIF('Phase I Pro Forma'!$F$6:$Z$6,'Official Summary'!J$7,'Phase I Pro Forma'!$F$32:$Z$32)+SUMIF('Phase II Pro Forma'!$F$5:$Z$5,'Official Summary'!J$7,'Phase II Pro Forma'!$F$32:$Z$32)+SUMIF('Phase III Pro Forma'!$F$6:$Z$6,'Official Summary'!J$7,'Phase III Pro Forma'!$F$33:$Z$33)</f>
        <v>222.04445722018048</v>
      </c>
      <c r="K78" s="127">
        <f>+SUMIF('Phase I Pro Forma'!$F$6:$Z$6,'Official Summary'!K$7,'Phase I Pro Forma'!$F$32:$Z$32)+SUMIF('Phase II Pro Forma'!$F$5:$Z$5,'Official Summary'!K$7,'Phase II Pro Forma'!$F$32:$Z$32)+SUMIF('Phase III Pro Forma'!$F$6:$Z$6,'Official Summary'!K$7,'Phase III Pro Forma'!$F$33:$Z$33)</f>
        <v>222.04445722018048</v>
      </c>
      <c r="L78" s="127">
        <f>+SUMIF('Phase I Pro Forma'!$F$6:$Z$6,'Official Summary'!L$7,'Phase I Pro Forma'!$F$32:$Z$32)+SUMIF('Phase II Pro Forma'!$F$5:$Z$5,'Official Summary'!L$7,'Phase II Pro Forma'!$F$32:$Z$32)+SUMIF('Phase III Pro Forma'!$F$6:$Z$6,'Official Summary'!L$7,'Phase III Pro Forma'!$F$33:$Z$33)</f>
        <v>0</v>
      </c>
      <c r="M78" s="127">
        <f>+SUMIF('Phase I Pro Forma'!$F$6:$Z$6,'Official Summary'!M$7,'Phase I Pro Forma'!$F$32:$Z$32)+SUMIF('Phase II Pro Forma'!$F$5:$Z$5,'Official Summary'!M$7,'Phase II Pro Forma'!$F$32:$Z$32)+SUMIF('Phase III Pro Forma'!$F$6:$Z$6,'Official Summary'!M$7,'Phase III Pro Forma'!$F$33:$Z$33)</f>
        <v>0</v>
      </c>
      <c r="N78" s="127">
        <f>+SUMIF('Phase I Pro Forma'!$F$6:$Z$6,'Official Summary'!N$7,'Phase I Pro Forma'!$F$32:$Z$32)+SUMIF('Phase II Pro Forma'!$F$5:$Z$5,'Official Summary'!N$7,'Phase II Pro Forma'!$F$32:$Z$32)+SUMIF('Phase III Pro Forma'!$F$6:$Z$6,'Official Summary'!N$7,'Phase III Pro Forma'!$F$33:$Z$33)</f>
        <v>0</v>
      </c>
    </row>
    <row r="79" spans="2:14" ht="18.95" customHeight="1">
      <c r="B79" s="137" t="s">
        <v>8</v>
      </c>
      <c r="C79" s="563"/>
      <c r="D79" s="556" t="s">
        <v>63</v>
      </c>
      <c r="E79" s="127" t="s">
        <v>9</v>
      </c>
      <c r="F79" s="127" t="s">
        <v>9</v>
      </c>
      <c r="G79" s="127" t="s">
        <v>9</v>
      </c>
      <c r="H79" s="127" t="s">
        <v>9</v>
      </c>
      <c r="I79" s="127" t="s">
        <v>9</v>
      </c>
      <c r="J79" s="127" t="s">
        <v>9</v>
      </c>
      <c r="K79" s="127" t="s">
        <v>9</v>
      </c>
      <c r="L79" s="127" t="s">
        <v>9</v>
      </c>
      <c r="M79" s="127" t="s">
        <v>9</v>
      </c>
      <c r="N79" s="127" t="s">
        <v>9</v>
      </c>
    </row>
    <row r="80" spans="2:14" ht="18.95" customHeight="1">
      <c r="B80" s="137" t="s">
        <v>10</v>
      </c>
      <c r="C80" s="563"/>
      <c r="D80" s="556" t="s">
        <v>63</v>
      </c>
      <c r="E80" s="127" t="s">
        <v>9</v>
      </c>
      <c r="F80" s="127" t="s">
        <v>9</v>
      </c>
      <c r="G80" s="127" t="s">
        <v>9</v>
      </c>
      <c r="H80" s="127" t="s">
        <v>9</v>
      </c>
      <c r="I80" s="127" t="s">
        <v>9</v>
      </c>
      <c r="J80" s="127" t="s">
        <v>9</v>
      </c>
      <c r="K80" s="127" t="s">
        <v>9</v>
      </c>
      <c r="L80" s="127" t="s">
        <v>9</v>
      </c>
      <c r="M80" s="127" t="s">
        <v>9</v>
      </c>
      <c r="N80" s="127" t="s">
        <v>9</v>
      </c>
    </row>
    <row r="81" spans="2:14" ht="18.95" customHeight="1">
      <c r="B81" s="137" t="s">
        <v>11</v>
      </c>
      <c r="C81" s="563"/>
      <c r="D81" s="556" t="s">
        <v>63</v>
      </c>
      <c r="E81" s="127">
        <f>+SUMIF('Phase I Pro Forma'!$F$6:$Z$6,'Official Summary'!E$7,'Phase I Pro Forma'!$F$10:$Z$10)+SUMIF('Phase II Pro Forma'!$F$5:$Z$5,'Official Summary'!E$7,'Phase II Pro Forma'!$F$9:$Z$9)+SUMIF('Phase III Pro Forma'!$F$6:$Z$6,'Official Summary'!E$7,'Phase III Pro Forma'!$F$10:$Z$10)</f>
        <v>0</v>
      </c>
      <c r="F81" s="127">
        <f>+SUMIF('Phase I Pro Forma'!$F$6:$Z$6,'Official Summary'!F$7,'Phase I Pro Forma'!$F$10:$Z$10)+SUMIF('Phase II Pro Forma'!$F$5:$Z$5,'Official Summary'!F$7,'Phase II Pro Forma'!$F$9:$Z$9)+SUMIF('Phase III Pro Forma'!$F$6:$Z$6,'Official Summary'!F$7,'Phase III Pro Forma'!$F$10:$Z$10)</f>
        <v>0</v>
      </c>
      <c r="G81" s="127">
        <f>+SUMIF('Phase I Pro Forma'!$F$6:$Z$6,'Official Summary'!G$7,'Phase I Pro Forma'!$F$10:$Z$10)+SUMIF('Phase II Pro Forma'!$F$5:$Z$5,'Official Summary'!G$7,'Phase II Pro Forma'!$F$9:$Z$9)+SUMIF('Phase III Pro Forma'!$F$6:$Z$6,'Official Summary'!G$7,'Phase III Pro Forma'!$F$10:$Z$10)</f>
        <v>31</v>
      </c>
      <c r="H81" s="127">
        <f>+SUMIF('Phase I Pro Forma'!$F$6:$Z$6,'Official Summary'!H$7,'Phase I Pro Forma'!$F$10:$Z$10)+SUMIF('Phase II Pro Forma'!$F$5:$Z$5,'Official Summary'!H$7,'Phase II Pro Forma'!$F$9:$Z$9)+SUMIF('Phase III Pro Forma'!$F$6:$Z$6,'Official Summary'!H$7,'Phase III Pro Forma'!$F$10:$Z$10)</f>
        <v>211.93028211972734</v>
      </c>
      <c r="I81" s="127">
        <f>+SUMIF('Phase I Pro Forma'!$F$6:$Z$6,'Official Summary'!I$7,'Phase I Pro Forma'!$F$10:$Z$10)+SUMIF('Phase II Pro Forma'!$F$5:$Z$5,'Official Summary'!I$7,'Phase II Pro Forma'!$F$9:$Z$9)+SUMIF('Phase III Pro Forma'!$F$6:$Z$6,'Official Summary'!I$7,'Phase III Pro Forma'!$F$10:$Z$10)</f>
        <v>180.93028211972734</v>
      </c>
      <c r="J81" s="127">
        <f>+SUMIF('Phase I Pro Forma'!$F$6:$Z$6,'Official Summary'!J$7,'Phase I Pro Forma'!$F$10:$Z$10)+SUMIF('Phase II Pro Forma'!$F$5:$Z$5,'Official Summary'!J$7,'Phase II Pro Forma'!$F$9:$Z$9)+SUMIF('Phase III Pro Forma'!$F$6:$Z$6,'Official Summary'!J$7,'Phase III Pro Forma'!$F$10:$Z$10)</f>
        <v>148.02963814678699</v>
      </c>
      <c r="K81" s="127">
        <f>+SUMIF('Phase I Pro Forma'!$F$6:$Z$6,'Official Summary'!K$7,'Phase I Pro Forma'!$F$10:$Z$10)+SUMIF('Phase II Pro Forma'!$F$5:$Z$5,'Official Summary'!K$7,'Phase II Pro Forma'!$F$9:$Z$9)+SUMIF('Phase III Pro Forma'!$F$6:$Z$6,'Official Summary'!K$7,'Phase III Pro Forma'!$F$10:$Z$10)</f>
        <v>148.02963814678699</v>
      </c>
      <c r="L81" s="127">
        <f>+SUMIF('Phase I Pro Forma'!$F$6:$Z$6,'Official Summary'!L$7,'Phase I Pro Forma'!$F$10:$Z$10)+SUMIF('Phase II Pro Forma'!$F$5:$Z$5,'Official Summary'!L$7,'Phase II Pro Forma'!$F$9:$Z$9)+SUMIF('Phase III Pro Forma'!$F$6:$Z$6,'Official Summary'!L$7,'Phase III Pro Forma'!$F$10:$Z$10)</f>
        <v>0</v>
      </c>
      <c r="M81" s="127">
        <f>+SUMIF('Phase I Pro Forma'!$F$6:$Z$6,'Official Summary'!M$7,'Phase I Pro Forma'!$F$10:$Z$10)+SUMIF('Phase II Pro Forma'!$F$5:$Z$5,'Official Summary'!M$7,'Phase II Pro Forma'!$F$9:$Z$9)+SUMIF('Phase III Pro Forma'!$F$6:$Z$6,'Official Summary'!M$7,'Phase III Pro Forma'!$F$10:$Z$10)</f>
        <v>0</v>
      </c>
      <c r="N81" s="127">
        <f>+SUMIF('Phase I Pro Forma'!$F$6:$Z$6,'Official Summary'!N$7,'Phase I Pro Forma'!$F$10:$Z$10)+SUMIF('Phase II Pro Forma'!$F$5:$Z$5,'Official Summary'!N$7,'Phase II Pro Forma'!$F$9:$Z$9)+SUMIF('Phase III Pro Forma'!$F$6:$Z$6,'Official Summary'!N$7,'Phase III Pro Forma'!$F$10:$Z$10)</f>
        <v>0</v>
      </c>
    </row>
    <row r="82" spans="2:14" ht="18.95" customHeight="1">
      <c r="B82" s="137" t="s">
        <v>12</v>
      </c>
      <c r="C82" s="563"/>
      <c r="D82" s="556" t="s">
        <v>63</v>
      </c>
      <c r="E82" s="127" t="s">
        <v>9</v>
      </c>
      <c r="F82" s="127" t="s">
        <v>9</v>
      </c>
      <c r="G82" s="127" t="s">
        <v>9</v>
      </c>
      <c r="H82" s="127" t="s">
        <v>9</v>
      </c>
      <c r="I82" s="127" t="s">
        <v>9</v>
      </c>
      <c r="J82" s="127" t="s">
        <v>9</v>
      </c>
      <c r="K82" s="127" t="s">
        <v>9</v>
      </c>
      <c r="L82" s="127" t="s">
        <v>9</v>
      </c>
      <c r="M82" s="127" t="s">
        <v>9</v>
      </c>
      <c r="N82" s="127" t="s">
        <v>9</v>
      </c>
    </row>
    <row r="83" spans="2:14" ht="18.95" customHeight="1">
      <c r="B83" s="565" t="s">
        <v>13</v>
      </c>
      <c r="C83" s="563"/>
      <c r="D83" s="556" t="s">
        <v>64</v>
      </c>
      <c r="E83" s="558" t="s">
        <v>9</v>
      </c>
      <c r="F83" s="558" t="s">
        <v>9</v>
      </c>
      <c r="G83" s="558" t="s">
        <v>9</v>
      </c>
      <c r="H83" s="558" t="s">
        <v>9</v>
      </c>
      <c r="I83" s="558" t="s">
        <v>9</v>
      </c>
      <c r="J83" s="558" t="s">
        <v>9</v>
      </c>
      <c r="K83" s="558" t="s">
        <v>9</v>
      </c>
      <c r="L83" s="558" t="s">
        <v>9</v>
      </c>
      <c r="M83" s="558" t="s">
        <v>9</v>
      </c>
      <c r="N83" s="558" t="s">
        <v>9</v>
      </c>
    </row>
    <row r="84" spans="2:14" ht="18.95" customHeight="1">
      <c r="B84" s="565" t="s">
        <v>14</v>
      </c>
      <c r="C84" s="563"/>
      <c r="D84" s="556" t="s">
        <v>64</v>
      </c>
      <c r="E84" s="558" t="s">
        <v>9</v>
      </c>
      <c r="F84" s="558" t="s">
        <v>9</v>
      </c>
      <c r="G84" s="558" t="s">
        <v>9</v>
      </c>
      <c r="H84" s="558" t="s">
        <v>9</v>
      </c>
      <c r="I84" s="558" t="s">
        <v>9</v>
      </c>
      <c r="J84" s="558" t="s">
        <v>9</v>
      </c>
      <c r="K84" s="558" t="s">
        <v>9</v>
      </c>
      <c r="L84" s="558" t="s">
        <v>9</v>
      </c>
      <c r="M84" s="558" t="s">
        <v>9</v>
      </c>
      <c r="N84" s="558" t="s">
        <v>9</v>
      </c>
    </row>
    <row r="85" spans="2:14" ht="18.95" customHeight="1">
      <c r="B85" s="565" t="s">
        <v>769</v>
      </c>
      <c r="C85" s="563"/>
      <c r="D85" s="556" t="s">
        <v>64</v>
      </c>
      <c r="E85" s="558" t="s">
        <v>9</v>
      </c>
      <c r="F85" s="558" t="s">
        <v>9</v>
      </c>
      <c r="G85" s="558" t="s">
        <v>9</v>
      </c>
      <c r="H85" s="558" t="s">
        <v>9</v>
      </c>
      <c r="I85" s="558" t="s">
        <v>9</v>
      </c>
      <c r="J85" s="558" t="s">
        <v>9</v>
      </c>
      <c r="K85" s="558" t="s">
        <v>9</v>
      </c>
      <c r="L85" s="558" t="s">
        <v>9</v>
      </c>
      <c r="M85" s="558" t="s">
        <v>9</v>
      </c>
      <c r="N85" s="558" t="s">
        <v>9</v>
      </c>
    </row>
    <row r="86" spans="2:14" ht="18.95" customHeight="1">
      <c r="B86" s="565" t="s">
        <v>16</v>
      </c>
      <c r="C86" s="167"/>
      <c r="D86" s="556" t="s">
        <v>65</v>
      </c>
      <c r="E86" s="127">
        <v>0</v>
      </c>
      <c r="F86" s="127">
        <v>0</v>
      </c>
      <c r="G86" s="127">
        <v>149</v>
      </c>
      <c r="H86" s="127">
        <v>149</v>
      </c>
      <c r="I86" s="127">
        <v>149</v>
      </c>
      <c r="J86" s="127">
        <v>149</v>
      </c>
      <c r="K86" s="127">
        <v>149</v>
      </c>
      <c r="L86" s="127">
        <v>149</v>
      </c>
      <c r="M86" s="127">
        <v>149</v>
      </c>
      <c r="N86" s="127">
        <v>149</v>
      </c>
    </row>
    <row r="87" spans="2:14" ht="18.95" customHeight="1">
      <c r="B87" s="565" t="s">
        <v>29</v>
      </c>
      <c r="C87" s="167"/>
      <c r="D87" s="556" t="s">
        <v>66</v>
      </c>
      <c r="E87" s="127">
        <f>+SUMIF('Phase I Pro Forma'!$F$6:$Z$6,'Official Summary'!E$7,'Phase I Pro Forma'!$F$117:$Z$117)*(Assumptions!$F$177/SUM(Assumptions!$F$177,Assumptions!$F$191))+SUMIF('Phase II Pro Forma'!$F$5:$Z$5,'Official Summary'!E$7,'Phase II Pro Forma'!$F$117:$Z$117)*(Assumptions!$G$177/SUM(Assumptions!$G$177,Assumptions!$G$191))+SUMIF('Phase III Pro Forma'!$F$6:$Z$6,'Official Summary'!E$7,'Phase III Pro Forma'!$F$118:$Z$118)*(Assumptions!$H$177/SUM(Assumptions!$H$177,Assumptions!$H$191))</f>
        <v>0</v>
      </c>
      <c r="F87" s="127">
        <f>+SUMIF('Phase I Pro Forma'!$F$6:$Z$6,'Official Summary'!F$7,'Phase I Pro Forma'!$F$117:$Z$117)*(Assumptions!$F$177/SUM(Assumptions!$F$177,Assumptions!$F$191))+SUMIF('Phase II Pro Forma'!$F$5:$Z$5,'Official Summary'!F$7,'Phase II Pro Forma'!$F$117:$Z$117)*(Assumptions!$G$177/SUM(Assumptions!$G$177,Assumptions!$G$191))+SUMIF('Phase III Pro Forma'!$F$6:$Z$6,'Official Summary'!F$7,'Phase III Pro Forma'!$F$118:$Z$118)*(Assumptions!$H$177/SUM(Assumptions!$H$177,Assumptions!$H$191))</f>
        <v>0</v>
      </c>
      <c r="G87" s="127">
        <f>+SUMIF('Phase I Pro Forma'!$F$6:$Z$6,'Official Summary'!G$7,'Phase I Pro Forma'!$F$117:$Z$117)*(Assumptions!$F$177/SUM(Assumptions!$F$177,Assumptions!$F$191))+SUMIF('Phase II Pro Forma'!$F$5:$Z$5,'Official Summary'!G$7,'Phase II Pro Forma'!$F$117:$Z$117)*(Assumptions!$G$177/SUM(Assumptions!$G$177,Assumptions!$G$191))+SUMIF('Phase III Pro Forma'!$F$6:$Z$6,'Official Summary'!G$7,'Phase III Pro Forma'!$F$118:$Z$118)*(Assumptions!$H$177/SUM(Assumptions!$H$177,Assumptions!$H$191))</f>
        <v>509</v>
      </c>
      <c r="H87" s="127">
        <f>+SUMIF('Phase I Pro Forma'!$F$6:$Z$6,'Official Summary'!H$7,'Phase I Pro Forma'!$F$117:$Z$117)*(Assumptions!$F$177/SUM(Assumptions!$F$177,Assumptions!$F$191))+SUMIF('Phase II Pro Forma'!$F$5:$Z$5,'Official Summary'!H$7,'Phase II Pro Forma'!$F$117:$Z$117)*(Assumptions!$G$177/SUM(Assumptions!$G$177,Assumptions!$G$191))+SUMIF('Phase III Pro Forma'!$F$6:$Z$6,'Official Summary'!H$7,'Phase III Pro Forma'!$F$118:$Z$118)*(Assumptions!$H$177/SUM(Assumptions!$H$177,Assumptions!$H$191))</f>
        <v>795.39599999999996</v>
      </c>
      <c r="I87" s="127">
        <f>+SUMIF('Phase I Pro Forma'!$F$6:$Z$6,'Official Summary'!I$7,'Phase I Pro Forma'!$F$117:$Z$117)*(Assumptions!$F$177/SUM(Assumptions!$F$177,Assumptions!$F$191))+SUMIF('Phase II Pro Forma'!$F$5:$Z$5,'Official Summary'!I$7,'Phase II Pro Forma'!$F$117:$Z$117)*(Assumptions!$G$177/SUM(Assumptions!$G$177,Assumptions!$G$191))+SUMIF('Phase III Pro Forma'!$F$6:$Z$6,'Official Summary'!I$7,'Phase III Pro Forma'!$F$118:$Z$118)*(Assumptions!$H$177/SUM(Assumptions!$H$177,Assumptions!$H$191))</f>
        <v>286.39600000000002</v>
      </c>
      <c r="J87" s="127">
        <f>+SUMIF('Phase I Pro Forma'!$F$6:$Z$6,'Official Summary'!J$7,'Phase I Pro Forma'!$F$117:$Z$117)*(Assumptions!$F$177/SUM(Assumptions!$F$177,Assumptions!$F$191))+SUMIF('Phase II Pro Forma'!$F$5:$Z$5,'Official Summary'!J$7,'Phase II Pro Forma'!$F$117:$Z$117)*(Assumptions!$G$177/SUM(Assumptions!$G$177,Assumptions!$G$191))+SUMIF('Phase III Pro Forma'!$F$6:$Z$6,'Official Summary'!J$7,'Phase III Pro Forma'!$F$118:$Z$118)*(Assumptions!$H$177/SUM(Assumptions!$H$177,Assumptions!$H$191))</f>
        <v>236.98</v>
      </c>
      <c r="K87" s="127">
        <f>+SUMIF('Phase I Pro Forma'!$F$6:$Z$6,'Official Summary'!K$7,'Phase I Pro Forma'!$F$117:$Z$117)*(Assumptions!$F$177/SUM(Assumptions!$F$177,Assumptions!$F$191))+SUMIF('Phase II Pro Forma'!$F$5:$Z$5,'Official Summary'!K$7,'Phase II Pro Forma'!$F$117:$Z$117)*(Assumptions!$G$177/SUM(Assumptions!$G$177,Assumptions!$G$191))+SUMIF('Phase III Pro Forma'!$F$6:$Z$6,'Official Summary'!K$7,'Phase III Pro Forma'!$F$118:$Z$118)*(Assumptions!$H$177/SUM(Assumptions!$H$177,Assumptions!$H$191))</f>
        <v>236.98</v>
      </c>
      <c r="L87" s="127">
        <f>+SUMIF('Phase I Pro Forma'!$F$6:$Z$6,'Official Summary'!L$7,'Phase I Pro Forma'!$F$117:$Z$117)*(Assumptions!$F$177/SUM(Assumptions!$F$177,Assumptions!$F$191))+SUMIF('Phase II Pro Forma'!$F$5:$Z$5,'Official Summary'!L$7,'Phase II Pro Forma'!$F$117:$Z$117)*(Assumptions!$G$177/SUM(Assumptions!$G$177,Assumptions!$G$191))+SUMIF('Phase III Pro Forma'!$F$6:$Z$6,'Official Summary'!L$7,'Phase III Pro Forma'!$F$118:$Z$118)*(Assumptions!$H$177/SUM(Assumptions!$H$177,Assumptions!$H$191))</f>
        <v>0</v>
      </c>
      <c r="M87" s="127">
        <f>+SUMIF('Phase I Pro Forma'!$F$6:$Z$6,'Official Summary'!M$7,'Phase I Pro Forma'!$F$117:$Z$117)*(Assumptions!$F$177/SUM(Assumptions!$F$177,Assumptions!$F$191))+SUMIF('Phase II Pro Forma'!$F$5:$Z$5,'Official Summary'!M$7,'Phase II Pro Forma'!$F$117:$Z$117)*(Assumptions!$G$177/SUM(Assumptions!$G$177,Assumptions!$G$191))+SUMIF('Phase III Pro Forma'!$F$6:$Z$6,'Official Summary'!M$7,'Phase III Pro Forma'!$F$118:$Z$118)*(Assumptions!$H$177/SUM(Assumptions!$H$177,Assumptions!$H$191))</f>
        <v>0</v>
      </c>
      <c r="N87" s="127">
        <f>+SUMIF('Phase I Pro Forma'!$F$6:$Z$6,'Official Summary'!N$7,'Phase I Pro Forma'!$F$117:$Z$117)*(Assumptions!$F$177/SUM(Assumptions!$F$177,Assumptions!$F$191))+SUMIF('Phase II Pro Forma'!$F$5:$Z$5,'Official Summary'!N$7,'Phase II Pro Forma'!$F$117:$Z$117)*(Assumptions!$G$177/SUM(Assumptions!$G$177,Assumptions!$G$191))+SUMIF('Phase III Pro Forma'!$F$6:$Z$6,'Official Summary'!N$7,'Phase III Pro Forma'!$F$118:$Z$118)*(Assumptions!$H$177/SUM(Assumptions!$H$177,Assumptions!$H$191))</f>
        <v>0</v>
      </c>
    </row>
    <row r="88" spans="2:14" ht="18.95" customHeight="1">
      <c r="B88" s="565" t="s">
        <v>30</v>
      </c>
      <c r="C88" s="167"/>
      <c r="D88" s="556" t="s">
        <v>66</v>
      </c>
      <c r="E88" s="127">
        <f>+SUMIF('Phase I Pro Forma'!$F$6:$Z$6,'Official Summary'!E$7,'Phase I Pro Forma'!$F$117:$Z$117)*(Assumptions!$F$191/SUM(Assumptions!$F$177,Assumptions!$F$191))+SUMIF('Phase II Pro Forma'!$F$5:$Z$5,'Official Summary'!E$7,'Phase II Pro Forma'!$F$117:$Z$117)*(Assumptions!$G$191/SUM(Assumptions!$G$177,Assumptions!$G$191))+SUMIF('Phase III Pro Forma'!$F$6:$Z$6,'Official Summary'!E$7,'Phase III Pro Forma'!$F$118:$Z$118)*(Assumptions!$H$191/SUM(Assumptions!$H$177,Assumptions!$H$191))</f>
        <v>0</v>
      </c>
      <c r="F88" s="127">
        <f>+SUMIF('Phase I Pro Forma'!$F$6:$Z$6,'Official Summary'!F$7,'Phase I Pro Forma'!$F$117:$Z$117)*(Assumptions!$F$191/SUM(Assumptions!$F$177,Assumptions!$F$191))+SUMIF('Phase II Pro Forma'!$F$5:$Z$5,'Official Summary'!F$7,'Phase II Pro Forma'!$F$117:$Z$117)*(Assumptions!$G$191/SUM(Assumptions!$G$177,Assumptions!$G$191))+SUMIF('Phase III Pro Forma'!$F$6:$Z$6,'Official Summary'!F$7,'Phase III Pro Forma'!$F$118:$Z$118)*(Assumptions!$H$191/SUM(Assumptions!$H$177,Assumptions!$H$191))</f>
        <v>0</v>
      </c>
      <c r="G88" s="127">
        <f>+SUMIF('Phase I Pro Forma'!$F$6:$Z$6,'Official Summary'!G$7,'Phase I Pro Forma'!$F$117:$Z$117)*(Assumptions!$F$191/SUM(Assumptions!$F$177,Assumptions!$F$191))+SUMIF('Phase II Pro Forma'!$F$5:$Z$5,'Official Summary'!G$7,'Phase II Pro Forma'!$F$117:$Z$117)*(Assumptions!$G$191/SUM(Assumptions!$G$177,Assumptions!$G$191))+SUMIF('Phase III Pro Forma'!$F$6:$Z$6,'Official Summary'!G$7,'Phase III Pro Forma'!$F$118:$Z$118)*(Assumptions!$H$191/SUM(Assumptions!$H$177,Assumptions!$H$191))</f>
        <v>0</v>
      </c>
      <c r="H88" s="127">
        <f>+SUMIF('Phase I Pro Forma'!$F$6:$Z$6,'Official Summary'!H$7,'Phase I Pro Forma'!$F$117:$Z$117)*(Assumptions!$F$191/SUM(Assumptions!$F$177,Assumptions!$F$191))+SUMIF('Phase II Pro Forma'!$F$5:$Z$5,'Official Summary'!H$7,'Phase II Pro Forma'!$F$117:$Z$117)*(Assumptions!$G$191/SUM(Assumptions!$G$177,Assumptions!$G$191))+SUMIF('Phase III Pro Forma'!$F$6:$Z$6,'Official Summary'!H$7,'Phase III Pro Forma'!$F$118:$Z$118)*(Assumptions!$H$191/SUM(Assumptions!$H$177,Assumptions!$H$191))</f>
        <v>0</v>
      </c>
      <c r="I88" s="127">
        <f>+SUMIF('Phase I Pro Forma'!$F$6:$Z$6,'Official Summary'!I$7,'Phase I Pro Forma'!$F$117:$Z$117)*(Assumptions!$F$191/SUM(Assumptions!$F$177,Assumptions!$F$191))+SUMIF('Phase II Pro Forma'!$F$5:$Z$5,'Official Summary'!I$7,'Phase II Pro Forma'!$F$117:$Z$117)*(Assumptions!$G$191/SUM(Assumptions!$G$177,Assumptions!$G$191))+SUMIF('Phase III Pro Forma'!$F$6:$Z$6,'Official Summary'!I$7,'Phase III Pro Forma'!$F$118:$Z$118)*(Assumptions!$H$191/SUM(Assumptions!$H$177,Assumptions!$H$191))</f>
        <v>0</v>
      </c>
      <c r="J88" s="127">
        <f>+SUMIF('Phase I Pro Forma'!$F$6:$Z$6,'Official Summary'!J$7,'Phase I Pro Forma'!$F$117:$Z$117)*(Assumptions!$F$191/SUM(Assumptions!$F$177,Assumptions!$F$191))+SUMIF('Phase II Pro Forma'!$F$5:$Z$5,'Official Summary'!J$7,'Phase II Pro Forma'!$F$117:$Z$117)*(Assumptions!$G$191/SUM(Assumptions!$G$177,Assumptions!$G$191))+SUMIF('Phase III Pro Forma'!$F$6:$Z$6,'Official Summary'!J$7,'Phase III Pro Forma'!$F$118:$Z$118)*(Assumptions!$H$191/SUM(Assumptions!$H$177,Assumptions!$H$191))</f>
        <v>0</v>
      </c>
      <c r="K88" s="127">
        <f>+SUMIF('Phase I Pro Forma'!$F$6:$Z$6,'Official Summary'!K$7,'Phase I Pro Forma'!$F$117:$Z$117)*(Assumptions!$F$191/SUM(Assumptions!$F$177,Assumptions!$F$191))+SUMIF('Phase II Pro Forma'!$F$5:$Z$5,'Official Summary'!K$7,'Phase II Pro Forma'!$F$117:$Z$117)*(Assumptions!$G$191/SUM(Assumptions!$G$177,Assumptions!$G$191))+SUMIF('Phase III Pro Forma'!$F$6:$Z$6,'Official Summary'!K$7,'Phase III Pro Forma'!$F$118:$Z$118)*(Assumptions!$H$191/SUM(Assumptions!$H$177,Assumptions!$H$191))</f>
        <v>0</v>
      </c>
      <c r="L88" s="127">
        <f>+SUMIF('Phase I Pro Forma'!$F$6:$Z$6,'Official Summary'!L$7,'Phase I Pro Forma'!$F$117:$Z$117)*(Assumptions!$F$191/SUM(Assumptions!$F$177,Assumptions!$F$191))+SUMIF('Phase II Pro Forma'!$F$5:$Z$5,'Official Summary'!L$7,'Phase II Pro Forma'!$F$117:$Z$117)*(Assumptions!$G$191/SUM(Assumptions!$G$177,Assumptions!$G$191))+SUMIF('Phase III Pro Forma'!$F$6:$Z$6,'Official Summary'!L$7,'Phase III Pro Forma'!$F$118:$Z$118)*(Assumptions!$H$191/SUM(Assumptions!$H$177,Assumptions!$H$191))</f>
        <v>0</v>
      </c>
      <c r="M88" s="127">
        <f>+SUMIF('Phase I Pro Forma'!$F$6:$Z$6,'Official Summary'!M$7,'Phase I Pro Forma'!$F$117:$Z$117)*(Assumptions!$F$191/SUM(Assumptions!$F$177,Assumptions!$F$191))+SUMIF('Phase II Pro Forma'!$F$5:$Z$5,'Official Summary'!M$7,'Phase II Pro Forma'!$F$117:$Z$117)*(Assumptions!$G$191/SUM(Assumptions!$G$177,Assumptions!$G$191))+SUMIF('Phase III Pro Forma'!$F$6:$Z$6,'Official Summary'!M$7,'Phase III Pro Forma'!$F$118:$Z$118)*(Assumptions!$H$191/SUM(Assumptions!$H$177,Assumptions!$H$191))</f>
        <v>0</v>
      </c>
      <c r="N88" s="127">
        <f>+SUMIF('Phase I Pro Forma'!$F$6:$Z$6,'Official Summary'!N$7,'Phase I Pro Forma'!$F$117:$Z$117)*(Assumptions!$F$191/SUM(Assumptions!$F$177,Assumptions!$F$191))+SUMIF('Phase II Pro Forma'!$F$5:$Z$5,'Official Summary'!N$7,'Phase II Pro Forma'!$F$117:$Z$117)*(Assumptions!$G$191/SUM(Assumptions!$G$177,Assumptions!$G$191))+SUMIF('Phase III Pro Forma'!$F$6:$Z$6,'Official Summary'!N$7,'Phase III Pro Forma'!$F$118:$Z$118)*(Assumptions!$H$191/SUM(Assumptions!$H$177,Assumptions!$H$191))</f>
        <v>0</v>
      </c>
    </row>
    <row r="89" spans="2:14" ht="18.95" customHeight="1">
      <c r="B89" s="565" t="s">
        <v>17</v>
      </c>
      <c r="C89" s="167"/>
      <c r="D89" s="556" t="s">
        <v>66</v>
      </c>
      <c r="E89" s="127" t="s">
        <v>9</v>
      </c>
      <c r="F89" s="127" t="s">
        <v>9</v>
      </c>
      <c r="G89" s="127" t="s">
        <v>9</v>
      </c>
      <c r="H89" s="127" t="s">
        <v>9</v>
      </c>
      <c r="I89" s="127" t="s">
        <v>9</v>
      </c>
      <c r="J89" s="127" t="s">
        <v>9</v>
      </c>
      <c r="K89" s="127" t="s">
        <v>9</v>
      </c>
      <c r="L89" s="127" t="s">
        <v>9</v>
      </c>
      <c r="M89" s="127" t="s">
        <v>9</v>
      </c>
      <c r="N89" s="127" t="s">
        <v>9</v>
      </c>
    </row>
    <row r="90" spans="2:14" ht="18.95" customHeight="1">
      <c r="B90" s="180" t="s">
        <v>18</v>
      </c>
      <c r="C90" s="164"/>
      <c r="D90" s="556" t="s">
        <v>64</v>
      </c>
      <c r="E90" s="558" t="s">
        <v>9</v>
      </c>
      <c r="F90" s="558" t="s">
        <v>9</v>
      </c>
      <c r="G90" s="558" t="s">
        <v>9</v>
      </c>
      <c r="H90" s="558" t="s">
        <v>9</v>
      </c>
      <c r="I90" s="558" t="s">
        <v>9</v>
      </c>
      <c r="J90" s="558" t="s">
        <v>9</v>
      </c>
      <c r="K90" s="558" t="s">
        <v>9</v>
      </c>
      <c r="L90" s="558" t="s">
        <v>9</v>
      </c>
      <c r="M90" s="558" t="s">
        <v>9</v>
      </c>
      <c r="N90" s="558" t="s">
        <v>9</v>
      </c>
    </row>
    <row r="91" spans="2:14" ht="18.95" customHeight="1">
      <c r="B91" s="129" t="s">
        <v>67</v>
      </c>
      <c r="C91" s="129"/>
      <c r="D91" s="156"/>
      <c r="E91" s="130"/>
      <c r="F91" s="130"/>
      <c r="G91" s="130"/>
      <c r="H91" s="130"/>
      <c r="I91" s="130"/>
      <c r="J91" s="130"/>
      <c r="K91" s="130"/>
      <c r="L91" s="130"/>
      <c r="M91" s="157"/>
      <c r="N91" s="130"/>
    </row>
    <row r="92" spans="2:14" ht="18.95" customHeight="1">
      <c r="B92" s="137" t="s">
        <v>7</v>
      </c>
      <c r="C92" s="563"/>
      <c r="D92" s="556" t="s">
        <v>68</v>
      </c>
      <c r="E92" s="127">
        <f>+SUMIF('Phase I Pro Forma'!$F$6:$Z$6,'Official Summary'!E$7,'Phase I Pro Forma'!$F$30:$Z$30)+SUMIF('Phase II Pro Forma'!$F$5:$Z$5,'Official Summary'!E$7,'Phase II Pro Forma'!$F$30:$Z$30)+SUMIF('Phase III Pro Forma'!$F$6:$Z$6,'Official Summary'!E$7,'Phase III Pro Forma'!$F$31:$Z$31)</f>
        <v>0</v>
      </c>
      <c r="F92" s="127">
        <f>+SUMIF('Phase I Pro Forma'!$F$6:$Z$6,'Official Summary'!F$7,'Phase I Pro Forma'!$F$30:$Z$30)+SUMIF('Phase II Pro Forma'!$F$5:$Z$5,'Official Summary'!F$7,'Phase II Pro Forma'!$F$30:$Z$30)+SUMIF('Phase III Pro Forma'!$F$6:$Z$6,'Official Summary'!F$7,'Phase III Pro Forma'!$F$31:$Z$31)</f>
        <v>0</v>
      </c>
      <c r="G92" s="127">
        <f>+SUMIF('Phase I Pro Forma'!$F$6:$Z$6,'Official Summary'!G$7,'Phase I Pro Forma'!$F$30:$Z$30)+SUMIF('Phase II Pro Forma'!$F$5:$Z$5,'Official Summary'!G$7,'Phase II Pro Forma'!$F$30:$Z$30)+SUMIF('Phase III Pro Forma'!$F$6:$Z$6,'Official Summary'!G$7,'Phase III Pro Forma'!$F$31:$Z$31)</f>
        <v>33039</v>
      </c>
      <c r="H92" s="127">
        <f>+SUMIF('Phase I Pro Forma'!$F$6:$Z$6,'Official Summary'!H$7,'Phase I Pro Forma'!$F$30:$Z$30)+SUMIF('Phase II Pro Forma'!$F$5:$Z$5,'Official Summary'!H$7,'Phase II Pro Forma'!$F$30:$Z$30)+SUMIF('Phase III Pro Forma'!$F$6:$Z$6,'Official Summary'!H$7,'Phase III Pro Forma'!$F$31:$Z$31)</f>
        <v>223494.66782618256</v>
      </c>
      <c r="I92" s="127">
        <f>+SUMIF('Phase I Pro Forma'!$F$6:$Z$6,'Official Summary'!I$7,'Phase I Pro Forma'!$F$30:$Z$30)+SUMIF('Phase II Pro Forma'!$F$5:$Z$5,'Official Summary'!I$7,'Phase II Pro Forma'!$F$30:$Z$30)+SUMIF('Phase III Pro Forma'!$F$6:$Z$6,'Official Summary'!I$7,'Phase III Pro Forma'!$F$31:$Z$31)</f>
        <v>190455.66782618256</v>
      </c>
      <c r="J92" s="127">
        <f>+SUMIF('Phase I Pro Forma'!$F$6:$Z$6,'Official Summary'!J$7,'Phase I Pro Forma'!$F$30:$Z$30)+SUMIF('Phase II Pro Forma'!$F$5:$Z$5,'Official Summary'!J$7,'Phase II Pro Forma'!$F$30:$Z$30)+SUMIF('Phase III Pro Forma'!$F$6:$Z$6,'Official Summary'!J$7,'Phase III Pro Forma'!$F$31:$Z$31)</f>
        <v>155822.91289778787</v>
      </c>
      <c r="K92" s="127">
        <f>+SUMIF('Phase I Pro Forma'!$F$6:$Z$6,'Official Summary'!K$7,'Phase I Pro Forma'!$F$30:$Z$30)+SUMIF('Phase II Pro Forma'!$F$5:$Z$5,'Official Summary'!K$7,'Phase II Pro Forma'!$F$30:$Z$30)+SUMIF('Phase III Pro Forma'!$F$6:$Z$6,'Official Summary'!K$7,'Phase III Pro Forma'!$F$31:$Z$31)</f>
        <v>155822.91289778787</v>
      </c>
      <c r="L92" s="127">
        <f>+SUMIF('Phase I Pro Forma'!$F$6:$Z$6,'Official Summary'!L$7,'Phase I Pro Forma'!$F$30:$Z$30)+SUMIF('Phase II Pro Forma'!$F$5:$Z$5,'Official Summary'!L$7,'Phase II Pro Forma'!$F$30:$Z$30)+SUMIF('Phase III Pro Forma'!$F$6:$Z$6,'Official Summary'!L$7,'Phase III Pro Forma'!$F$31:$Z$31)</f>
        <v>0</v>
      </c>
      <c r="M92" s="127">
        <f>+SUMIF('Phase I Pro Forma'!$F$6:$Z$6,'Official Summary'!M$7,'Phase I Pro Forma'!$F$30:$Z$30)+SUMIF('Phase II Pro Forma'!$F$5:$Z$5,'Official Summary'!M$7,'Phase II Pro Forma'!$F$30:$Z$30)+SUMIF('Phase III Pro Forma'!$F$6:$Z$6,'Official Summary'!M$7,'Phase III Pro Forma'!$F$31:$Z$31)</f>
        <v>0</v>
      </c>
      <c r="N92" s="127">
        <f>+SUMIF('Phase I Pro Forma'!$F$6:$Z$6,'Official Summary'!N$7,'Phase I Pro Forma'!$F$30:$Z$30)+SUMIF('Phase II Pro Forma'!$F$5:$Z$5,'Official Summary'!N$7,'Phase II Pro Forma'!$F$30:$Z$30)+SUMIF('Phase III Pro Forma'!$F$6:$Z$6,'Official Summary'!N$7,'Phase III Pro Forma'!$F$31:$Z$31)</f>
        <v>0</v>
      </c>
    </row>
    <row r="93" spans="2:14" ht="18.95" customHeight="1">
      <c r="B93" s="137" t="s">
        <v>8</v>
      </c>
      <c r="C93" s="563"/>
      <c r="D93" s="556" t="s">
        <v>68</v>
      </c>
      <c r="E93" s="127" t="s">
        <v>9</v>
      </c>
      <c r="F93" s="127" t="s">
        <v>9</v>
      </c>
      <c r="G93" s="127" t="s">
        <v>9</v>
      </c>
      <c r="H93" s="127" t="s">
        <v>9</v>
      </c>
      <c r="I93" s="127" t="s">
        <v>9</v>
      </c>
      <c r="J93" s="127" t="s">
        <v>9</v>
      </c>
      <c r="K93" s="127" t="s">
        <v>9</v>
      </c>
      <c r="L93" s="127" t="s">
        <v>9</v>
      </c>
      <c r="M93" s="127" t="s">
        <v>9</v>
      </c>
      <c r="N93" s="127" t="s">
        <v>9</v>
      </c>
    </row>
    <row r="94" spans="2:14" ht="18.95" customHeight="1">
      <c r="B94" s="137" t="s">
        <v>10</v>
      </c>
      <c r="C94" s="563"/>
      <c r="D94" s="556" t="s">
        <v>68</v>
      </c>
      <c r="E94" s="127" t="s">
        <v>9</v>
      </c>
      <c r="F94" s="127" t="s">
        <v>9</v>
      </c>
      <c r="G94" s="127" t="s">
        <v>9</v>
      </c>
      <c r="H94" s="127" t="s">
        <v>9</v>
      </c>
      <c r="I94" s="127" t="s">
        <v>9</v>
      </c>
      <c r="J94" s="127" t="s">
        <v>9</v>
      </c>
      <c r="K94" s="127" t="s">
        <v>9</v>
      </c>
      <c r="L94" s="127" t="s">
        <v>9</v>
      </c>
      <c r="M94" s="127" t="s">
        <v>9</v>
      </c>
      <c r="N94" s="127" t="s">
        <v>9</v>
      </c>
    </row>
    <row r="95" spans="2:14" ht="18.95" customHeight="1">
      <c r="B95" s="137" t="s">
        <v>11</v>
      </c>
      <c r="C95" s="563"/>
      <c r="D95" s="556" t="s">
        <v>68</v>
      </c>
      <c r="E95" s="127">
        <f>+SUMIF('Phase I Pro Forma'!$F$6:$Z$6,'Official Summary'!E$7,'Phase I Pro Forma'!$F$8:$Z$8)+SUMIF('Phase II Pro Forma'!$F$5:$Z$5,'Official Summary'!E$7,'Phase II Pro Forma'!$F$7:$Z$7)+SUMIF('Phase III Pro Forma'!$F$6:$Z$6,'Official Summary'!E$7,'Phase III Pro Forma'!$F$8:$Z$8)</f>
        <v>0</v>
      </c>
      <c r="F95" s="127">
        <f>+SUMIF('Phase I Pro Forma'!$F$6:$Z$6,'Official Summary'!F$7,'Phase I Pro Forma'!$F$8:$Z$8)+SUMIF('Phase II Pro Forma'!$F$5:$Z$5,'Official Summary'!F$7,'Phase II Pro Forma'!$F$7:$Z$7)+SUMIF('Phase III Pro Forma'!$F$6:$Z$6,'Official Summary'!F$7,'Phase III Pro Forma'!$F$8:$Z$8)</f>
        <v>0</v>
      </c>
      <c r="G95" s="127">
        <f>+SUMIF('Phase I Pro Forma'!$F$6:$Z$6,'Official Summary'!G$7,'Phase I Pro Forma'!$F$8:$Z$8)+SUMIF('Phase II Pro Forma'!$F$5:$Z$5,'Official Summary'!G$7,'Phase II Pro Forma'!$F$7:$Z$7)+SUMIF('Phase III Pro Forma'!$F$6:$Z$6,'Official Summary'!G$7,'Phase III Pro Forma'!$F$8:$Z$8)</f>
        <v>22026</v>
      </c>
      <c r="H95" s="127">
        <f>+SUMIF('Phase I Pro Forma'!$F$6:$Z$6,'Official Summary'!H$7,'Phase I Pro Forma'!$F$8:$Z$8)+SUMIF('Phase II Pro Forma'!$F$5:$Z$5,'Official Summary'!H$7,'Phase II Pro Forma'!$F$7:$Z$7)+SUMIF('Phase III Pro Forma'!$F$6:$Z$6,'Official Summary'!H$7,'Phase III Pro Forma'!$F$8:$Z$8)</f>
        <v>148996.44521745504</v>
      </c>
      <c r="I95" s="127">
        <f>+SUMIF('Phase I Pro Forma'!$F$6:$Z$6,'Official Summary'!I$7,'Phase I Pro Forma'!$F$8:$Z$8)+SUMIF('Phase II Pro Forma'!$F$5:$Z$5,'Official Summary'!I$7,'Phase II Pro Forma'!$F$7:$Z$7)+SUMIF('Phase III Pro Forma'!$F$6:$Z$6,'Official Summary'!I$7,'Phase III Pro Forma'!$F$8:$Z$8)</f>
        <v>126970.44521745505</v>
      </c>
      <c r="J95" s="127">
        <f>+SUMIF('Phase I Pro Forma'!$F$6:$Z$6,'Official Summary'!J$7,'Phase I Pro Forma'!$F$8:$Z$8)+SUMIF('Phase II Pro Forma'!$F$5:$Z$5,'Official Summary'!J$7,'Phase II Pro Forma'!$F$7:$Z$7)+SUMIF('Phase III Pro Forma'!$F$6:$Z$6,'Official Summary'!J$7,'Phase III Pro Forma'!$F$8:$Z$8)</f>
        <v>103881.9419318586</v>
      </c>
      <c r="K95" s="127">
        <f>+SUMIF('Phase I Pro Forma'!$F$6:$Z$6,'Official Summary'!K$7,'Phase I Pro Forma'!$F$8:$Z$8)+SUMIF('Phase II Pro Forma'!$F$5:$Z$5,'Official Summary'!K$7,'Phase II Pro Forma'!$F$7:$Z$7)+SUMIF('Phase III Pro Forma'!$F$6:$Z$6,'Official Summary'!K$7,'Phase III Pro Forma'!$F$8:$Z$8)</f>
        <v>103881.9419318586</v>
      </c>
      <c r="L95" s="127">
        <f>+SUMIF('Phase I Pro Forma'!$F$6:$Z$6,'Official Summary'!L$7,'Phase I Pro Forma'!$F$8:$Z$8)+SUMIF('Phase II Pro Forma'!$F$5:$Z$5,'Official Summary'!L$7,'Phase II Pro Forma'!$F$7:$Z$7)+SUMIF('Phase III Pro Forma'!$F$6:$Z$6,'Official Summary'!L$7,'Phase III Pro Forma'!$F$8:$Z$8)</f>
        <v>0</v>
      </c>
      <c r="M95" s="127">
        <f>+SUMIF('Phase I Pro Forma'!$F$6:$Z$6,'Official Summary'!M$7,'Phase I Pro Forma'!$F$8:$Z$8)+SUMIF('Phase II Pro Forma'!$F$5:$Z$5,'Official Summary'!M$7,'Phase II Pro Forma'!$F$7:$Z$7)+SUMIF('Phase III Pro Forma'!$F$6:$Z$6,'Official Summary'!M$7,'Phase III Pro Forma'!$F$8:$Z$8)</f>
        <v>0</v>
      </c>
      <c r="N95" s="127">
        <f>+SUMIF('Phase I Pro Forma'!$F$6:$Z$6,'Official Summary'!N$7,'Phase I Pro Forma'!$F$8:$Z$8)+SUMIF('Phase II Pro Forma'!$F$5:$Z$5,'Official Summary'!N$7,'Phase II Pro Forma'!$F$7:$Z$7)+SUMIF('Phase III Pro Forma'!$F$6:$Z$6,'Official Summary'!N$7,'Phase III Pro Forma'!$F$8:$Z$8)</f>
        <v>0</v>
      </c>
    </row>
    <row r="96" spans="2:14" ht="18.95" customHeight="1">
      <c r="B96" s="137" t="s">
        <v>12</v>
      </c>
      <c r="C96" s="560"/>
      <c r="D96" s="556" t="s">
        <v>68</v>
      </c>
      <c r="E96" s="127" t="s">
        <v>9</v>
      </c>
      <c r="F96" s="127" t="s">
        <v>9</v>
      </c>
      <c r="G96" s="127" t="s">
        <v>9</v>
      </c>
      <c r="H96" s="127" t="s">
        <v>9</v>
      </c>
      <c r="I96" s="127" t="s">
        <v>9</v>
      </c>
      <c r="J96" s="127" t="s">
        <v>9</v>
      </c>
      <c r="K96" s="127" t="s">
        <v>9</v>
      </c>
      <c r="L96" s="127" t="s">
        <v>9</v>
      </c>
      <c r="M96" s="127" t="s">
        <v>9</v>
      </c>
      <c r="N96" s="127" t="s">
        <v>9</v>
      </c>
    </row>
    <row r="97" spans="2:14" ht="18.95" customHeight="1">
      <c r="B97" s="565" t="s">
        <v>13</v>
      </c>
      <c r="C97" s="560"/>
      <c r="D97" s="556" t="s">
        <v>68</v>
      </c>
      <c r="E97" s="127">
        <f>+SUMIF('Phase I Pro Forma'!$F$6:$Z$6,'Official Summary'!E$7,'Phase I Pro Forma'!$F$95:$Z$95)+SUMIF('Phase II Pro Forma'!$F$5:$Z$5,'Official Summary'!E$7,'Phase II Pro Forma'!$F$95:$Z$95)+SUMIF('Phase III Pro Forma'!$F$6:$Z$6,'Official Summary'!E$7,'Phase III Pro Forma'!$F$96:$Z$96)</f>
        <v>0</v>
      </c>
      <c r="F97" s="127">
        <f>+SUMIF('Phase I Pro Forma'!$F$6:$Z$6,'Official Summary'!F$7,'Phase I Pro Forma'!$F$95:$Z$95)+SUMIF('Phase II Pro Forma'!$F$5:$Z$5,'Official Summary'!F$7,'Phase II Pro Forma'!$F$95:$Z$95)+SUMIF('Phase III Pro Forma'!$F$6:$Z$6,'Official Summary'!F$7,'Phase III Pro Forma'!$F$96:$Z$96)</f>
        <v>0</v>
      </c>
      <c r="G97" s="127">
        <f>+SUMIF('Phase I Pro Forma'!$F$6:$Z$6,'Official Summary'!G$7,'Phase I Pro Forma'!$F$95:$Z$95)+SUMIF('Phase II Pro Forma'!$F$5:$Z$5,'Official Summary'!G$7,'Phase II Pro Forma'!$F$95:$Z$95)+SUMIF('Phase III Pro Forma'!$F$6:$Z$6,'Official Summary'!G$7,'Phase III Pro Forma'!$F$96:$Z$96)</f>
        <v>145880</v>
      </c>
      <c r="H97" s="127">
        <f>+SUMIF('Phase I Pro Forma'!$F$6:$Z$6,'Official Summary'!H$7,'Phase I Pro Forma'!$F$95:$Z$95)+SUMIF('Phase II Pro Forma'!$F$5:$Z$5,'Official Summary'!H$7,'Phase II Pro Forma'!$F$95:$Z$95)+SUMIF('Phase III Pro Forma'!$F$6:$Z$6,'Official Summary'!H$7,'Phase III Pro Forma'!$F$96:$Z$96)</f>
        <v>284822</v>
      </c>
      <c r="I97" s="127">
        <f>+SUMIF('Phase I Pro Forma'!$F$6:$Z$6,'Official Summary'!I$7,'Phase I Pro Forma'!$F$95:$Z$95)+SUMIF('Phase II Pro Forma'!$F$5:$Z$5,'Official Summary'!I$7,'Phase II Pro Forma'!$F$95:$Z$95)+SUMIF('Phase III Pro Forma'!$F$6:$Z$6,'Official Summary'!I$7,'Phase III Pro Forma'!$F$96:$Z$96)</f>
        <v>138942</v>
      </c>
      <c r="J97" s="127">
        <f>+SUMIF('Phase I Pro Forma'!$F$6:$Z$6,'Official Summary'!J$7,'Phase I Pro Forma'!$F$95:$Z$95)+SUMIF('Phase II Pro Forma'!$F$5:$Z$5,'Official Summary'!J$7,'Phase II Pro Forma'!$F$95:$Z$95)+SUMIF('Phase III Pro Forma'!$F$6:$Z$6,'Official Summary'!J$7,'Phase III Pro Forma'!$F$96:$Z$96)</f>
        <v>0</v>
      </c>
      <c r="K97" s="127">
        <f>+SUMIF('Phase I Pro Forma'!$F$6:$Z$6,'Official Summary'!K$7,'Phase I Pro Forma'!$F$95:$Z$95)+SUMIF('Phase II Pro Forma'!$F$5:$Z$5,'Official Summary'!K$7,'Phase II Pro Forma'!$F$95:$Z$95)+SUMIF('Phase III Pro Forma'!$F$6:$Z$6,'Official Summary'!K$7,'Phase III Pro Forma'!$F$96:$Z$96)</f>
        <v>0</v>
      </c>
      <c r="L97" s="127">
        <f>+SUMIF('Phase I Pro Forma'!$F$6:$Z$6,'Official Summary'!L$7,'Phase I Pro Forma'!$F$95:$Z$95)+SUMIF('Phase II Pro Forma'!$F$5:$Z$5,'Official Summary'!L$7,'Phase II Pro Forma'!$F$95:$Z$95)+SUMIF('Phase III Pro Forma'!$F$6:$Z$6,'Official Summary'!L$7,'Phase III Pro Forma'!$F$96:$Z$96)</f>
        <v>0</v>
      </c>
      <c r="M97" s="127">
        <f>+SUMIF('Phase I Pro Forma'!$F$6:$Z$6,'Official Summary'!M$7,'Phase I Pro Forma'!$F$95:$Z$95)+SUMIF('Phase II Pro Forma'!$F$5:$Z$5,'Official Summary'!M$7,'Phase II Pro Forma'!$F$95:$Z$95)+SUMIF('Phase III Pro Forma'!$F$6:$Z$6,'Official Summary'!M$7,'Phase III Pro Forma'!$F$96:$Z$96)</f>
        <v>0</v>
      </c>
      <c r="N97" s="127">
        <f>+SUMIF('Phase I Pro Forma'!$F$6:$Z$6,'Official Summary'!N$7,'Phase I Pro Forma'!$F$95:$Z$95)+SUMIF('Phase II Pro Forma'!$F$5:$Z$5,'Official Summary'!N$7,'Phase II Pro Forma'!$F$95:$Z$95)+SUMIF('Phase III Pro Forma'!$F$6:$Z$6,'Official Summary'!N$7,'Phase III Pro Forma'!$F$96:$Z$96)</f>
        <v>0</v>
      </c>
    </row>
    <row r="98" spans="2:14" ht="18.95" customHeight="1">
      <c r="B98" s="565" t="s">
        <v>14</v>
      </c>
      <c r="C98" s="563"/>
      <c r="D98" s="556" t="s">
        <v>68</v>
      </c>
      <c r="E98" s="127">
        <f>+SUMIF('Phase I Pro Forma'!$F$6:$Z$6,'Official Summary'!E$7,'Phase I Pro Forma'!$F$53:$Z$53)+SUMIF('Phase II Pro Forma'!$F$5:$Z$5,'Official Summary'!E$7,'Phase II Pro Forma'!$F$53:$Z$53)+SUMIF('Phase III Pro Forma'!$F$6:$Z$6,'Official Summary'!E$7,'Phase III Pro Forma'!$F$54:$Z$54)</f>
        <v>0</v>
      </c>
      <c r="F98" s="127">
        <f>+SUMIF('Phase I Pro Forma'!$F$6:$Z$6,'Official Summary'!F$7,'Phase I Pro Forma'!$F$53:$Z$53)+SUMIF('Phase II Pro Forma'!$F$5:$Z$5,'Official Summary'!F$7,'Phase II Pro Forma'!$F$53:$Z$53)+SUMIF('Phase III Pro Forma'!$F$6:$Z$6,'Official Summary'!F$7,'Phase III Pro Forma'!$F$54:$Z$54)</f>
        <v>0</v>
      </c>
      <c r="G98" s="127">
        <f>+SUMIF('Phase I Pro Forma'!$F$6:$Z$6,'Official Summary'!G$7,'Phase I Pro Forma'!$F$53:$Z$53)+SUMIF('Phase II Pro Forma'!$F$5:$Z$5,'Official Summary'!G$7,'Phase II Pro Forma'!$F$53:$Z$53)+SUMIF('Phase III Pro Forma'!$F$6:$Z$6,'Official Summary'!G$7,'Phase III Pro Forma'!$F$54:$Z$54)</f>
        <v>45856</v>
      </c>
      <c r="H98" s="127">
        <f>+SUMIF('Phase I Pro Forma'!$F$6:$Z$6,'Official Summary'!H$7,'Phase I Pro Forma'!$F$53:$Z$53)+SUMIF('Phase II Pro Forma'!$F$5:$Z$5,'Official Summary'!H$7,'Phase II Pro Forma'!$F$53:$Z$53)+SUMIF('Phase III Pro Forma'!$F$6:$Z$6,'Official Summary'!H$7,'Phase III Pro Forma'!$F$54:$Z$54)</f>
        <v>102522.25</v>
      </c>
      <c r="I98" s="127">
        <f>+SUMIF('Phase I Pro Forma'!$F$6:$Z$6,'Official Summary'!I$7,'Phase I Pro Forma'!$F$53:$Z$53)+SUMIF('Phase II Pro Forma'!$F$5:$Z$5,'Official Summary'!I$7,'Phase II Pro Forma'!$F$53:$Z$53)+SUMIF('Phase III Pro Forma'!$F$6:$Z$6,'Official Summary'!I$7,'Phase III Pro Forma'!$F$54:$Z$54)</f>
        <v>56666.25</v>
      </c>
      <c r="J98" s="127">
        <f>+SUMIF('Phase I Pro Forma'!$F$6:$Z$6,'Official Summary'!J$7,'Phase I Pro Forma'!$F$53:$Z$53)+SUMIF('Phase II Pro Forma'!$F$5:$Z$5,'Official Summary'!J$7,'Phase II Pro Forma'!$F$53:$Z$53)+SUMIF('Phase III Pro Forma'!$F$6:$Z$6,'Official Summary'!J$7,'Phase III Pro Forma'!$F$54:$Z$54)</f>
        <v>18269.55</v>
      </c>
      <c r="K98" s="127">
        <f>+SUMIF('Phase I Pro Forma'!$F$6:$Z$6,'Official Summary'!K$7,'Phase I Pro Forma'!$F$53:$Z$53)+SUMIF('Phase II Pro Forma'!$F$5:$Z$5,'Official Summary'!K$7,'Phase II Pro Forma'!$F$53:$Z$53)+SUMIF('Phase III Pro Forma'!$F$6:$Z$6,'Official Summary'!K$7,'Phase III Pro Forma'!$F$54:$Z$54)</f>
        <v>18269.55</v>
      </c>
      <c r="L98" s="127">
        <f>+SUMIF('Phase I Pro Forma'!$F$6:$Z$6,'Official Summary'!L$7,'Phase I Pro Forma'!$F$53:$Z$53)+SUMIF('Phase II Pro Forma'!$F$5:$Z$5,'Official Summary'!L$7,'Phase II Pro Forma'!$F$53:$Z$53)+SUMIF('Phase III Pro Forma'!$F$6:$Z$6,'Official Summary'!L$7,'Phase III Pro Forma'!$F$54:$Z$54)</f>
        <v>0</v>
      </c>
      <c r="M98" s="127">
        <f>+SUMIF('Phase I Pro Forma'!$F$6:$Z$6,'Official Summary'!M$7,'Phase I Pro Forma'!$F$53:$Z$53)+SUMIF('Phase II Pro Forma'!$F$5:$Z$5,'Official Summary'!M$7,'Phase II Pro Forma'!$F$53:$Z$53)+SUMIF('Phase III Pro Forma'!$F$6:$Z$6,'Official Summary'!M$7,'Phase III Pro Forma'!$F$54:$Z$54)</f>
        <v>0</v>
      </c>
      <c r="N98" s="127">
        <f>+SUMIF('Phase I Pro Forma'!$F$6:$Z$6,'Official Summary'!N$7,'Phase I Pro Forma'!$F$53:$Z$53)+SUMIF('Phase II Pro Forma'!$F$5:$Z$5,'Official Summary'!N$7,'Phase II Pro Forma'!$F$53:$Z$53)+SUMIF('Phase III Pro Forma'!$F$6:$Z$6,'Official Summary'!N$7,'Phase III Pro Forma'!$F$54:$Z$54)</f>
        <v>0</v>
      </c>
    </row>
    <row r="99" spans="2:14" ht="18.95" customHeight="1">
      <c r="B99" s="565" t="s">
        <v>769</v>
      </c>
      <c r="C99" s="560"/>
      <c r="D99" s="556" t="s">
        <v>68</v>
      </c>
      <c r="E99" s="127">
        <f>+SUMIF('Phase I Pro Forma'!$F$6:$Z$6,'Official Summary'!E$7,'Phase I Pro Forma'!$F$74:$Z$74)+SUMIF('Phase II Pro Forma'!$F$5:$Z$5,'Official Summary'!E$7,'Phase II Pro Forma'!$F$74:$Z$74)+SUMIF('Phase III Pro Forma'!$F$6:$Z$6,'Official Summary'!E$7,'Phase III Pro Forma'!$F$75:$Z$75)</f>
        <v>0</v>
      </c>
      <c r="F99" s="127">
        <f>+SUMIF('Phase I Pro Forma'!$F$6:$Z$6,'Official Summary'!F$7,'Phase I Pro Forma'!$F$74:$Z$74)+SUMIF('Phase II Pro Forma'!$F$5:$Z$5,'Official Summary'!F$7,'Phase II Pro Forma'!$F$74:$Z$74)+SUMIF('Phase III Pro Forma'!$F$6:$Z$6,'Official Summary'!F$7,'Phase III Pro Forma'!$F$75:$Z$75)</f>
        <v>0</v>
      </c>
      <c r="G99" s="127">
        <v>125425</v>
      </c>
      <c r="H99" s="127">
        <v>0</v>
      </c>
      <c r="I99" s="127">
        <f>+SUMIF('Phase I Pro Forma'!$F$6:$Z$6,'Official Summary'!I$7,'Phase I Pro Forma'!$F$74:$Z$74)+SUMIF('Phase II Pro Forma'!$F$5:$Z$5,'Official Summary'!I$7,'Phase II Pro Forma'!$F$74:$Z$74)+SUMIF('Phase III Pro Forma'!$F$6:$Z$6,'Official Summary'!I$7,'Phase III Pro Forma'!$F$75:$Z$75)</f>
        <v>5.0000000000000002E-5</v>
      </c>
      <c r="J99" s="127">
        <f>+SUMIF('Phase I Pro Forma'!$F$6:$Z$6,'Official Summary'!J$7,'Phase I Pro Forma'!$F$74:$Z$74)+SUMIF('Phase II Pro Forma'!$F$5:$Z$5,'Official Summary'!J$7,'Phase II Pro Forma'!$F$74:$Z$74)+SUMIF('Phase III Pro Forma'!$F$6:$Z$6,'Official Summary'!J$7,'Phase III Pro Forma'!$F$75:$Z$75)</f>
        <v>0</v>
      </c>
      <c r="K99" s="127">
        <f>+SUMIF('Phase I Pro Forma'!$F$6:$Z$6,'Official Summary'!K$7,'Phase I Pro Forma'!$F$74:$Z$74)+SUMIF('Phase II Pro Forma'!$F$5:$Z$5,'Official Summary'!K$7,'Phase II Pro Forma'!$F$74:$Z$74)+SUMIF('Phase III Pro Forma'!$F$6:$Z$6,'Official Summary'!K$7,'Phase III Pro Forma'!$F$75:$Z$75)</f>
        <v>0</v>
      </c>
      <c r="L99" s="127">
        <f>+SUMIF('Phase I Pro Forma'!$F$6:$Z$6,'Official Summary'!L$7,'Phase I Pro Forma'!$F$74:$Z$74)+SUMIF('Phase II Pro Forma'!$F$5:$Z$5,'Official Summary'!L$7,'Phase II Pro Forma'!$F$74:$Z$74)+SUMIF('Phase III Pro Forma'!$F$6:$Z$6,'Official Summary'!L$7,'Phase III Pro Forma'!$F$75:$Z$75)</f>
        <v>0</v>
      </c>
      <c r="M99" s="127">
        <f>+SUMIF('Phase I Pro Forma'!$F$6:$Z$6,'Official Summary'!M$7,'Phase I Pro Forma'!$F$74:$Z$74)+SUMIF('Phase II Pro Forma'!$F$5:$Z$5,'Official Summary'!M$7,'Phase II Pro Forma'!$F$74:$Z$74)+SUMIF('Phase III Pro Forma'!$F$6:$Z$6,'Official Summary'!M$7,'Phase III Pro Forma'!$F$75:$Z$75)</f>
        <v>0</v>
      </c>
      <c r="N99" s="127">
        <f>+SUMIF('Phase I Pro Forma'!$F$6:$Z$6,'Official Summary'!N$7,'Phase I Pro Forma'!$F$74:$Z$74)+SUMIF('Phase II Pro Forma'!$F$5:$Z$5,'Official Summary'!N$7,'Phase II Pro Forma'!$F$74:$Z$74)+SUMIF('Phase III Pro Forma'!$F$6:$Z$6,'Official Summary'!N$7,'Phase III Pro Forma'!$F$75:$Z$75)</f>
        <v>0</v>
      </c>
    </row>
    <row r="100" spans="2:14" ht="18.95" customHeight="1">
      <c r="B100" s="565" t="s">
        <v>16</v>
      </c>
      <c r="C100" s="560"/>
      <c r="D100" s="556" t="s">
        <v>68</v>
      </c>
      <c r="E100" s="127">
        <f>+E86*Assumptions!$E$94</f>
        <v>0</v>
      </c>
      <c r="F100" s="127">
        <f>+F86*Assumptions!$E$94</f>
        <v>0</v>
      </c>
      <c r="G100" s="127">
        <v>79526</v>
      </c>
      <c r="H100" s="127">
        <v>0</v>
      </c>
      <c r="I100" s="127">
        <v>0</v>
      </c>
      <c r="J100" s="127">
        <v>0</v>
      </c>
      <c r="K100" s="127">
        <v>0</v>
      </c>
      <c r="L100" s="127">
        <v>0</v>
      </c>
      <c r="M100" s="127">
        <v>0</v>
      </c>
      <c r="N100" s="127">
        <v>0</v>
      </c>
    </row>
    <row r="101" spans="2:14" ht="18.95" customHeight="1">
      <c r="B101" s="565" t="s">
        <v>29</v>
      </c>
      <c r="C101" s="560"/>
      <c r="D101" s="556" t="s">
        <v>68</v>
      </c>
      <c r="E101" s="127">
        <f>+E87*Assumptions!$F$178</f>
        <v>0</v>
      </c>
      <c r="F101" s="127">
        <f>+F87*Assumptions!$F$178</f>
        <v>0</v>
      </c>
      <c r="G101" s="127">
        <f>+G87*Assumptions!$F$178</f>
        <v>127250</v>
      </c>
      <c r="H101" s="127">
        <f>+H87*Assumptions!$F$178</f>
        <v>198849</v>
      </c>
      <c r="I101" s="127">
        <f>+I87*Assumptions!$F$178</f>
        <v>71599</v>
      </c>
      <c r="J101" s="127">
        <f>+J87*Assumptions!$F$178</f>
        <v>59245</v>
      </c>
      <c r="K101" s="127">
        <f>+K87*Assumptions!$F$178</f>
        <v>59245</v>
      </c>
      <c r="L101" s="127">
        <f>+L87*Assumptions!$F$178</f>
        <v>0</v>
      </c>
      <c r="M101" s="127">
        <f>+M87*Assumptions!$F$178</f>
        <v>0</v>
      </c>
      <c r="N101" s="127">
        <f>+N87*Assumptions!$F$178</f>
        <v>0</v>
      </c>
    </row>
    <row r="102" spans="2:14" ht="18.95" customHeight="1">
      <c r="B102" s="565" t="s">
        <v>30</v>
      </c>
      <c r="C102" s="563"/>
      <c r="D102" s="556" t="s">
        <v>68</v>
      </c>
      <c r="E102" s="127">
        <f>+E88*Assumptions!$F$178</f>
        <v>0</v>
      </c>
      <c r="F102" s="127">
        <f>+F88*Assumptions!$F$178</f>
        <v>0</v>
      </c>
      <c r="G102" s="127">
        <f>+G88*Assumptions!$F$178</f>
        <v>0</v>
      </c>
      <c r="H102" s="127">
        <f>+H88*Assumptions!$F$178</f>
        <v>0</v>
      </c>
      <c r="I102" s="127">
        <f>+I88*Assumptions!$F$178</f>
        <v>0</v>
      </c>
      <c r="J102" s="127">
        <f>+J88*Assumptions!$F$178</f>
        <v>0</v>
      </c>
      <c r="K102" s="127">
        <f>+K88*Assumptions!$F$178</f>
        <v>0</v>
      </c>
      <c r="L102" s="127">
        <f>+L88*Assumptions!$F$178</f>
        <v>0</v>
      </c>
      <c r="M102" s="127">
        <f>+M88*Assumptions!$F$178</f>
        <v>0</v>
      </c>
      <c r="N102" s="127">
        <f>+N88*Assumptions!$F$178</f>
        <v>0</v>
      </c>
    </row>
    <row r="103" spans="2:14" ht="18.95" customHeight="1">
      <c r="B103" s="565" t="s">
        <v>17</v>
      </c>
      <c r="C103" s="563"/>
      <c r="D103" s="556" t="s">
        <v>68</v>
      </c>
      <c r="E103" s="127" t="s">
        <v>9</v>
      </c>
      <c r="F103" s="127" t="s">
        <v>9</v>
      </c>
      <c r="G103" s="127" t="s">
        <v>9</v>
      </c>
      <c r="H103" s="127" t="s">
        <v>9</v>
      </c>
      <c r="I103" s="127" t="s">
        <v>9</v>
      </c>
      <c r="J103" s="127" t="s">
        <v>9</v>
      </c>
      <c r="K103" s="127" t="s">
        <v>9</v>
      </c>
      <c r="L103" s="127" t="s">
        <v>9</v>
      </c>
      <c r="M103" s="127" t="s">
        <v>9</v>
      </c>
      <c r="N103" s="127" t="s">
        <v>9</v>
      </c>
    </row>
    <row r="104" spans="2:14" ht="18.95" customHeight="1">
      <c r="B104" s="180" t="s">
        <v>69</v>
      </c>
      <c r="C104" s="560"/>
      <c r="D104" s="556" t="s">
        <v>68</v>
      </c>
      <c r="E104" s="127">
        <v>0</v>
      </c>
      <c r="F104" s="127">
        <v>0</v>
      </c>
      <c r="G104" s="127">
        <v>37784</v>
      </c>
      <c r="H104" s="127">
        <v>0</v>
      </c>
      <c r="I104" s="127">
        <v>0</v>
      </c>
      <c r="J104" s="127">
        <v>0</v>
      </c>
      <c r="K104" s="127">
        <v>0</v>
      </c>
      <c r="L104" s="127">
        <v>0</v>
      </c>
      <c r="M104" s="127">
        <v>0</v>
      </c>
      <c r="N104" s="127">
        <v>0</v>
      </c>
    </row>
    <row r="105" spans="2:14" ht="18.95" customHeight="1">
      <c r="B105" s="463" t="s">
        <v>70</v>
      </c>
      <c r="C105" s="461"/>
      <c r="D105" s="462" t="s">
        <v>68</v>
      </c>
      <c r="E105" s="462">
        <f>+SUM(E92:E104)</f>
        <v>0</v>
      </c>
      <c r="F105" s="462">
        <f>+SUM(F92:F104)</f>
        <v>0</v>
      </c>
      <c r="G105" s="462">
        <f>+SUM(G92:G104)</f>
        <v>616786</v>
      </c>
      <c r="H105" s="462">
        <f>+SUM(H92:H104)</f>
        <v>958684.3630436376</v>
      </c>
      <c r="I105" s="462">
        <f>+SUM(I92:I104)</f>
        <v>584633.36309363763</v>
      </c>
      <c r="J105" s="462">
        <f>+SUM(J92:J104)</f>
        <v>337219.40482964646</v>
      </c>
      <c r="K105" s="462">
        <f>+SUM(K92:K104)</f>
        <v>337219.40482964646</v>
      </c>
      <c r="L105" s="462">
        <f>+SUM(L92:L104)</f>
        <v>0</v>
      </c>
      <c r="M105" s="462">
        <f>+SUM(M92:M104)</f>
        <v>0</v>
      </c>
      <c r="N105" s="462">
        <f>+SUM(N92:N104)</f>
        <v>0</v>
      </c>
    </row>
    <row r="106" spans="2:14" ht="18.95" customHeight="1">
      <c r="B106" s="837" t="s">
        <v>71</v>
      </c>
      <c r="C106" s="837"/>
      <c r="D106" s="837"/>
      <c r="E106" s="837"/>
      <c r="F106" s="837"/>
      <c r="G106" s="837"/>
      <c r="H106" s="837"/>
      <c r="I106" s="837"/>
      <c r="J106" s="837"/>
      <c r="K106" s="837"/>
      <c r="L106" s="837"/>
      <c r="M106" s="837"/>
      <c r="N106" s="837"/>
    </row>
    <row r="107" spans="2:14" ht="18.95" customHeight="1">
      <c r="D107" s="567"/>
    </row>
    <row r="108" spans="2:14" s="263" customFormat="1" ht="18.95" customHeight="1">
      <c r="B108" s="444" t="s">
        <v>72</v>
      </c>
      <c r="C108" s="445"/>
      <c r="D108" s="445"/>
      <c r="E108" s="444"/>
      <c r="F108" s="446"/>
      <c r="G108" s="444"/>
      <c r="H108" s="121"/>
      <c r="I108" s="444" t="s">
        <v>73</v>
      </c>
      <c r="J108" s="445"/>
      <c r="K108" s="445"/>
      <c r="L108" s="444"/>
      <c r="M108" s="446"/>
      <c r="N108" s="444"/>
    </row>
    <row r="109" spans="2:14" s="402" customFormat="1" ht="18.95" customHeight="1">
      <c r="B109" s="182" t="s">
        <v>27</v>
      </c>
      <c r="C109" s="836" t="s">
        <v>74</v>
      </c>
      <c r="D109" s="836"/>
      <c r="E109" s="836" t="s">
        <v>75</v>
      </c>
      <c r="F109" s="836"/>
      <c r="G109" s="569" t="s">
        <v>76</v>
      </c>
      <c r="H109" s="122"/>
      <c r="I109" s="834"/>
      <c r="J109" s="835"/>
      <c r="K109" s="835"/>
      <c r="L109" s="836" t="s">
        <v>77</v>
      </c>
      <c r="M109" s="836"/>
      <c r="N109" s="123"/>
    </row>
    <row r="110" spans="2:14" ht="18.95" customHeight="1" thickBot="1">
      <c r="B110" s="137" t="s">
        <v>7</v>
      </c>
      <c r="C110" s="864" t="str">
        <f ca="1">+CONCATENATE(TEXT(Budget!$N$88,"$0,000")," pu"," / ",TEXT(Budget!$N$86,"$0.0")," pgsf")</f>
        <v>$297,137 pu / $214.2 pgsf</v>
      </c>
      <c r="D110" s="864"/>
      <c r="E110" s="864" t="str">
        <f ca="1">+CONCATENATE(TEXT(Budget!$N$87,"$0,000")," pu"," / ",TEXT(Budget!$N$85,"$0.0")," pgsf")</f>
        <v>$304,566 pu / $219.6 pgsf</v>
      </c>
      <c r="F110" s="864"/>
      <c r="G110" s="183">
        <f ca="1">+Budget!N82</f>
        <v>329247842.82206494</v>
      </c>
      <c r="I110" s="193" t="s">
        <v>78</v>
      </c>
      <c r="J110" s="194"/>
      <c r="K110" s="860" t="s">
        <v>79</v>
      </c>
      <c r="L110" s="860"/>
      <c r="M110" s="860" t="s">
        <v>80</v>
      </c>
      <c r="N110" s="860"/>
    </row>
    <row r="111" spans="2:14" ht="18.95" customHeight="1">
      <c r="B111" s="137" t="s">
        <v>8</v>
      </c>
      <c r="C111" s="865" t="s">
        <v>9</v>
      </c>
      <c r="D111" s="865"/>
      <c r="E111" s="865" t="s">
        <v>9</v>
      </c>
      <c r="F111" s="865"/>
      <c r="G111" s="562" t="s">
        <v>9</v>
      </c>
      <c r="I111" s="121" t="s">
        <v>81</v>
      </c>
      <c r="J111" s="560"/>
      <c r="K111" s="838">
        <f ca="1">+'S&amp;U'!$G$23</f>
        <v>177420784.71560487</v>
      </c>
      <c r="L111" s="839"/>
      <c r="M111" s="838">
        <f>+'S&amp;U'!Q25</f>
        <v>2100000</v>
      </c>
      <c r="N111" s="839"/>
    </row>
    <row r="112" spans="2:14" ht="18.95" customHeight="1">
      <c r="B112" s="137" t="s">
        <v>10</v>
      </c>
      <c r="C112" s="865" t="s">
        <v>9</v>
      </c>
      <c r="D112" s="865"/>
      <c r="E112" s="865" t="s">
        <v>9</v>
      </c>
      <c r="F112" s="865"/>
      <c r="G112" s="562" t="s">
        <v>9</v>
      </c>
      <c r="I112" s="166"/>
      <c r="J112" s="560"/>
      <c r="K112" s="560"/>
      <c r="L112" s="192"/>
      <c r="M112" s="563"/>
      <c r="N112" s="563"/>
    </row>
    <row r="113" spans="2:14" ht="18.95" customHeight="1">
      <c r="B113" s="137" t="s">
        <v>11</v>
      </c>
      <c r="C113" s="861" t="str">
        <f ca="1">+CONCATENATE(TEXT(Budget!$M$88,"$0,000")," pu"," / ",TEXT(Budget!$M$86,"$0.0")," pgsf")</f>
        <v>$297,137 pu / $214.2 pgsf</v>
      </c>
      <c r="D113" s="861"/>
      <c r="E113" s="861" t="str">
        <f ca="1">+CONCATENATE(TEXT(Budget!$M$87,"$0,000")," pu"," / ",TEXT(Budget!$M$85,"$0.0")," pgsf")</f>
        <v>$102,576 pu / $73.9 pgsf</v>
      </c>
      <c r="F113" s="861"/>
      <c r="G113" s="559">
        <f ca="1">+Budget!M82</f>
        <v>73925488.874625638</v>
      </c>
      <c r="I113" s="121"/>
      <c r="J113" s="560"/>
      <c r="K113" s="560"/>
      <c r="L113" s="560"/>
      <c r="M113" s="560"/>
      <c r="N113" s="563"/>
    </row>
    <row r="114" spans="2:14" ht="18.95" customHeight="1">
      <c r="B114" s="137" t="s">
        <v>12</v>
      </c>
      <c r="C114" s="865" t="s">
        <v>9</v>
      </c>
      <c r="D114" s="865"/>
      <c r="E114" s="865" t="s">
        <v>9</v>
      </c>
      <c r="F114" s="865"/>
      <c r="G114" s="562" t="s">
        <v>9</v>
      </c>
      <c r="I114" s="121"/>
      <c r="J114" s="560"/>
      <c r="K114" s="560"/>
      <c r="L114" s="560"/>
      <c r="M114" s="560"/>
      <c r="N114" s="563"/>
    </row>
    <row r="115" spans="2:14" ht="18.95" customHeight="1">
      <c r="B115" s="137" t="s">
        <v>13</v>
      </c>
      <c r="C115" s="862">
        <f ca="1">+Budget!$R$86</f>
        <v>176.71361792455002</v>
      </c>
      <c r="D115" s="862"/>
      <c r="E115" s="862">
        <f ca="1">+Budget!$R$85</f>
        <v>467.44962641702273</v>
      </c>
      <c r="F115" s="862"/>
      <c r="G115" s="559">
        <f ca="1">+Budget!R82</f>
        <v>295866164.1955111</v>
      </c>
      <c r="I115" s="191"/>
      <c r="J115" s="164"/>
      <c r="K115" s="164"/>
      <c r="L115" s="164"/>
      <c r="M115" s="164"/>
      <c r="N115" s="165"/>
    </row>
    <row r="116" spans="2:14" ht="18.95" customHeight="1" thickBot="1">
      <c r="B116" s="137" t="s">
        <v>82</v>
      </c>
      <c r="C116" s="862">
        <f ca="1">+SUM(Budget!$O$45,Budget!$Q$45)/SUM(Budget!$O$12:$O$20,Budget!$Q$12:$Q$20)</f>
        <v>176.26862508078389</v>
      </c>
      <c r="D116" s="862"/>
      <c r="E116" s="862">
        <f ca="1">+SUM(Budget!$O$82,Budget!$Q$82)/SUM(Budget!$O$12:$O$20,Budget!$Q$12:$Q$20)</f>
        <v>368.10151524536889</v>
      </c>
      <c r="F116" s="862"/>
      <c r="G116" s="559">
        <f ca="1">+SUM(Budget!Q82,Budget!O82)</f>
        <v>148144295.31807494</v>
      </c>
      <c r="I116" s="193" t="s">
        <v>83</v>
      </c>
      <c r="J116" s="194"/>
      <c r="K116" s="860" t="s">
        <v>79</v>
      </c>
      <c r="L116" s="860"/>
      <c r="M116" s="860" t="s">
        <v>80</v>
      </c>
      <c r="N116" s="860"/>
    </row>
    <row r="117" spans="2:14" ht="18.95" customHeight="1">
      <c r="B117" s="137" t="s">
        <v>16</v>
      </c>
      <c r="C117" s="862">
        <f ca="1">+Budget!$P$86</f>
        <v>185.22503814493592</v>
      </c>
      <c r="D117" s="862"/>
      <c r="E117" s="861" t="str">
        <f ca="1">+CONCATENATE(TEXT(Budget!$P$87,"$0,000")," pu"," / ",TEXT(Budget!$P$85,"$0.0")," pgsf")</f>
        <v>$632,522 pu / $1186.0 pgsf</v>
      </c>
      <c r="F117" s="861"/>
      <c r="G117" s="559">
        <f ca="1">+Budget!P82</f>
        <v>93995968.768870398</v>
      </c>
      <c r="I117" s="121" t="s">
        <v>84</v>
      </c>
      <c r="J117" s="560"/>
      <c r="K117" s="838">
        <f ca="1">+'S&amp;U'!G17</f>
        <v>608961247.34131205</v>
      </c>
      <c r="L117" s="839"/>
      <c r="M117" s="838">
        <v>0</v>
      </c>
      <c r="N117" s="839"/>
    </row>
    <row r="118" spans="2:14" ht="18.95" customHeight="1">
      <c r="B118" s="137" t="s">
        <v>29</v>
      </c>
      <c r="C118" s="861" t="str">
        <f ca="1">+CONCATENATE(TEXT(Budget!$T$88,"$0,000")," per space"," / ",TEXT(Budget!$T$86,"$0.0")," pgsf")</f>
        <v>$13,564 per space / $54.3 pgsf</v>
      </c>
      <c r="D118" s="861"/>
      <c r="E118" s="861" t="str">
        <f ca="1">+CONCATENATE(TEXT(Budget!$T$87,"$0,000")," per space"," / ",TEXT(Budget!$T$85,"$0.0")," pgsf")</f>
        <v>$25,953 per space / $43.6 pgsf</v>
      </c>
      <c r="F118" s="861"/>
      <c r="G118" s="559">
        <f ca="1">+Budget!T82</f>
        <v>22504959.221831739</v>
      </c>
      <c r="I118" s="121" t="s">
        <v>85</v>
      </c>
      <c r="J118" s="560"/>
      <c r="K118" s="838">
        <v>0</v>
      </c>
      <c r="L118" s="839"/>
      <c r="M118" s="838">
        <f ca="1">+'S&amp;U'!Q17</f>
        <v>495670184.12538767</v>
      </c>
      <c r="N118" s="839"/>
    </row>
    <row r="119" spans="2:14" ht="18.95" customHeight="1">
      <c r="B119" s="137" t="s">
        <v>30</v>
      </c>
      <c r="C119" s="861">
        <v>0</v>
      </c>
      <c r="D119" s="861"/>
      <c r="E119" s="861">
        <v>0</v>
      </c>
      <c r="F119" s="861"/>
      <c r="G119" s="559">
        <v>0</v>
      </c>
      <c r="I119" s="121" t="s">
        <v>86</v>
      </c>
      <c r="J119" s="560"/>
      <c r="K119" s="838">
        <v>0</v>
      </c>
      <c r="L119" s="839"/>
      <c r="M119" s="838">
        <f>+'S&amp;U'!Q18</f>
        <v>10800000</v>
      </c>
      <c r="N119" s="839"/>
    </row>
    <row r="120" spans="2:14" ht="18.95" customHeight="1">
      <c r="B120" s="180" t="s">
        <v>87</v>
      </c>
      <c r="C120" s="862">
        <f ca="1">+Budget!$S$86</f>
        <v>116.97503814493592</v>
      </c>
      <c r="D120" s="862"/>
      <c r="E120" s="862">
        <f ca="1">+Budget!$S$85</f>
        <v>1132.3049674519725</v>
      </c>
      <c r="F120" s="862"/>
      <c r="G120" s="559">
        <f ca="1">+Budget!S82</f>
        <v>42783010.890205331</v>
      </c>
      <c r="I120" s="121" t="s">
        <v>88</v>
      </c>
      <c r="J120" s="560"/>
      <c r="K120" s="838">
        <v>0</v>
      </c>
      <c r="L120" s="839"/>
      <c r="M120" s="838">
        <f ca="1">+'S&amp;U'!Q19</f>
        <v>41574712.981023051</v>
      </c>
      <c r="N120" s="839"/>
    </row>
    <row r="121" spans="2:14" ht="18.95" customHeight="1">
      <c r="B121" s="863" t="s">
        <v>89</v>
      </c>
      <c r="C121" s="863"/>
      <c r="D121" s="863"/>
      <c r="E121" s="863"/>
      <c r="F121" s="863"/>
      <c r="G121" s="863"/>
      <c r="I121" s="563"/>
      <c r="J121" s="560"/>
      <c r="K121" s="560"/>
      <c r="L121" s="563"/>
      <c r="M121" s="563"/>
      <c r="N121" s="563"/>
    </row>
    <row r="122" spans="2:14" ht="18.95" customHeight="1">
      <c r="B122" s="137"/>
      <c r="C122" s="557"/>
      <c r="D122" s="557"/>
      <c r="E122" s="557"/>
      <c r="F122" s="557"/>
      <c r="G122" s="184"/>
      <c r="I122" s="563"/>
      <c r="J122" s="560"/>
      <c r="K122" s="560"/>
      <c r="L122" s="563"/>
      <c r="M122" s="563"/>
      <c r="N122" s="563"/>
    </row>
    <row r="123" spans="2:14" ht="18.95" customHeight="1">
      <c r="B123" s="185" t="s">
        <v>90</v>
      </c>
      <c r="C123" s="185"/>
      <c r="D123" s="856" t="s">
        <v>91</v>
      </c>
      <c r="E123" s="856"/>
      <c r="F123" s="857" t="s">
        <v>92</v>
      </c>
      <c r="G123" s="857"/>
      <c r="I123" s="560"/>
      <c r="J123" s="560"/>
      <c r="K123" s="560"/>
      <c r="L123" s="560"/>
      <c r="M123" s="560"/>
      <c r="N123" s="563"/>
    </row>
    <row r="124" spans="2:14" ht="18.95" customHeight="1">
      <c r="B124" s="565" t="s">
        <v>93</v>
      </c>
      <c r="D124" s="858">
        <f>+SUM(Infrastructure!J12:J14)</f>
        <v>0</v>
      </c>
      <c r="E124" s="859"/>
      <c r="F124" s="841">
        <f>+SUM(Infrastructure!J10)</f>
        <v>2058000</v>
      </c>
      <c r="G124" s="842"/>
      <c r="I124" s="164"/>
      <c r="J124" s="164"/>
      <c r="K124" s="164"/>
      <c r="L124" s="164"/>
      <c r="M124" s="164"/>
      <c r="N124" s="165"/>
    </row>
    <row r="125" spans="2:14" ht="18.95" customHeight="1" thickBot="1">
      <c r="B125" s="565" t="s">
        <v>94</v>
      </c>
      <c r="D125" s="840">
        <v>0</v>
      </c>
      <c r="E125" s="840"/>
      <c r="F125" s="858">
        <f>+Infrastructure!$J$16</f>
        <v>500000</v>
      </c>
      <c r="G125" s="858"/>
      <c r="I125" s="193" t="s">
        <v>95</v>
      </c>
      <c r="J125" s="194"/>
      <c r="K125" s="860" t="s">
        <v>79</v>
      </c>
      <c r="L125" s="860"/>
      <c r="M125" s="860" t="s">
        <v>80</v>
      </c>
      <c r="N125" s="860"/>
    </row>
    <row r="126" spans="2:14" ht="18.95" customHeight="1">
      <c r="B126" s="565" t="s">
        <v>96</v>
      </c>
      <c r="D126" s="840">
        <f>+Infrastructure!J8</f>
        <v>0</v>
      </c>
      <c r="E126" s="840"/>
      <c r="F126" s="841">
        <f>+Infrastructure!J7</f>
        <v>831082.5</v>
      </c>
      <c r="G126" s="842"/>
      <c r="I126" s="121" t="s">
        <v>97</v>
      </c>
      <c r="J126" s="662"/>
      <c r="K126" s="838">
        <v>20000000</v>
      </c>
      <c r="L126" s="839"/>
      <c r="M126" s="838">
        <v>20000000</v>
      </c>
      <c r="N126" s="839"/>
    </row>
    <row r="127" spans="2:14" ht="18.95" customHeight="1">
      <c r="B127" s="565" t="s">
        <v>98</v>
      </c>
      <c r="D127" s="840">
        <v>0</v>
      </c>
      <c r="E127" s="840"/>
      <c r="F127" s="841">
        <f>+Infrastructure!J6</f>
        <v>0</v>
      </c>
      <c r="G127" s="842"/>
      <c r="I127" s="121" t="s">
        <v>99</v>
      </c>
      <c r="J127" s="662"/>
      <c r="K127" s="838">
        <f>+'S&amp;U'!G20</f>
        <v>61258920.314097643</v>
      </c>
      <c r="L127" s="839"/>
      <c r="M127" s="838">
        <f>+'S&amp;U'!Q22</f>
        <v>61258920.314097643</v>
      </c>
      <c r="N127" s="839"/>
    </row>
    <row r="128" spans="2:14" ht="18.95" customHeight="1">
      <c r="B128" s="565" t="s">
        <v>100</v>
      </c>
      <c r="D128" s="840">
        <v>0</v>
      </c>
      <c r="E128" s="840"/>
      <c r="F128" s="847">
        <v>0</v>
      </c>
      <c r="G128" s="848"/>
      <c r="I128" s="935" t="s">
        <v>101</v>
      </c>
      <c r="J128" s="663"/>
      <c r="K128" s="838">
        <f>+'S&amp;U'!G21</f>
        <v>11076000.000062399</v>
      </c>
      <c r="L128" s="839"/>
      <c r="M128" s="838">
        <f>+'S&amp;U'!Q23</f>
        <v>11076000.000062399</v>
      </c>
      <c r="N128" s="839"/>
    </row>
    <row r="129" spans="2:14" ht="18.95" customHeight="1">
      <c r="B129" s="565" t="s">
        <v>102</v>
      </c>
      <c r="D129" s="840">
        <v>0</v>
      </c>
      <c r="E129" s="840"/>
      <c r="F129" s="847">
        <f>+Infrastructure!J15</f>
        <v>3414285.7142857141</v>
      </c>
      <c r="G129" s="848"/>
      <c r="I129" s="110" t="s">
        <v>103</v>
      </c>
      <c r="K129" s="830">
        <f>+'S&amp;U'!G22</f>
        <v>40000000</v>
      </c>
      <c r="L129" s="831"/>
      <c r="M129" s="830">
        <f>+'S&amp;U'!Q24</f>
        <v>40000000</v>
      </c>
      <c r="N129" s="831"/>
    </row>
    <row r="130" spans="2:14" ht="18.95" customHeight="1">
      <c r="B130" s="163" t="s">
        <v>104</v>
      </c>
      <c r="C130" s="163"/>
      <c r="D130" s="853"/>
      <c r="E130" s="853"/>
      <c r="F130" s="854">
        <f>+Budget!G24</f>
        <v>69576802</v>
      </c>
      <c r="G130" s="855"/>
      <c r="I130" s="121"/>
      <c r="J130" s="560"/>
      <c r="K130" s="559"/>
      <c r="L130" s="560"/>
      <c r="M130" s="559"/>
      <c r="N130" s="560"/>
    </row>
    <row r="131" spans="2:14" ht="18.95" customHeight="1">
      <c r="B131" s="188" t="s">
        <v>105</v>
      </c>
      <c r="C131" s="188"/>
      <c r="D131" s="852">
        <f>+SUM(D124:E129)+D130</f>
        <v>0</v>
      </c>
      <c r="E131" s="852"/>
      <c r="F131" s="852">
        <f>+SUM(F124:G129)+F130</f>
        <v>76380170.214285716</v>
      </c>
      <c r="G131" s="852"/>
      <c r="I131" s="164"/>
      <c r="J131" s="164"/>
      <c r="K131" s="164"/>
      <c r="L131" s="164"/>
      <c r="M131" s="164"/>
      <c r="N131" s="165"/>
    </row>
    <row r="132" spans="2:14" ht="18.95" customHeight="1">
      <c r="B132" s="464" t="s">
        <v>106</v>
      </c>
      <c r="C132" s="464"/>
      <c r="D132" s="849"/>
      <c r="E132" s="849"/>
      <c r="F132" s="850">
        <f ca="1">+SUM(G110:G120)</f>
        <v>1006467730.0911841</v>
      </c>
      <c r="G132" s="851"/>
      <c r="H132" s="124"/>
      <c r="I132" s="465" t="s">
        <v>107</v>
      </c>
      <c r="J132" s="466"/>
      <c r="K132" s="866">
        <f ca="1">+SUM(K126:L129,K117:L120,K111)</f>
        <v>918716952.37107694</v>
      </c>
      <c r="L132" s="867"/>
      <c r="M132" s="866">
        <f ca="1">+SUM(M126:N129,M117:N120,M111)</f>
        <v>682479817.42057085</v>
      </c>
      <c r="N132" s="867"/>
    </row>
    <row r="133" spans="2:14" ht="18.95" customHeight="1">
      <c r="D133" s="125"/>
      <c r="E133" s="126"/>
    </row>
    <row r="134" spans="2:14" ht="15.95" customHeight="1">
      <c r="D134" s="125"/>
      <c r="E134" s="126"/>
    </row>
    <row r="135" spans="2:14" ht="15.95" customHeight="1">
      <c r="D135" s="125"/>
      <c r="E135" s="126"/>
    </row>
    <row r="136" spans="2:14" ht="15.95" customHeight="1">
      <c r="D136" s="125"/>
      <c r="E136" s="126"/>
    </row>
    <row r="137" spans="2:14" ht="15.95" customHeight="1">
      <c r="D137" s="567"/>
    </row>
    <row r="138" spans="2:14" ht="15.95" customHeight="1">
      <c r="D138" s="567"/>
    </row>
    <row r="139" spans="2:14" ht="15.95" customHeight="1">
      <c r="D139" s="567"/>
    </row>
    <row r="140" spans="2:14" ht="15.95" customHeight="1">
      <c r="D140" s="567"/>
    </row>
    <row r="141" spans="2:14" ht="15.95" customHeight="1">
      <c r="D141" s="567"/>
    </row>
    <row r="142" spans="2:14" ht="15.95" customHeight="1">
      <c r="D142" s="567"/>
    </row>
    <row r="143" spans="2:14" ht="15.95" customHeight="1">
      <c r="D143" s="567"/>
    </row>
    <row r="144" spans="2:14" ht="15.95" customHeight="1">
      <c r="D144" s="567"/>
    </row>
    <row r="145" ht="15.95" customHeight="1"/>
    <row r="146" ht="15.95" customHeight="1"/>
    <row r="147" ht="15.95" customHeight="1"/>
    <row r="148" ht="15.95" customHeight="1"/>
    <row r="149" ht="15.95" customHeight="1"/>
    <row r="150" ht="15.95" customHeight="1"/>
    <row r="151" ht="15.95" customHeight="1"/>
  </sheetData>
  <mergeCells count="88">
    <mergeCell ref="K117:L117"/>
    <mergeCell ref="M117:N117"/>
    <mergeCell ref="K116:L116"/>
    <mergeCell ref="M116:N116"/>
    <mergeCell ref="E115:F115"/>
    <mergeCell ref="E116:F116"/>
    <mergeCell ref="E117:F117"/>
    <mergeCell ref="K110:L110"/>
    <mergeCell ref="M110:N110"/>
    <mergeCell ref="K111:L111"/>
    <mergeCell ref="M111:N111"/>
    <mergeCell ref="K132:L132"/>
    <mergeCell ref="M132:N132"/>
    <mergeCell ref="K118:L118"/>
    <mergeCell ref="M118:N118"/>
    <mergeCell ref="K119:L119"/>
    <mergeCell ref="M119:N119"/>
    <mergeCell ref="M120:N120"/>
    <mergeCell ref="M126:N126"/>
    <mergeCell ref="K120:L120"/>
    <mergeCell ref="M125:N125"/>
    <mergeCell ref="K127:L127"/>
    <mergeCell ref="M127:N127"/>
    <mergeCell ref="E118:F118"/>
    <mergeCell ref="C110:D110"/>
    <mergeCell ref="C111:D111"/>
    <mergeCell ref="C112:D112"/>
    <mergeCell ref="E110:F110"/>
    <mergeCell ref="E111:F111"/>
    <mergeCell ref="E112:F112"/>
    <mergeCell ref="E113:F113"/>
    <mergeCell ref="E114:F114"/>
    <mergeCell ref="C114:D114"/>
    <mergeCell ref="C113:D113"/>
    <mergeCell ref="C115:D115"/>
    <mergeCell ref="C116:D116"/>
    <mergeCell ref="C117:D117"/>
    <mergeCell ref="C118:D118"/>
    <mergeCell ref="E119:F119"/>
    <mergeCell ref="E120:F120"/>
    <mergeCell ref="C119:D119"/>
    <mergeCell ref="C120:D120"/>
    <mergeCell ref="B121:G121"/>
    <mergeCell ref="D126:E126"/>
    <mergeCell ref="F126:G126"/>
    <mergeCell ref="D123:E123"/>
    <mergeCell ref="F123:G123"/>
    <mergeCell ref="K126:L126"/>
    <mergeCell ref="D124:E124"/>
    <mergeCell ref="F124:G124"/>
    <mergeCell ref="F125:G125"/>
    <mergeCell ref="D125:E125"/>
    <mergeCell ref="K125:L125"/>
    <mergeCell ref="F128:G128"/>
    <mergeCell ref="D132:E132"/>
    <mergeCell ref="F132:G132"/>
    <mergeCell ref="D129:E129"/>
    <mergeCell ref="D131:E131"/>
    <mergeCell ref="F131:G131"/>
    <mergeCell ref="D130:E130"/>
    <mergeCell ref="F130:G130"/>
    <mergeCell ref="F129:G129"/>
    <mergeCell ref="I4:J4"/>
    <mergeCell ref="K4:L4"/>
    <mergeCell ref="M4:N4"/>
    <mergeCell ref="B71:N71"/>
    <mergeCell ref="B72:N72"/>
    <mergeCell ref="B14:C14"/>
    <mergeCell ref="B15:C15"/>
    <mergeCell ref="B26:C26"/>
    <mergeCell ref="B25:C25"/>
    <mergeCell ref="B59:C59"/>
    <mergeCell ref="K129:L129"/>
    <mergeCell ref="M129:N129"/>
    <mergeCell ref="I74:J74"/>
    <mergeCell ref="K74:L74"/>
    <mergeCell ref="M74:N74"/>
    <mergeCell ref="E75:N75"/>
    <mergeCell ref="I109:K109"/>
    <mergeCell ref="L109:M109"/>
    <mergeCell ref="E109:F109"/>
    <mergeCell ref="B106:N106"/>
    <mergeCell ref="C109:D109"/>
    <mergeCell ref="K128:L128"/>
    <mergeCell ref="M128:N128"/>
    <mergeCell ref="D127:E127"/>
    <mergeCell ref="F127:G127"/>
    <mergeCell ref="D128:E128"/>
  </mergeCells>
  <phoneticPr fontId="59" type="noConversion"/>
  <pageMargins left="0.25" right="0.25" top="0.75" bottom="0.75" header="0.3" footer="0.3"/>
  <pageSetup paperSize="3" scale="44" orientation="portrait" r:id="rId1"/>
  <headerFooter alignWithMargins="0">
    <oddHeader xml:space="preserve">&amp;L&amp;"Arial,Bold"2017 ULI Hines Student Competition&amp;RTeam &amp;A </oddHeader>
  </headerFooter>
  <rowBreaks count="1" manualBreakCount="1">
    <brk id="132" max="1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  <pageSetUpPr fitToPage="1"/>
  </sheetPr>
  <dimension ref="B1:AF133"/>
  <sheetViews>
    <sheetView showGridLines="0" tabSelected="1" view="pageBreakPreview" zoomScale="70" zoomScaleNormal="80" zoomScaleSheetLayoutView="70" workbookViewId="0">
      <selection activeCell="B1" sqref="B1"/>
    </sheetView>
  </sheetViews>
  <sheetFormatPr defaultColWidth="10.85546875" defaultRowHeight="12.75"/>
  <cols>
    <col min="1" max="1" width="2.85546875" style="253" customWidth="1"/>
    <col min="2" max="2" width="44" style="253" bestFit="1" customWidth="1"/>
    <col min="3" max="3" width="2.85546875" style="253" customWidth="1"/>
    <col min="4" max="4" width="17.85546875" style="253" customWidth="1"/>
    <col min="5" max="5" width="12.42578125" style="253" bestFit="1" customWidth="1"/>
    <col min="6" max="7" width="15" style="253" bestFit="1" customWidth="1"/>
    <col min="8" max="8" width="15.7109375" style="253" customWidth="1"/>
    <col min="9" max="9" width="1.140625" style="253" customWidth="1"/>
    <col min="10" max="10" width="1.42578125" style="253" customWidth="1"/>
    <col min="11" max="11" width="1.85546875" style="253" customWidth="1"/>
    <col min="12" max="12" width="43" style="253" customWidth="1"/>
    <col min="13" max="13" width="3.42578125" style="253" customWidth="1"/>
    <col min="14" max="14" width="2.42578125" style="253" customWidth="1"/>
    <col min="15" max="15" width="19.28515625" style="253" customWidth="1"/>
    <col min="16" max="16" width="16.140625" style="253" customWidth="1"/>
    <col min="17" max="17" width="10.28515625" style="253" customWidth="1"/>
    <col min="18" max="18" width="16.140625" style="253" customWidth="1"/>
    <col min="19" max="19" width="8" style="253" customWidth="1"/>
    <col min="20" max="20" width="16.140625" style="253" customWidth="1"/>
    <col min="21" max="21" width="7.7109375" style="253" customWidth="1"/>
    <col min="22" max="22" width="3.85546875" style="253" customWidth="1"/>
    <col min="23" max="16384" width="10.85546875" style="253"/>
  </cols>
  <sheetData>
    <row r="1" spans="2:21" ht="96" customHeight="1"/>
    <row r="2" spans="2:21" ht="18.95" customHeight="1">
      <c r="B2" s="153" t="s">
        <v>800</v>
      </c>
    </row>
    <row r="3" spans="2:21" ht="18.95" customHeight="1"/>
    <row r="4" spans="2:21" ht="18.95" customHeight="1">
      <c r="B4" s="493" t="s">
        <v>299</v>
      </c>
      <c r="C4" s="494"/>
      <c r="D4" s="494"/>
      <c r="E4" s="494"/>
      <c r="F4" s="872" t="s">
        <v>121</v>
      </c>
      <c r="G4" s="872"/>
      <c r="H4" s="873"/>
      <c r="I4" s="252"/>
      <c r="J4" s="252"/>
      <c r="L4" s="493" t="s">
        <v>300</v>
      </c>
      <c r="M4" s="494"/>
      <c r="N4" s="494"/>
      <c r="O4" s="494"/>
      <c r="P4" s="872" t="s">
        <v>121</v>
      </c>
      <c r="Q4" s="872"/>
      <c r="R4" s="872"/>
      <c r="S4" s="872"/>
      <c r="T4" s="872"/>
      <c r="U4" s="573"/>
    </row>
    <row r="5" spans="2:21" ht="18.95" customHeight="1">
      <c r="B5" s="495"/>
      <c r="C5" s="496"/>
      <c r="D5" s="496"/>
      <c r="E5" s="496"/>
      <c r="F5" s="497" t="s">
        <v>125</v>
      </c>
      <c r="G5" s="497" t="s">
        <v>126</v>
      </c>
      <c r="H5" s="498" t="s">
        <v>127</v>
      </c>
      <c r="I5" s="254"/>
      <c r="J5" s="254"/>
      <c r="L5" s="495"/>
      <c r="M5" s="496"/>
      <c r="N5" s="496"/>
      <c r="O5" s="497" t="s">
        <v>70</v>
      </c>
      <c r="P5" s="497" t="s">
        <v>125</v>
      </c>
      <c r="Q5" s="497"/>
      <c r="R5" s="497" t="s">
        <v>126</v>
      </c>
      <c r="S5" s="497"/>
      <c r="T5" s="497" t="s">
        <v>127</v>
      </c>
      <c r="U5" s="498"/>
    </row>
    <row r="6" spans="2:21" ht="18.95" customHeight="1">
      <c r="B6" s="255" t="s">
        <v>129</v>
      </c>
      <c r="C6" s="252"/>
      <c r="D6" s="252"/>
      <c r="E6" s="256"/>
      <c r="F6" s="256">
        <f>Assumptions!F22</f>
        <v>44561</v>
      </c>
      <c r="G6" s="256">
        <f>Assumptions!G22</f>
        <v>44926</v>
      </c>
      <c r="H6" s="257">
        <f>Assumptions!H22</f>
        <v>45657</v>
      </c>
      <c r="I6" s="258"/>
      <c r="J6" s="258"/>
      <c r="L6" s="259" t="str">
        <f>Assumptions!B7</f>
        <v>Project (Unlevered) Returns</v>
      </c>
      <c r="M6" s="260"/>
      <c r="N6" s="260"/>
      <c r="O6" s="260"/>
      <c r="P6" s="261"/>
      <c r="Q6" s="261"/>
      <c r="R6" s="261"/>
      <c r="S6" s="261"/>
      <c r="T6" s="261"/>
      <c r="U6" s="262"/>
    </row>
    <row r="7" spans="2:21" ht="18.95" customHeight="1">
      <c r="B7" s="255" t="s">
        <v>133</v>
      </c>
      <c r="C7" s="252"/>
      <c r="D7" s="263"/>
      <c r="E7" s="252"/>
      <c r="F7" s="256">
        <f>Assumptions!F24</f>
        <v>44926</v>
      </c>
      <c r="G7" s="256">
        <f>Assumptions!G24</f>
        <v>45291</v>
      </c>
      <c r="H7" s="257">
        <f>Assumptions!H24</f>
        <v>46022</v>
      </c>
      <c r="I7" s="256"/>
      <c r="J7" s="256"/>
      <c r="L7" s="264" t="str">
        <f>Assumptions!B8</f>
        <v>Total Cost less Subsidies</v>
      </c>
      <c r="M7" s="265"/>
      <c r="N7" s="265"/>
      <c r="O7" s="266">
        <f ca="1">+SUM(P7:T7)</f>
        <v>786382032.05691695</v>
      </c>
      <c r="P7" s="266">
        <f ca="1">Assumptions!E8</f>
        <v>345270958.22304183</v>
      </c>
      <c r="Q7" s="266"/>
      <c r="R7" s="266">
        <f ca="1">Assumptions!M8</f>
        <v>170235162.69662026</v>
      </c>
      <c r="S7" s="266"/>
      <c r="T7" s="266">
        <f ca="1">Assumptions!U8</f>
        <v>342094371.00169802</v>
      </c>
      <c r="U7" s="267"/>
    </row>
    <row r="8" spans="2:21" ht="18.95" customHeight="1">
      <c r="B8" s="255" t="s">
        <v>135</v>
      </c>
      <c r="C8" s="252"/>
      <c r="D8" s="252"/>
      <c r="E8" s="252"/>
      <c r="F8" s="256">
        <f>Assumptions!F26</f>
        <v>45657</v>
      </c>
      <c r="G8" s="256">
        <f>Assumptions!G26</f>
        <v>46022</v>
      </c>
      <c r="H8" s="257">
        <f>Assumptions!H26</f>
        <v>46752</v>
      </c>
      <c r="I8" s="256"/>
      <c r="J8" s="256"/>
      <c r="L8" s="268" t="s">
        <v>301</v>
      </c>
      <c r="M8" s="263"/>
      <c r="N8" s="263"/>
      <c r="O8" s="269">
        <f ca="1">+SUM(P8:T8)</f>
        <v>1261350528.2729414</v>
      </c>
      <c r="P8" s="269">
        <f ca="1">Assumptions!E9</f>
        <v>462557402.63786024</v>
      </c>
      <c r="Q8" s="269"/>
      <c r="R8" s="269">
        <f ca="1">Assumptions!M9</f>
        <v>544560083.01977229</v>
      </c>
      <c r="S8" s="269"/>
      <c r="T8" s="269">
        <f ca="1">Assumptions!U9</f>
        <v>254233042.61530879</v>
      </c>
      <c r="U8" s="270"/>
    </row>
    <row r="9" spans="2:21" ht="18.95" customHeight="1">
      <c r="B9" s="255" t="s">
        <v>138</v>
      </c>
      <c r="C9" s="252"/>
      <c r="D9" s="252"/>
      <c r="E9" s="252"/>
      <c r="F9" s="256">
        <f>Assumptions!F28</f>
        <v>46387</v>
      </c>
      <c r="G9" s="256">
        <f>Assumptions!G28</f>
        <v>46752</v>
      </c>
      <c r="H9" s="257">
        <f>Assumptions!H28</f>
        <v>47483</v>
      </c>
      <c r="I9" s="256"/>
      <c r="J9" s="256"/>
      <c r="L9" s="264" t="str">
        <f>Assumptions!B10</f>
        <v>Yield-to-Cost</v>
      </c>
      <c r="M9" s="265"/>
      <c r="N9" s="265"/>
      <c r="O9" s="271">
        <f ca="1">+'Loan Sizing'!$E$62/O7</f>
        <v>8.6387808300673483E-2</v>
      </c>
      <c r="P9" s="271">
        <f ca="1">Assumptions!E10</f>
        <v>7.1332420733058205E-2</v>
      </c>
      <c r="Q9" s="271"/>
      <c r="R9" s="271">
        <f ca="1">Assumptions!M10</f>
        <v>0.14520913965822668</v>
      </c>
      <c r="S9" s="271"/>
      <c r="T9" s="271">
        <f ca="1">Assumptions!U10</f>
        <v>4.1998088411701023E-2</v>
      </c>
      <c r="U9" s="272"/>
    </row>
    <row r="10" spans="2:21" ht="18.95" customHeight="1">
      <c r="B10" s="273" t="s">
        <v>141</v>
      </c>
      <c r="C10" s="274"/>
      <c r="D10" s="274"/>
      <c r="E10" s="274"/>
      <c r="F10" s="275">
        <f>Assumptions!F30</f>
        <v>48213</v>
      </c>
      <c r="G10" s="275">
        <f>Assumptions!G30</f>
        <v>48213</v>
      </c>
      <c r="H10" s="276">
        <f>Assumptions!H30</f>
        <v>48213</v>
      </c>
      <c r="I10" s="256"/>
      <c r="J10" s="256"/>
      <c r="L10" s="273" t="str">
        <f>Assumptions!B11</f>
        <v>Blended Exit Cap</v>
      </c>
      <c r="M10" s="274"/>
      <c r="N10" s="274"/>
      <c r="O10" s="277">
        <f ca="1">+'Loan Sizing'!$E$62/$O$8</f>
        <v>5.3858002762676084E-2</v>
      </c>
      <c r="P10" s="277">
        <f ca="1">Assumptions!E11</f>
        <v>6.2363738897466887E-2</v>
      </c>
      <c r="Q10" s="277"/>
      <c r="R10" s="277">
        <f ca="1">Assumptions!M11</f>
        <v>4.539389185060215E-2</v>
      </c>
      <c r="S10" s="277"/>
      <c r="T10" s="277">
        <f ca="1">Assumptions!U11</f>
        <v>5.6512361613884995E-2</v>
      </c>
      <c r="U10" s="278"/>
    </row>
    <row r="11" spans="2:21" ht="18.95" customHeight="1">
      <c r="B11" s="263"/>
      <c r="C11" s="263"/>
      <c r="D11" s="263"/>
      <c r="E11" s="279"/>
      <c r="F11" s="280"/>
      <c r="G11" s="280"/>
      <c r="H11" s="280"/>
      <c r="I11" s="256"/>
      <c r="J11" s="256"/>
      <c r="L11" s="259" t="str">
        <f>Assumptions!B13</f>
        <v>Equity Returns</v>
      </c>
      <c r="M11" s="260"/>
      <c r="N11" s="260"/>
      <c r="O11" s="260"/>
      <c r="P11" s="263"/>
      <c r="Q11" s="263"/>
      <c r="R11" s="263"/>
      <c r="S11" s="263"/>
      <c r="T11" s="263"/>
      <c r="U11" s="281"/>
    </row>
    <row r="12" spans="2:21" ht="18.95" customHeight="1">
      <c r="B12" s="493" t="s">
        <v>302</v>
      </c>
      <c r="C12" s="494"/>
      <c r="D12" s="874" t="s">
        <v>303</v>
      </c>
      <c r="E12" s="494"/>
      <c r="F12" s="872" t="s">
        <v>121</v>
      </c>
      <c r="G12" s="872"/>
      <c r="H12" s="873"/>
      <c r="L12" s="268" t="str">
        <f>Assumptions!B15</f>
        <v>Unlevered IRR</v>
      </c>
      <c r="M12" s="263"/>
      <c r="N12" s="263"/>
      <c r="O12" s="282">
        <f ca="1">+Assumptions!E4</f>
        <v>0.13026177012390683</v>
      </c>
      <c r="P12" s="282">
        <f ca="1">Assumptions!E15</f>
        <v>0.13222313628872229</v>
      </c>
      <c r="Q12" s="282"/>
      <c r="R12" s="282">
        <f ca="1">Assumptions!M15</f>
        <v>0.13786783674743441</v>
      </c>
      <c r="S12" s="282"/>
      <c r="T12" s="282">
        <f ca="1">Assumptions!U15</f>
        <v>0.14871588484395204</v>
      </c>
      <c r="U12" s="283"/>
    </row>
    <row r="13" spans="2:21" ht="18.95" customHeight="1">
      <c r="B13" s="495"/>
      <c r="C13" s="496"/>
      <c r="D13" s="875"/>
      <c r="E13" s="499" t="s">
        <v>70</v>
      </c>
      <c r="F13" s="499" t="s">
        <v>125</v>
      </c>
      <c r="G13" s="499" t="s">
        <v>126</v>
      </c>
      <c r="H13" s="500" t="s">
        <v>127</v>
      </c>
      <c r="I13" s="252"/>
      <c r="J13" s="252"/>
      <c r="L13" s="268" t="s">
        <v>304</v>
      </c>
      <c r="M13" s="263"/>
      <c r="N13" s="263"/>
      <c r="O13" s="282">
        <f ca="1">+Assumptions!E3</f>
        <v>0.16318184493039323</v>
      </c>
      <c r="P13" s="282">
        <f ca="1">Assumptions!E14</f>
        <v>0.20216207550226173</v>
      </c>
      <c r="Q13" s="282"/>
      <c r="R13" s="282">
        <f ca="1">Assumptions!M14</f>
        <v>0.25394836654862707</v>
      </c>
      <c r="S13" s="282"/>
      <c r="T13" s="282">
        <f ca="1">Assumptions!U14</f>
        <v>0.23359811410389453</v>
      </c>
      <c r="U13" s="283"/>
    </row>
    <row r="14" spans="2:21" ht="18.95" customHeight="1">
      <c r="B14" s="802" t="s">
        <v>305</v>
      </c>
      <c r="C14" s="803"/>
      <c r="D14" s="803"/>
      <c r="E14" s="804"/>
      <c r="F14" s="280"/>
      <c r="G14" s="280"/>
      <c r="H14" s="285"/>
      <c r="I14" s="280"/>
      <c r="J14" s="280"/>
      <c r="L14" s="268" t="s">
        <v>306</v>
      </c>
      <c r="M14" s="263"/>
      <c r="N14" s="263"/>
      <c r="O14" s="282">
        <f ca="1">+Assumptions!$M$3</f>
        <v>0.30439856080056854</v>
      </c>
      <c r="P14" s="282">
        <f ca="1">+Assumptions!E16</f>
        <v>0.29690186695228693</v>
      </c>
      <c r="Q14" s="282"/>
      <c r="R14" s="282">
        <f ca="1">+Assumptions!M16</f>
        <v>0.32970544661755119</v>
      </c>
      <c r="S14" s="282"/>
      <c r="T14" s="282">
        <f>+Assumptions!U16</f>
        <v>0.32</v>
      </c>
      <c r="U14" s="283"/>
    </row>
    <row r="15" spans="2:21" ht="18.95" customHeight="1">
      <c r="B15" s="745" t="s">
        <v>145</v>
      </c>
      <c r="C15" s="803"/>
      <c r="D15" s="805">
        <f>Assumptions!E62</f>
        <v>516</v>
      </c>
      <c r="E15" s="804">
        <f>SUM(F15:H15)</f>
        <v>588.08938871933401</v>
      </c>
      <c r="F15" s="280">
        <f>VLOOKUP(B15,Assumptions!$B$61:$H$80,5,FALSE)</f>
        <v>51.223372093023251</v>
      </c>
      <c r="G15" s="280">
        <f>VLOOKUP(B15,Assumptions!$B$61:$H$80,6,FALSE)</f>
        <v>295.2801051568722</v>
      </c>
      <c r="H15" s="285">
        <f>VLOOKUP(B15,Assumptions!$B$61:$H$80,7,FALSE)</f>
        <v>241.5859114694386</v>
      </c>
      <c r="I15" s="280"/>
      <c r="J15" s="280"/>
      <c r="L15" s="273" t="str">
        <f>Assumptions!B18</f>
        <v>Equity Multiple</v>
      </c>
      <c r="M15" s="274"/>
      <c r="N15" s="274"/>
      <c r="O15" s="288">
        <f ca="1">+SUM('Phase I Pro Forma'!D307,'Phase II Pro Forma'!D240,'Phase III Pro Forma'!D204)/-SUM('Phase I Pro Forma'!D306,'Phase II Pro Forma'!D239,'Phase III Pro Forma'!D203)</f>
        <v>3.1329077346263934</v>
      </c>
      <c r="P15" s="288">
        <f ca="1">Assumptions!E18</f>
        <v>4.4608843538515446</v>
      </c>
      <c r="Q15" s="288"/>
      <c r="R15" s="288">
        <f ca="1">Assumptions!M18</f>
        <v>4.1056338439956797</v>
      </c>
      <c r="S15" s="288"/>
      <c r="T15" s="288">
        <f ca="1">Assumptions!U18</f>
        <v>3.0959629373556088</v>
      </c>
      <c r="U15" s="289"/>
    </row>
    <row r="16" spans="2:21" ht="18.95" customHeight="1">
      <c r="B16" s="745" t="s">
        <v>149</v>
      </c>
      <c r="C16" s="803"/>
      <c r="D16" s="805">
        <f>Assumptions!E66</f>
        <v>720</v>
      </c>
      <c r="E16" s="804">
        <f t="shared" ref="E16:E25" si="0">SUM(F16:H16)</f>
        <v>263.41503869720168</v>
      </c>
      <c r="F16" s="280">
        <f>VLOOKUP(B16,Assumptions!$B$61:$H$80,5,FALSE)</f>
        <v>22.943802083333331</v>
      </c>
      <c r="G16" s="280">
        <f>VLOOKUP(B16,Assumptions!$B$61:$H$80,6,FALSE)</f>
        <v>132.26088043484899</v>
      </c>
      <c r="H16" s="285">
        <f>VLOOKUP(B16,Assumptions!$B$61:$H$80,7,FALSE)</f>
        <v>108.21035617901937</v>
      </c>
      <c r="I16" s="280"/>
      <c r="J16" s="280"/>
    </row>
    <row r="17" spans="2:21" ht="18.95" customHeight="1">
      <c r="B17" s="745" t="s">
        <v>150</v>
      </c>
      <c r="C17" s="803"/>
      <c r="D17" s="805">
        <f>Assumptions!E70</f>
        <v>1053</v>
      </c>
      <c r="E17" s="804">
        <f t="shared" si="0"/>
        <v>180.1128469724456</v>
      </c>
      <c r="F17" s="280">
        <f>VLOOKUP(B17,Assumptions!$B$61:$H$80,5,FALSE)</f>
        <v>15.688069800569799</v>
      </c>
      <c r="G17" s="280">
        <f>VLOOKUP(B17,Assumptions!$B$61:$H$80,6,FALSE)</f>
        <v>90.434790040922394</v>
      </c>
      <c r="H17" s="285">
        <f>VLOOKUP(B17,Assumptions!$B$61:$H$80,7,FALSE)</f>
        <v>73.989987130953423</v>
      </c>
      <c r="I17" s="280"/>
      <c r="J17" s="280"/>
      <c r="L17" s="493" t="s">
        <v>307</v>
      </c>
      <c r="M17" s="494"/>
      <c r="N17" s="494"/>
      <c r="O17" s="494"/>
      <c r="P17" s="872" t="s">
        <v>121</v>
      </c>
      <c r="Q17" s="872"/>
      <c r="R17" s="872"/>
      <c r="S17" s="872"/>
      <c r="T17" s="872"/>
      <c r="U17" s="573"/>
    </row>
    <row r="18" spans="2:21" ht="18.95" customHeight="1">
      <c r="B18" s="745" t="s">
        <v>153</v>
      </c>
      <c r="C18" s="803"/>
      <c r="D18" s="805">
        <f>Assumptions!E74</f>
        <v>1535</v>
      </c>
      <c r="E18" s="804">
        <f t="shared" si="0"/>
        <v>49.422495859800712</v>
      </c>
      <c r="F18" s="280">
        <f>VLOOKUP(B18,Assumptions!$B$61:$H$80,5,FALSE)</f>
        <v>4.3047654723127033</v>
      </c>
      <c r="G18" s="280">
        <f>VLOOKUP(B18,Assumptions!$B$61:$H$80,6,FALSE)</f>
        <v>24.815070726538448</v>
      </c>
      <c r="H18" s="285">
        <f>VLOOKUP(B18,Assumptions!$B$61:$H$80,7,FALSE)</f>
        <v>20.302659660949562</v>
      </c>
      <c r="I18" s="280"/>
      <c r="J18" s="280"/>
      <c r="L18" s="495"/>
      <c r="M18" s="496"/>
      <c r="N18" s="496"/>
      <c r="O18" s="496"/>
      <c r="P18" s="497" t="s">
        <v>125</v>
      </c>
      <c r="Q18" s="497"/>
      <c r="R18" s="497" t="s">
        <v>126</v>
      </c>
      <c r="S18" s="497"/>
      <c r="T18" s="497" t="s">
        <v>127</v>
      </c>
      <c r="U18" s="498"/>
    </row>
    <row r="19" spans="2:21" ht="18.95" customHeight="1">
      <c r="B19" s="745" t="s">
        <v>181</v>
      </c>
      <c r="C19" s="803"/>
      <c r="D19" s="805">
        <f>Assumptions!E78</f>
        <v>0</v>
      </c>
      <c r="E19" s="804">
        <f t="shared" si="0"/>
        <v>0</v>
      </c>
      <c r="F19" s="280">
        <f>VLOOKUP(B19,Assumptions!$B$61:$H$80,5,FALSE)</f>
        <v>0</v>
      </c>
      <c r="G19" s="280">
        <f>VLOOKUP(B19,Assumptions!$B$61:$H$80,6,FALSE)</f>
        <v>0</v>
      </c>
      <c r="H19" s="285">
        <f>VLOOKUP(B19,Assumptions!$B$61:$H$80,7,FALSE)</f>
        <v>0</v>
      </c>
      <c r="I19" s="280"/>
      <c r="J19" s="280"/>
      <c r="L19" s="290" t="s">
        <v>85</v>
      </c>
      <c r="M19" s="291"/>
      <c r="N19" s="291"/>
      <c r="O19" s="291"/>
      <c r="P19" s="291"/>
      <c r="Q19" s="291"/>
      <c r="R19" s="291"/>
      <c r="S19" s="291"/>
      <c r="T19" s="291"/>
      <c r="U19" s="292"/>
    </row>
    <row r="20" spans="2:21" ht="18.95" customHeight="1">
      <c r="B20" s="806" t="s">
        <v>308</v>
      </c>
      <c r="C20" s="294"/>
      <c r="D20" s="294"/>
      <c r="E20" s="807">
        <f>SUM(E15:E19)</f>
        <v>1081.0397702487819</v>
      </c>
      <c r="F20" s="296">
        <f t="shared" ref="F20:H20" si="1">SUM(F15:F19)</f>
        <v>94.160009449239084</v>
      </c>
      <c r="G20" s="296">
        <f t="shared" si="1"/>
        <v>542.79084635918207</v>
      </c>
      <c r="H20" s="297">
        <f t="shared" si="1"/>
        <v>444.08891444036095</v>
      </c>
      <c r="I20" s="280"/>
      <c r="J20" s="280"/>
      <c r="L20" s="298" t="s">
        <v>309</v>
      </c>
      <c r="M20" s="291"/>
      <c r="N20" s="291"/>
      <c r="O20" s="291"/>
      <c r="P20" s="299">
        <f>Assumptions!N151</f>
        <v>6.5000000000000002E-2</v>
      </c>
      <c r="Q20" s="299"/>
      <c r="R20" s="299">
        <f>Assumptions!O151</f>
        <v>6.5000000000000002E-2</v>
      </c>
      <c r="S20" s="299"/>
      <c r="T20" s="299">
        <f>Assumptions!P151</f>
        <v>6.5000000000000002E-2</v>
      </c>
      <c r="U20" s="300"/>
    </row>
    <row r="21" spans="2:21" ht="18.95" customHeight="1">
      <c r="B21" s="802" t="s">
        <v>310</v>
      </c>
      <c r="C21" s="808"/>
      <c r="D21" s="808"/>
      <c r="E21" s="804"/>
      <c r="F21" s="280"/>
      <c r="G21" s="280"/>
      <c r="H21" s="285"/>
      <c r="I21" s="280"/>
      <c r="J21" s="280"/>
      <c r="L21" s="298" t="s">
        <v>311</v>
      </c>
      <c r="M21" s="291"/>
      <c r="N21" s="291"/>
      <c r="O21" s="291"/>
      <c r="P21" s="301">
        <f>SUM('Loan Sizing'!F15:F20)</f>
        <v>26755430.552008346</v>
      </c>
      <c r="Q21" s="301"/>
      <c r="R21" s="301">
        <f ca="1">SUM('Loan Sizing'!G15:G20)</f>
        <v>24719701.514742736</v>
      </c>
      <c r="S21" s="301"/>
      <c r="T21" s="301">
        <f>SUM('Loan Sizing'!H15:H20)</f>
        <v>14367309.638474565</v>
      </c>
      <c r="U21" s="302"/>
    </row>
    <row r="22" spans="2:21" ht="18.95" customHeight="1">
      <c r="B22" s="745" t="str">
        <f>B15</f>
        <v>Studio Units</v>
      </c>
      <c r="C22" s="261"/>
      <c r="D22" s="805">
        <f>D15</f>
        <v>516</v>
      </c>
      <c r="E22" s="804">
        <f t="shared" si="0"/>
        <v>392.05959247955604</v>
      </c>
      <c r="F22" s="280">
        <f>VLOOKUP($B22,Assumptions!$B$34:$H$58,5,FALSE)</f>
        <v>34.148914728682172</v>
      </c>
      <c r="G22" s="280">
        <f>VLOOKUP($B22,Assumptions!$B$34:$H$58,6,FALSE)</f>
        <v>196.85340343791481</v>
      </c>
      <c r="H22" s="285">
        <f>VLOOKUP($B22,Assumptions!$B$34:$H$58,7,FALSE)</f>
        <v>161.05727431295907</v>
      </c>
      <c r="I22" s="280"/>
      <c r="J22" s="280"/>
      <c r="L22" s="298" t="s">
        <v>312</v>
      </c>
      <c r="M22" s="291"/>
      <c r="N22" s="291"/>
      <c r="O22" s="291"/>
      <c r="P22" s="301">
        <f>SUM('Loan Sizing'!F5:F10)</f>
        <v>424790124.00983989</v>
      </c>
      <c r="Q22" s="301"/>
      <c r="R22" s="301">
        <f ca="1">SUM('Loan Sizing'!G5:G10)</f>
        <v>544560083.01955891</v>
      </c>
      <c r="S22" s="301"/>
      <c r="T22" s="301">
        <f>SUM('Loan Sizing'!H5:H10)</f>
        <v>254233042.61530882</v>
      </c>
      <c r="U22" s="302"/>
    </row>
    <row r="23" spans="2:21" ht="18.95" customHeight="1">
      <c r="B23" s="745" t="str">
        <f>B16</f>
        <v>1-BR Units</v>
      </c>
      <c r="C23" s="261"/>
      <c r="D23" s="805">
        <f t="shared" ref="D23:D26" si="2">D16</f>
        <v>720</v>
      </c>
      <c r="E23" s="804">
        <f t="shared" si="0"/>
        <v>175.61002579813447</v>
      </c>
      <c r="F23" s="280">
        <f>VLOOKUP($B23,Assumptions!$B$34:$H$58,5,FALSE)</f>
        <v>15.295868055555555</v>
      </c>
      <c r="G23" s="280">
        <f>VLOOKUP($B23,Assumptions!$B$34:$H$58,6,FALSE)</f>
        <v>88.173920289899328</v>
      </c>
      <c r="H23" s="285">
        <f>VLOOKUP($B23,Assumptions!$B$34:$H$58,7,FALSE)</f>
        <v>72.140237452679571</v>
      </c>
      <c r="I23" s="280"/>
      <c r="J23" s="280"/>
      <c r="L23" s="298" t="s">
        <v>313</v>
      </c>
      <c r="M23" s="291"/>
      <c r="N23" s="291"/>
      <c r="O23" s="291"/>
      <c r="P23" s="303">
        <f>'Loan Sizing'!F12</f>
        <v>0.65</v>
      </c>
      <c r="Q23" s="303"/>
      <c r="R23" s="303">
        <f>'Loan Sizing'!G12</f>
        <v>0.65</v>
      </c>
      <c r="S23" s="303"/>
      <c r="T23" s="303">
        <f>'Loan Sizing'!H12</f>
        <v>0.65</v>
      </c>
      <c r="U23" s="304"/>
    </row>
    <row r="24" spans="2:21" ht="18.95" customHeight="1">
      <c r="B24" s="745" t="str">
        <f>B17</f>
        <v>2-BR Units</v>
      </c>
      <c r="C24" s="261"/>
      <c r="D24" s="805">
        <f t="shared" si="2"/>
        <v>1053</v>
      </c>
      <c r="E24" s="804">
        <f t="shared" si="0"/>
        <v>120.07523131496373</v>
      </c>
      <c r="F24" s="280">
        <f>VLOOKUP($B24,Assumptions!$B$34:$H$58,5,FALSE)</f>
        <v>10.458713200379867</v>
      </c>
      <c r="G24" s="280">
        <f>VLOOKUP($B24,Assumptions!$B$34:$H$58,6,FALSE)</f>
        <v>60.289860027281598</v>
      </c>
      <c r="H24" s="285">
        <f>VLOOKUP($B24,Assumptions!$B$34:$H$58,7,FALSE)</f>
        <v>49.32665808730227</v>
      </c>
      <c r="I24" s="280"/>
      <c r="J24" s="280"/>
      <c r="L24" s="298" t="s">
        <v>314</v>
      </c>
      <c r="M24" s="291"/>
      <c r="N24" s="291"/>
      <c r="O24" s="291"/>
      <c r="P24" s="301">
        <f>'Loan Sizing'!F13</f>
        <v>276113580.60639596</v>
      </c>
      <c r="Q24" s="301"/>
      <c r="R24" s="301">
        <f ca="1">'Loan Sizing'!G13</f>
        <v>314012741.13264829</v>
      </c>
      <c r="S24" s="301"/>
      <c r="T24" s="301">
        <f>'Loan Sizing'!H13</f>
        <v>165251477.69995072</v>
      </c>
      <c r="U24" s="302"/>
    </row>
    <row r="25" spans="2:21" ht="18.95" customHeight="1">
      <c r="B25" s="745" t="str">
        <f>B18</f>
        <v>3-BR Units</v>
      </c>
      <c r="C25" s="261"/>
      <c r="D25" s="805">
        <f>D18</f>
        <v>1535</v>
      </c>
      <c r="E25" s="804">
        <f t="shared" si="0"/>
        <v>32.948330573200479</v>
      </c>
      <c r="F25" s="280">
        <f>VLOOKUP($B25,Assumptions!$B$34:$H$58,5,FALSE)</f>
        <v>2.869843648208469</v>
      </c>
      <c r="G25" s="280">
        <f>VLOOKUP($B25,Assumptions!$B$34:$H$58,6,FALSE)</f>
        <v>16.543380484358966</v>
      </c>
      <c r="H25" s="285">
        <f>VLOOKUP($B25,Assumptions!$B$34:$H$58,7,FALSE)</f>
        <v>13.535106440633042</v>
      </c>
      <c r="L25" s="298" t="s">
        <v>315</v>
      </c>
      <c r="M25" s="291"/>
      <c r="N25" s="291"/>
      <c r="O25" s="291"/>
      <c r="P25" s="385">
        <f>'Loan Sizing'!F22</f>
        <v>1.25</v>
      </c>
      <c r="Q25" s="385"/>
      <c r="R25" s="385">
        <f>'Loan Sizing'!G22</f>
        <v>1.25</v>
      </c>
      <c r="S25" s="385"/>
      <c r="T25" s="385">
        <f>'Loan Sizing'!H22</f>
        <v>1.25</v>
      </c>
      <c r="U25" s="292"/>
    </row>
    <row r="26" spans="2:21" ht="18.95" customHeight="1">
      <c r="B26" s="745" t="str">
        <f>Assumptions!B50</f>
        <v>Live-Work Units (4-BR)</v>
      </c>
      <c r="C26" s="261"/>
      <c r="D26" s="805">
        <f t="shared" si="2"/>
        <v>0</v>
      </c>
      <c r="E26" s="804">
        <f>SUM(F26:H26)</f>
        <v>0</v>
      </c>
      <c r="F26" s="280">
        <f>VLOOKUP($B26,Assumptions!$B$34:$H$58,5,FALSE)</f>
        <v>0</v>
      </c>
      <c r="G26" s="280">
        <f>VLOOKUP($B26,Assumptions!$B$34:$H$58,6,FALSE)</f>
        <v>0</v>
      </c>
      <c r="H26" s="285">
        <f>VLOOKUP($B26,Assumptions!$B$34:$H$58,7,FALSE)</f>
        <v>0</v>
      </c>
      <c r="J26" s="252"/>
      <c r="L26" s="298" t="s">
        <v>316</v>
      </c>
      <c r="M26" s="291"/>
      <c r="N26" s="291"/>
      <c r="O26" s="291"/>
      <c r="P26" s="301">
        <f>'Loan Sizing'!F26</f>
        <v>279512397.0433957</v>
      </c>
      <c r="Q26" s="301"/>
      <c r="R26" s="301">
        <f ca="1">'Loan Sizing'!G26</f>
        <v>218865127.930076</v>
      </c>
      <c r="S26" s="301"/>
      <c r="T26" s="301">
        <f>'Loan Sizing'!H26</f>
        <v>150094432.16802457</v>
      </c>
      <c r="U26" s="302"/>
    </row>
    <row r="27" spans="2:21" ht="18.95" customHeight="1">
      <c r="B27" s="293" t="s">
        <v>308</v>
      </c>
      <c r="C27" s="294"/>
      <c r="D27" s="294"/>
      <c r="E27" s="295">
        <f>SUM(E22:E26)</f>
        <v>720.69318016585464</v>
      </c>
      <c r="F27" s="296">
        <f t="shared" ref="F27:H27" si="3">SUM(F22:F26)</f>
        <v>62.773339632826065</v>
      </c>
      <c r="G27" s="296">
        <f t="shared" si="3"/>
        <v>361.86056423945467</v>
      </c>
      <c r="H27" s="297">
        <f t="shared" si="3"/>
        <v>296.05927629357399</v>
      </c>
      <c r="J27" s="305"/>
      <c r="L27" s="298"/>
      <c r="M27" s="291"/>
      <c r="N27" s="291"/>
      <c r="O27" s="291"/>
      <c r="P27" s="301"/>
      <c r="Q27" s="301"/>
      <c r="R27" s="301"/>
      <c r="S27" s="301"/>
      <c r="T27" s="301"/>
      <c r="U27" s="302"/>
    </row>
    <row r="28" spans="2:21" ht="18.95" customHeight="1">
      <c r="J28" s="280"/>
      <c r="L28" s="290" t="s">
        <v>262</v>
      </c>
      <c r="M28" s="291"/>
      <c r="N28" s="291"/>
      <c r="O28" s="291"/>
      <c r="P28" s="291"/>
      <c r="Q28" s="291"/>
      <c r="R28" s="291"/>
      <c r="S28" s="291"/>
      <c r="T28" s="291"/>
      <c r="U28" s="292"/>
    </row>
    <row r="29" spans="2:21" ht="18.95" customHeight="1">
      <c r="B29" s="493" t="s">
        <v>317</v>
      </c>
      <c r="C29" s="494"/>
      <c r="D29" s="494"/>
      <c r="E29" s="494"/>
      <c r="F29" s="872" t="s">
        <v>121</v>
      </c>
      <c r="G29" s="872"/>
      <c r="H29" s="873"/>
      <c r="J29" s="306"/>
      <c r="L29" s="298" t="s">
        <v>318</v>
      </c>
      <c r="M29" s="291"/>
      <c r="N29" s="291"/>
      <c r="O29" s="291"/>
      <c r="P29" s="299">
        <f>'Loan Sizing'!F41</f>
        <v>0.06</v>
      </c>
      <c r="Q29" s="299"/>
      <c r="R29" s="299">
        <f>'Loan Sizing'!G41</f>
        <v>0.06</v>
      </c>
      <c r="S29" s="299"/>
      <c r="T29" s="299">
        <f>'Loan Sizing'!H41</f>
        <v>0.06</v>
      </c>
      <c r="U29" s="300"/>
    </row>
    <row r="30" spans="2:21" ht="18.95" customHeight="1">
      <c r="B30" s="495"/>
      <c r="C30" s="496"/>
      <c r="D30" s="571"/>
      <c r="E30" s="499" t="s">
        <v>70</v>
      </c>
      <c r="F30" s="499" t="s">
        <v>125</v>
      </c>
      <c r="G30" s="499" t="s">
        <v>126</v>
      </c>
      <c r="H30" s="500" t="s">
        <v>127</v>
      </c>
      <c r="J30" s="306"/>
      <c r="L30" s="298" t="s">
        <v>319</v>
      </c>
      <c r="M30" s="291"/>
      <c r="N30" s="291"/>
      <c r="O30" s="291"/>
      <c r="P30" s="301">
        <f ca="1">'Loan Sizing'!F36</f>
        <v>1907359.776791367</v>
      </c>
      <c r="Q30" s="301"/>
      <c r="R30" s="301">
        <f>'Loan Sizing'!G36</f>
        <v>0</v>
      </c>
      <c r="S30" s="301"/>
      <c r="T30" s="301">
        <f>'Loan Sizing'!H36</f>
        <v>0</v>
      </c>
      <c r="U30" s="302"/>
    </row>
    <row r="31" spans="2:21" ht="18.95" customHeight="1">
      <c r="B31" s="284" t="s">
        <v>14</v>
      </c>
      <c r="C31" s="261"/>
      <c r="D31" s="261"/>
      <c r="E31" s="261"/>
      <c r="F31" s="261"/>
      <c r="G31" s="261"/>
      <c r="H31" s="262"/>
      <c r="J31" s="307"/>
      <c r="L31" s="298" t="s">
        <v>320</v>
      </c>
      <c r="M31" s="291"/>
      <c r="N31" s="291"/>
      <c r="O31" s="291"/>
      <c r="P31" s="301">
        <f ca="1">'Loan Sizing'!F31</f>
        <v>34421483.09350647</v>
      </c>
      <c r="Q31" s="301"/>
      <c r="R31" s="301">
        <f>'Loan Sizing'!G31</f>
        <v>0</v>
      </c>
      <c r="S31" s="301"/>
      <c r="T31" s="301">
        <f>'Loan Sizing'!H31</f>
        <v>0</v>
      </c>
      <c r="U31" s="302"/>
    </row>
    <row r="32" spans="2:21" ht="18.95" customHeight="1">
      <c r="B32" s="286" t="s">
        <v>321</v>
      </c>
      <c r="C32" s="261"/>
      <c r="D32" s="287"/>
      <c r="E32" s="279">
        <f t="shared" ref="E32" si="4">SUM(F32:H32)</f>
        <v>216110</v>
      </c>
      <c r="F32" s="280">
        <f>Assumptions!F125</f>
        <v>66238.399999999994</v>
      </c>
      <c r="G32" s="280">
        <f>Assumptions!G125</f>
        <v>113332.5</v>
      </c>
      <c r="H32" s="285">
        <f>Assumptions!H125</f>
        <v>36539.1</v>
      </c>
      <c r="J32" s="306"/>
      <c r="L32" s="298" t="s">
        <v>313</v>
      </c>
      <c r="M32" s="291"/>
      <c r="N32" s="291"/>
      <c r="O32" s="291"/>
      <c r="P32" s="303">
        <f>'Loan Sizing'!F33</f>
        <v>0.8</v>
      </c>
      <c r="Q32" s="303"/>
      <c r="R32" s="303">
        <f>'Loan Sizing'!G33</f>
        <v>0.8</v>
      </c>
      <c r="S32" s="303"/>
      <c r="T32" s="303">
        <f>'Loan Sizing'!H33</f>
        <v>0.8</v>
      </c>
      <c r="U32" s="304"/>
    </row>
    <row r="33" spans="2:21" ht="18.95" customHeight="1">
      <c r="B33" s="286" t="str">
        <f>Assumptions!B132</f>
        <v>Food Hall</v>
      </c>
      <c r="C33" s="261"/>
      <c r="D33" s="287"/>
      <c r="E33" s="279">
        <f>SUM(F33:H33)</f>
        <v>25473</v>
      </c>
      <c r="F33" s="280">
        <f>Assumptions!F133</f>
        <v>25473</v>
      </c>
      <c r="G33" s="280">
        <f>Assumptions!G133</f>
        <v>0</v>
      </c>
      <c r="H33" s="285">
        <f>Assumptions!H133</f>
        <v>0</v>
      </c>
      <c r="J33" s="306"/>
      <c r="L33" s="298" t="s">
        <v>314</v>
      </c>
      <c r="M33" s="291"/>
      <c r="N33" s="291"/>
      <c r="O33" s="291"/>
      <c r="P33" s="301">
        <f ca="1">'Loan Sizing'!F34</f>
        <v>27537186.474805176</v>
      </c>
      <c r="Q33" s="301"/>
      <c r="R33" s="301">
        <f>'Loan Sizing'!G34</f>
        <v>0</v>
      </c>
      <c r="S33" s="301"/>
      <c r="T33" s="301">
        <f>'Loan Sizing'!H34</f>
        <v>0</v>
      </c>
      <c r="U33" s="302"/>
    </row>
    <row r="34" spans="2:21" ht="18.95" customHeight="1">
      <c r="B34" s="308" t="s">
        <v>308</v>
      </c>
      <c r="C34" s="309"/>
      <c r="D34" s="309"/>
      <c r="E34" s="310">
        <f>SUM(E32:E33)</f>
        <v>241583</v>
      </c>
      <c r="F34" s="311">
        <f>SUM(F32:F33)</f>
        <v>91711.4</v>
      </c>
      <c r="G34" s="311">
        <f t="shared" ref="G34:H34" si="5">SUM(G32:G33)</f>
        <v>113332.5</v>
      </c>
      <c r="H34" s="312">
        <f t="shared" si="5"/>
        <v>36539.1</v>
      </c>
      <c r="J34" s="306"/>
      <c r="L34" s="298" t="s">
        <v>315</v>
      </c>
      <c r="M34" s="291"/>
      <c r="N34" s="291"/>
      <c r="O34" s="291"/>
      <c r="P34" s="385">
        <f>'Loan Sizing'!F38</f>
        <v>1.3</v>
      </c>
      <c r="Q34" s="385"/>
      <c r="R34" s="385">
        <f>'Loan Sizing'!G38</f>
        <v>1.3</v>
      </c>
      <c r="S34" s="385"/>
      <c r="T34" s="385">
        <f>'Loan Sizing'!H38</f>
        <v>1.3</v>
      </c>
      <c r="U34" s="292"/>
    </row>
    <row r="35" spans="2:21" ht="18.95" customHeight="1">
      <c r="B35" s="284" t="s">
        <v>137</v>
      </c>
      <c r="C35" s="261"/>
      <c r="D35" s="261"/>
      <c r="E35" s="279"/>
      <c r="F35" s="261"/>
      <c r="G35" s="261"/>
      <c r="H35" s="262"/>
      <c r="J35" s="306"/>
      <c r="L35" s="298" t="s">
        <v>316</v>
      </c>
      <c r="M35" s="291"/>
      <c r="N35" s="291"/>
      <c r="O35" s="291"/>
      <c r="P35" s="301">
        <f ca="1">'Loan Sizing'!F42</f>
        <v>24453330.471684191</v>
      </c>
      <c r="Q35" s="301"/>
      <c r="R35" s="301">
        <f>'Loan Sizing'!G42</f>
        <v>0</v>
      </c>
      <c r="S35" s="301"/>
      <c r="T35" s="301">
        <f>'Loan Sizing'!H42</f>
        <v>0</v>
      </c>
      <c r="U35" s="302"/>
    </row>
    <row r="36" spans="2:21" ht="18.95" customHeight="1">
      <c r="B36" s="286" t="str">
        <f>Assumptions!B159</f>
        <v>Conventional Office</v>
      </c>
      <c r="C36" s="261"/>
      <c r="D36" s="287"/>
      <c r="E36" s="279">
        <f>SUM(F36:H36)</f>
        <v>569643.30000000005</v>
      </c>
      <c r="F36" s="280">
        <f>Assumptions!F160</f>
        <v>291759.3</v>
      </c>
      <c r="G36" s="280">
        <f>Assumptions!G160</f>
        <v>277884</v>
      </c>
      <c r="H36" s="285">
        <f>Assumptions!H160</f>
        <v>0</v>
      </c>
      <c r="J36" s="306"/>
      <c r="L36" s="298"/>
      <c r="M36" s="291"/>
      <c r="N36" s="291"/>
      <c r="O36" s="291"/>
      <c r="P36" s="301"/>
      <c r="Q36" s="301"/>
      <c r="R36" s="301"/>
      <c r="S36" s="301"/>
      <c r="T36" s="301"/>
      <c r="U36" s="302"/>
    </row>
    <row r="37" spans="2:21" ht="18.95" customHeight="1">
      <c r="B37" s="308" t="s">
        <v>308</v>
      </c>
      <c r="C37" s="309"/>
      <c r="D37" s="309"/>
      <c r="E37" s="310">
        <f>SUM(E36)</f>
        <v>569643.30000000005</v>
      </c>
      <c r="F37" s="311">
        <f>SUM(F36)</f>
        <v>291759.3</v>
      </c>
      <c r="G37" s="311">
        <f t="shared" ref="G37:H37" si="6">SUM(G36)</f>
        <v>277884</v>
      </c>
      <c r="H37" s="312">
        <f t="shared" si="6"/>
        <v>0</v>
      </c>
      <c r="J37" s="306"/>
      <c r="L37" s="290" t="s">
        <v>322</v>
      </c>
      <c r="M37" s="291"/>
      <c r="N37" s="291"/>
      <c r="O37" s="291"/>
      <c r="P37" s="291"/>
      <c r="Q37" s="291"/>
      <c r="R37" s="291"/>
      <c r="S37" s="291"/>
      <c r="T37" s="291"/>
      <c r="U37" s="292"/>
    </row>
    <row r="38" spans="2:21" ht="18.95" customHeight="1">
      <c r="B38" s="284" t="s">
        <v>323</v>
      </c>
      <c r="C38" s="261"/>
      <c r="D38" s="261"/>
      <c r="E38" s="279"/>
      <c r="F38" s="261"/>
      <c r="G38" s="261"/>
      <c r="H38" s="262"/>
      <c r="J38" s="306"/>
      <c r="L38" s="298" t="s">
        <v>318</v>
      </c>
      <c r="M38" s="291"/>
      <c r="N38" s="291"/>
      <c r="O38" s="291"/>
      <c r="P38" s="299">
        <f>'Loan Sizing'!F57</f>
        <v>5.5E-2</v>
      </c>
      <c r="Q38" s="299"/>
      <c r="R38" s="299">
        <f>'Loan Sizing'!G57</f>
        <v>5.5E-2</v>
      </c>
      <c r="S38" s="299"/>
      <c r="T38" s="299">
        <f>'Loan Sizing'!H57</f>
        <v>5.5E-2</v>
      </c>
      <c r="U38" s="300"/>
    </row>
    <row r="39" spans="2:21" ht="18.95" customHeight="1">
      <c r="B39" s="745" t="s">
        <v>297</v>
      </c>
      <c r="C39" s="261"/>
      <c r="D39" s="287"/>
      <c r="E39" s="279">
        <f>SUM(F39:H39)</f>
        <v>37874.000001</v>
      </c>
      <c r="F39" s="280">
        <f>Assumptions!F210</f>
        <v>37874</v>
      </c>
      <c r="G39" s="280">
        <f>Assumptions!G210</f>
        <v>9.9999999999999995E-7</v>
      </c>
      <c r="H39" s="285">
        <f>Assumptions!H210</f>
        <v>0</v>
      </c>
      <c r="J39" s="306"/>
      <c r="L39" s="298" t="s">
        <v>324</v>
      </c>
      <c r="M39" s="291"/>
      <c r="N39" s="291"/>
      <c r="O39" s="291"/>
      <c r="P39" s="301">
        <f>'Loan Sizing'!F52</f>
        <v>184018.75439826321</v>
      </c>
      <c r="Q39" s="301"/>
      <c r="R39" s="301">
        <f ca="1">'Loan Sizing'!G52</f>
        <v>1.1735712E-5</v>
      </c>
      <c r="S39" s="301"/>
      <c r="T39" s="301">
        <f>'Loan Sizing'!H52</f>
        <v>0</v>
      </c>
      <c r="U39" s="302"/>
    </row>
    <row r="40" spans="2:21" ht="18.95" customHeight="1">
      <c r="B40" s="308" t="s">
        <v>308</v>
      </c>
      <c r="C40" s="309"/>
      <c r="D40" s="309"/>
      <c r="E40" s="310">
        <f>SUM(E39:E39)</f>
        <v>37874.000001</v>
      </c>
      <c r="F40" s="311">
        <f>SUM(F39:F39)</f>
        <v>37874</v>
      </c>
      <c r="G40" s="311">
        <f>SUM(G39:G39)</f>
        <v>9.9999999999999995E-7</v>
      </c>
      <c r="H40" s="312">
        <f>SUM(H39:H39)</f>
        <v>0</v>
      </c>
      <c r="J40" s="307"/>
      <c r="L40" s="298" t="s">
        <v>325</v>
      </c>
      <c r="M40" s="291"/>
      <c r="N40" s="291"/>
      <c r="O40" s="291"/>
      <c r="P40" s="301">
        <f>'Loan Sizing'!F47</f>
        <v>3345795.5345138763</v>
      </c>
      <c r="Q40" s="301"/>
      <c r="R40" s="301">
        <f ca="1">'Loan Sizing'!G47</f>
        <v>2.1337658181818181E-4</v>
      </c>
      <c r="S40" s="301"/>
      <c r="T40" s="301">
        <f ca="1">'Loan Sizing'!H47</f>
        <v>0</v>
      </c>
      <c r="U40" s="302"/>
    </row>
    <row r="41" spans="2:21" ht="18.95" customHeight="1">
      <c r="J41" s="306"/>
      <c r="L41" s="298" t="s">
        <v>313</v>
      </c>
      <c r="M41" s="291"/>
      <c r="N41" s="291"/>
      <c r="O41" s="291"/>
      <c r="P41" s="303">
        <f>'Loan Sizing'!F49</f>
        <v>0.75</v>
      </c>
      <c r="Q41" s="303"/>
      <c r="R41" s="303">
        <f>'Loan Sizing'!G49</f>
        <v>0.75</v>
      </c>
      <c r="S41" s="303"/>
      <c r="T41" s="303">
        <f>'Loan Sizing'!H49</f>
        <v>0.75</v>
      </c>
      <c r="U41" s="304"/>
    </row>
    <row r="42" spans="2:21" ht="18.95" customHeight="1">
      <c r="B42" s="493" t="s">
        <v>326</v>
      </c>
      <c r="C42" s="494"/>
      <c r="D42" s="874" t="s">
        <v>327</v>
      </c>
      <c r="E42" s="494"/>
      <c r="F42" s="872" t="s">
        <v>121</v>
      </c>
      <c r="G42" s="872"/>
      <c r="H42" s="873"/>
      <c r="J42" s="306"/>
      <c r="L42" s="298" t="s">
        <v>314</v>
      </c>
      <c r="M42" s="291"/>
      <c r="N42" s="291"/>
      <c r="O42" s="291"/>
      <c r="P42" s="301">
        <f>'Loan Sizing'!F50</f>
        <v>2509346.6508854073</v>
      </c>
      <c r="Q42" s="301"/>
      <c r="R42" s="301">
        <f ca="1">'Loan Sizing'!G50</f>
        <v>1.6003243636363636E-4</v>
      </c>
      <c r="S42" s="301"/>
      <c r="T42" s="301">
        <f ca="1">'Loan Sizing'!H50</f>
        <v>0</v>
      </c>
      <c r="U42" s="302"/>
    </row>
    <row r="43" spans="2:21" ht="18.95" customHeight="1">
      <c r="B43" s="495"/>
      <c r="C43" s="496"/>
      <c r="D43" s="875"/>
      <c r="E43" s="499" t="s">
        <v>70</v>
      </c>
      <c r="F43" s="499" t="s">
        <v>125</v>
      </c>
      <c r="G43" s="499" t="s">
        <v>126</v>
      </c>
      <c r="H43" s="500" t="s">
        <v>127</v>
      </c>
      <c r="J43" s="306"/>
      <c r="L43" s="298" t="s">
        <v>315</v>
      </c>
      <c r="M43" s="291"/>
      <c r="N43" s="291"/>
      <c r="O43" s="291"/>
      <c r="P43" s="385">
        <f>'Loan Sizing'!F54</f>
        <v>1.3</v>
      </c>
      <c r="Q43" s="385"/>
      <c r="R43" s="385">
        <f>'Loan Sizing'!G54</f>
        <v>1.3</v>
      </c>
      <c r="S43" s="385"/>
      <c r="T43" s="385">
        <f>'Loan Sizing'!H54</f>
        <v>1.3</v>
      </c>
      <c r="U43" s="292"/>
    </row>
    <row r="44" spans="2:21" ht="18.95" customHeight="1">
      <c r="B44" s="284" t="s">
        <v>328</v>
      </c>
      <c r="C44" s="261"/>
      <c r="D44" s="261"/>
      <c r="E44" s="279"/>
      <c r="F44" s="261"/>
      <c r="G44" s="261"/>
      <c r="H44" s="262"/>
      <c r="J44" s="306"/>
      <c r="L44" s="298" t="s">
        <v>316</v>
      </c>
      <c r="M44" s="291"/>
      <c r="N44" s="291"/>
      <c r="O44" s="291"/>
      <c r="P44" s="301">
        <f>'Loan Sizing'!F58</f>
        <v>2573688.8727029818</v>
      </c>
      <c r="Q44" s="301"/>
      <c r="R44" s="301">
        <f ca="1">'Loan Sizing'!G58</f>
        <v>1.6413583216783213E-4</v>
      </c>
      <c r="S44" s="301"/>
      <c r="T44" s="301">
        <f>'Loan Sizing'!H58</f>
        <v>0</v>
      </c>
      <c r="U44" s="302"/>
    </row>
    <row r="45" spans="2:21" ht="18.95" customHeight="1">
      <c r="B45" s="745" t="s">
        <v>332</v>
      </c>
      <c r="C45" s="261"/>
      <c r="D45" s="805">
        <f>Assumptions!E94</f>
        <v>400</v>
      </c>
      <c r="E45" s="804">
        <f>SUM(F45:H45)</f>
        <v>148.60499999999999</v>
      </c>
      <c r="F45" s="809">
        <f>Assumptions!$F$93</f>
        <v>148.60499999999999</v>
      </c>
      <c r="G45" s="809">
        <v>0</v>
      </c>
      <c r="H45" s="810">
        <v>0</v>
      </c>
      <c r="J45" s="306"/>
      <c r="L45" s="298"/>
      <c r="M45" s="291"/>
      <c r="N45" s="291"/>
      <c r="O45" s="291"/>
      <c r="P45" s="301"/>
      <c r="Q45" s="301"/>
      <c r="R45" s="301"/>
      <c r="S45" s="301"/>
      <c r="T45" s="301"/>
      <c r="U45" s="302"/>
    </row>
    <row r="46" spans="2:21" ht="18.95" customHeight="1">
      <c r="B46" s="745" t="s">
        <v>330</v>
      </c>
      <c r="C46" s="261"/>
      <c r="D46" s="805">
        <f>+D45</f>
        <v>400</v>
      </c>
      <c r="E46" s="804">
        <f>SUM(F46:H46)</f>
        <v>0</v>
      </c>
      <c r="F46" s="809">
        <v>0</v>
      </c>
      <c r="G46" s="809">
        <f>Assumptions!$G$93</f>
        <v>0</v>
      </c>
      <c r="H46" s="810">
        <v>0</v>
      </c>
      <c r="J46" s="306"/>
      <c r="L46" s="290" t="s">
        <v>331</v>
      </c>
      <c r="M46" s="261"/>
      <c r="N46" s="261"/>
      <c r="O46" s="261"/>
      <c r="P46" s="314">
        <f ca="1">'Phase I Pro Forma'!D299</f>
        <v>243987108.5554767</v>
      </c>
      <c r="Q46" s="314"/>
      <c r="R46" s="314">
        <f ca="1">'Phase II Pro Forma'!D232</f>
        <v>170038699.1483376</v>
      </c>
      <c r="S46" s="314"/>
      <c r="T46" s="314">
        <v>0</v>
      </c>
      <c r="U46" s="315"/>
    </row>
    <row r="47" spans="2:21" ht="18.95" customHeight="1">
      <c r="B47" s="745" t="s">
        <v>329</v>
      </c>
      <c r="C47" s="261"/>
      <c r="D47" s="805">
        <f>+D45</f>
        <v>400</v>
      </c>
      <c r="E47" s="804">
        <f>SUM(F47:H47)</f>
        <v>0</v>
      </c>
      <c r="F47" s="809">
        <v>0</v>
      </c>
      <c r="G47" s="809">
        <v>0</v>
      </c>
      <c r="H47" s="810">
        <f>Assumptions!$H$93</f>
        <v>0</v>
      </c>
      <c r="J47" s="306"/>
      <c r="L47" s="290" t="s">
        <v>333</v>
      </c>
      <c r="M47" s="261"/>
      <c r="N47" s="261"/>
      <c r="O47" s="261"/>
      <c r="P47" s="314">
        <f ca="1">'Loan Sizing'!F64</f>
        <v>274767695.25563228</v>
      </c>
      <c r="Q47" s="314"/>
      <c r="R47" s="314">
        <f ca="1">'Loan Sizing'!G64</f>
        <v>157724099.92887315</v>
      </c>
      <c r="S47" s="314"/>
      <c r="T47" s="314">
        <f>'Loan Sizing'!H64</f>
        <v>151643192.16802457</v>
      </c>
      <c r="U47" s="315"/>
    </row>
    <row r="48" spans="2:21" ht="18.95" customHeight="1">
      <c r="B48" s="811" t="s">
        <v>308</v>
      </c>
      <c r="C48" s="812"/>
      <c r="D48" s="812"/>
      <c r="E48" s="813">
        <f>SUM(E45:E47)</f>
        <v>148.60499999999999</v>
      </c>
      <c r="F48" s="814">
        <f t="shared" ref="F48:H48" si="7">SUM(F45:F47)</f>
        <v>148.60499999999999</v>
      </c>
      <c r="G48" s="814">
        <f t="shared" si="7"/>
        <v>0</v>
      </c>
      <c r="H48" s="815">
        <f t="shared" si="7"/>
        <v>0</v>
      </c>
      <c r="J48" s="306"/>
      <c r="L48" s="316" t="s">
        <v>334</v>
      </c>
      <c r="M48" s="317"/>
      <c r="N48" s="317"/>
      <c r="O48" s="317"/>
      <c r="P48" s="318">
        <f>'Phase I Pro Forma'!J279</f>
        <v>21498085.837996561</v>
      </c>
      <c r="Q48" s="318"/>
      <c r="R48" s="318">
        <f ca="1">R46*0.09</f>
        <v>15303482.923350384</v>
      </c>
      <c r="S48" s="318"/>
      <c r="T48" s="318">
        <v>0</v>
      </c>
      <c r="U48" s="319"/>
    </row>
    <row r="49" spans="2:21" ht="18.95" customHeight="1">
      <c r="B49" s="816" t="s">
        <v>335</v>
      </c>
      <c r="C49" s="330"/>
      <c r="D49" s="330"/>
      <c r="E49" s="817"/>
      <c r="F49" s="330"/>
      <c r="G49" s="330"/>
      <c r="H49" s="331"/>
      <c r="J49" s="307"/>
    </row>
    <row r="50" spans="2:21" ht="18.95" customHeight="1">
      <c r="B50" s="818" t="str">
        <f>Assumptions!B141</f>
        <v>Museum</v>
      </c>
      <c r="C50" s="261"/>
      <c r="D50" s="805"/>
      <c r="E50" s="804">
        <f t="shared" ref="E50:E51" si="8">SUM(F50:H50)</f>
        <v>125425.0001</v>
      </c>
      <c r="F50" s="809">
        <f>Assumptions!F142</f>
        <v>125425</v>
      </c>
      <c r="G50" s="809">
        <f>Assumptions!G142</f>
        <v>1E-4</v>
      </c>
      <c r="H50" s="810">
        <f>Assumptions!H142</f>
        <v>0</v>
      </c>
      <c r="J50" s="306"/>
      <c r="L50" s="493" t="s">
        <v>336</v>
      </c>
      <c r="M50" s="494"/>
      <c r="N50" s="494"/>
      <c r="O50" s="494"/>
      <c r="P50" s="872" t="s">
        <v>121</v>
      </c>
      <c r="Q50" s="872"/>
      <c r="R50" s="872"/>
      <c r="S50" s="872"/>
      <c r="T50" s="872"/>
      <c r="U50" s="573"/>
    </row>
    <row r="51" spans="2:21" ht="18.95" customHeight="1">
      <c r="B51" s="818" t="s">
        <v>464</v>
      </c>
      <c r="C51" s="261"/>
      <c r="D51" s="805"/>
      <c r="E51" s="804">
        <f t="shared" si="8"/>
        <v>0</v>
      </c>
      <c r="F51" s="809">
        <f>Assumptions!F146</f>
        <v>0</v>
      </c>
      <c r="G51" s="809">
        <f>Assumptions!G146</f>
        <v>0</v>
      </c>
      <c r="H51" s="810">
        <f>Assumptions!H146</f>
        <v>0</v>
      </c>
      <c r="J51" s="306"/>
      <c r="L51" s="502"/>
      <c r="M51" s="503"/>
      <c r="N51" s="503"/>
      <c r="O51" s="519" t="s">
        <v>70</v>
      </c>
      <c r="P51" s="519" t="s">
        <v>125</v>
      </c>
      <c r="Q51" s="519" t="s">
        <v>337</v>
      </c>
      <c r="R51" s="519" t="s">
        <v>126</v>
      </c>
      <c r="S51" s="519" t="s">
        <v>337</v>
      </c>
      <c r="T51" s="519" t="s">
        <v>127</v>
      </c>
      <c r="U51" s="520" t="s">
        <v>337</v>
      </c>
    </row>
    <row r="52" spans="2:21" ht="18.95" customHeight="1">
      <c r="B52" s="670" t="s">
        <v>464</v>
      </c>
      <c r="C52" s="317"/>
      <c r="D52" s="671"/>
      <c r="E52" s="672">
        <v>0</v>
      </c>
      <c r="F52" s="673">
        <v>0</v>
      </c>
      <c r="G52" s="673">
        <f>Assumptions!G150</f>
        <v>0</v>
      </c>
      <c r="H52" s="674">
        <f>Assumptions!H150</f>
        <v>0</v>
      </c>
      <c r="J52" s="306"/>
      <c r="L52" s="284" t="s">
        <v>338</v>
      </c>
      <c r="M52" s="263"/>
      <c r="N52" s="263"/>
      <c r="O52" s="263"/>
      <c r="P52" s="263"/>
      <c r="Q52" s="263"/>
      <c r="R52" s="263"/>
      <c r="S52" s="263"/>
      <c r="T52" s="263"/>
      <c r="U52" s="281"/>
    </row>
    <row r="53" spans="2:21" ht="18.95" customHeight="1">
      <c r="B53" s="665" t="s">
        <v>308</v>
      </c>
      <c r="C53" s="666"/>
      <c r="D53" s="666"/>
      <c r="E53" s="667">
        <f>SUM(E50:E52)</f>
        <v>125425.0001</v>
      </c>
      <c r="F53" s="668">
        <f>SUM(F50:F52)</f>
        <v>125425</v>
      </c>
      <c r="G53" s="668">
        <f t="shared" ref="G53:H53" si="9">SUM(G50:G52)</f>
        <v>1E-4</v>
      </c>
      <c r="H53" s="669">
        <f t="shared" si="9"/>
        <v>0</v>
      </c>
      <c r="J53" s="306"/>
      <c r="L53" s="320" t="s">
        <v>339</v>
      </c>
      <c r="M53" s="252"/>
      <c r="N53" s="252"/>
      <c r="O53" s="307"/>
      <c r="P53" s="307"/>
      <c r="Q53" s="307"/>
      <c r="R53" s="280"/>
      <c r="S53" s="280"/>
      <c r="T53" s="280"/>
      <c r="U53" s="285"/>
    </row>
    <row r="54" spans="2:21" ht="18.95" customHeight="1">
      <c r="B54" s="284" t="s">
        <v>340</v>
      </c>
      <c r="C54" s="261"/>
      <c r="D54" s="261"/>
      <c r="E54" s="279"/>
      <c r="F54" s="261"/>
      <c r="G54" s="261"/>
      <c r="H54" s="262"/>
      <c r="J54" s="306"/>
      <c r="L54" s="286" t="s">
        <v>81</v>
      </c>
      <c r="M54" s="252"/>
      <c r="N54" s="252"/>
      <c r="O54" s="321">
        <v>86569818</v>
      </c>
      <c r="P54" s="321">
        <f>O54</f>
        <v>86569818</v>
      </c>
      <c r="Q54" s="322">
        <f>P54/P$55</f>
        <v>1</v>
      </c>
      <c r="R54" s="321">
        <v>0</v>
      </c>
      <c r="S54" s="322">
        <v>0</v>
      </c>
      <c r="T54" s="321">
        <v>0</v>
      </c>
      <c r="U54" s="323">
        <v>0</v>
      </c>
    </row>
    <row r="55" spans="2:21" ht="18.95" customHeight="1">
      <c r="B55" s="286" t="s">
        <v>140</v>
      </c>
      <c r="C55" s="261"/>
      <c r="D55" s="287">
        <f>Assumptions!F178</f>
        <v>250</v>
      </c>
      <c r="E55" s="279">
        <f>SUM(F55:H55)</f>
        <v>2064.8159999999998</v>
      </c>
      <c r="F55" s="280">
        <f>Assumptions!F177</f>
        <v>1018.064</v>
      </c>
      <c r="G55" s="280">
        <f>Assumptions!G177</f>
        <v>572.79200000000003</v>
      </c>
      <c r="H55" s="285">
        <f>Assumptions!H177</f>
        <v>473.96</v>
      </c>
      <c r="J55" s="306"/>
      <c r="L55" s="389" t="s">
        <v>107</v>
      </c>
      <c r="M55" s="390"/>
      <c r="N55" s="390"/>
      <c r="O55" s="391">
        <f>O54</f>
        <v>86569818</v>
      </c>
      <c r="P55" s="391">
        <f>P54</f>
        <v>86569818</v>
      </c>
      <c r="Q55" s="392"/>
      <c r="R55" s="391">
        <f>R54</f>
        <v>0</v>
      </c>
      <c r="S55" s="392"/>
      <c r="T55" s="391">
        <f>T54</f>
        <v>0</v>
      </c>
      <c r="U55" s="393"/>
    </row>
    <row r="56" spans="2:21" ht="18.95" customHeight="1">
      <c r="B56" s="286" t="s">
        <v>30</v>
      </c>
      <c r="C56" s="261"/>
      <c r="D56" s="287">
        <v>250</v>
      </c>
      <c r="E56" s="279">
        <f>SUM(F56:H56)</f>
        <v>0</v>
      </c>
      <c r="F56" s="280">
        <f>Assumptions!F191</f>
        <v>0</v>
      </c>
      <c r="G56" s="280">
        <f>Assumptions!G191</f>
        <v>0</v>
      </c>
      <c r="H56" s="285">
        <f>Assumptions!H191</f>
        <v>0</v>
      </c>
      <c r="J56" s="306"/>
      <c r="L56" s="320" t="s">
        <v>341</v>
      </c>
      <c r="M56" s="252"/>
      <c r="N56" s="252"/>
      <c r="O56" s="321"/>
      <c r="P56" s="326"/>
      <c r="Q56" s="327"/>
      <c r="R56" s="326"/>
      <c r="S56" s="327"/>
      <c r="T56" s="326"/>
      <c r="U56" s="328"/>
    </row>
    <row r="57" spans="2:21" ht="18.95" customHeight="1">
      <c r="B57" s="308" t="s">
        <v>308</v>
      </c>
      <c r="C57" s="309"/>
      <c r="D57" s="309"/>
      <c r="E57" s="310">
        <f>SUM(E55:E56)</f>
        <v>2064.8159999999998</v>
      </c>
      <c r="F57" s="311">
        <f>SUM(F55:F56)</f>
        <v>1018.064</v>
      </c>
      <c r="G57" s="311">
        <f t="shared" ref="G57:H57" si="10">SUM(G55:G56)</f>
        <v>572.79200000000003</v>
      </c>
      <c r="H57" s="312">
        <f t="shared" si="10"/>
        <v>473.96</v>
      </c>
      <c r="J57" s="306"/>
      <c r="L57" s="286" t="s">
        <v>342</v>
      </c>
      <c r="M57" s="252"/>
      <c r="N57" s="252"/>
      <c r="O57" s="321">
        <f>SUM(P57:T57)</f>
        <v>69576803</v>
      </c>
      <c r="P57" s="321">
        <f>'S&amp;U'!H7</f>
        <v>69576802</v>
      </c>
      <c r="Q57" s="322">
        <v>1</v>
      </c>
      <c r="R57" s="321">
        <v>0</v>
      </c>
      <c r="S57" s="322">
        <v>0</v>
      </c>
      <c r="T57" s="321">
        <f>'S&amp;U'!J7</f>
        <v>0</v>
      </c>
      <c r="U57" s="323">
        <v>0</v>
      </c>
    </row>
    <row r="58" spans="2:21" ht="18.95" customHeight="1">
      <c r="B58" s="386"/>
      <c r="J58" s="313"/>
      <c r="L58" s="286" t="s">
        <v>90</v>
      </c>
      <c r="M58" s="252"/>
      <c r="N58" s="252"/>
      <c r="O58" s="321">
        <f>SUM(P58+R58+T58)</f>
        <v>6803368.2142857146</v>
      </c>
      <c r="P58" s="321">
        <f>'S&amp;U'!H8</f>
        <v>4779023.2142857146</v>
      </c>
      <c r="Q58" s="322">
        <f>P58/O58</f>
        <v>0.70244959022660569</v>
      </c>
      <c r="R58" s="321">
        <f>'S&amp;U'!I8</f>
        <v>372000</v>
      </c>
      <c r="S58" s="322">
        <f>R58/O58</f>
        <v>5.4678798542591639E-2</v>
      </c>
      <c r="T58" s="321">
        <f>'S&amp;U'!J8</f>
        <v>1652345</v>
      </c>
      <c r="U58" s="323">
        <f>T58/O58</f>
        <v>0.24287161123080264</v>
      </c>
    </row>
    <row r="59" spans="2:21" ht="18.95" customHeight="1">
      <c r="B59" s="493" t="s">
        <v>343</v>
      </c>
      <c r="C59" s="494"/>
      <c r="D59" s="494"/>
      <c r="E59" s="872" t="s">
        <v>344</v>
      </c>
      <c r="F59" s="872"/>
      <c r="G59" s="501" t="s">
        <v>345</v>
      </c>
      <c r="H59" s="573" t="s">
        <v>156</v>
      </c>
      <c r="J59" s="307"/>
      <c r="L59" s="286" t="s">
        <v>346</v>
      </c>
      <c r="M59" s="263"/>
      <c r="N59" s="263"/>
      <c r="O59" s="321">
        <f>SUM(P59+R59+T59)</f>
        <v>2687323.32</v>
      </c>
      <c r="P59" s="321">
        <f>'S&amp;U'!H9</f>
        <v>2687323.32</v>
      </c>
      <c r="Q59" s="322">
        <v>1</v>
      </c>
      <c r="R59" s="321">
        <f>'S&amp;U'!I9</f>
        <v>0</v>
      </c>
      <c r="S59" s="322">
        <v>0</v>
      </c>
      <c r="T59" s="321">
        <f>'S&amp;U'!J9</f>
        <v>0</v>
      </c>
      <c r="U59" s="323">
        <v>0</v>
      </c>
    </row>
    <row r="60" spans="2:21" ht="18.95" customHeight="1">
      <c r="B60" s="502"/>
      <c r="C60" s="503"/>
      <c r="D60" s="504"/>
      <c r="E60" s="505" t="s">
        <v>148</v>
      </c>
      <c r="F60" s="505" t="s">
        <v>147</v>
      </c>
      <c r="G60" s="505" t="s">
        <v>347</v>
      </c>
      <c r="H60" s="506" t="s">
        <v>348</v>
      </c>
      <c r="J60" s="306"/>
      <c r="L60" s="286" t="s">
        <v>349</v>
      </c>
      <c r="M60" s="263"/>
      <c r="N60" s="263"/>
      <c r="O60" s="321">
        <f ca="1">SUM(P60:T60)</f>
        <v>35965804.128174849</v>
      </c>
      <c r="P60" s="321">
        <f ca="1">'S&amp;U'!H10</f>
        <v>15680584.30642426</v>
      </c>
      <c r="Q60" s="322">
        <f ca="1">P60/P$64</f>
        <v>0.16911079640594198</v>
      </c>
      <c r="R60" s="321">
        <f ca="1">'S&amp;U'!I10</f>
        <v>11383627.807668965</v>
      </c>
      <c r="S60" s="322">
        <f ca="1">R60/R$64</f>
        <v>0.96835558201686855</v>
      </c>
      <c r="T60" s="321">
        <f ca="1">'S&amp;U'!J10</f>
        <v>8901590.8766152505</v>
      </c>
      <c r="U60" s="323">
        <f ca="1">T60/T$64</f>
        <v>0.8434380292511382</v>
      </c>
    </row>
    <row r="61" spans="2:21" ht="18.95" customHeight="1">
      <c r="B61" s="329" t="s">
        <v>305</v>
      </c>
      <c r="C61" s="330"/>
      <c r="D61" s="330"/>
      <c r="E61" s="330"/>
      <c r="F61" s="330"/>
      <c r="G61" s="330"/>
      <c r="H61" s="331"/>
      <c r="J61" s="306"/>
      <c r="L61" s="286" t="s">
        <v>37</v>
      </c>
      <c r="M61" s="263"/>
      <c r="N61" s="263"/>
      <c r="O61" s="321">
        <f ca="1">SUM(P61:T61)</f>
        <v>0</v>
      </c>
      <c r="P61" s="321">
        <f>'S&amp;U'!H11</f>
        <v>0</v>
      </c>
      <c r="Q61" s="322">
        <f t="shared" ref="Q61" ca="1" si="11">P61/P$64</f>
        <v>0</v>
      </c>
      <c r="R61" s="321">
        <f>'S&amp;U'!I11</f>
        <v>0</v>
      </c>
      <c r="S61" s="322">
        <f ca="1">R61/R$64</f>
        <v>0</v>
      </c>
      <c r="T61" s="321">
        <f>'S&amp;U'!J11</f>
        <v>0</v>
      </c>
      <c r="U61" s="323">
        <f ca="1">T61/T$64</f>
        <v>0</v>
      </c>
    </row>
    <row r="62" spans="2:21" ht="18.95" customHeight="1">
      <c r="B62" s="819" t="s">
        <v>145</v>
      </c>
      <c r="C62" s="261"/>
      <c r="D62" s="261"/>
      <c r="E62" s="333">
        <f>Assumptions!F64</f>
        <v>1821</v>
      </c>
      <c r="F62" s="394">
        <f>Assumptions!F63</f>
        <v>42.348837209302324</v>
      </c>
      <c r="G62" s="334">
        <f>Assumptions!$M$64</f>
        <v>0.03</v>
      </c>
      <c r="H62" s="335">
        <f>Assumptions!$M$55</f>
        <v>0.05</v>
      </c>
      <c r="J62" s="306"/>
      <c r="L62" s="286" t="s">
        <v>350</v>
      </c>
      <c r="M62" s="263"/>
      <c r="N62" s="263"/>
      <c r="O62" s="321">
        <f ca="1">SUM(P62:T62)</f>
        <v>0</v>
      </c>
      <c r="P62" s="321">
        <f>'S&amp;U'!H12</f>
        <v>0</v>
      </c>
      <c r="Q62" s="322">
        <f ca="1">P62/P$64</f>
        <v>0</v>
      </c>
      <c r="R62" s="321">
        <f>'S&amp;U'!I12</f>
        <v>0</v>
      </c>
      <c r="S62" s="322">
        <f ca="1">R62/R$64</f>
        <v>0</v>
      </c>
      <c r="T62" s="321">
        <f>'S&amp;U'!J12</f>
        <v>0</v>
      </c>
      <c r="U62" s="323">
        <f ca="1">T62/T$64</f>
        <v>0</v>
      </c>
    </row>
    <row r="63" spans="2:21" ht="18.95" customHeight="1">
      <c r="B63" s="819" t="s">
        <v>149</v>
      </c>
      <c r="C63" s="261"/>
      <c r="D63" s="261"/>
      <c r="E63" s="333">
        <f>Assumptions!F68</f>
        <v>1922</v>
      </c>
      <c r="F63" s="394">
        <f>Assumptions!F67</f>
        <v>32.033333333333331</v>
      </c>
      <c r="G63" s="334">
        <f>Assumptions!$M$64</f>
        <v>0.03</v>
      </c>
      <c r="H63" s="335">
        <f>Assumptions!$M$55</f>
        <v>0.05</v>
      </c>
      <c r="J63" s="306"/>
      <c r="L63" s="286" t="s">
        <v>351</v>
      </c>
      <c r="M63" s="261"/>
      <c r="N63" s="261"/>
      <c r="O63" s="321">
        <f ca="1">SUM(P63:T63)</f>
        <v>0</v>
      </c>
      <c r="P63" s="321">
        <f ca="1">'S&amp;U'!H13</f>
        <v>0</v>
      </c>
      <c r="Q63" s="322">
        <f ca="1">P63/P$64</f>
        <v>0</v>
      </c>
      <c r="R63" s="321">
        <f ca="1">'S&amp;U'!I13</f>
        <v>0</v>
      </c>
      <c r="S63" s="322">
        <f ca="1">R63/R$64</f>
        <v>0</v>
      </c>
      <c r="T63" s="321">
        <f ca="1">'S&amp;U'!J13</f>
        <v>0</v>
      </c>
      <c r="U63" s="323">
        <f ca="1">T63/T$64</f>
        <v>0</v>
      </c>
    </row>
    <row r="64" spans="2:21" ht="18.95" customHeight="1">
      <c r="B64" s="819" t="s">
        <v>150</v>
      </c>
      <c r="C64" s="261"/>
      <c r="D64" s="261"/>
      <c r="E64" s="333">
        <f>Assumptions!F72</f>
        <v>2801</v>
      </c>
      <c r="F64" s="394">
        <f>Assumptions!F71</f>
        <v>31.920227920227919</v>
      </c>
      <c r="G64" s="334">
        <f>Assumptions!$M$64</f>
        <v>0.03</v>
      </c>
      <c r="H64" s="335">
        <f>Assumptions!$M$55</f>
        <v>0.05</v>
      </c>
      <c r="J64" s="306"/>
      <c r="L64" s="389" t="s">
        <v>352</v>
      </c>
      <c r="M64" s="390"/>
      <c r="N64" s="390"/>
      <c r="O64" s="391">
        <f ca="1">SUM(P64:T64)</f>
        <v>115033296.52499419</v>
      </c>
      <c r="P64" s="391">
        <f ca="1">'S&amp;U'!H14</f>
        <v>92723732.840709969</v>
      </c>
      <c r="Q64" s="392"/>
      <c r="R64" s="391">
        <f ca="1">'S&amp;U'!I14</f>
        <v>11755627.807668965</v>
      </c>
      <c r="S64" s="392"/>
      <c r="T64" s="391">
        <f ca="1">'S&amp;U'!J14</f>
        <v>10553935.87661525</v>
      </c>
      <c r="U64" s="393"/>
    </row>
    <row r="65" spans="2:21" ht="18.95" customHeight="1">
      <c r="B65" s="819" t="s">
        <v>153</v>
      </c>
      <c r="C65" s="261"/>
      <c r="D65" s="261"/>
      <c r="E65" s="333">
        <f>Assumptions!F76</f>
        <v>4175</v>
      </c>
      <c r="F65" s="394">
        <f>Assumptions!F75</f>
        <v>32.638436482084693</v>
      </c>
      <c r="G65" s="334">
        <f>Assumptions!$M$64</f>
        <v>0.03</v>
      </c>
      <c r="H65" s="335">
        <f>Assumptions!$M$55</f>
        <v>0.05</v>
      </c>
      <c r="J65" s="306"/>
      <c r="L65" s="286"/>
      <c r="M65" s="252"/>
      <c r="N65" s="252"/>
      <c r="O65" s="321"/>
      <c r="P65" s="321"/>
      <c r="Q65" s="324"/>
      <c r="R65" s="321"/>
      <c r="S65" s="324"/>
      <c r="T65" s="321"/>
      <c r="U65" s="325"/>
    </row>
    <row r="66" spans="2:21" ht="18.95" customHeight="1">
      <c r="B66" s="819" t="s">
        <v>181</v>
      </c>
      <c r="C66" s="261"/>
      <c r="D66" s="261"/>
      <c r="E66" s="333">
        <f>Assumptions!F80</f>
        <v>0</v>
      </c>
      <c r="F66" s="394">
        <f>Assumptions!F79</f>
        <v>0</v>
      </c>
      <c r="G66" s="334">
        <f>Assumptions!$M$64</f>
        <v>0.03</v>
      </c>
      <c r="H66" s="335">
        <f>Assumptions!$M$55</f>
        <v>0.05</v>
      </c>
      <c r="J66" s="306"/>
      <c r="L66" s="290" t="s">
        <v>353</v>
      </c>
      <c r="M66" s="261"/>
      <c r="N66" s="261"/>
      <c r="O66" s="321"/>
      <c r="P66" s="336"/>
      <c r="Q66" s="337"/>
      <c r="R66" s="336"/>
      <c r="S66" s="337"/>
      <c r="T66" s="336"/>
      <c r="U66" s="338"/>
    </row>
    <row r="67" spans="2:21" ht="18.95" customHeight="1">
      <c r="B67" s="811" t="s">
        <v>354</v>
      </c>
      <c r="C67" s="812"/>
      <c r="D67" s="812"/>
      <c r="E67" s="339">
        <f>Assumptions!F86</f>
        <v>2116.5081514918434</v>
      </c>
      <c r="F67" s="395">
        <f>Assumptions!F85</f>
        <v>36.191768845319714</v>
      </c>
      <c r="G67" s="339"/>
      <c r="H67" s="340"/>
      <c r="J67" s="306"/>
      <c r="L67" s="320" t="s">
        <v>339</v>
      </c>
      <c r="M67" s="261"/>
      <c r="N67" s="261"/>
      <c r="O67" s="321"/>
      <c r="P67" s="326"/>
      <c r="Q67" s="327"/>
      <c r="R67" s="326"/>
      <c r="S67" s="327"/>
      <c r="T67" s="326"/>
      <c r="U67" s="328"/>
    </row>
    <row r="68" spans="2:21" ht="18.95" customHeight="1">
      <c r="B68" s="820" t="s">
        <v>355</v>
      </c>
      <c r="C68" s="330"/>
      <c r="D68" s="330"/>
      <c r="E68" s="341"/>
      <c r="F68" s="821"/>
      <c r="G68" s="341"/>
      <c r="H68" s="342"/>
      <c r="J68" s="306"/>
      <c r="L68" s="286" t="s">
        <v>356</v>
      </c>
      <c r="M68" s="261"/>
      <c r="N68" s="261"/>
      <c r="O68" s="321">
        <f ca="1">SUM(P68:T68)</f>
        <v>608961248.5413121</v>
      </c>
      <c r="P68" s="321">
        <f ca="1">'S&amp;U'!H17</f>
        <v>239786815.25509921</v>
      </c>
      <c r="Q68" s="322">
        <f t="shared" ref="Q68:Q74" ca="1" si="12">P68/P$75</f>
        <v>0.6</v>
      </c>
      <c r="R68" s="321">
        <f ca="1">'S&amp;U'!I17</f>
        <v>133045986.39422178</v>
      </c>
      <c r="S68" s="322">
        <f t="shared" ref="S68:S74" ca="1" si="13">R68/R$75</f>
        <v>0.6</v>
      </c>
      <c r="T68" s="321">
        <f ca="1">'S&amp;U'!J17</f>
        <v>236128445.69199109</v>
      </c>
      <c r="U68" s="323">
        <f t="shared" ref="U68:U74" ca="1" si="14">T68/T$75</f>
        <v>0.6</v>
      </c>
    </row>
    <row r="69" spans="2:21" ht="18.95" customHeight="1">
      <c r="B69" s="819" t="s">
        <v>145</v>
      </c>
      <c r="C69" s="261"/>
      <c r="D69" s="261"/>
      <c r="E69" s="333">
        <f>Assumptions!F37</f>
        <v>889</v>
      </c>
      <c r="F69" s="394">
        <f>Assumptions!F36</f>
        <v>20.674418604651162</v>
      </c>
      <c r="G69" s="334">
        <f>Assumptions!$M$63</f>
        <v>0.02</v>
      </c>
      <c r="H69" s="335">
        <f>Assumptions!$M$54</f>
        <v>0.02</v>
      </c>
      <c r="J69" s="306"/>
      <c r="L69" s="745" t="s">
        <v>357</v>
      </c>
      <c r="M69" s="261"/>
      <c r="N69" s="261"/>
      <c r="O69" s="321">
        <f ca="1">SUM(P69:T69)</f>
        <v>5000000.0121400682</v>
      </c>
      <c r="P69" s="321">
        <f>'S&amp;U'!H18</f>
        <v>3500000</v>
      </c>
      <c r="Q69" s="322">
        <f t="shared" ca="1" si="12"/>
        <v>8.7577792705820674E-3</v>
      </c>
      <c r="R69" s="321">
        <f>'S&amp;U'!I18</f>
        <v>750000</v>
      </c>
      <c r="S69" s="322">
        <f t="shared" ca="1" si="13"/>
        <v>3.3822891783193516E-3</v>
      </c>
      <c r="T69" s="321">
        <f>'S&amp;U'!J18</f>
        <v>750000</v>
      </c>
      <c r="U69" s="323">
        <f t="shared" ca="1" si="14"/>
        <v>1.9057424389562351E-3</v>
      </c>
    </row>
    <row r="70" spans="2:21" ht="18.95" customHeight="1">
      <c r="B70" s="819" t="s">
        <v>149</v>
      </c>
      <c r="C70" s="261"/>
      <c r="D70" s="261"/>
      <c r="E70" s="333">
        <f>Assumptions!F41</f>
        <v>953</v>
      </c>
      <c r="F70" s="394">
        <f>Assumptions!F40</f>
        <v>15.883333333333333</v>
      </c>
      <c r="G70" s="334">
        <f>Assumptions!$M$63</f>
        <v>0.02</v>
      </c>
      <c r="H70" s="335">
        <f>Assumptions!$M$54</f>
        <v>0.02</v>
      </c>
      <c r="J70" s="307"/>
      <c r="L70" s="745" t="s">
        <v>97</v>
      </c>
      <c r="M70" s="261"/>
      <c r="N70" s="261"/>
      <c r="O70" s="321">
        <f t="shared" ref="O70:O74" ca="1" si="15">SUM(P70:T70)</f>
        <v>40000000.095141649</v>
      </c>
      <c r="P70" s="321">
        <f>'S&amp;U'!H19</f>
        <v>20000000</v>
      </c>
      <c r="Q70" s="322">
        <f t="shared" ca="1" si="12"/>
        <v>5.0044452974754676E-2</v>
      </c>
      <c r="R70" s="321">
        <f>'S&amp;U'!I19</f>
        <v>10000000</v>
      </c>
      <c r="S70" s="322">
        <f t="shared" ca="1" si="13"/>
        <v>4.5097189044258017E-2</v>
      </c>
      <c r="T70" s="321">
        <f>'S&amp;U'!J19</f>
        <v>10000000</v>
      </c>
      <c r="U70" s="323">
        <f t="shared" ca="1" si="14"/>
        <v>2.5409899186083135E-2</v>
      </c>
    </row>
    <row r="71" spans="2:21" ht="38.1" customHeight="1">
      <c r="B71" s="819" t="s">
        <v>150</v>
      </c>
      <c r="C71" s="261"/>
      <c r="D71" s="261"/>
      <c r="E71" s="333">
        <f>Assumptions!F45</f>
        <v>1144</v>
      </c>
      <c r="F71" s="394">
        <f>Assumptions!F44</f>
        <v>13.037037037037036</v>
      </c>
      <c r="G71" s="334">
        <f>Assumptions!$M$63</f>
        <v>0.02</v>
      </c>
      <c r="H71" s="335">
        <f>Assumptions!$M$54</f>
        <v>0.02</v>
      </c>
      <c r="J71" s="306"/>
      <c r="L71" s="286" t="s">
        <v>269</v>
      </c>
      <c r="M71" s="261"/>
      <c r="N71" s="261"/>
      <c r="O71" s="321">
        <f ca="1">SUM(P71:T71)</f>
        <v>61258920.466159448</v>
      </c>
      <c r="P71" s="321">
        <f>'S&amp;U'!H20</f>
        <v>5335733.8687902158</v>
      </c>
      <c r="Q71" s="322">
        <f t="shared" ca="1" si="12"/>
        <v>1.3351194134123889E-2</v>
      </c>
      <c r="R71" s="321">
        <f>'S&amp;U'!I20</f>
        <v>30758147.960353643</v>
      </c>
      <c r="S71" s="322">
        <f t="shared" ca="1" si="13"/>
        <v>0.13871060132193275</v>
      </c>
      <c r="T71" s="321">
        <f>'S&amp;U'!J20</f>
        <v>25165038.484953787</v>
      </c>
      <c r="U71" s="323">
        <f t="shared" ca="1" si="14"/>
        <v>6.3944109091657791E-2</v>
      </c>
    </row>
    <row r="72" spans="2:21" ht="38.1" customHeight="1">
      <c r="B72" s="819" t="s">
        <v>153</v>
      </c>
      <c r="C72" s="261"/>
      <c r="D72" s="261"/>
      <c r="E72" s="333">
        <f>Assumptions!F49</f>
        <v>1321</v>
      </c>
      <c r="F72" s="394">
        <f>Assumptions!F48</f>
        <v>10.327035830618893</v>
      </c>
      <c r="G72" s="334">
        <f>Assumptions!$M$63</f>
        <v>0.02</v>
      </c>
      <c r="H72" s="335">
        <f>Assumptions!$M$54</f>
        <v>0.02</v>
      </c>
      <c r="J72" s="306"/>
      <c r="L72" s="286" t="s">
        <v>101</v>
      </c>
      <c r="M72" s="261"/>
      <c r="N72" s="261"/>
      <c r="O72" s="321">
        <f t="shared" ca="1" si="15"/>
        <v>11076000.013919707</v>
      </c>
      <c r="P72" s="321">
        <f>'S&amp;U'!H21</f>
        <v>5538000</v>
      </c>
      <c r="Q72" s="322">
        <f t="shared" ca="1" si="12"/>
        <v>1.3857309028709569E-2</v>
      </c>
      <c r="R72" s="321">
        <f>'S&amp;U'!I21</f>
        <v>6.2400000000000012E-5</v>
      </c>
      <c r="S72" s="322">
        <f t="shared" ca="1" si="13"/>
        <v>2.814064596361701E-13</v>
      </c>
      <c r="T72" s="321">
        <f>'S&amp;U'!J21</f>
        <v>5538000</v>
      </c>
      <c r="U72" s="323">
        <f t="shared" ca="1" si="14"/>
        <v>1.4072002169252839E-2</v>
      </c>
    </row>
    <row r="73" spans="2:21" ht="18.95" customHeight="1">
      <c r="B73" s="819" t="s">
        <v>154</v>
      </c>
      <c r="C73" s="261"/>
      <c r="D73" s="261"/>
      <c r="E73" s="333">
        <f>Assumptions!F53</f>
        <v>1136</v>
      </c>
      <c r="F73" s="394">
        <f>Assumptions!F52</f>
        <v>0</v>
      </c>
      <c r="G73" s="334">
        <f>Assumptions!$M$63</f>
        <v>0.02</v>
      </c>
      <c r="H73" s="335">
        <f>Assumptions!$M$54</f>
        <v>0.02</v>
      </c>
      <c r="J73" s="306"/>
      <c r="L73" s="645" t="s">
        <v>277</v>
      </c>
      <c r="M73" s="261"/>
      <c r="N73" s="261"/>
      <c r="O73" s="321">
        <v>0</v>
      </c>
      <c r="P73" s="321">
        <v>0</v>
      </c>
      <c r="Q73" s="322">
        <f t="shared" ca="1" si="12"/>
        <v>0</v>
      </c>
      <c r="R73" s="321">
        <v>0</v>
      </c>
      <c r="S73" s="322">
        <f t="shared" ca="1" si="13"/>
        <v>0</v>
      </c>
      <c r="T73" s="321">
        <v>0</v>
      </c>
      <c r="U73" s="323">
        <f t="shared" ca="1" si="14"/>
        <v>0</v>
      </c>
    </row>
    <row r="74" spans="2:21" ht="18.95" customHeight="1">
      <c r="B74" s="811" t="s">
        <v>354</v>
      </c>
      <c r="C74" s="812"/>
      <c r="D74" s="812"/>
      <c r="E74" s="339">
        <f>Assumptions!F58</f>
        <v>966.83049151528019</v>
      </c>
      <c r="F74" s="395">
        <f>Assumptions!F57</f>
        <v>16.532563617514946</v>
      </c>
      <c r="G74" s="339"/>
      <c r="H74" s="340"/>
      <c r="J74" s="306"/>
      <c r="L74" s="286" t="s">
        <v>81</v>
      </c>
      <c r="M74" s="261"/>
      <c r="N74" s="261"/>
      <c r="O74" s="321">
        <f t="shared" ca="1" si="15"/>
        <v>177420785.03975791</v>
      </c>
      <c r="P74" s="321">
        <f ca="1">'S&amp;U'!H23</f>
        <v>64159011.937496722</v>
      </c>
      <c r="Q74" s="322">
        <f t="shared" ca="1" si="12"/>
        <v>0.16054013279063892</v>
      </c>
      <c r="R74" s="321">
        <f ca="1">'S&amp;U'!I23</f>
        <v>36280072.373549581</v>
      </c>
      <c r="S74" s="322">
        <f t="shared" ca="1" si="13"/>
        <v>0.16361292823693283</v>
      </c>
      <c r="T74" s="321">
        <f ca="1">'S&amp;U'!J23</f>
        <v>76981700.404558539</v>
      </c>
      <c r="U74" s="323">
        <f t="shared" ca="1" si="14"/>
        <v>0.19560972464530876</v>
      </c>
    </row>
    <row r="75" spans="2:21" ht="18.95" customHeight="1">
      <c r="J75" s="306"/>
      <c r="L75" s="389" t="s">
        <v>107</v>
      </c>
      <c r="M75" s="390"/>
      <c r="N75" s="390"/>
      <c r="O75" s="391">
        <f ca="1">SUM(P75:T75)</f>
        <v>1014935412.2355201</v>
      </c>
      <c r="P75" s="391">
        <f ca="1">'S&amp;U'!H26</f>
        <v>399644692.09183204</v>
      </c>
      <c r="Q75" s="392"/>
      <c r="R75" s="391">
        <f ca="1">'S&amp;U'!I26</f>
        <v>221743310.6570363</v>
      </c>
      <c r="S75" s="392"/>
      <c r="T75" s="391">
        <f ca="1">'S&amp;U'!J26</f>
        <v>393547409.48665184</v>
      </c>
      <c r="U75" s="393"/>
    </row>
    <row r="76" spans="2:21" ht="18.95" customHeight="1">
      <c r="B76" s="493" t="s">
        <v>358</v>
      </c>
      <c r="C76" s="494"/>
      <c r="D76" s="494"/>
      <c r="E76" s="572" t="s">
        <v>359</v>
      </c>
      <c r="F76" s="572" t="s">
        <v>344</v>
      </c>
      <c r="G76" s="501" t="s">
        <v>345</v>
      </c>
      <c r="H76" s="573" t="s">
        <v>156</v>
      </c>
      <c r="J76" s="306"/>
      <c r="L76" s="320" t="s">
        <v>341</v>
      </c>
      <c r="M76" s="261"/>
      <c r="N76" s="261"/>
      <c r="O76" s="321"/>
      <c r="P76" s="326"/>
      <c r="Q76" s="327"/>
      <c r="R76" s="326"/>
      <c r="S76" s="327"/>
      <c r="T76" s="326"/>
      <c r="U76" s="328"/>
    </row>
    <row r="77" spans="2:21" ht="18.95" customHeight="1">
      <c r="B77" s="495"/>
      <c r="C77" s="496"/>
      <c r="D77" s="571"/>
      <c r="E77" s="499"/>
      <c r="F77" s="499" t="s">
        <v>147</v>
      </c>
      <c r="G77" s="499" t="s">
        <v>347</v>
      </c>
      <c r="H77" s="500" t="s">
        <v>347</v>
      </c>
      <c r="J77" s="306"/>
      <c r="L77" s="286" t="s">
        <v>342</v>
      </c>
      <c r="M77" s="261"/>
      <c r="N77" s="261"/>
      <c r="O77" s="321">
        <f ca="1">SUM(P77:T77)</f>
        <v>69576802.150075167</v>
      </c>
      <c r="P77" s="321">
        <f>'S&amp;U'!H29</f>
        <v>69576802</v>
      </c>
      <c r="Q77" s="322">
        <f t="shared" ref="Q77:Q83" ca="1" si="16">P77/P$84</f>
        <v>0.15007516870828697</v>
      </c>
      <c r="R77" s="321">
        <f>'S&amp;U'!I29</f>
        <v>0</v>
      </c>
      <c r="S77" s="322">
        <f ca="1">R77/R$84</f>
        <v>0</v>
      </c>
      <c r="T77" s="321">
        <f>'S&amp;U'!J29</f>
        <v>0</v>
      </c>
      <c r="U77" s="323">
        <f t="shared" ref="U77:U83" ca="1" si="17">T77/T$84</f>
        <v>0</v>
      </c>
    </row>
    <row r="78" spans="2:21" ht="18.95" customHeight="1">
      <c r="B78" s="284" t="s">
        <v>14</v>
      </c>
      <c r="C78" s="261"/>
      <c r="D78" s="261"/>
      <c r="E78" s="261"/>
      <c r="F78" s="261"/>
      <c r="G78" s="261"/>
      <c r="H78" s="262"/>
      <c r="J78" s="306"/>
      <c r="L78" s="286" t="s">
        <v>90</v>
      </c>
      <c r="M78" s="261"/>
      <c r="N78" s="261"/>
      <c r="O78" s="321">
        <f ca="1">SUM(P78:T78)</f>
        <v>6803368.2258775635</v>
      </c>
      <c r="P78" s="321">
        <f>'S&amp;U'!H30</f>
        <v>4779023.2142857146</v>
      </c>
      <c r="Q78" s="322">
        <f t="shared" ca="1" si="16"/>
        <v>1.0308216165852931E-2</v>
      </c>
      <c r="R78" s="321">
        <f>'S&amp;U'!I30</f>
        <v>372000</v>
      </c>
      <c r="S78" s="322">
        <f ca="1">R78/R$84</f>
        <v>1.2836329108685887E-3</v>
      </c>
      <c r="T78" s="321">
        <f>'S&amp;U'!J30</f>
        <v>1652345</v>
      </c>
      <c r="U78" s="323">
        <f t="shared" ca="1" si="17"/>
        <v>6.2700196423569905E-3</v>
      </c>
    </row>
    <row r="79" spans="2:21" ht="18.95" customHeight="1">
      <c r="B79" s="286" t="str">
        <f>B32</f>
        <v>Conventional Retail</v>
      </c>
      <c r="C79" s="261"/>
      <c r="D79" s="287"/>
      <c r="E79" s="280" t="s">
        <v>360</v>
      </c>
      <c r="F79" s="394">
        <f>Assumptions!F126</f>
        <v>67</v>
      </c>
      <c r="G79" s="343">
        <f>Assumptions!$M$65/Assumptions!$M$66</f>
        <v>0.02</v>
      </c>
      <c r="H79" s="344">
        <f>Assumptions!M56</f>
        <v>0.05</v>
      </c>
      <c r="L79" s="286" t="s">
        <v>28</v>
      </c>
      <c r="M79" s="261"/>
      <c r="N79" s="261"/>
      <c r="O79" s="321">
        <f ca="1">SUM(P79:T79)</f>
        <v>765256838.8849566</v>
      </c>
      <c r="P79" s="321">
        <f ca="1">'S&amp;U'!H31</f>
        <v>317555647.40850002</v>
      </c>
      <c r="Q79" s="322">
        <f t="shared" ca="1" si="16"/>
        <v>0.68495843426520142</v>
      </c>
      <c r="R79" s="321">
        <f ca="1">'S&amp;U'!I31</f>
        <v>243706572.54089999</v>
      </c>
      <c r="S79" s="322">
        <f ca="1">R79/R$84</f>
        <v>0.8409402610443073</v>
      </c>
      <c r="T79" s="321">
        <f ca="1">'S&amp;U'!J31</f>
        <v>203994617.4096579</v>
      </c>
      <c r="U79" s="323">
        <f t="shared" ca="1" si="17"/>
        <v>0.77408184010824266</v>
      </c>
    </row>
    <row r="80" spans="2:21" ht="18.95" customHeight="1">
      <c r="B80" s="286" t="str">
        <f>B33</f>
        <v>Food Hall</v>
      </c>
      <c r="C80" s="261"/>
      <c r="D80" s="287"/>
      <c r="E80" s="280" t="s">
        <v>360</v>
      </c>
      <c r="F80" s="394">
        <f>Assumptions!F134</f>
        <v>30</v>
      </c>
      <c r="G80" s="343">
        <f>Assumptions!$M$65/Assumptions!$M$66</f>
        <v>0.02</v>
      </c>
      <c r="H80" s="344">
        <f>$H$79</f>
        <v>0.05</v>
      </c>
      <c r="L80" s="286" t="s">
        <v>349</v>
      </c>
      <c r="M80" s="261"/>
      <c r="N80" s="261"/>
      <c r="O80" s="321">
        <f ca="1">SUM(P80:T80)</f>
        <v>72437041.637395278</v>
      </c>
      <c r="P80" s="321">
        <f ca="1">'S&amp;U'!H32</f>
        <v>31223273.254157793</v>
      </c>
      <c r="Q80" s="322">
        <f t="shared" ca="1" si="16"/>
        <v>6.734770593857814E-2</v>
      </c>
      <c r="R80" s="321">
        <f ca="1">'S&amp;U'!I32</f>
        <v>22596407.692998927</v>
      </c>
      <c r="S80" s="322">
        <f ca="1">R80/R$84</f>
        <v>7.7971754253058023E-2</v>
      </c>
      <c r="T80" s="321">
        <f ca="1">'S&amp;U'!J32</f>
        <v>18617360.5449191</v>
      </c>
      <c r="U80" s="323">
        <f t="shared" ca="1" si="17"/>
        <v>7.0645789048585372E-2</v>
      </c>
    </row>
    <row r="81" spans="2:32" ht="18.95" customHeight="1">
      <c r="B81" s="308" t="s">
        <v>354</v>
      </c>
      <c r="C81" s="309"/>
      <c r="D81" s="309"/>
      <c r="E81" s="365"/>
      <c r="F81" s="395">
        <f>Assumptions!E138</f>
        <v>65.203810722648328</v>
      </c>
      <c r="G81" s="345">
        <f>+SUMPRODUCT(G79:G80,$F79:$F80)/$F81</f>
        <v>2.9752862271378678E-2</v>
      </c>
      <c r="H81" s="346">
        <f>+SUMPRODUCT(H79:H80,$F79:$F80)/SUM($F79:$F80)</f>
        <v>4.9999999999999996E-2</v>
      </c>
      <c r="L81" s="286" t="s">
        <v>37</v>
      </c>
      <c r="M81" s="261"/>
      <c r="N81" s="261"/>
      <c r="O81" s="321">
        <f t="shared" ref="O81" ca="1" si="18">SUM(P81:T81)</f>
        <v>71801801.934825689</v>
      </c>
      <c r="P81" s="321">
        <f ca="1">'S&amp;U'!H33</f>
        <v>28164860.643364143</v>
      </c>
      <c r="Q81" s="322">
        <f t="shared" ca="1" si="16"/>
        <v>6.0750797553159541E-2</v>
      </c>
      <c r="R81" s="321">
        <f ca="1">'S&amp;U'!I33</f>
        <v>16056189.021147538</v>
      </c>
      <c r="S81" s="322">
        <f t="shared" ref="S81:S83" ca="1" si="19">R81/R$84</f>
        <v>5.5403904974924437E-2</v>
      </c>
      <c r="T81" s="321">
        <f ca="1">'S&amp;U'!J33</f>
        <v>27580752.127430357</v>
      </c>
      <c r="U81" s="323">
        <f t="shared" ca="1" si="17"/>
        <v>0.10465844456815476</v>
      </c>
    </row>
    <row r="82" spans="2:32" ht="18.95" customHeight="1">
      <c r="B82" s="284" t="s">
        <v>137</v>
      </c>
      <c r="C82" s="261"/>
      <c r="D82" s="261"/>
      <c r="E82" s="261"/>
      <c r="F82" s="394"/>
      <c r="G82" s="343"/>
      <c r="H82" s="344"/>
      <c r="L82" s="286" t="s">
        <v>350</v>
      </c>
      <c r="M82" s="261"/>
      <c r="N82" s="261"/>
      <c r="O82" s="321">
        <f ca="1">SUM(P82:T82)</f>
        <v>2000000.0040824732</v>
      </c>
      <c r="P82" s="321">
        <f ca="1">'S&amp;U'!H34</f>
        <v>874250.81025261071</v>
      </c>
      <c r="Q82" s="322">
        <f t="shared" ca="1" si="16"/>
        <v>1.8857339525610438E-3</v>
      </c>
      <c r="R82" s="321">
        <f ca="1">'S&amp;U'!I34</f>
        <v>636620.53881198773</v>
      </c>
      <c r="S82" s="322">
        <f ca="1">R82/R$84</f>
        <v>2.1967394498762396E-3</v>
      </c>
      <c r="T82" s="321">
        <f ca="1">'S&amp;U'!J34</f>
        <v>489128.6509354015</v>
      </c>
      <c r="U82" s="323">
        <f t="shared" ca="1" si="17"/>
        <v>1.8560568458793672E-3</v>
      </c>
    </row>
    <row r="83" spans="2:32" ht="18.95" customHeight="1">
      <c r="B83" s="286" t="str">
        <f>B36</f>
        <v>Conventional Office</v>
      </c>
      <c r="C83" s="261"/>
      <c r="D83" s="287"/>
      <c r="E83" s="280" t="s">
        <v>360</v>
      </c>
      <c r="F83" s="394">
        <f>Assumptions!F161</f>
        <v>43.4</v>
      </c>
      <c r="G83" s="343">
        <f>Assumptions!M70/Assumptions!M71</f>
        <v>0.02</v>
      </c>
      <c r="H83" s="344">
        <f>Assumptions!M58</f>
        <v>0.05</v>
      </c>
      <c r="L83" s="286" t="s">
        <v>351</v>
      </c>
      <c r="M83" s="261"/>
      <c r="N83" s="261"/>
      <c r="O83" s="321">
        <f ca="1">SUM(P83:T83)</f>
        <v>29070719.497218736</v>
      </c>
      <c r="P83" s="321">
        <f ca="1">'S&amp;U'!H35</f>
        <v>11439161.391024234</v>
      </c>
      <c r="Q83" s="322">
        <f t="shared" ca="1" si="16"/>
        <v>2.467394341636002E-2</v>
      </c>
      <c r="R83" s="321">
        <f ca="1">'S&amp;U'!I35</f>
        <v>6434689.4432007801</v>
      </c>
      <c r="S83" s="322">
        <f t="shared" ca="1" si="19"/>
        <v>2.2203707366965579E-2</v>
      </c>
      <c r="T83" s="321">
        <f ca="1">'S&amp;U'!J35</f>
        <v>11196868.616116071</v>
      </c>
      <c r="U83" s="323">
        <f t="shared" ca="1" si="17"/>
        <v>4.2487849786780787E-2</v>
      </c>
    </row>
    <row r="84" spans="2:32" ht="18.95" customHeight="1">
      <c r="B84" s="308" t="s">
        <v>354</v>
      </c>
      <c r="C84" s="309"/>
      <c r="D84" s="309"/>
      <c r="E84" s="365"/>
      <c r="F84" s="395">
        <f>Assumptions!F173</f>
        <v>43.4</v>
      </c>
      <c r="G84" s="345">
        <f>G83</f>
        <v>0.02</v>
      </c>
      <c r="H84" s="347">
        <f>+H83</f>
        <v>0.05</v>
      </c>
      <c r="L84" s="389" t="s">
        <v>352</v>
      </c>
      <c r="M84" s="390"/>
      <c r="N84" s="390"/>
      <c r="O84" s="391">
        <f ca="1">SUM(P84:T84)</f>
        <v>1016946570.3077025</v>
      </c>
      <c r="P84" s="391">
        <f ca="1">'S&amp;U'!H36</f>
        <v>463613018.7215845</v>
      </c>
      <c r="Q84" s="392"/>
      <c r="R84" s="391">
        <f ca="1">'S&amp;U'!I36</f>
        <v>289802479.23705918</v>
      </c>
      <c r="S84" s="392"/>
      <c r="T84" s="391">
        <f ca="1">'S&amp;U'!J36</f>
        <v>263531072.34905884</v>
      </c>
      <c r="U84" s="393"/>
    </row>
    <row r="85" spans="2:32" ht="18.95" customHeight="1">
      <c r="B85" s="284" t="s">
        <v>323</v>
      </c>
      <c r="C85" s="261"/>
      <c r="D85" s="261"/>
      <c r="E85" s="261"/>
      <c r="F85" s="394"/>
      <c r="G85" s="343"/>
      <c r="H85" s="344"/>
      <c r="L85" s="286"/>
      <c r="M85" s="252"/>
      <c r="N85" s="252"/>
      <c r="O85" s="321"/>
      <c r="P85" s="321"/>
      <c r="Q85" s="324"/>
      <c r="R85" s="321"/>
      <c r="S85" s="324"/>
      <c r="T85" s="321"/>
      <c r="U85" s="325"/>
    </row>
    <row r="86" spans="2:32" ht="18.95" customHeight="1">
      <c r="B86" s="286" t="str">
        <f>B39</f>
        <v>Urban Fulfillment Center</v>
      </c>
      <c r="C86" s="261"/>
      <c r="D86" s="287"/>
      <c r="E86" s="280" t="s">
        <v>361</v>
      </c>
      <c r="F86" s="394">
        <f>Assumptions!F211</f>
        <v>8</v>
      </c>
      <c r="G86" s="343">
        <f>Assumptions!M72/Assumptions!M73</f>
        <v>0.02</v>
      </c>
      <c r="H86" s="344">
        <f>Assumptions!M59</f>
        <v>0.05</v>
      </c>
      <c r="L86" s="290" t="s">
        <v>362</v>
      </c>
      <c r="M86" s="261"/>
      <c r="N86" s="261"/>
      <c r="O86" s="321"/>
      <c r="P86" s="336"/>
      <c r="Q86" s="337"/>
      <c r="R86" s="336"/>
      <c r="S86" s="337"/>
      <c r="T86" s="336"/>
      <c r="U86" s="338"/>
    </row>
    <row r="87" spans="2:32" ht="18.95" customHeight="1">
      <c r="B87" s="308" t="s">
        <v>354</v>
      </c>
      <c r="C87" s="309"/>
      <c r="D87" s="309"/>
      <c r="E87" s="311"/>
      <c r="F87" s="395">
        <f>Assumptions!E219</f>
        <v>8.0000000000066009</v>
      </c>
      <c r="G87" s="345">
        <f>+G86</f>
        <v>0.02</v>
      </c>
      <c r="H87" s="347">
        <f>+H86</f>
        <v>0.05</v>
      </c>
      <c r="L87" s="320" t="s">
        <v>339</v>
      </c>
      <c r="M87" s="261"/>
      <c r="N87" s="261"/>
      <c r="O87" s="321"/>
      <c r="P87" s="326"/>
      <c r="Q87" s="327"/>
      <c r="R87" s="326"/>
      <c r="S87" s="327"/>
      <c r="T87" s="326"/>
      <c r="U87" s="328"/>
      <c r="W87" s="261"/>
      <c r="X87" s="261"/>
      <c r="Y87" s="261"/>
      <c r="Z87" s="321"/>
      <c r="AA87" s="321"/>
      <c r="AB87" s="322"/>
      <c r="AC87" s="321"/>
      <c r="AD87" s="322"/>
      <c r="AE87" s="321"/>
      <c r="AF87" s="323"/>
    </row>
    <row r="88" spans="2:32" ht="18.95" customHeight="1">
      <c r="L88" s="286" t="s">
        <v>363</v>
      </c>
      <c r="M88" s="261"/>
      <c r="N88" s="261"/>
      <c r="O88" s="321">
        <f ca="1">SUM(P88:T88)</f>
        <v>645073142.2870481</v>
      </c>
      <c r="P88" s="321">
        <f>'S&amp;U'!R17</f>
        <v>276113580.60639596</v>
      </c>
      <c r="Q88" s="322">
        <f t="shared" ref="Q88:Q95" si="20">P88/P$96</f>
        <v>0.80359797357019458</v>
      </c>
      <c r="R88" s="321">
        <f ca="1">'S&amp;U'!S17</f>
        <v>218865127.930076</v>
      </c>
      <c r="S88" s="322">
        <f t="shared" ref="S88:S95" ca="1" si="21">R88/R$96</f>
        <v>0.77895354010554718</v>
      </c>
      <c r="T88" s="321">
        <f>'S&amp;U'!T17</f>
        <v>150094432.16802457</v>
      </c>
      <c r="U88" s="323">
        <f t="shared" ref="U88:U95" si="22">T88/T$96</f>
        <v>0.70237285753422174</v>
      </c>
    </row>
    <row r="89" spans="2:32" ht="18.95" customHeight="1">
      <c r="B89" s="507" t="s">
        <v>364</v>
      </c>
      <c r="C89" s="508"/>
      <c r="D89" s="508"/>
      <c r="E89" s="574"/>
      <c r="F89" s="876" t="s">
        <v>121</v>
      </c>
      <c r="G89" s="876"/>
      <c r="H89" s="877"/>
      <c r="L89" s="286" t="s">
        <v>262</v>
      </c>
      <c r="M89" s="261"/>
      <c r="N89" s="261"/>
      <c r="O89" s="321">
        <f ca="1">SUM(P89:T89)</f>
        <v>10800000.023290008</v>
      </c>
      <c r="P89" s="321">
        <f>'S&amp;U'!R18</f>
        <v>3600000</v>
      </c>
      <c r="Q89" s="322">
        <f t="shared" si="20"/>
        <v>1.0477400997441875E-2</v>
      </c>
      <c r="R89" s="321">
        <f>'S&amp;U'!S18</f>
        <v>3600000</v>
      </c>
      <c r="S89" s="322">
        <f t="shared" ca="1" si="21"/>
        <v>1.2812606425249611E-2</v>
      </c>
      <c r="T89" s="321">
        <f>'S&amp;U'!T18</f>
        <v>3600000</v>
      </c>
      <c r="U89" s="323">
        <f t="shared" si="22"/>
        <v>1.6846343002867682E-2</v>
      </c>
    </row>
    <row r="90" spans="2:32" ht="18.95" customHeight="1">
      <c r="B90" s="509"/>
      <c r="C90" s="510"/>
      <c r="D90" s="511"/>
      <c r="E90" s="512" t="s">
        <v>199</v>
      </c>
      <c r="F90" s="512" t="s">
        <v>125</v>
      </c>
      <c r="G90" s="512" t="s">
        <v>126</v>
      </c>
      <c r="H90" s="513" t="s">
        <v>127</v>
      </c>
      <c r="L90" s="286" t="s">
        <v>322</v>
      </c>
      <c r="M90" s="261"/>
      <c r="N90" s="261"/>
      <c r="O90" s="321">
        <f t="shared" ref="O90" ca="1" si="23">SUM(P90:T90)</f>
        <v>41574712.988326222</v>
      </c>
      <c r="P90" s="321">
        <f>'S&amp;U'!R19</f>
        <v>2509346.6508854073</v>
      </c>
      <c r="Q90" s="322">
        <f t="shared" si="20"/>
        <v>7.3031753063650543E-3</v>
      </c>
      <c r="R90" s="321">
        <f ca="1">'S&amp;U'!S19</f>
        <v>1.6003243636363636E-4</v>
      </c>
      <c r="S90" s="322">
        <f t="shared" ca="1" si="21"/>
        <v>5.6956461733363242E-13</v>
      </c>
      <c r="T90" s="321">
        <f>'S&amp;U'!T19</f>
        <v>1548760</v>
      </c>
      <c r="U90" s="323">
        <f t="shared" si="22"/>
        <v>7.2474839414225969E-3</v>
      </c>
    </row>
    <row r="91" spans="2:32" ht="18.95" customHeight="1">
      <c r="B91" s="284" t="s">
        <v>16</v>
      </c>
      <c r="C91" s="261"/>
      <c r="D91" s="261"/>
      <c r="E91" s="261"/>
      <c r="F91" s="261"/>
      <c r="G91" s="261"/>
      <c r="H91" s="262"/>
      <c r="L91" s="286" t="s">
        <v>357</v>
      </c>
      <c r="M91" s="261"/>
      <c r="N91" s="261"/>
      <c r="O91" s="321">
        <f t="shared" ref="O91:O96" ca="1" si="24">SUM(P91:T91)</f>
        <v>5000000.0128556555</v>
      </c>
      <c r="P91" s="321">
        <f>'S&amp;U'!R20</f>
        <v>3500000</v>
      </c>
      <c r="Q91" s="322">
        <f t="shared" si="20"/>
        <v>1.0186362080846266E-2</v>
      </c>
      <c r="R91" s="321">
        <f>'S&amp;U'!S20</f>
        <v>750000</v>
      </c>
      <c r="S91" s="322">
        <f t="shared" ca="1" si="21"/>
        <v>2.6692930052603357E-3</v>
      </c>
      <c r="T91" s="321">
        <f>'S&amp;U'!T20</f>
        <v>750000</v>
      </c>
      <c r="U91" s="323">
        <f t="shared" si="22"/>
        <v>3.5096547922641003E-3</v>
      </c>
    </row>
    <row r="92" spans="2:32" ht="18.95" customHeight="1">
      <c r="B92" s="286" t="s">
        <v>365</v>
      </c>
      <c r="C92" s="261"/>
      <c r="D92" s="261"/>
      <c r="E92" s="261"/>
      <c r="F92" s="349" t="s">
        <v>366</v>
      </c>
      <c r="G92" s="349" t="s">
        <v>367</v>
      </c>
      <c r="H92" s="350" t="s">
        <v>368</v>
      </c>
      <c r="L92" s="745" t="s">
        <v>269</v>
      </c>
      <c r="M92" s="261"/>
      <c r="N92" s="261"/>
      <c r="O92" s="321">
        <f t="shared" ca="1" si="24"/>
        <v>61258920.439096719</v>
      </c>
      <c r="P92" s="321">
        <f>'S&amp;U'!R22</f>
        <v>5335733.8687902158</v>
      </c>
      <c r="Q92" s="322">
        <f t="shared" si="20"/>
        <v>1.5529062044151944E-2</v>
      </c>
      <c r="R92" s="321">
        <f>'S&amp;U'!S22</f>
        <v>30758147.960353643</v>
      </c>
      <c r="S92" s="322">
        <f t="shared" ca="1" si="21"/>
        <v>0.10947001227377924</v>
      </c>
      <c r="T92" s="321">
        <f>'S&amp;U'!T22</f>
        <v>25165038.484953787</v>
      </c>
      <c r="U92" s="323">
        <f t="shared" si="22"/>
        <v>0.1177607972216381</v>
      </c>
    </row>
    <row r="93" spans="2:32" ht="18.95" customHeight="1">
      <c r="B93" s="286" t="s">
        <v>200</v>
      </c>
      <c r="C93" s="261"/>
      <c r="D93" s="261"/>
      <c r="E93" s="334">
        <f>Assumptions!E96</f>
        <v>0.76700000000000002</v>
      </c>
      <c r="F93" s="333">
        <f>Assumptions!F97</f>
        <v>199.35</v>
      </c>
      <c r="G93" s="333">
        <f>Assumptions!G97</f>
        <v>199.35</v>
      </c>
      <c r="H93" s="348">
        <f>Assumptions!H97</f>
        <v>199.35</v>
      </c>
      <c r="L93" s="745" t="s">
        <v>101</v>
      </c>
      <c r="M93" s="261"/>
      <c r="N93" s="261"/>
      <c r="O93" s="321">
        <f t="shared" ca="1" si="24"/>
        <v>11076000.016180135</v>
      </c>
      <c r="P93" s="321">
        <f>'S&amp;U'!R23</f>
        <v>5538000</v>
      </c>
      <c r="Q93" s="322">
        <f t="shared" si="20"/>
        <v>1.6117735201064749E-2</v>
      </c>
      <c r="R93" s="321">
        <f>'S&amp;U'!S23</f>
        <v>6.2400000000000012E-5</v>
      </c>
      <c r="S93" s="322">
        <f t="shared" ca="1" si="21"/>
        <v>2.2208517803765996E-13</v>
      </c>
      <c r="T93" s="321">
        <f>'S&amp;U'!T23</f>
        <v>5538000</v>
      </c>
      <c r="U93" s="323">
        <f t="shared" si="22"/>
        <v>2.5915290986078116E-2</v>
      </c>
    </row>
    <row r="94" spans="2:32" ht="18.95" customHeight="1">
      <c r="B94" s="354" t="str">
        <f>Assumptions!B95</f>
        <v>RevPAR</v>
      </c>
      <c r="C94" s="317"/>
      <c r="D94" s="317"/>
      <c r="E94" s="351"/>
      <c r="F94" s="352">
        <f>Assumptions!F95</f>
        <v>152.90145000000001</v>
      </c>
      <c r="G94" s="352">
        <f>Assumptions!G95</f>
        <v>152.90145000000001</v>
      </c>
      <c r="H94" s="353">
        <f>Assumptions!H95</f>
        <v>152.90145000000001</v>
      </c>
      <c r="L94" s="745" t="s">
        <v>97</v>
      </c>
      <c r="M94" s="261"/>
      <c r="N94" s="261"/>
      <c r="O94" s="321">
        <f t="shared" ca="1" si="24"/>
        <v>40000000.093798354</v>
      </c>
      <c r="P94" s="321">
        <f>'S&amp;U'!R24</f>
        <v>20000000</v>
      </c>
      <c r="Q94" s="322">
        <f t="shared" si="20"/>
        <v>5.8207783319121527E-2</v>
      </c>
      <c r="R94" s="321">
        <f>'S&amp;U'!S24</f>
        <v>10000000</v>
      </c>
      <c r="S94" s="322">
        <f t="shared" ca="1" si="21"/>
        <v>3.5590573403471139E-2</v>
      </c>
      <c r="T94" s="321">
        <f>'S&amp;U'!T24</f>
        <v>10000000</v>
      </c>
      <c r="U94" s="323">
        <f t="shared" si="22"/>
        <v>4.6795397230188003E-2</v>
      </c>
    </row>
    <row r="95" spans="2:32" ht="18.95" customHeight="1">
      <c r="G95" s="387"/>
      <c r="H95" s="387"/>
      <c r="L95" s="286" t="s">
        <v>81</v>
      </c>
      <c r="M95" s="261"/>
      <c r="N95" s="261"/>
      <c r="O95" s="321">
        <f t="shared" ca="1" si="24"/>
        <v>21000000.045286126</v>
      </c>
      <c r="P95" s="321">
        <f>'S&amp;U'!R25</f>
        <v>7000000</v>
      </c>
      <c r="Q95" s="322">
        <f t="shared" si="20"/>
        <v>2.0372724161692533E-2</v>
      </c>
      <c r="R95" s="321">
        <f>'S&amp;U'!S25</f>
        <v>7000000</v>
      </c>
      <c r="S95" s="322">
        <f t="shared" ca="1" si="21"/>
        <v>2.4913401382429798E-2</v>
      </c>
      <c r="T95" s="321">
        <f>'S&amp;U'!T25</f>
        <v>7000000</v>
      </c>
      <c r="U95" s="323">
        <f t="shared" si="22"/>
        <v>3.27567780611316E-2</v>
      </c>
    </row>
    <row r="96" spans="2:32" ht="18.95" customHeight="1">
      <c r="B96" s="507" t="s">
        <v>369</v>
      </c>
      <c r="C96" s="508"/>
      <c r="D96" s="508"/>
      <c r="E96" s="572" t="s">
        <v>359</v>
      </c>
      <c r="F96" s="514" t="s">
        <v>370</v>
      </c>
      <c r="G96" s="514" t="s">
        <v>345</v>
      </c>
      <c r="H96" s="515" t="s">
        <v>156</v>
      </c>
      <c r="L96" s="389" t="s">
        <v>107</v>
      </c>
      <c r="M96" s="390"/>
      <c r="N96" s="390"/>
      <c r="O96" s="391">
        <f t="shared" ca="1" si="24"/>
        <v>838266167.66970205</v>
      </c>
      <c r="P96" s="391">
        <f>'S&amp;U'!R26</f>
        <v>343596661.12607157</v>
      </c>
      <c r="Q96" s="392"/>
      <c r="R96" s="391">
        <f ca="1">'S&amp;U'!S26</f>
        <v>280973275.89065206</v>
      </c>
      <c r="S96" s="392"/>
      <c r="T96" s="391">
        <f>'S&amp;U'!T26</f>
        <v>213696230.65297836</v>
      </c>
      <c r="U96" s="393"/>
    </row>
    <row r="97" spans="2:21" ht="18.95" customHeight="1">
      <c r="B97" s="509"/>
      <c r="C97" s="516"/>
      <c r="D97" s="517"/>
      <c r="E97" s="518"/>
      <c r="F97" s="518" t="s">
        <v>371</v>
      </c>
      <c r="G97" s="518" t="s">
        <v>347</v>
      </c>
      <c r="H97" s="513" t="s">
        <v>347</v>
      </c>
      <c r="L97" s="320" t="s">
        <v>341</v>
      </c>
      <c r="M97" s="261"/>
      <c r="N97" s="261"/>
      <c r="O97" s="321"/>
      <c r="P97" s="326"/>
      <c r="Q97" s="327"/>
      <c r="R97" s="326"/>
      <c r="S97" s="327"/>
      <c r="T97" s="326"/>
      <c r="U97" s="328"/>
    </row>
    <row r="98" spans="2:21" ht="18.95" customHeight="1">
      <c r="B98" s="355" t="s">
        <v>335</v>
      </c>
      <c r="C98" s="356"/>
      <c r="D98" s="356"/>
      <c r="E98" s="357"/>
      <c r="F98" s="356"/>
      <c r="G98" s="356"/>
      <c r="H98" s="358"/>
      <c r="L98" s="286" t="s">
        <v>342</v>
      </c>
      <c r="M98" s="261"/>
      <c r="N98" s="261"/>
      <c r="O98" s="321">
        <f t="shared" ref="O98:O103" ca="1" si="25">SUM(P98:T98)</f>
        <v>69576802.150075167</v>
      </c>
      <c r="P98" s="321">
        <f>'S&amp;U'!R29</f>
        <v>69576802</v>
      </c>
      <c r="Q98" s="322">
        <f t="shared" ref="Q98:Q104" ca="1" si="26">P98/P$105</f>
        <v>0.15007516879055985</v>
      </c>
      <c r="R98" s="321">
        <f>'S&amp;U'!S29</f>
        <v>0</v>
      </c>
      <c r="S98" s="322">
        <f ca="1">R98/R$105</f>
        <v>0</v>
      </c>
      <c r="T98" s="321">
        <f>'S&amp;U'!T29</f>
        <v>0</v>
      </c>
      <c r="U98" s="323">
        <f ca="1">T98/T$105</f>
        <v>0</v>
      </c>
    </row>
    <row r="99" spans="2:21" ht="18.95" customHeight="1">
      <c r="B99" s="645" t="s">
        <v>769</v>
      </c>
      <c r="C99" s="356"/>
      <c r="D99" s="359"/>
      <c r="E99" s="360" t="s">
        <v>372</v>
      </c>
      <c r="F99" s="396">
        <v>0</v>
      </c>
      <c r="G99" s="361">
        <f>Assumptions!$M$68/Assumptions!$M$69</f>
        <v>0.01</v>
      </c>
      <c r="H99" s="362">
        <f>Assumptions!$M$57</f>
        <v>0.05</v>
      </c>
      <c r="L99" s="286" t="s">
        <v>90</v>
      </c>
      <c r="M99" s="261"/>
      <c r="N99" s="261"/>
      <c r="O99" s="321">
        <f t="shared" ca="1" si="25"/>
        <v>6803368.2258775635</v>
      </c>
      <c r="P99" s="321">
        <f>'S&amp;U'!R30</f>
        <v>4779023.2142857146</v>
      </c>
      <c r="Q99" s="322">
        <f t="shared" ca="1" si="26"/>
        <v>1.0308216171504009E-2</v>
      </c>
      <c r="R99" s="321">
        <f>'S&amp;U'!S30</f>
        <v>372000</v>
      </c>
      <c r="S99" s="322">
        <f ca="1">R99/R$105</f>
        <v>1.2836329095087771E-3</v>
      </c>
      <c r="T99" s="321">
        <f>'S&amp;U'!T30</f>
        <v>1652345</v>
      </c>
      <c r="U99" s="344">
        <f ca="1">T99/T$105</f>
        <v>6.2700196315295526E-3</v>
      </c>
    </row>
    <row r="100" spans="2:21" ht="18.95" customHeight="1">
      <c r="B100" s="645" t="s">
        <v>464</v>
      </c>
      <c r="C100" s="356"/>
      <c r="D100" s="359"/>
      <c r="E100" s="360" t="s">
        <v>360</v>
      </c>
      <c r="F100" s="396">
        <v>10</v>
      </c>
      <c r="G100" s="361">
        <f>Assumptions!$M$68/Assumptions!$M$69</f>
        <v>0.01</v>
      </c>
      <c r="H100" s="362">
        <f>Assumptions!$M$57</f>
        <v>0.05</v>
      </c>
      <c r="L100" s="286" t="s">
        <v>28</v>
      </c>
      <c r="M100" s="261"/>
      <c r="N100" s="261"/>
      <c r="O100" s="321">
        <f t="shared" ca="1" si="25"/>
        <v>765256838.8849566</v>
      </c>
      <c r="P100" s="321">
        <f ca="1">'S&amp;U'!R31</f>
        <v>317555647.40850002</v>
      </c>
      <c r="Q100" s="322">
        <f t="shared" ca="1" si="26"/>
        <v>0.68495843464070316</v>
      </c>
      <c r="R100" s="321">
        <f ca="1">'S&amp;U'!S31</f>
        <v>243706572.54089999</v>
      </c>
      <c r="S100" s="322">
        <f ca="1">R100/R$105</f>
        <v>0.84094026015346057</v>
      </c>
      <c r="T100" s="321">
        <f ca="1">'S&amp;U'!T31</f>
        <v>203994617.4096579</v>
      </c>
      <c r="U100" s="344">
        <f ca="1">T100/T$105</f>
        <v>0.77408183877151282</v>
      </c>
    </row>
    <row r="101" spans="2:21" ht="18.95" customHeight="1">
      <c r="B101" s="645" t="s">
        <v>464</v>
      </c>
      <c r="C101" s="356"/>
      <c r="D101" s="359"/>
      <c r="E101" s="360" t="s">
        <v>360</v>
      </c>
      <c r="F101" s="396">
        <v>7</v>
      </c>
      <c r="G101" s="361">
        <f>Assumptions!$M$68/Assumptions!$M$69</f>
        <v>0.01</v>
      </c>
      <c r="H101" s="362">
        <f>Assumptions!$M$57</f>
        <v>0.05</v>
      </c>
      <c r="L101" s="286" t="s">
        <v>349</v>
      </c>
      <c r="M101" s="261"/>
      <c r="N101" s="261"/>
      <c r="O101" s="321">
        <f t="shared" ca="1" si="25"/>
        <v>72437042.145319462</v>
      </c>
      <c r="P101" s="321">
        <f>'S&amp;U'!R32</f>
        <v>31223273</v>
      </c>
      <c r="Q101" s="322">
        <f t="shared" ca="1" si="26"/>
        <v>6.734770542728781E-2</v>
      </c>
      <c r="R101" s="321">
        <f>'S&amp;U'!S32</f>
        <v>22596408</v>
      </c>
      <c r="S101" s="322">
        <f ca="1">R101/R$105</f>
        <v>7.7971755229804859E-2</v>
      </c>
      <c r="T101" s="321">
        <f>'S&amp;U'!T32</f>
        <v>18617361</v>
      </c>
      <c r="U101" s="344">
        <f ca="1">T101/T$105</f>
        <v>7.0645790653448684E-2</v>
      </c>
    </row>
    <row r="102" spans="2:21" ht="18.95" customHeight="1">
      <c r="B102" s="308" t="s">
        <v>354</v>
      </c>
      <c r="C102" s="309"/>
      <c r="D102" s="309"/>
      <c r="E102" s="310"/>
      <c r="F102" s="397">
        <f>Assumptions!F155</f>
        <v>10</v>
      </c>
      <c r="G102" s="363">
        <f>Assumptions!$M$68/Assumptions!$M$69</f>
        <v>0.01</v>
      </c>
      <c r="H102" s="364">
        <f>Assumptions!$M$57</f>
        <v>0.05</v>
      </c>
      <c r="L102" s="286" t="s">
        <v>37</v>
      </c>
      <c r="M102" s="261"/>
      <c r="N102" s="261"/>
      <c r="O102" s="321">
        <f t="shared" ca="1" si="25"/>
        <v>71801801.908096731</v>
      </c>
      <c r="P102" s="321">
        <f ca="1">'S&amp;U'!R33</f>
        <v>28164860.643364143</v>
      </c>
      <c r="Q102" s="322">
        <f t="shared" ca="1" si="26"/>
        <v>6.0750797586463796E-2</v>
      </c>
      <c r="R102" s="321">
        <f ca="1">'S&amp;U'!S33</f>
        <v>16056189.021147538</v>
      </c>
      <c r="S102" s="322">
        <f t="shared" ref="S102" ca="1" si="27">R102/R$105</f>
        <v>5.5403904916232524E-2</v>
      </c>
      <c r="T102" s="321">
        <f ca="1">'S&amp;U'!T33</f>
        <v>27580752.127430357</v>
      </c>
      <c r="U102" s="344">
        <f t="shared" ref="U102:U104" ca="1" si="28">T102/T$105</f>
        <v>0.10465844438742443</v>
      </c>
    </row>
    <row r="103" spans="2:21" ht="18.95" customHeight="1">
      <c r="B103" s="355" t="s">
        <v>340</v>
      </c>
      <c r="C103" s="356"/>
      <c r="D103" s="356"/>
      <c r="E103" s="357"/>
      <c r="F103" s="398"/>
      <c r="G103" s="356"/>
      <c r="H103" s="358"/>
      <c r="L103" s="286" t="s">
        <v>350</v>
      </c>
      <c r="M103" s="261"/>
      <c r="N103" s="261"/>
      <c r="O103" s="321">
        <f t="shared" ca="1" si="25"/>
        <v>2000000.0040824732</v>
      </c>
      <c r="P103" s="321">
        <f ca="1">'S&amp;U'!R34</f>
        <v>874250.81025261071</v>
      </c>
      <c r="Q103" s="322">
        <f t="shared" ca="1" si="26"/>
        <v>1.8857339535948239E-3</v>
      </c>
      <c r="R103" s="321">
        <f ca="1">'S&amp;U'!S34</f>
        <v>636620.53881198773</v>
      </c>
      <c r="S103" s="322">
        <f ca="1">R103/R$105</f>
        <v>2.1967394475491324E-3</v>
      </c>
      <c r="T103" s="321">
        <f ca="1">'S&amp;U'!T34</f>
        <v>489128.6509354015</v>
      </c>
      <c r="U103" s="344">
        <f ca="1">T103/T$105</f>
        <v>1.8560568426742197E-3</v>
      </c>
    </row>
    <row r="104" spans="2:21" ht="18.95" customHeight="1">
      <c r="B104" s="332" t="s">
        <v>140</v>
      </c>
      <c r="C104" s="356"/>
      <c r="D104" s="359"/>
      <c r="E104" s="357"/>
      <c r="F104" s="396">
        <v>190</v>
      </c>
      <c r="G104" s="361">
        <f>Assumptions!$M$74</f>
        <v>0.02</v>
      </c>
      <c r="H104" s="362">
        <f>Assumptions!$M$60</f>
        <v>0.1</v>
      </c>
      <c r="L104" s="286" t="s">
        <v>351</v>
      </c>
      <c r="M104" s="261"/>
      <c r="N104" s="261"/>
      <c r="O104" s="321">
        <f t="shared" ref="O104" ca="1" si="29">SUM(P104:T104)</f>
        <v>29070719.507983051</v>
      </c>
      <c r="P104" s="321">
        <f ca="1">'S&amp;U'!R35</f>
        <v>11439161.391024234</v>
      </c>
      <c r="Q104" s="322">
        <f t="shared" ca="1" si="26"/>
        <v>2.4673943429886547E-2</v>
      </c>
      <c r="R104" s="321">
        <f ca="1">'S&amp;U'!S35</f>
        <v>6434689.4432007801</v>
      </c>
      <c r="S104" s="322">
        <f ca="1">R104/R$105</f>
        <v>2.2203707343444169E-2</v>
      </c>
      <c r="T104" s="321">
        <f ca="1">'S&amp;U'!T35</f>
        <v>11196868.616116071</v>
      </c>
      <c r="U104" s="344">
        <f t="shared" ca="1" si="28"/>
        <v>4.2487849713410276E-2</v>
      </c>
    </row>
    <row r="105" spans="2:21" ht="18.95" customHeight="1">
      <c r="B105" s="332" t="s">
        <v>30</v>
      </c>
      <c r="C105" s="356"/>
      <c r="D105" s="359"/>
      <c r="E105" s="357"/>
      <c r="F105" s="396">
        <v>100</v>
      </c>
      <c r="G105" s="361">
        <f>Assumptions!$M$74</f>
        <v>0.02</v>
      </c>
      <c r="H105" s="362">
        <f>Assumptions!$M$60</f>
        <v>0.1</v>
      </c>
      <c r="L105" s="389" t="s">
        <v>352</v>
      </c>
      <c r="M105" s="390"/>
      <c r="N105" s="390"/>
      <c r="O105" s="391">
        <f ca="1">SUM(P105:T105)</f>
        <v>1016946570.8156267</v>
      </c>
      <c r="P105" s="391">
        <f ca="1">'S&amp;U'!R36</f>
        <v>463613018.46742672</v>
      </c>
      <c r="Q105" s="392"/>
      <c r="R105" s="391">
        <f ca="1">'S&amp;U'!S36</f>
        <v>289802479.54406029</v>
      </c>
      <c r="S105" s="392"/>
      <c r="T105" s="391">
        <f ca="1">'S&amp;U'!T36</f>
        <v>263531072.80413973</v>
      </c>
      <c r="U105" s="393"/>
    </row>
    <row r="106" spans="2:21" ht="18.95" customHeight="1">
      <c r="B106" s="308" t="s">
        <v>354</v>
      </c>
      <c r="C106" s="309"/>
      <c r="D106" s="309"/>
      <c r="E106" s="310"/>
      <c r="F106" s="397">
        <f>+F105</f>
        <v>100</v>
      </c>
      <c r="G106" s="363">
        <f>+G105</f>
        <v>0.02</v>
      </c>
      <c r="H106" s="364">
        <f>+H105</f>
        <v>0.1</v>
      </c>
    </row>
    <row r="107" spans="2:21" ht="18.95" customHeight="1"/>
    <row r="108" spans="2:21" ht="18.95" customHeight="1"/>
    <row r="109" spans="2:21" ht="18.95" customHeight="1"/>
    <row r="110" spans="2:21" ht="18.95" customHeight="1"/>
    <row r="111" spans="2:21" ht="18.95" customHeight="1"/>
    <row r="112" spans="2:21" ht="18.95" customHeight="1"/>
    <row r="113" ht="18.95" customHeight="1"/>
    <row r="114" ht="18.95" customHeight="1"/>
    <row r="115" ht="18.95" customHeight="1"/>
    <row r="116" ht="18.95" customHeight="1"/>
    <row r="117" ht="18.95" customHeight="1"/>
    <row r="118" ht="18.95" customHeight="1"/>
    <row r="119" ht="18.95" customHeight="1"/>
    <row r="120" ht="18.95" customHeight="1"/>
    <row r="121" ht="18.95" customHeight="1"/>
    <row r="122" ht="18.95" customHeight="1"/>
    <row r="123" ht="18.95" customHeight="1"/>
    <row r="124" ht="18.95" customHeight="1"/>
    <row r="125" ht="18.95" customHeight="1"/>
    <row r="126" ht="18.95" customHeight="1"/>
    <row r="127" ht="18.95" customHeight="1"/>
    <row r="128" ht="18.95" customHeight="1"/>
    <row r="129" ht="18.95" customHeight="1"/>
    <row r="130" ht="18.95" customHeight="1"/>
    <row r="131" ht="18.95" customHeight="1"/>
    <row r="132" ht="18.95" customHeight="1"/>
    <row r="133" ht="18.95" customHeight="1"/>
  </sheetData>
  <mergeCells count="11">
    <mergeCell ref="D42:D43"/>
    <mergeCell ref="F42:H42"/>
    <mergeCell ref="P50:T50"/>
    <mergeCell ref="E59:F59"/>
    <mergeCell ref="F89:H89"/>
    <mergeCell ref="F29:H29"/>
    <mergeCell ref="F4:H4"/>
    <mergeCell ref="P4:T4"/>
    <mergeCell ref="D12:D13"/>
    <mergeCell ref="F12:H12"/>
    <mergeCell ref="P17:T17"/>
  </mergeCells>
  <phoneticPr fontId="59" type="noConversion"/>
  <pageMargins left="0.7" right="0.7" top="0.75" bottom="0.75" header="0.3" footer="0.3"/>
  <pageSetup paperSize="3" scale="4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3"/>
    <pageSetUpPr fitToPage="1"/>
  </sheetPr>
  <dimension ref="B1:AK80"/>
  <sheetViews>
    <sheetView showGridLines="0" zoomScaleNormal="100" workbookViewId="0">
      <selection activeCell="H42" sqref="H42"/>
    </sheetView>
  </sheetViews>
  <sheetFormatPr defaultColWidth="18.42578125" defaultRowHeight="15" outlineLevelRow="1"/>
  <cols>
    <col min="1" max="16384" width="18.42578125" style="9"/>
  </cols>
  <sheetData>
    <row r="1" spans="2:20">
      <c r="B1" s="8"/>
      <c r="C1" s="21"/>
      <c r="D1" s="21"/>
      <c r="E1" s="21"/>
      <c r="F1" s="21"/>
      <c r="G1" s="21"/>
      <c r="H1" s="25"/>
      <c r="I1" s="25"/>
      <c r="J1" s="25"/>
      <c r="K1" s="21"/>
      <c r="L1" s="21"/>
      <c r="M1" s="21"/>
      <c r="N1" s="21"/>
      <c r="O1" s="21"/>
      <c r="P1" s="21"/>
      <c r="Q1" s="21"/>
      <c r="R1" s="21"/>
      <c r="S1" s="21"/>
      <c r="T1" s="21"/>
    </row>
    <row r="2" spans="2:20" ht="15.75">
      <c r="B2" s="521" t="s">
        <v>373</v>
      </c>
      <c r="C2" s="522"/>
      <c r="D2" s="445"/>
      <c r="E2" s="445"/>
      <c r="F2" s="522"/>
      <c r="G2" s="523" t="s">
        <v>70</v>
      </c>
      <c r="H2" s="524" t="str">
        <f>+Assumptions!F21</f>
        <v>I</v>
      </c>
      <c r="I2" s="524" t="str">
        <f>+Assumptions!G21</f>
        <v>II</v>
      </c>
      <c r="J2" s="524" t="str">
        <f>+Assumptions!H21</f>
        <v>III</v>
      </c>
      <c r="K2" s="21"/>
      <c r="L2" s="21"/>
      <c r="M2" s="21"/>
      <c r="N2" s="21"/>
      <c r="O2" s="21"/>
      <c r="P2" s="21"/>
      <c r="Q2" s="21"/>
      <c r="R2" s="21"/>
      <c r="S2" s="21"/>
      <c r="T2" s="21"/>
    </row>
    <row r="3" spans="2:20">
      <c r="B3" s="15" t="s">
        <v>81</v>
      </c>
      <c r="C3" s="15"/>
      <c r="D3" s="20"/>
      <c r="E3" s="15"/>
      <c r="F3" s="47">
        <f ca="1">+G3/Budget!$G$10</f>
        <v>20.770927166999854</v>
      </c>
      <c r="G3" s="321">
        <f ca="1">F3</f>
        <v>86569818</v>
      </c>
      <c r="H3" s="321">
        <f ca="1">G3</f>
        <v>86569818</v>
      </c>
      <c r="I3" s="16">
        <v>0</v>
      </c>
      <c r="J3" s="16">
        <v>0</v>
      </c>
      <c r="K3" s="16"/>
      <c r="L3" s="21"/>
      <c r="M3" s="21"/>
      <c r="N3" s="21"/>
      <c r="O3" s="21"/>
      <c r="P3" s="21"/>
      <c r="Q3" s="21"/>
      <c r="R3" s="21"/>
      <c r="S3" s="21"/>
      <c r="T3" s="21"/>
    </row>
    <row r="4" spans="2:20" ht="15.75">
      <c r="B4" s="17" t="s">
        <v>107</v>
      </c>
      <c r="C4" s="17"/>
      <c r="D4" s="17"/>
      <c r="E4" s="17"/>
      <c r="F4" s="48">
        <f ca="1">+G4/Budget!$G$10</f>
        <v>20.770927166999854</v>
      </c>
      <c r="G4" s="18">
        <f ca="1">+SUM(G3:G3)</f>
        <v>86569818</v>
      </c>
      <c r="H4" s="18">
        <f ca="1">H3</f>
        <v>86569818</v>
      </c>
      <c r="I4" s="18">
        <v>0</v>
      </c>
      <c r="J4" s="18">
        <v>0</v>
      </c>
      <c r="K4" s="21"/>
      <c r="L4" s="21"/>
      <c r="M4" s="21"/>
      <c r="N4" s="21"/>
      <c r="O4" s="21"/>
      <c r="P4" s="21"/>
      <c r="Q4" s="21"/>
      <c r="R4" s="21"/>
      <c r="S4" s="21"/>
      <c r="T4" s="21"/>
    </row>
    <row r="5" spans="2:20">
      <c r="B5" s="15"/>
      <c r="C5" s="15"/>
      <c r="D5" s="15"/>
      <c r="E5" s="15"/>
      <c r="F5" s="15"/>
      <c r="G5" s="15"/>
      <c r="H5" s="15"/>
      <c r="I5" s="15"/>
      <c r="J5" s="15"/>
      <c r="K5" s="21"/>
      <c r="L5" s="21"/>
      <c r="M5" s="21"/>
      <c r="N5" s="21"/>
      <c r="O5" s="21"/>
      <c r="P5" s="21"/>
      <c r="Q5" s="21"/>
      <c r="R5" s="21"/>
      <c r="S5" s="21"/>
      <c r="T5" s="21"/>
    </row>
    <row r="6" spans="2:20" ht="15.75">
      <c r="B6" s="444" t="s">
        <v>374</v>
      </c>
      <c r="C6" s="445"/>
      <c r="D6" s="445"/>
      <c r="E6" s="522"/>
      <c r="F6" s="522" t="s">
        <v>375</v>
      </c>
      <c r="G6" s="444" t="s">
        <v>70</v>
      </c>
      <c r="H6" s="446" t="str">
        <f>+H$2</f>
        <v>I</v>
      </c>
      <c r="I6" s="446" t="str">
        <f t="shared" ref="I6:J6" si="0">+I$2</f>
        <v>II</v>
      </c>
      <c r="J6" s="446" t="str">
        <f t="shared" si="0"/>
        <v>III</v>
      </c>
      <c r="K6" s="21"/>
      <c r="L6" s="21"/>
      <c r="M6" s="21"/>
      <c r="N6" s="21"/>
      <c r="O6" s="21"/>
      <c r="P6" s="21"/>
      <c r="Q6" s="21"/>
      <c r="R6" s="21"/>
      <c r="S6" s="21"/>
      <c r="T6" s="21"/>
    </row>
    <row r="7" spans="2:20" ht="15.75">
      <c r="B7" s="15" t="s">
        <v>342</v>
      </c>
      <c r="C7" s="15"/>
      <c r="D7" s="20"/>
      <c r="E7" s="15"/>
      <c r="F7" s="47">
        <f ca="1">+G7/Budget!$G$10</f>
        <v>16.693747546688499</v>
      </c>
      <c r="G7" s="26">
        <f t="shared" ref="G7:G13" si="1">+SUM(H7:J7)</f>
        <v>69576802</v>
      </c>
      <c r="H7" s="16">
        <f>+Budget!H25</f>
        <v>69576802</v>
      </c>
      <c r="I7" s="16">
        <f>+Budget!I25</f>
        <v>0</v>
      </c>
      <c r="J7" s="16">
        <f>+Budget!J25</f>
        <v>0</v>
      </c>
      <c r="K7" s="21"/>
      <c r="L7" s="21"/>
      <c r="M7" s="21"/>
      <c r="N7" s="21"/>
      <c r="O7" s="21"/>
      <c r="P7" s="21"/>
      <c r="Q7" s="21"/>
      <c r="R7" s="21"/>
      <c r="S7" s="21"/>
      <c r="T7" s="21"/>
    </row>
    <row r="8" spans="2:20" ht="15.75">
      <c r="B8" s="15" t="s">
        <v>90</v>
      </c>
      <c r="C8" s="15"/>
      <c r="D8" s="20"/>
      <c r="E8" s="15"/>
      <c r="F8" s="47">
        <f ca="1">+G8/Budget!$G$10</f>
        <v>1.6323502686491778</v>
      </c>
      <c r="G8" s="26">
        <f t="shared" si="1"/>
        <v>6803368.2142857146</v>
      </c>
      <c r="H8" s="16">
        <f>+Budget!H31</f>
        <v>4779023.2142857146</v>
      </c>
      <c r="I8" s="16">
        <f>+Budget!I31</f>
        <v>372000</v>
      </c>
      <c r="J8" s="16">
        <f>+Budget!J31</f>
        <v>1652345</v>
      </c>
      <c r="K8" s="21"/>
      <c r="L8" s="21"/>
      <c r="M8" s="21"/>
      <c r="N8" s="21"/>
      <c r="O8" s="21"/>
      <c r="P8" s="21"/>
      <c r="Q8" s="21"/>
      <c r="R8" s="21"/>
      <c r="S8" s="21"/>
      <c r="T8" s="21"/>
    </row>
    <row r="9" spans="2:20" ht="15.75">
      <c r="B9" s="15" t="s">
        <v>346</v>
      </c>
      <c r="C9" s="15"/>
      <c r="D9" s="20"/>
      <c r="E9" s="15"/>
      <c r="F9" s="47">
        <f ca="1">+G9/Budget!$G$10</f>
        <v>0.64477664668187518</v>
      </c>
      <c r="G9" s="26">
        <f>+SUM(H9:J9)</f>
        <v>2687323.32</v>
      </c>
      <c r="H9" s="16">
        <f>+Budget!H34</f>
        <v>2687323.32</v>
      </c>
      <c r="I9" s="16">
        <f>+Budget!I34</f>
        <v>0</v>
      </c>
      <c r="J9" s="16">
        <f>+Budget!J34</f>
        <v>0</v>
      </c>
      <c r="K9" s="21"/>
      <c r="L9" s="21"/>
      <c r="M9" s="21"/>
      <c r="N9" s="21"/>
      <c r="O9" s="21"/>
      <c r="P9" s="21"/>
      <c r="Q9" s="21"/>
      <c r="R9" s="21"/>
      <c r="S9" s="21"/>
      <c r="T9" s="21"/>
    </row>
    <row r="10" spans="2:20" ht="15.75">
      <c r="B10" s="15" t="s">
        <v>349</v>
      </c>
      <c r="C10" s="15"/>
      <c r="D10" s="20"/>
      <c r="E10" s="15"/>
      <c r="F10" s="47">
        <f ca="1">+G10/Budget!$G$10</f>
        <v>8.6293709711007054</v>
      </c>
      <c r="G10" s="26">
        <f ca="1">+SUM(H10:J10)</f>
        <v>35965802.990708478</v>
      </c>
      <c r="H10" s="16">
        <f ca="1">+SUMPRODUCT(Budget!$E$49:$E$63,Budget!H$49:H$63)</f>
        <v>15680584.30642426</v>
      </c>
      <c r="I10" s="16">
        <f ca="1">+SUMPRODUCT(Budget!$E$49:$E$63,Budget!I$49:I$63)</f>
        <v>11383627.807668965</v>
      </c>
      <c r="J10" s="16">
        <f ca="1">+SUMPRODUCT(Budget!$E$49:$E$63,Budget!J$49:J$63)</f>
        <v>8901590.8766152505</v>
      </c>
      <c r="K10" s="16"/>
      <c r="L10" s="21"/>
      <c r="M10" s="21"/>
      <c r="N10" s="21"/>
      <c r="O10" s="21"/>
      <c r="P10" s="21"/>
      <c r="Q10" s="21"/>
      <c r="R10" s="21"/>
      <c r="S10" s="21"/>
      <c r="T10" s="21"/>
    </row>
    <row r="11" spans="2:20" ht="15.75">
      <c r="B11" s="15" t="s">
        <v>37</v>
      </c>
      <c r="C11" s="15"/>
      <c r="D11" s="20"/>
      <c r="E11" s="15"/>
      <c r="F11" s="47">
        <f ca="1">+G11/Budget!$G$10</f>
        <v>0</v>
      </c>
      <c r="G11" s="26">
        <f t="shared" si="1"/>
        <v>0</v>
      </c>
      <c r="H11" s="16">
        <v>0</v>
      </c>
      <c r="I11" s="16">
        <v>0</v>
      </c>
      <c r="J11" s="16">
        <v>0</v>
      </c>
      <c r="K11" s="21"/>
      <c r="L11" s="21"/>
      <c r="M11" s="21"/>
      <c r="N11" s="21"/>
      <c r="O11" s="21"/>
      <c r="P11" s="21"/>
      <c r="Q11" s="21"/>
      <c r="R11" s="21"/>
      <c r="S11" s="21"/>
      <c r="T11" s="21"/>
    </row>
    <row r="12" spans="2:20" ht="15.75">
      <c r="B12" s="15" t="s">
        <v>350</v>
      </c>
      <c r="C12" s="15"/>
      <c r="D12" s="20"/>
      <c r="E12" s="15"/>
      <c r="F12" s="47">
        <f ca="1">+G12/Budget!$G$10</f>
        <v>0</v>
      </c>
      <c r="G12" s="26">
        <f t="shared" si="1"/>
        <v>0</v>
      </c>
      <c r="H12" s="16">
        <v>0</v>
      </c>
      <c r="I12" s="16">
        <v>0</v>
      </c>
      <c r="J12" s="16">
        <v>0</v>
      </c>
      <c r="K12" s="21"/>
      <c r="L12" s="21"/>
      <c r="M12" s="21"/>
      <c r="N12" s="21"/>
      <c r="O12" s="21"/>
      <c r="P12" s="21"/>
      <c r="Q12" s="21"/>
      <c r="R12" s="21"/>
      <c r="S12" s="21"/>
      <c r="T12" s="21"/>
    </row>
    <row r="13" spans="2:20" ht="15.75">
      <c r="B13" s="15" t="s">
        <v>351</v>
      </c>
      <c r="C13" s="15"/>
      <c r="D13" s="24"/>
      <c r="E13" s="15"/>
      <c r="F13" s="47">
        <f ca="1">+G13/Budget!$G$10</f>
        <v>0</v>
      </c>
      <c r="G13" s="26">
        <f t="shared" ca="1" si="1"/>
        <v>0</v>
      </c>
      <c r="H13" s="16">
        <f ca="1">+Budget!$E$79*Budget!H79</f>
        <v>0</v>
      </c>
      <c r="I13" s="16">
        <f ca="1">+Budget!$E$79*Budget!I79</f>
        <v>0</v>
      </c>
      <c r="J13" s="16">
        <f ca="1">+Budget!$E$79*Budget!J79</f>
        <v>0</v>
      </c>
      <c r="K13" s="21"/>
      <c r="L13" s="21"/>
      <c r="M13" s="21"/>
      <c r="N13" s="21"/>
      <c r="O13" s="21"/>
      <c r="P13" s="21"/>
      <c r="Q13" s="21"/>
      <c r="R13" s="21"/>
      <c r="S13" s="21"/>
      <c r="T13" s="21"/>
    </row>
    <row r="14" spans="2:20" ht="15.75">
      <c r="B14" s="17" t="s">
        <v>352</v>
      </c>
      <c r="C14" s="17"/>
      <c r="D14" s="17"/>
      <c r="E14" s="17"/>
      <c r="F14" s="48">
        <f ca="1">+G14/Budget!$G$10</f>
        <v>27.600245433120257</v>
      </c>
      <c r="G14" s="18">
        <f ca="1">+SUM(G7:G13)</f>
        <v>115033296.52499419</v>
      </c>
      <c r="H14" s="18">
        <f t="shared" ref="H14:I14" ca="1" si="2">+SUM(H7:H13)</f>
        <v>92723732.840709969</v>
      </c>
      <c r="I14" s="18">
        <f t="shared" ca="1" si="2"/>
        <v>11755627.807668965</v>
      </c>
      <c r="J14" s="18">
        <f ca="1">+SUM(J7:J13)</f>
        <v>10553935.87661525</v>
      </c>
      <c r="K14" s="21"/>
      <c r="L14" s="21"/>
      <c r="M14" s="21"/>
      <c r="N14" s="21"/>
      <c r="O14" s="21"/>
      <c r="P14" s="21"/>
      <c r="Q14" s="21"/>
      <c r="R14" s="21"/>
      <c r="S14" s="21"/>
      <c r="T14" s="21"/>
    </row>
    <row r="15" spans="2:20">
      <c r="B15" s="15"/>
      <c r="C15" s="15"/>
      <c r="D15" s="15"/>
      <c r="E15" s="15"/>
      <c r="F15" s="15"/>
      <c r="G15" s="15"/>
      <c r="H15" s="15"/>
      <c r="I15" s="15"/>
      <c r="J15" s="15"/>
      <c r="K15" s="21"/>
      <c r="L15" s="21"/>
      <c r="M15" s="21"/>
      <c r="N15" s="21"/>
      <c r="O15" s="21"/>
      <c r="P15" s="21"/>
      <c r="Q15" s="21"/>
      <c r="R15" s="21"/>
      <c r="S15" s="21"/>
      <c r="T15" s="21"/>
    </row>
    <row r="16" spans="2:20" ht="15.75">
      <c r="B16" s="521" t="s">
        <v>376</v>
      </c>
      <c r="C16" s="522"/>
      <c r="D16" s="445"/>
      <c r="E16" s="445"/>
      <c r="F16" s="522"/>
      <c r="G16" s="521" t="s">
        <v>70</v>
      </c>
      <c r="H16" s="446" t="str">
        <f t="shared" ref="H16:J16" si="3">+H$2</f>
        <v>I</v>
      </c>
      <c r="I16" s="446" t="str">
        <f t="shared" si="3"/>
        <v>II</v>
      </c>
      <c r="J16" s="446" t="str">
        <f t="shared" si="3"/>
        <v>III</v>
      </c>
      <c r="K16" s="21"/>
      <c r="L16" s="521" t="s">
        <v>377</v>
      </c>
      <c r="M16" s="522"/>
      <c r="N16" s="445"/>
      <c r="O16" s="445"/>
      <c r="P16" s="522"/>
      <c r="Q16" s="521" t="s">
        <v>70</v>
      </c>
      <c r="R16" s="446" t="str">
        <f>+H$2</f>
        <v>I</v>
      </c>
      <c r="S16" s="446" t="str">
        <f>+I$2</f>
        <v>II</v>
      </c>
      <c r="T16" s="446" t="str">
        <f>+J$2</f>
        <v>III</v>
      </c>
    </row>
    <row r="17" spans="2:20" ht="15.75">
      <c r="B17" s="15" t="s">
        <v>356</v>
      </c>
      <c r="C17" s="15"/>
      <c r="D17" s="20"/>
      <c r="E17" s="15"/>
      <c r="F17" s="47">
        <f ca="1">+G17/Budget!$G$10</f>
        <v>146.10969513707161</v>
      </c>
      <c r="G17" s="13">
        <f ca="1">+SUM(H17:J17)</f>
        <v>600788736.1495024</v>
      </c>
      <c r="H17" s="19">
        <f ca="1">+MIN(Assumptions!N143*Budget!H82,'Loan Sizing'!F64)</f>
        <v>275264056.43924236</v>
      </c>
      <c r="I17" s="19">
        <f ca="1">+MIN(Assumptions!O143*Budget!I82,'Loan Sizing'!G64)</f>
        <v>173881487.54223549</v>
      </c>
      <c r="J17" s="19">
        <f ca="1">+MIN(Assumptions!P143*Budget!J82,'Loan Sizing'!H64)</f>
        <v>151643192.16802457</v>
      </c>
      <c r="K17" s="19"/>
      <c r="L17" s="15" t="s">
        <v>378</v>
      </c>
      <c r="M17" s="15"/>
      <c r="N17" s="20"/>
      <c r="O17" s="15"/>
      <c r="P17" s="47"/>
      <c r="Q17" s="26">
        <f ca="1">0.65*G41</f>
        <v>495670184.12538767</v>
      </c>
      <c r="R17" s="16">
        <f>+'Loan Sizing'!F28</f>
        <v>276113580.60639596</v>
      </c>
      <c r="S17" s="16">
        <f ca="1">+'Loan Sizing'!G28</f>
        <v>350825237.52700692</v>
      </c>
      <c r="T17" s="16">
        <f>+'Loan Sizing'!H28</f>
        <v>150094432.16802457</v>
      </c>
    </row>
    <row r="18" spans="2:20" ht="15.75">
      <c r="B18" s="15" t="s">
        <v>357</v>
      </c>
      <c r="C18" s="15"/>
      <c r="D18" s="20"/>
      <c r="E18" s="15"/>
      <c r="F18" s="47">
        <f ca="1">+G18/Budget!$G$10</f>
        <v>1.1996633264840555</v>
      </c>
      <c r="G18" s="26">
        <v>5000000</v>
      </c>
      <c r="H18" s="825">
        <v>3500000</v>
      </c>
      <c r="I18" s="825">
        <v>750000</v>
      </c>
      <c r="J18" s="825">
        <v>750000</v>
      </c>
      <c r="K18" s="21"/>
      <c r="L18" s="15" t="s">
        <v>262</v>
      </c>
      <c r="M18" s="15"/>
      <c r="N18" s="20"/>
      <c r="O18" s="15"/>
      <c r="P18" s="47">
        <f ca="1">+Q18/Budget!$G$10</f>
        <v>2.5912727852055597</v>
      </c>
      <c r="Q18" s="26">
        <f>SUM(R18:T18)</f>
        <v>10800000</v>
      </c>
      <c r="R18" s="16">
        <v>3600000</v>
      </c>
      <c r="S18" s="16">
        <v>3600000</v>
      </c>
      <c r="T18" s="16">
        <v>3600000</v>
      </c>
    </row>
    <row r="19" spans="2:20" ht="15.75" outlineLevel="1">
      <c r="B19" s="15" t="s">
        <v>97</v>
      </c>
      <c r="C19" s="15"/>
      <c r="D19" s="20"/>
      <c r="E19" s="15"/>
      <c r="F19" s="47">
        <f ca="1">+G19/Budget!$G$10</f>
        <v>9.5973066118724439</v>
      </c>
      <c r="G19" s="26">
        <f t="shared" ref="G19:G23" si="4">+SUM(H19:J19)</f>
        <v>40000000</v>
      </c>
      <c r="H19" s="825">
        <f>+Assumptions!N173</f>
        <v>20000000</v>
      </c>
      <c r="I19" s="825">
        <f>+Assumptions!O173</f>
        <v>10000000</v>
      </c>
      <c r="J19" s="825">
        <f>+Assumptions!P173</f>
        <v>10000000</v>
      </c>
      <c r="K19" s="21"/>
      <c r="L19" s="15" t="s">
        <v>322</v>
      </c>
      <c r="M19" s="15"/>
      <c r="N19" s="20"/>
      <c r="O19" s="15"/>
      <c r="P19" s="47">
        <f ca="1">+Q19/Budget!$G$10</f>
        <v>9.3730574644231339</v>
      </c>
      <c r="Q19" s="26">
        <f t="shared" ref="Q19:Q23" ca="1" si="5">+SUM(R19:T19)</f>
        <v>41574712.981023051</v>
      </c>
      <c r="R19" s="16">
        <f>+'Loan Sizing'!F60</f>
        <v>2509346.6508854073</v>
      </c>
      <c r="S19" s="16">
        <f ca="1">+'Loan Sizing'!G60</f>
        <v>1.096153846153846E-4</v>
      </c>
      <c r="T19" s="16">
        <f>+'Loan Sizing'!H60</f>
        <v>1548760</v>
      </c>
    </row>
    <row r="20" spans="2:20" ht="15.75">
      <c r="B20" s="15" t="s">
        <v>379</v>
      </c>
      <c r="C20" s="15"/>
      <c r="D20" s="20"/>
      <c r="E20" s="15"/>
      <c r="F20" s="47">
        <f ca="1">+G20/Budget!$G$10</f>
        <v>14.698016024166412</v>
      </c>
      <c r="G20" s="26">
        <f t="shared" si="4"/>
        <v>61258920.314097643</v>
      </c>
      <c r="H20" s="7">
        <f>+Assumptions!N176*Assumptions!N177</f>
        <v>5335733.8687902158</v>
      </c>
      <c r="I20" s="7">
        <f>+Assumptions!O176*Assumptions!O177</f>
        <v>30758147.960353643</v>
      </c>
      <c r="J20" s="7">
        <f>+Assumptions!P176*Assumptions!P177</f>
        <v>25165038.484953787</v>
      </c>
      <c r="K20" s="21"/>
      <c r="L20" s="15" t="s">
        <v>357</v>
      </c>
      <c r="M20" s="15"/>
      <c r="N20" s="20"/>
      <c r="O20" s="15"/>
      <c r="P20" s="47">
        <f ca="1">+Q20/Budget!$G$10</f>
        <v>1.1996633264840555</v>
      </c>
      <c r="Q20" s="26">
        <f t="shared" si="5"/>
        <v>5000000</v>
      </c>
      <c r="R20" s="16">
        <f t="shared" ref="R20:T24" si="6">+H18</f>
        <v>3500000</v>
      </c>
      <c r="S20" s="16">
        <f t="shared" si="6"/>
        <v>750000</v>
      </c>
      <c r="T20" s="16">
        <f t="shared" si="6"/>
        <v>750000</v>
      </c>
    </row>
    <row r="21" spans="2:20" ht="15.75">
      <c r="B21" s="15" t="s">
        <v>380</v>
      </c>
      <c r="C21" s="15"/>
      <c r="D21" s="20"/>
      <c r="E21" s="15"/>
      <c r="F21" s="47">
        <f ca="1">+G21/Budget!$G$10</f>
        <v>2.6574942008424514</v>
      </c>
      <c r="G21" s="26">
        <f t="shared" si="4"/>
        <v>11076000.000062399</v>
      </c>
      <c r="H21" s="16">
        <f>+Assumptions!N185*Assumptions!N186+Assumptions!N189*Assumptions!N190</f>
        <v>5538000</v>
      </c>
      <c r="I21" s="16">
        <f>+Assumptions!O185*Assumptions!O186+Assumptions!O189*Assumptions!O190</f>
        <v>6.2400000000000012E-5</v>
      </c>
      <c r="J21" s="16">
        <f>+Assumptions!P185*Assumptions!P186+Assumptions!P189*Assumptions!P190</f>
        <v>5538000</v>
      </c>
      <c r="K21" s="21"/>
      <c r="L21" s="15" t="s">
        <v>794</v>
      </c>
      <c r="M21" s="15"/>
      <c r="N21" s="20"/>
      <c r="O21" s="15"/>
      <c r="P21" s="47">
        <f ca="1">+Q21/Budget!$G$10</f>
        <v>9.5973066118724439</v>
      </c>
      <c r="Q21" s="26">
        <v>40000000</v>
      </c>
      <c r="R21" s="16">
        <v>20000000</v>
      </c>
      <c r="S21" s="16">
        <v>10000000</v>
      </c>
      <c r="T21" s="16">
        <v>10000000</v>
      </c>
    </row>
    <row r="22" spans="2:20" s="21" customFormat="1" ht="15.75">
      <c r="B22" s="693" t="s">
        <v>794</v>
      </c>
      <c r="C22" s="15"/>
      <c r="D22" s="20"/>
      <c r="E22" s="15"/>
      <c r="F22" s="47">
        <f ca="1">+G22/Budget!$G$10</f>
        <v>9.5973066118724439</v>
      </c>
      <c r="G22" s="26">
        <v>40000000</v>
      </c>
      <c r="H22" s="16">
        <v>20000000</v>
      </c>
      <c r="I22" s="16">
        <v>10000000</v>
      </c>
      <c r="J22" s="16">
        <v>10000000</v>
      </c>
      <c r="L22" s="15" t="s">
        <v>379</v>
      </c>
      <c r="M22" s="15"/>
      <c r="N22" s="20"/>
      <c r="O22" s="15"/>
      <c r="P22" s="47">
        <f ca="1">+Q22/Budget!$G$10</f>
        <v>14.698016024166412</v>
      </c>
      <c r="Q22" s="26">
        <f t="shared" si="5"/>
        <v>61258920.314097643</v>
      </c>
      <c r="R22" s="16">
        <f t="shared" si="6"/>
        <v>5335733.8687902158</v>
      </c>
      <c r="S22" s="16">
        <f t="shared" si="6"/>
        <v>30758147.960353643</v>
      </c>
      <c r="T22" s="16">
        <f t="shared" si="6"/>
        <v>25165038.484953787</v>
      </c>
    </row>
    <row r="23" spans="2:20" ht="15.75">
      <c r="B23" s="15" t="s">
        <v>81</v>
      </c>
      <c r="C23" s="15"/>
      <c r="D23" s="20"/>
      <c r="E23" s="15"/>
      <c r="F23" s="47">
        <f ca="1">+G23/Budget!$G$10</f>
        <v>42.569041755866806</v>
      </c>
      <c r="G23" s="26">
        <f t="shared" ca="1" si="4"/>
        <v>177420784.71560484</v>
      </c>
      <c r="H23" s="16">
        <f ca="1">+H36-SUM(H17:H22)</f>
        <v>169452469.59769505</v>
      </c>
      <c r="I23" s="16">
        <f ca="1">SUM(I17:I22)</f>
        <v>225389635.50265154</v>
      </c>
      <c r="J23" s="16">
        <f ca="1">+J36-SUM(J17:J22)</f>
        <v>56674373.295121521</v>
      </c>
      <c r="K23" s="21"/>
      <c r="L23" s="15" t="s">
        <v>380</v>
      </c>
      <c r="M23" s="15"/>
      <c r="N23" s="20"/>
      <c r="O23" s="15"/>
      <c r="P23" s="47">
        <f ca="1">+Q23/Budget!$G$10</f>
        <v>2.6574942008424514</v>
      </c>
      <c r="Q23" s="26">
        <f t="shared" si="5"/>
        <v>11076000.000062399</v>
      </c>
      <c r="R23" s="16">
        <f t="shared" si="6"/>
        <v>5538000</v>
      </c>
      <c r="S23" s="16">
        <f t="shared" si="6"/>
        <v>6.2400000000000012E-5</v>
      </c>
      <c r="T23" s="16">
        <f t="shared" si="6"/>
        <v>5538000</v>
      </c>
    </row>
    <row r="24" spans="2:20" ht="15.75">
      <c r="B24" s="525" t="s">
        <v>464</v>
      </c>
      <c r="C24" s="21"/>
      <c r="D24" s="21"/>
      <c r="E24" s="21"/>
      <c r="F24" s="21"/>
      <c r="G24" s="21"/>
      <c r="H24" s="21"/>
      <c r="I24" s="21"/>
      <c r="J24" s="21"/>
      <c r="K24" s="21"/>
      <c r="L24" s="693" t="s">
        <v>793</v>
      </c>
      <c r="M24" s="15"/>
      <c r="N24" s="20"/>
      <c r="O24" s="15"/>
      <c r="P24" s="47">
        <f ca="1">+Q24/Budget!$G$10</f>
        <v>9.5973066118724439</v>
      </c>
      <c r="Q24" s="26">
        <f t="shared" ref="Q24" si="7">+SUM(R24:T24)</f>
        <v>40000000</v>
      </c>
      <c r="R24" s="16">
        <f t="shared" si="6"/>
        <v>20000000</v>
      </c>
      <c r="S24" s="16">
        <f t="shared" si="6"/>
        <v>10000000</v>
      </c>
      <c r="T24" s="16">
        <f t="shared" si="6"/>
        <v>10000000</v>
      </c>
    </row>
    <row r="25" spans="2:20" ht="15.75">
      <c r="B25" s="15"/>
      <c r="C25" s="15"/>
      <c r="D25" s="15"/>
      <c r="E25" s="15"/>
      <c r="F25" s="15"/>
      <c r="G25" s="15"/>
      <c r="H25" s="15"/>
      <c r="I25" s="15"/>
      <c r="J25" s="15"/>
      <c r="K25" s="21"/>
      <c r="L25" s="15" t="s">
        <v>81</v>
      </c>
      <c r="M25" s="15"/>
      <c r="N25" s="24"/>
      <c r="O25" s="15"/>
      <c r="P25" s="47">
        <f ca="1">+Q25/Budget!$G$10</f>
        <v>0.50385859712330328</v>
      </c>
      <c r="Q25" s="26">
        <v>2100000</v>
      </c>
      <c r="R25" s="16">
        <v>7000000</v>
      </c>
      <c r="S25" s="16">
        <v>7000000</v>
      </c>
      <c r="T25" s="16">
        <v>7000000</v>
      </c>
    </row>
    <row r="26" spans="2:20" ht="15.75">
      <c r="B26" s="17" t="s">
        <v>107</v>
      </c>
      <c r="C26" s="17"/>
      <c r="D26" s="17"/>
      <c r="E26" s="17"/>
      <c r="F26" s="48">
        <f ca="1">+G26/Budget!$G$10</f>
        <v>226.42852366817621</v>
      </c>
      <c r="G26" s="18">
        <f ca="1">+SUM(G17:G23)</f>
        <v>943716952.37107682</v>
      </c>
      <c r="H26" s="18">
        <f ca="1">+SUM(H17:H23)</f>
        <v>358319561.06138617</v>
      </c>
      <c r="I26" s="18">
        <f ca="1">+SUM(I17:I23)</f>
        <v>220834206.72818741</v>
      </c>
      <c r="J26" s="18">
        <f ca="1">+SUM(J17:J23)</f>
        <v>364563184.58150339</v>
      </c>
      <c r="K26" s="21"/>
      <c r="L26" s="17" t="s">
        <v>107</v>
      </c>
      <c r="M26" s="17"/>
      <c r="N26" s="17"/>
      <c r="O26" s="17"/>
      <c r="P26" s="48">
        <f ca="1">+Q26/Budget!$G$10</f>
        <v>169.14544400735517</v>
      </c>
      <c r="Q26" s="18">
        <f t="shared" ref="Q26:S26" ca="1" si="8">+SUM(Q17:Q25)</f>
        <v>704970470.76983917</v>
      </c>
      <c r="R26" s="18">
        <f>+SUM(R17:R25)</f>
        <v>343596661.12607157</v>
      </c>
      <c r="S26" s="18">
        <f t="shared" ca="1" si="8"/>
        <v>280973275.89065206</v>
      </c>
      <c r="T26" s="18">
        <f>+SUM(T17:T25)</f>
        <v>213696230.65297836</v>
      </c>
    </row>
    <row r="28" spans="2:20" ht="15.75">
      <c r="B28" s="444" t="s">
        <v>381</v>
      </c>
      <c r="C28" s="445"/>
      <c r="D28" s="445"/>
      <c r="E28" s="445"/>
      <c r="F28" s="445"/>
      <c r="G28" s="444" t="s">
        <v>70</v>
      </c>
      <c r="H28" s="446" t="str">
        <f>+H$2</f>
        <v>I</v>
      </c>
      <c r="I28" s="446" t="str">
        <f>+I$2</f>
        <v>II</v>
      </c>
      <c r="J28" s="446" t="str">
        <f>+J$2</f>
        <v>III</v>
      </c>
      <c r="K28" s="21"/>
      <c r="L28" s="444" t="s">
        <v>382</v>
      </c>
      <c r="M28" s="445"/>
      <c r="N28" s="445"/>
      <c r="O28" s="445"/>
      <c r="P28" s="445"/>
      <c r="Q28" s="444" t="s">
        <v>70</v>
      </c>
      <c r="R28" s="446" t="str">
        <f>+H$2</f>
        <v>I</v>
      </c>
      <c r="S28" s="446" t="str">
        <f>+I$2</f>
        <v>II</v>
      </c>
      <c r="T28" s="446" t="str">
        <f>+J$2</f>
        <v>III</v>
      </c>
    </row>
    <row r="29" spans="2:20" ht="15.75">
      <c r="B29" s="15" t="s">
        <v>342</v>
      </c>
      <c r="C29" s="15"/>
      <c r="D29" s="20"/>
      <c r="E29" s="15"/>
      <c r="F29" s="47">
        <f ca="1">+G29/Budget!$G$10</f>
        <v>16.693747546688499</v>
      </c>
      <c r="G29" s="26">
        <f t="shared" ref="G29:G35" si="9">+SUM(H29:J29)</f>
        <v>69576802</v>
      </c>
      <c r="H29" s="16">
        <f>+Budget!H25</f>
        <v>69576802</v>
      </c>
      <c r="I29" s="16">
        <f>+Budget!I25</f>
        <v>0</v>
      </c>
      <c r="J29" s="16">
        <f>+Budget!J25</f>
        <v>0</v>
      </c>
      <c r="K29" s="21"/>
      <c r="L29" s="15" t="s">
        <v>342</v>
      </c>
      <c r="M29" s="15"/>
      <c r="N29" s="20"/>
      <c r="O29" s="15"/>
      <c r="P29" s="47">
        <f ca="1">+Q29/Budget!$G$10</f>
        <v>16.693747546688499</v>
      </c>
      <c r="Q29" s="26">
        <f t="shared" ref="Q29:Q35" si="10">+SUM(R29:T29)</f>
        <v>69576802</v>
      </c>
      <c r="R29" s="16">
        <f t="shared" ref="R29:T35" si="11">+H29</f>
        <v>69576802</v>
      </c>
      <c r="S29" s="16">
        <f t="shared" si="11"/>
        <v>0</v>
      </c>
      <c r="T29" s="16">
        <f t="shared" si="11"/>
        <v>0</v>
      </c>
    </row>
    <row r="30" spans="2:20" ht="15.75">
      <c r="B30" s="15" t="s">
        <v>90</v>
      </c>
      <c r="C30" s="15"/>
      <c r="D30" s="20"/>
      <c r="E30" s="15"/>
      <c r="F30" s="47">
        <f ca="1">+G30/Budget!$G$10</f>
        <v>1.6323502686491778</v>
      </c>
      <c r="G30" s="26">
        <f t="shared" si="9"/>
        <v>6803368.2142857146</v>
      </c>
      <c r="H30" s="16">
        <f>+Budget!H31</f>
        <v>4779023.2142857146</v>
      </c>
      <c r="I30" s="16">
        <f>+Budget!I31</f>
        <v>372000</v>
      </c>
      <c r="J30" s="16">
        <f>+Budget!J31</f>
        <v>1652345</v>
      </c>
      <c r="K30" s="21"/>
      <c r="L30" s="15" t="s">
        <v>90</v>
      </c>
      <c r="M30" s="15"/>
      <c r="N30" s="20"/>
      <c r="O30" s="15"/>
      <c r="P30" s="47">
        <f ca="1">+Q30/Budget!$G$10</f>
        <v>1.6323502686491778</v>
      </c>
      <c r="Q30" s="26">
        <f t="shared" si="10"/>
        <v>6803368.2142857146</v>
      </c>
      <c r="R30" s="16">
        <f t="shared" si="11"/>
        <v>4779023.2142857146</v>
      </c>
      <c r="S30" s="16">
        <f t="shared" si="11"/>
        <v>372000</v>
      </c>
      <c r="T30" s="16">
        <f t="shared" si="11"/>
        <v>1652345</v>
      </c>
    </row>
    <row r="31" spans="2:20" ht="15.75">
      <c r="B31" s="15" t="s">
        <v>28</v>
      </c>
      <c r="C31" s="15"/>
      <c r="D31" s="20"/>
      <c r="E31" s="15"/>
      <c r="F31" s="47">
        <f ca="1">+G31/Budget!$G$10</f>
        <v>183.61011262416704</v>
      </c>
      <c r="G31" s="26">
        <f t="shared" ca="1" si="9"/>
        <v>765256837.3590579</v>
      </c>
      <c r="H31" s="16">
        <f ca="1">+Budget!H45</f>
        <v>317555647.40850002</v>
      </c>
      <c r="I31" s="16">
        <f ca="1">+Budget!I45</f>
        <v>243706572.54089999</v>
      </c>
      <c r="J31" s="16">
        <f ca="1">+Budget!J45</f>
        <v>203994617.4096579</v>
      </c>
      <c r="K31" s="21"/>
      <c r="L31" s="15" t="s">
        <v>28</v>
      </c>
      <c r="M31" s="15"/>
      <c r="N31" s="20"/>
      <c r="O31" s="15"/>
      <c r="P31" s="47">
        <f ca="1">+Q31/Budget!$G$10</f>
        <v>183.61011262416704</v>
      </c>
      <c r="Q31" s="26">
        <f t="shared" ca="1" si="10"/>
        <v>765256837.3590579</v>
      </c>
      <c r="R31" s="16">
        <f t="shared" ca="1" si="11"/>
        <v>317555647.40850002</v>
      </c>
      <c r="S31" s="16">
        <f t="shared" ca="1" si="11"/>
        <v>243706572.54089999</v>
      </c>
      <c r="T31" s="16">
        <f t="shared" ca="1" si="11"/>
        <v>203994617.4096579</v>
      </c>
    </row>
    <row r="32" spans="2:20" ht="15.75">
      <c r="B32" s="15" t="s">
        <v>349</v>
      </c>
      <c r="C32" s="15"/>
      <c r="D32" s="20"/>
      <c r="E32" s="15"/>
      <c r="F32" s="47">
        <f ca="1">+G32/Budget!$G$10</f>
        <v>17.380012431409444</v>
      </c>
      <c r="G32" s="26">
        <f ca="1">+SUM(H32:J32)</f>
        <v>72437041.492075816</v>
      </c>
      <c r="H32" s="16">
        <f ca="1">+Budget!H64</f>
        <v>31223273.254157793</v>
      </c>
      <c r="I32" s="16">
        <f ca="1">+Budget!I64</f>
        <v>22638868.187490463</v>
      </c>
      <c r="J32" s="16">
        <f ca="1">+Budget!J64</f>
        <v>18617360.5449191</v>
      </c>
      <c r="K32" s="21"/>
      <c r="L32" s="15" t="s">
        <v>349</v>
      </c>
      <c r="M32" s="15"/>
      <c r="N32" s="20"/>
      <c r="O32" s="15"/>
      <c r="P32" s="47">
        <f ca="1">+Q32/Budget!$G$10</f>
        <v>17.380012313344384</v>
      </c>
      <c r="Q32" s="704">
        <v>72437041</v>
      </c>
      <c r="R32" s="676">
        <v>31223273</v>
      </c>
      <c r="S32" s="676">
        <v>22596408</v>
      </c>
      <c r="T32" s="676">
        <v>18617361</v>
      </c>
    </row>
    <row r="33" spans="2:37" ht="15.75">
      <c r="B33" s="15" t="s">
        <v>37</v>
      </c>
      <c r="C33" s="15"/>
      <c r="D33" s="20"/>
      <c r="E33" s="15"/>
      <c r="F33" s="47">
        <f ca="1">+G33/Budget!$G$10</f>
        <v>17.227597677054</v>
      </c>
      <c r="G33" s="26">
        <f t="shared" ca="1" si="9"/>
        <v>71801801.79194203</v>
      </c>
      <c r="H33" s="16">
        <f ca="1">+Budget!H71</f>
        <v>28164860.643364143</v>
      </c>
      <c r="I33" s="16">
        <f ca="1">+Budget!I71</f>
        <v>16056189.021147538</v>
      </c>
      <c r="J33" s="16">
        <f ca="1">+Budget!J71</f>
        <v>27580752.127430357</v>
      </c>
      <c r="K33" s="21"/>
      <c r="L33" s="15" t="s">
        <v>37</v>
      </c>
      <c r="M33" s="15"/>
      <c r="N33" s="20"/>
      <c r="O33" s="15"/>
      <c r="P33" s="47">
        <f ca="1">+Q33/Budget!$G$10</f>
        <v>17.227597677054</v>
      </c>
      <c r="Q33" s="26">
        <f t="shared" ca="1" si="10"/>
        <v>71801801.79194203</v>
      </c>
      <c r="R33" s="16">
        <f t="shared" ca="1" si="11"/>
        <v>28164860.643364143</v>
      </c>
      <c r="S33" s="16">
        <f t="shared" ca="1" si="11"/>
        <v>16056189.021147538</v>
      </c>
      <c r="T33" s="16">
        <f t="shared" ca="1" si="11"/>
        <v>27580752.127430357</v>
      </c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</row>
    <row r="34" spans="2:37" ht="15.75">
      <c r="B34" s="15" t="s">
        <v>350</v>
      </c>
      <c r="C34" s="15"/>
      <c r="D34" s="20"/>
      <c r="E34" s="15"/>
      <c r="F34" s="47">
        <f ca="1">+G34/Budget!$G$10</f>
        <v>0.47986533059362213</v>
      </c>
      <c r="G34" s="26">
        <f t="shared" ca="1" si="9"/>
        <v>1999999.9999999998</v>
      </c>
      <c r="H34" s="16">
        <f ca="1">+Budget!H76</f>
        <v>874250.81025261071</v>
      </c>
      <c r="I34" s="16">
        <f ca="1">+Budget!I76</f>
        <v>636620.53881198773</v>
      </c>
      <c r="J34" s="16">
        <f ca="1">+Budget!J76</f>
        <v>489128.6509354015</v>
      </c>
      <c r="K34" s="21"/>
      <c r="L34" s="15" t="s">
        <v>350</v>
      </c>
      <c r="M34" s="15"/>
      <c r="N34" s="20"/>
      <c r="O34" s="15"/>
      <c r="P34" s="47">
        <f ca="1">+Q34/Budget!$G$10</f>
        <v>0.47986533059362213</v>
      </c>
      <c r="Q34" s="26">
        <f t="shared" ca="1" si="10"/>
        <v>1999999.9999999998</v>
      </c>
      <c r="R34" s="16">
        <f t="shared" ca="1" si="11"/>
        <v>874250.81025261071</v>
      </c>
      <c r="S34" s="16">
        <f t="shared" ca="1" si="11"/>
        <v>636620.53881198773</v>
      </c>
      <c r="T34" s="16">
        <f t="shared" ca="1" si="11"/>
        <v>489128.6509354015</v>
      </c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</row>
    <row r="35" spans="2:37" ht="15.75">
      <c r="B35" s="15" t="s">
        <v>351</v>
      </c>
      <c r="C35" s="15"/>
      <c r="D35" s="24"/>
      <c r="E35" s="15"/>
      <c r="F35" s="47">
        <f ca="1">+G35/Budget!$G$10</f>
        <v>6.9750151998161831</v>
      </c>
      <c r="G35" s="26">
        <f t="shared" ca="1" si="9"/>
        <v>29070719.450341083</v>
      </c>
      <c r="H35" s="16">
        <f ca="1">+Budget!H80</f>
        <v>11439161.391024234</v>
      </c>
      <c r="I35" s="16">
        <f ca="1">+Budget!I80</f>
        <v>6434689.4432007801</v>
      </c>
      <c r="J35" s="16">
        <f ca="1">+Budget!J80</f>
        <v>7436400.2151571354</v>
      </c>
      <c r="K35" s="21"/>
      <c r="L35" s="15" t="s">
        <v>351</v>
      </c>
      <c r="M35" s="15"/>
      <c r="N35" s="24"/>
      <c r="O35" s="15"/>
      <c r="P35" s="47">
        <f ca="1">+Q35/Budget!$G$10</f>
        <v>6.9750151998161831</v>
      </c>
      <c r="Q35" s="26">
        <f t="shared" ca="1" si="10"/>
        <v>29070719.450341083</v>
      </c>
      <c r="R35" s="16">
        <f t="shared" ca="1" si="11"/>
        <v>11439161.391024234</v>
      </c>
      <c r="S35" s="16">
        <f t="shared" ca="1" si="11"/>
        <v>6434689.4432007801</v>
      </c>
      <c r="T35" s="16">
        <f t="shared" ca="1" si="11"/>
        <v>11196868.616116071</v>
      </c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</row>
    <row r="36" spans="2:37" ht="15.75">
      <c r="B36" s="17" t="s">
        <v>352</v>
      </c>
      <c r="C36" s="17"/>
      <c r="D36" s="17"/>
      <c r="E36" s="17"/>
      <c r="F36" s="48">
        <f ca="1">+G36/Budget!$G$10</f>
        <v>243.99870107837796</v>
      </c>
      <c r="G36" s="18">
        <f ca="1">+SUM(G29:G35)</f>
        <v>1016946570.3077025</v>
      </c>
      <c r="H36" s="18">
        <f ca="1">+SUM(H29:H35)</f>
        <v>463613018.7215845</v>
      </c>
      <c r="I36" s="18">
        <f ca="1">+SUM(I29:I35)</f>
        <v>289844939.73155075</v>
      </c>
      <c r="J36" s="18">
        <f ca="1">+SUM(J29:J35)</f>
        <v>259770603.94809988</v>
      </c>
      <c r="K36" s="21"/>
      <c r="L36" s="17" t="s">
        <v>352</v>
      </c>
      <c r="M36" s="17"/>
      <c r="N36" s="17"/>
      <c r="O36" s="17"/>
      <c r="P36" s="48">
        <f ca="1">+Q36/Budget!$G$10</f>
        <v>243.9987009603129</v>
      </c>
      <c r="Q36" s="18">
        <f ca="1">+SUM(Q29:Q35)</f>
        <v>1016946569.8156267</v>
      </c>
      <c r="R36" s="18">
        <f ca="1">+SUM(R29:R35)</f>
        <v>463613018.46742672</v>
      </c>
      <c r="S36" s="18">
        <f ca="1">+SUM(S29:S35)</f>
        <v>289802479.54406029</v>
      </c>
      <c r="T36" s="18">
        <f ca="1">+SUM(T29:T35)</f>
        <v>263531072.80413973</v>
      </c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</row>
    <row r="38" spans="2:37">
      <c r="B38" s="694" t="s">
        <v>383</v>
      </c>
      <c r="C38" s="695"/>
      <c r="D38" s="695"/>
      <c r="E38" s="695"/>
      <c r="F38" s="695"/>
      <c r="G38" s="694" t="s">
        <v>70</v>
      </c>
      <c r="H38" s="696" t="str">
        <f>+H$2</f>
        <v>I</v>
      </c>
      <c r="I38" s="696" t="str">
        <f>+I$2</f>
        <v>II</v>
      </c>
      <c r="J38" s="696" t="str">
        <f>+J$2</f>
        <v>III</v>
      </c>
      <c r="K38" s="16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</row>
    <row r="39" spans="2:37" s="21" customFormat="1">
      <c r="B39" s="8" t="s">
        <v>342</v>
      </c>
      <c r="C39" s="8"/>
      <c r="D39" s="91"/>
      <c r="E39" s="8"/>
      <c r="F39" s="47">
        <f ca="1">+G39/Budget!$G$10</f>
        <v>0</v>
      </c>
      <c r="G39" s="92">
        <f t="shared" ref="G39:G45" si="12">+SUM(H39:J39)</f>
        <v>0</v>
      </c>
      <c r="H39" s="93">
        <f t="shared" ref="H39:J45" si="13">+H29-H7</f>
        <v>0</v>
      </c>
      <c r="I39" s="93">
        <f t="shared" si="13"/>
        <v>0</v>
      </c>
      <c r="J39" s="93">
        <f t="shared" si="13"/>
        <v>0</v>
      </c>
      <c r="K39" s="16"/>
    </row>
    <row r="40" spans="2:37" s="21" customFormat="1">
      <c r="B40" s="8" t="s">
        <v>90</v>
      </c>
      <c r="C40" s="8"/>
      <c r="D40" s="91"/>
      <c r="E40" s="8"/>
      <c r="F40" s="47">
        <f ca="1">+G40/Budget!$G$10</f>
        <v>0</v>
      </c>
      <c r="G40" s="92">
        <f t="shared" si="12"/>
        <v>0</v>
      </c>
      <c r="H40" s="93">
        <f t="shared" si="13"/>
        <v>0</v>
      </c>
      <c r="I40" s="93">
        <f t="shared" si="13"/>
        <v>0</v>
      </c>
      <c r="J40" s="93">
        <f t="shared" si="13"/>
        <v>0</v>
      </c>
      <c r="K40" s="16"/>
    </row>
    <row r="41" spans="2:37">
      <c r="B41" s="8" t="s">
        <v>28</v>
      </c>
      <c r="C41" s="8"/>
      <c r="D41" s="91"/>
      <c r="E41" s="8"/>
      <c r="F41" s="47">
        <f ca="1">+G41/Budget!$G$10</f>
        <v>182.96533597748518</v>
      </c>
      <c r="G41" s="92">
        <f t="shared" ca="1" si="12"/>
        <v>762569514.03905797</v>
      </c>
      <c r="H41" s="93">
        <f t="shared" ca="1" si="13"/>
        <v>314868324.08850002</v>
      </c>
      <c r="I41" s="93">
        <f t="shared" ca="1" si="13"/>
        <v>243706572.54089999</v>
      </c>
      <c r="J41" s="93">
        <f t="shared" ca="1" si="13"/>
        <v>203994617.4096579</v>
      </c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</row>
    <row r="42" spans="2:37" ht="15.75" outlineLevel="1">
      <c r="B42" s="8" t="s">
        <v>349</v>
      </c>
      <c r="C42" s="8"/>
      <c r="D42" s="91"/>
      <c r="E42" s="8"/>
      <c r="F42" s="47">
        <f ca="1">+G42/Budget!$G$10</f>
        <v>17.380012431409448</v>
      </c>
      <c r="G42" s="703">
        <f ca="1">+SUM(G27:G41)</f>
        <v>2796462654.6544628</v>
      </c>
      <c r="H42" s="160">
        <f ca="1">+SUM(H27:H41)</f>
        <v>1242094361.5316691</v>
      </c>
      <c r="I42" s="160">
        <f ca="1">+SUM(I27:I41)</f>
        <v>823311531.01501834</v>
      </c>
      <c r="J42" s="160">
        <f ca="1">+SUM(J27:J41)</f>
        <v>731056762.10777557</v>
      </c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</row>
    <row r="43" spans="2:37">
      <c r="B43" s="8" t="s">
        <v>37</v>
      </c>
      <c r="C43" s="8"/>
      <c r="D43" s="91"/>
      <c r="E43" s="8"/>
      <c r="F43" s="47">
        <f ca="1">+G43/Budget!$G$10</f>
        <v>17.227597677054</v>
      </c>
      <c r="G43" s="92">
        <f t="shared" ca="1" si="12"/>
        <v>71801801.79194203</v>
      </c>
      <c r="H43" s="93">
        <f t="shared" ca="1" si="13"/>
        <v>28164860.643364143</v>
      </c>
      <c r="I43" s="93">
        <f t="shared" ca="1" si="13"/>
        <v>16056189.021147538</v>
      </c>
      <c r="J43" s="93">
        <f t="shared" ca="1" si="13"/>
        <v>27580752.127430357</v>
      </c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</row>
    <row r="44" spans="2:37">
      <c r="B44" s="8" t="s">
        <v>350</v>
      </c>
      <c r="C44" s="8"/>
      <c r="D44" s="91"/>
      <c r="E44" s="8"/>
      <c r="F44" s="47">
        <f ca="1">+G44/Budget!$G$10</f>
        <v>0.47986533059362213</v>
      </c>
      <c r="G44" s="92">
        <f t="shared" ca="1" si="12"/>
        <v>1999999.9999999998</v>
      </c>
      <c r="H44" s="93">
        <f t="shared" ca="1" si="13"/>
        <v>874250.81025261071</v>
      </c>
      <c r="I44" s="93">
        <f t="shared" ca="1" si="13"/>
        <v>636620.53881198773</v>
      </c>
      <c r="J44" s="93">
        <f t="shared" ca="1" si="13"/>
        <v>489128.6509354015</v>
      </c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</row>
    <row r="45" spans="2:37" s="21" customFormat="1">
      <c r="B45" s="8" t="s">
        <v>351</v>
      </c>
      <c r="C45" s="8"/>
      <c r="D45" s="94"/>
      <c r="E45" s="8"/>
      <c r="F45" s="47">
        <f ca="1">+G45/Budget!$G$10</f>
        <v>6.9750151998161831</v>
      </c>
      <c r="G45" s="92">
        <f t="shared" ca="1" si="12"/>
        <v>29070719.450341083</v>
      </c>
      <c r="H45" s="93">
        <f t="shared" ca="1" si="13"/>
        <v>11439161.391024234</v>
      </c>
      <c r="I45" s="93">
        <f t="shared" ca="1" si="13"/>
        <v>6434689.4432007801</v>
      </c>
      <c r="J45" s="93">
        <f t="shared" ca="1" si="13"/>
        <v>11196868.616116071</v>
      </c>
    </row>
    <row r="46" spans="2:37" ht="15.75">
      <c r="B46" s="95" t="s">
        <v>352</v>
      </c>
      <c r="C46" s="95"/>
      <c r="D46" s="95"/>
      <c r="E46" s="95"/>
      <c r="F46" s="48">
        <f ca="1">+G46/Budget!$G$10</f>
        <v>878.61055231919011</v>
      </c>
      <c r="G46" s="96">
        <f ca="1">+SUM(G39:G45)</f>
        <v>3661904689.9358039</v>
      </c>
      <c r="H46" s="96">
        <f ca="1">+SUM(H39:H45)</f>
        <v>1597440958.4648104</v>
      </c>
      <c r="I46" s="96">
        <f ca="1">+SUM(I39:I45)</f>
        <v>289430479.23705918</v>
      </c>
      <c r="J46" s="96">
        <f ca="1">SUM(J39:J45)</f>
        <v>261878727.34905884</v>
      </c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54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</row>
    <row r="48" spans="2:37" ht="24" customHeight="1">
      <c r="B48" s="15"/>
      <c r="C48" s="15"/>
      <c r="D48" s="15"/>
      <c r="E48" s="15"/>
      <c r="F48" s="15"/>
      <c r="G48" s="15"/>
      <c r="H48" s="15"/>
      <c r="I48" s="15"/>
      <c r="J48" s="15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367"/>
      <c r="V48" s="367"/>
      <c r="W48" s="367"/>
      <c r="X48" s="878" t="s">
        <v>353</v>
      </c>
      <c r="Y48" s="878"/>
      <c r="Z48" s="878"/>
      <c r="AA48" s="367"/>
      <c r="AB48" s="367"/>
      <c r="AC48" s="878" t="s">
        <v>362</v>
      </c>
      <c r="AD48" s="878"/>
      <c r="AE48" s="878"/>
      <c r="AF48" s="367"/>
      <c r="AG48" s="367"/>
      <c r="AH48" s="367"/>
      <c r="AI48" s="367"/>
      <c r="AJ48" s="367"/>
      <c r="AK48" s="367"/>
    </row>
    <row r="49" spans="2:37" s="100" customFormat="1" ht="3.95" customHeight="1">
      <c r="B49" s="244"/>
      <c r="C49" s="244"/>
      <c r="D49" s="244"/>
      <c r="E49" s="244"/>
      <c r="F49" s="244"/>
      <c r="G49" s="244"/>
      <c r="H49" s="244"/>
      <c r="I49" s="244"/>
      <c r="J49" s="244"/>
      <c r="U49" s="368"/>
      <c r="V49" s="368"/>
      <c r="W49" s="368"/>
      <c r="X49" s="369"/>
      <c r="Y49" s="369"/>
      <c r="Z49" s="369"/>
      <c r="AA49" s="368"/>
      <c r="AB49" s="368"/>
      <c r="AC49" s="369"/>
      <c r="AD49" s="369"/>
      <c r="AE49" s="369"/>
      <c r="AF49" s="368"/>
      <c r="AG49" s="368"/>
      <c r="AH49" s="368"/>
      <c r="AI49" s="368"/>
      <c r="AJ49" s="368"/>
      <c r="AK49" s="368"/>
    </row>
    <row r="50" spans="2:37" ht="24" customHeight="1"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378" t="s">
        <v>384</v>
      </c>
      <c r="V50" s="379"/>
      <c r="W50" s="380" t="s">
        <v>70</v>
      </c>
      <c r="X50" s="575" t="s">
        <v>1</v>
      </c>
      <c r="Y50" s="575" t="s">
        <v>2</v>
      </c>
      <c r="Z50" s="575" t="s">
        <v>3</v>
      </c>
      <c r="AA50" s="367"/>
      <c r="AB50" s="380" t="s">
        <v>70</v>
      </c>
      <c r="AC50" s="575" t="str">
        <f>+X50</f>
        <v>Phase I</v>
      </c>
      <c r="AD50" s="575" t="str">
        <f>+Y50</f>
        <v>Phase II</v>
      </c>
      <c r="AE50" s="575" t="str">
        <f>+Z50</f>
        <v>Phase III</v>
      </c>
      <c r="AF50" s="367"/>
      <c r="AG50" s="381" t="s">
        <v>385</v>
      </c>
      <c r="AH50" s="381" t="s">
        <v>70</v>
      </c>
      <c r="AI50" s="575" t="str">
        <f>+X50</f>
        <v>Phase I</v>
      </c>
      <c r="AJ50" s="575" t="str">
        <f>+Y50</f>
        <v>Phase II</v>
      </c>
      <c r="AK50" s="575" t="str">
        <f>+Z50</f>
        <v>Phase III</v>
      </c>
    </row>
    <row r="51" spans="2:37" ht="24" customHeight="1"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370" t="s">
        <v>386</v>
      </c>
      <c r="V51" s="370"/>
      <c r="W51" s="371">
        <f ca="1">+SUM(X51:Z51)</f>
        <v>608.96124734131217</v>
      </c>
      <c r="X51" s="372">
        <f ca="1">+H17/1000000</f>
        <v>239.78681525509921</v>
      </c>
      <c r="Y51" s="372">
        <f ca="1">+I17/1000000</f>
        <v>133.04598639422179</v>
      </c>
      <c r="Z51" s="372">
        <f ca="1">+J17/1000000</f>
        <v>236.12844569199109</v>
      </c>
      <c r="AA51" s="373"/>
      <c r="AB51" s="371" t="e">
        <f t="shared" ref="AB51" ca="1" si="14">+SUM(AC51:AE51)</f>
        <v>#REF!</v>
      </c>
      <c r="AC51" s="372">
        <f t="shared" ref="AC51:AE54" si="15">+R17/1000000</f>
        <v>276.11358060639594</v>
      </c>
      <c r="AD51" s="372">
        <f t="shared" ca="1" si="15"/>
        <v>218.865127930076</v>
      </c>
      <c r="AE51" s="372">
        <f t="shared" si="15"/>
        <v>150.09443216802458</v>
      </c>
      <c r="AF51" s="367"/>
      <c r="AG51" s="370" t="s">
        <v>387</v>
      </c>
      <c r="AH51" s="371">
        <f t="shared" ref="AH51:AK57" si="16">+G29/1000000</f>
        <v>69.576802000000001</v>
      </c>
      <c r="AI51" s="372">
        <f t="shared" si="16"/>
        <v>69.576802000000001</v>
      </c>
      <c r="AJ51" s="372">
        <f t="shared" si="16"/>
        <v>0</v>
      </c>
      <c r="AK51" s="372">
        <f t="shared" si="16"/>
        <v>0</v>
      </c>
    </row>
    <row r="52" spans="2:37" s="21" customFormat="1" ht="24" customHeight="1">
      <c r="U52" s="374" t="s">
        <v>388</v>
      </c>
      <c r="V52" s="374"/>
      <c r="W52" s="375">
        <f t="shared" ref="W52:W53" si="17">+SUM(X52:Z52)</f>
        <v>0</v>
      </c>
      <c r="X52" s="376">
        <v>0</v>
      </c>
      <c r="Y52" s="376">
        <v>0</v>
      </c>
      <c r="Z52" s="376">
        <v>0</v>
      </c>
      <c r="AA52" s="373"/>
      <c r="AB52" s="375">
        <f t="shared" ref="AB52:AB58" si="18">+SUM(AC52:AE52)</f>
        <v>10.8</v>
      </c>
      <c r="AC52" s="377">
        <f t="shared" si="15"/>
        <v>3.6</v>
      </c>
      <c r="AD52" s="377">
        <f t="shared" si="15"/>
        <v>3.6</v>
      </c>
      <c r="AE52" s="377">
        <f t="shared" si="15"/>
        <v>3.6</v>
      </c>
      <c r="AF52" s="367"/>
      <c r="AG52" s="374" t="s">
        <v>389</v>
      </c>
      <c r="AH52" s="375">
        <f t="shared" si="16"/>
        <v>6.8033682142857144</v>
      </c>
      <c r="AI52" s="377">
        <f t="shared" si="16"/>
        <v>4.779023214285715</v>
      </c>
      <c r="AJ52" s="377">
        <f t="shared" si="16"/>
        <v>0.372</v>
      </c>
      <c r="AK52" s="377">
        <f t="shared" si="16"/>
        <v>1.652345</v>
      </c>
    </row>
    <row r="53" spans="2:37" s="21" customFormat="1" ht="24" customHeight="1">
      <c r="U53" s="370" t="s">
        <v>390</v>
      </c>
      <c r="V53" s="370"/>
      <c r="W53" s="371">
        <f t="shared" si="17"/>
        <v>0</v>
      </c>
      <c r="X53" s="372">
        <v>0</v>
      </c>
      <c r="Y53" s="372">
        <v>0</v>
      </c>
      <c r="Z53" s="372">
        <v>0</v>
      </c>
      <c r="AA53" s="373"/>
      <c r="AB53" s="371">
        <f t="shared" ca="1" si="18"/>
        <v>41.574712981023048</v>
      </c>
      <c r="AC53" s="372">
        <f t="shared" si="15"/>
        <v>2.5093466508854072</v>
      </c>
      <c r="AD53" s="372">
        <f t="shared" ca="1" si="15"/>
        <v>1.6003243636363635E-10</v>
      </c>
      <c r="AE53" s="372">
        <f t="shared" si="15"/>
        <v>1.5487599999999999</v>
      </c>
      <c r="AF53" s="367"/>
      <c r="AG53" s="370" t="s">
        <v>28</v>
      </c>
      <c r="AH53" s="371">
        <f t="shared" ca="1" si="16"/>
        <v>765.25683735905795</v>
      </c>
      <c r="AI53" s="372">
        <f t="shared" ca="1" si="16"/>
        <v>317.55564740850002</v>
      </c>
      <c r="AJ53" s="372">
        <f t="shared" ca="1" si="16"/>
        <v>243.7065725409</v>
      </c>
      <c r="AK53" s="372">
        <f t="shared" ca="1" si="16"/>
        <v>203.99461740965791</v>
      </c>
    </row>
    <row r="54" spans="2:37" ht="24" customHeight="1"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374" t="s">
        <v>791</v>
      </c>
      <c r="V54" s="374"/>
      <c r="W54" s="375">
        <f t="shared" ref="W54:W58" si="19">+SUM(X54:Z54)</f>
        <v>5</v>
      </c>
      <c r="X54" s="376">
        <f>+H18/1000000</f>
        <v>3.5</v>
      </c>
      <c r="Y54" s="376">
        <f>+I18/1000000</f>
        <v>0.75</v>
      </c>
      <c r="Z54" s="376">
        <f>+J18/1000000</f>
        <v>0.75</v>
      </c>
      <c r="AA54" s="367"/>
      <c r="AB54" s="375">
        <f t="shared" si="18"/>
        <v>5</v>
      </c>
      <c r="AC54" s="377">
        <f t="shared" si="15"/>
        <v>3.5</v>
      </c>
      <c r="AD54" s="377">
        <f t="shared" si="15"/>
        <v>0.75</v>
      </c>
      <c r="AE54" s="377">
        <f t="shared" si="15"/>
        <v>0.75</v>
      </c>
      <c r="AF54" s="367"/>
      <c r="AG54" s="374" t="s">
        <v>349</v>
      </c>
      <c r="AH54" s="375">
        <f t="shared" ca="1" si="16"/>
        <v>72.437041492075821</v>
      </c>
      <c r="AI54" s="377">
        <f t="shared" ca="1" si="16"/>
        <v>31.223273254157792</v>
      </c>
      <c r="AJ54" s="377">
        <f t="shared" ca="1" si="16"/>
        <v>22.596407692998927</v>
      </c>
      <c r="AK54" s="377">
        <f t="shared" ca="1" si="16"/>
        <v>18.617360544919098</v>
      </c>
    </row>
    <row r="55" spans="2:37" ht="24" customHeight="1">
      <c r="B55" s="21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370" t="s">
        <v>392</v>
      </c>
      <c r="V55" s="370"/>
      <c r="W55" s="371">
        <f t="shared" si="19"/>
        <v>61.258920314097651</v>
      </c>
      <c r="X55" s="372">
        <f t="shared" ref="X55:Z58" si="20">+H20/1000000</f>
        <v>5.3357338687902161</v>
      </c>
      <c r="Y55" s="372">
        <f t="shared" si="20"/>
        <v>30.758147960353643</v>
      </c>
      <c r="Z55" s="372">
        <f t="shared" si="20"/>
        <v>25.165038484953786</v>
      </c>
      <c r="AA55" s="373"/>
      <c r="AB55" s="371">
        <f t="shared" si="18"/>
        <v>61.258920314097651</v>
      </c>
      <c r="AC55" s="372">
        <f t="shared" ref="AC55:AE58" si="21">+R22/1000000</f>
        <v>5.3357338687902161</v>
      </c>
      <c r="AD55" s="372">
        <f t="shared" si="21"/>
        <v>30.758147960353643</v>
      </c>
      <c r="AE55" s="372">
        <f t="shared" si="21"/>
        <v>25.165038484953786</v>
      </c>
      <c r="AF55" s="367"/>
      <c r="AG55" s="370" t="s">
        <v>248</v>
      </c>
      <c r="AH55" s="371">
        <f t="shared" ca="1" si="16"/>
        <v>71.801801791942026</v>
      </c>
      <c r="AI55" s="372">
        <f t="shared" ca="1" si="16"/>
        <v>28.164860643364143</v>
      </c>
      <c r="AJ55" s="372">
        <f t="shared" ca="1" si="16"/>
        <v>16.056189021147539</v>
      </c>
      <c r="AK55" s="372">
        <f t="shared" ca="1" si="16"/>
        <v>27.580752127430358</v>
      </c>
    </row>
    <row r="56" spans="2:37" ht="24" customHeight="1"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374" t="s">
        <v>393</v>
      </c>
      <c r="V56" s="374"/>
      <c r="W56" s="375">
        <f t="shared" si="19"/>
        <v>11.0760000000624</v>
      </c>
      <c r="X56" s="376">
        <f t="shared" si="20"/>
        <v>5.5380000000000003</v>
      </c>
      <c r="Y56" s="376">
        <f t="shared" si="20"/>
        <v>6.2400000000000012E-11</v>
      </c>
      <c r="Z56" s="376">
        <f t="shared" si="20"/>
        <v>5.5380000000000003</v>
      </c>
      <c r="AA56" s="367"/>
      <c r="AB56" s="375">
        <f t="shared" si="18"/>
        <v>11.0760000000624</v>
      </c>
      <c r="AC56" s="377">
        <f t="shared" si="21"/>
        <v>5.5380000000000003</v>
      </c>
      <c r="AD56" s="377">
        <f t="shared" si="21"/>
        <v>6.2400000000000012E-11</v>
      </c>
      <c r="AE56" s="377">
        <f t="shared" si="21"/>
        <v>5.5380000000000003</v>
      </c>
      <c r="AF56" s="367"/>
      <c r="AG56" s="374" t="s">
        <v>350</v>
      </c>
      <c r="AH56" s="375">
        <f t="shared" ca="1" si="16"/>
        <v>1.9999999999999998</v>
      </c>
      <c r="AI56" s="377">
        <f t="shared" ca="1" si="16"/>
        <v>0.87425081025261075</v>
      </c>
      <c r="AJ56" s="377">
        <f t="shared" ca="1" si="16"/>
        <v>0.63662053881198777</v>
      </c>
      <c r="AK56" s="377">
        <f t="shared" ca="1" si="16"/>
        <v>0.48912865093540148</v>
      </c>
    </row>
    <row r="57" spans="2:37" ht="24" customHeight="1">
      <c r="B57" s="21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370" t="s">
        <v>394</v>
      </c>
      <c r="V57" s="370"/>
      <c r="W57" s="371">
        <f t="shared" si="19"/>
        <v>40</v>
      </c>
      <c r="X57" s="372">
        <f t="shared" si="20"/>
        <v>20</v>
      </c>
      <c r="Y57" s="372">
        <f t="shared" si="20"/>
        <v>10</v>
      </c>
      <c r="Z57" s="372">
        <f t="shared" si="20"/>
        <v>10</v>
      </c>
      <c r="AA57" s="373"/>
      <c r="AB57" s="371">
        <f t="shared" si="18"/>
        <v>40</v>
      </c>
      <c r="AC57" s="372">
        <f t="shared" si="21"/>
        <v>20</v>
      </c>
      <c r="AD57" s="372">
        <f t="shared" si="21"/>
        <v>10</v>
      </c>
      <c r="AE57" s="372">
        <f t="shared" si="21"/>
        <v>10</v>
      </c>
      <c r="AF57" s="367"/>
      <c r="AG57" s="370" t="s">
        <v>351</v>
      </c>
      <c r="AH57" s="371">
        <f t="shared" ca="1" si="16"/>
        <v>29.070719450341084</v>
      </c>
      <c r="AI57" s="372">
        <f t="shared" ca="1" si="16"/>
        <v>11.439161391024234</v>
      </c>
      <c r="AJ57" s="372">
        <f t="shared" ca="1" si="16"/>
        <v>6.4346894432007797</v>
      </c>
      <c r="AK57" s="372">
        <f t="shared" ca="1" si="16"/>
        <v>11.19686861611607</v>
      </c>
    </row>
    <row r="58" spans="2:37" ht="24" customHeight="1">
      <c r="B58" s="21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374" t="s">
        <v>395</v>
      </c>
      <c r="V58" s="374"/>
      <c r="W58" s="375">
        <f t="shared" ca="1" si="19"/>
        <v>177.42078471560484</v>
      </c>
      <c r="X58" s="376">
        <f t="shared" ca="1" si="20"/>
        <v>64.159011937496729</v>
      </c>
      <c r="Y58" s="376">
        <f t="shared" ca="1" si="20"/>
        <v>36.280072373549579</v>
      </c>
      <c r="Z58" s="376">
        <f t="shared" ca="1" si="20"/>
        <v>76.981700404558538</v>
      </c>
      <c r="AA58" s="367"/>
      <c r="AB58" s="375">
        <f t="shared" si="18"/>
        <v>21</v>
      </c>
      <c r="AC58" s="377">
        <f t="shared" si="21"/>
        <v>7</v>
      </c>
      <c r="AD58" s="377">
        <f t="shared" si="21"/>
        <v>7</v>
      </c>
      <c r="AE58" s="377">
        <f t="shared" si="21"/>
        <v>7</v>
      </c>
      <c r="AF58" s="367"/>
      <c r="AG58" s="367"/>
      <c r="AH58" s="367"/>
      <c r="AI58" s="367"/>
      <c r="AJ58" s="367"/>
      <c r="AK58" s="367"/>
    </row>
    <row r="59" spans="2:37" ht="24" customHeight="1"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382" t="s">
        <v>107</v>
      </c>
      <c r="V59" s="382"/>
      <c r="W59" s="383">
        <f ca="1">+SUM(W51:W58)</f>
        <v>903.71695237107713</v>
      </c>
      <c r="X59" s="384">
        <f ca="1">+SUM(X51:X58)</f>
        <v>338.31956106138614</v>
      </c>
      <c r="Y59" s="384">
        <f ca="1">+SUM(Y51:Y58)</f>
        <v>210.83420672818744</v>
      </c>
      <c r="Z59" s="384">
        <f ca="1">+SUM(Z51:Z58)</f>
        <v>354.56318458150344</v>
      </c>
      <c r="AA59" s="367"/>
      <c r="AB59" s="383" t="e">
        <f ca="1">+SUM(AB51:AB58)</f>
        <v>#REF!</v>
      </c>
      <c r="AC59" s="384">
        <f>+SUM(AC51:AC58)</f>
        <v>323.59666112607158</v>
      </c>
      <c r="AD59" s="384" t="e">
        <f ca="1">+SUM(AD51:AD58)</f>
        <v>#DIV/0!</v>
      </c>
      <c r="AE59" s="384">
        <f>+SUM(AE51:AE58)</f>
        <v>203.69623065297836</v>
      </c>
      <c r="AF59" s="367"/>
      <c r="AG59" s="382" t="s">
        <v>352</v>
      </c>
      <c r="AH59" s="383">
        <f ca="1">+SUM(AH51:AH57)</f>
        <v>1016.9465703077027</v>
      </c>
      <c r="AI59" s="384">
        <f ca="1">+SUM(AI51:AI57)</f>
        <v>463.61301872158447</v>
      </c>
      <c r="AJ59" s="384" t="e">
        <f ca="1">+SUM(AJ51:AJ57)</f>
        <v>#REF!</v>
      </c>
      <c r="AK59" s="384">
        <f ca="1">+SUM(AK51:AK57)</f>
        <v>263.53107234905889</v>
      </c>
    </row>
    <row r="60" spans="2:37"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1"/>
      <c r="AK60" s="21"/>
    </row>
    <row r="61" spans="2:37">
      <c r="B61" s="21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</row>
    <row r="62" spans="2:37">
      <c r="B62" s="21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1"/>
      <c r="AK62" s="21"/>
    </row>
    <row r="63" spans="2:37">
      <c r="B63" s="21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1"/>
      <c r="AK63" s="21"/>
    </row>
    <row r="64" spans="2:37">
      <c r="B64" s="21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1"/>
      <c r="AK64" s="21"/>
    </row>
    <row r="65" spans="27:34">
      <c r="AA65" s="21"/>
      <c r="AB65" s="21"/>
      <c r="AC65" s="21"/>
      <c r="AD65" s="21"/>
      <c r="AE65" s="21"/>
      <c r="AF65" s="21"/>
      <c r="AG65" s="21"/>
      <c r="AH65" s="21"/>
    </row>
    <row r="66" spans="27:34">
      <c r="AA66" s="21"/>
      <c r="AB66" s="21"/>
      <c r="AC66" s="21"/>
      <c r="AD66" s="21"/>
      <c r="AE66" s="21"/>
      <c r="AF66" s="21"/>
      <c r="AG66" s="21"/>
      <c r="AH66" s="21"/>
    </row>
    <row r="67" spans="27:34">
      <c r="AA67" s="21"/>
      <c r="AB67" s="21"/>
      <c r="AC67" s="21"/>
      <c r="AD67" s="21"/>
      <c r="AE67" s="21"/>
      <c r="AF67" s="21"/>
      <c r="AG67" s="21"/>
      <c r="AH67" s="21"/>
    </row>
    <row r="68" spans="27:34">
      <c r="AA68" s="21"/>
      <c r="AB68" s="21"/>
      <c r="AC68" s="21"/>
      <c r="AD68" s="21"/>
      <c r="AE68" s="21"/>
      <c r="AF68" s="21"/>
      <c r="AG68" s="21"/>
      <c r="AH68" s="21"/>
    </row>
    <row r="69" spans="27:34">
      <c r="AA69" s="21"/>
      <c r="AB69" s="21"/>
      <c r="AC69" s="21"/>
      <c r="AD69" s="21"/>
      <c r="AE69" s="21"/>
      <c r="AF69" s="21"/>
      <c r="AG69" s="21"/>
      <c r="AH69" s="21"/>
    </row>
    <row r="70" spans="27:34">
      <c r="AA70" s="21"/>
      <c r="AB70" s="21"/>
      <c r="AC70" s="21"/>
      <c r="AD70" s="21"/>
      <c r="AE70" s="21"/>
      <c r="AF70" s="21"/>
      <c r="AG70" s="21"/>
      <c r="AH70" s="21"/>
    </row>
    <row r="71" spans="27:34">
      <c r="AA71" s="21"/>
      <c r="AB71" s="21"/>
      <c r="AC71" s="21"/>
      <c r="AD71" s="21"/>
      <c r="AE71" s="21"/>
      <c r="AF71" s="21"/>
      <c r="AG71" s="21"/>
      <c r="AH71" s="21"/>
    </row>
    <row r="72" spans="27:34">
      <c r="AA72" s="21"/>
      <c r="AB72" s="21"/>
      <c r="AC72" s="21"/>
      <c r="AD72" s="21"/>
      <c r="AE72" s="21"/>
      <c r="AF72" s="21"/>
      <c r="AG72" s="21"/>
      <c r="AH72" s="21"/>
    </row>
    <row r="73" spans="27:34">
      <c r="AA73" s="21"/>
      <c r="AB73" s="21"/>
      <c r="AC73" s="21"/>
      <c r="AD73" s="21"/>
      <c r="AE73" s="21"/>
      <c r="AF73" s="21"/>
      <c r="AG73" s="21"/>
      <c r="AH73" s="21"/>
    </row>
    <row r="74" spans="27:34">
      <c r="AA74" s="21"/>
      <c r="AB74" s="21"/>
      <c r="AC74" s="21"/>
      <c r="AD74" s="21"/>
      <c r="AE74" s="21"/>
      <c r="AF74" s="21"/>
      <c r="AG74" s="21"/>
      <c r="AH74" s="21"/>
    </row>
    <row r="75" spans="27:34">
      <c r="AA75" s="21"/>
      <c r="AB75" s="21"/>
      <c r="AC75" s="21"/>
      <c r="AD75" s="21"/>
      <c r="AE75" s="21"/>
      <c r="AF75" s="21"/>
      <c r="AG75" s="21"/>
      <c r="AH75" s="21"/>
    </row>
    <row r="76" spans="27:34">
      <c r="AA76" s="21"/>
      <c r="AB76" s="21"/>
      <c r="AC76" s="21"/>
      <c r="AD76" s="21"/>
      <c r="AE76" s="21"/>
      <c r="AF76" s="21"/>
      <c r="AG76" s="21"/>
      <c r="AH76" s="21"/>
    </row>
    <row r="77" spans="27:34">
      <c r="AA77" s="21"/>
      <c r="AB77" s="21"/>
      <c r="AC77" s="21"/>
      <c r="AD77" s="21"/>
      <c r="AE77" s="21"/>
      <c r="AF77" s="21"/>
      <c r="AG77" s="21"/>
      <c r="AH77" s="21"/>
    </row>
    <row r="78" spans="27:34">
      <c r="AA78" s="21"/>
      <c r="AB78" s="21"/>
      <c r="AC78" s="21"/>
      <c r="AD78" s="21"/>
      <c r="AE78" s="21"/>
      <c r="AF78" s="21"/>
      <c r="AG78" s="21"/>
      <c r="AH78" s="21"/>
    </row>
    <row r="79" spans="27:34">
      <c r="AA79" s="21"/>
      <c r="AB79" s="21"/>
      <c r="AC79" s="21"/>
      <c r="AD79" s="21"/>
      <c r="AE79" s="21"/>
      <c r="AF79" s="21"/>
      <c r="AG79" s="21"/>
      <c r="AH79" s="21"/>
    </row>
    <row r="80" spans="27:34">
      <c r="AA80" s="21"/>
      <c r="AB80" s="21"/>
      <c r="AC80" s="21"/>
      <c r="AD80" s="21"/>
      <c r="AE80" s="21"/>
      <c r="AF80" s="21"/>
      <c r="AG80" s="21"/>
      <c r="AH80" s="21"/>
    </row>
  </sheetData>
  <mergeCells count="2">
    <mergeCell ref="X48:Z48"/>
    <mergeCell ref="AC48:AE48"/>
  </mergeCells>
  <pageMargins left="0.7" right="0.7" top="0.75" bottom="0.75" header="0.3" footer="0.3"/>
  <pageSetup scale="27" orientation="landscape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3"/>
  </sheetPr>
  <dimension ref="A1:BC96"/>
  <sheetViews>
    <sheetView showGridLines="0" topLeftCell="A43" zoomScaleNormal="100" workbookViewId="0">
      <selection activeCell="H10" sqref="H10"/>
    </sheetView>
  </sheetViews>
  <sheetFormatPr defaultColWidth="16.42578125" defaultRowHeight="15"/>
  <cols>
    <col min="1" max="2" width="12.42578125" style="9" customWidth="1"/>
    <col min="3" max="3" width="23.42578125" style="9" customWidth="1"/>
    <col min="4" max="5" width="12.42578125" style="9" customWidth="1"/>
    <col min="6" max="6" width="14.42578125" style="9" bestFit="1" customWidth="1"/>
    <col min="7" max="7" width="22.140625" style="9" bestFit="1" customWidth="1"/>
    <col min="8" max="8" width="17.140625" style="9" customWidth="1"/>
    <col min="9" max="10" width="16.85546875" style="9" bestFit="1" customWidth="1"/>
    <col min="11" max="11" width="13.42578125" style="9" bestFit="1" customWidth="1"/>
    <col min="12" max="12" width="15.42578125" style="21" bestFit="1" customWidth="1"/>
    <col min="13" max="21" width="24.42578125" style="9" customWidth="1"/>
    <col min="22" max="23" width="12.42578125" style="9" customWidth="1"/>
    <col min="24" max="24" width="17.140625" style="9" customWidth="1"/>
    <col min="25" max="16384" width="16.42578125" style="9"/>
  </cols>
  <sheetData>
    <row r="1" spans="1:55" s="21" customFormat="1"/>
    <row r="2" spans="1:55" s="21" customFormat="1" ht="15.75">
      <c r="M2" s="879" t="s">
        <v>396</v>
      </c>
      <c r="N2" s="879"/>
      <c r="O2" s="879"/>
      <c r="P2" s="879"/>
      <c r="Q2" s="879"/>
      <c r="R2" s="879"/>
      <c r="S2" s="879"/>
      <c r="T2" s="879"/>
      <c r="U2" s="879"/>
      <c r="Y2" s="879" t="s">
        <v>397</v>
      </c>
      <c r="Z2" s="879"/>
      <c r="AA2" s="879"/>
      <c r="AB2" s="879"/>
      <c r="AC2" s="879"/>
      <c r="AD2" s="879"/>
      <c r="AE2" s="879"/>
      <c r="AF2" s="879"/>
      <c r="AG2" s="879"/>
      <c r="AJ2" s="879" t="s">
        <v>398</v>
      </c>
      <c r="AK2" s="879"/>
      <c r="AL2" s="879"/>
      <c r="AM2" s="879"/>
      <c r="AN2" s="879"/>
      <c r="AO2" s="879"/>
      <c r="AP2" s="879"/>
      <c r="AQ2" s="879"/>
      <c r="AR2" s="879"/>
      <c r="AU2" s="879" t="s">
        <v>399</v>
      </c>
      <c r="AV2" s="879"/>
      <c r="AW2" s="879"/>
      <c r="AX2" s="879"/>
      <c r="AY2" s="879"/>
      <c r="AZ2" s="879"/>
      <c r="BA2" s="879"/>
      <c r="BB2" s="879"/>
      <c r="BC2" s="879"/>
    </row>
    <row r="3" spans="1:55" s="21" customFormat="1" ht="26.25">
      <c r="A3" s="99"/>
      <c r="M3" s="71">
        <v>0</v>
      </c>
      <c r="N3" s="71">
        <f>+M3+1</f>
        <v>1</v>
      </c>
      <c r="O3" s="71">
        <f t="shared" ref="O3:U3" si="0">+N3+1</f>
        <v>2</v>
      </c>
      <c r="P3" s="71">
        <f t="shared" si="0"/>
        <v>3</v>
      </c>
      <c r="Q3" s="71">
        <f t="shared" si="0"/>
        <v>4</v>
      </c>
      <c r="R3" s="71">
        <f t="shared" si="0"/>
        <v>5</v>
      </c>
      <c r="S3" s="71">
        <f t="shared" si="0"/>
        <v>6</v>
      </c>
      <c r="T3" s="71">
        <f t="shared" si="0"/>
        <v>7</v>
      </c>
      <c r="U3" s="71">
        <f t="shared" si="0"/>
        <v>8</v>
      </c>
      <c r="Y3" s="71">
        <v>0</v>
      </c>
      <c r="Z3" s="71">
        <f>+Y3+1</f>
        <v>1</v>
      </c>
      <c r="AA3" s="71">
        <f t="shared" ref="AA3" si="1">+Z3+1</f>
        <v>2</v>
      </c>
      <c r="AB3" s="71">
        <f t="shared" ref="AB3" si="2">+AA3+1</f>
        <v>3</v>
      </c>
      <c r="AC3" s="71">
        <f t="shared" ref="AC3" si="3">+AB3+1</f>
        <v>4</v>
      </c>
      <c r="AD3" s="71">
        <f t="shared" ref="AD3" si="4">+AC3+1</f>
        <v>5</v>
      </c>
      <c r="AE3" s="71">
        <f t="shared" ref="AE3" si="5">+AD3+1</f>
        <v>6</v>
      </c>
      <c r="AF3" s="71">
        <f t="shared" ref="AF3" si="6">+AE3+1</f>
        <v>7</v>
      </c>
      <c r="AG3" s="71">
        <f t="shared" ref="AG3" si="7">+AF3+1</f>
        <v>8</v>
      </c>
      <c r="AJ3" s="71">
        <v>0</v>
      </c>
      <c r="AK3" s="71">
        <f>+AJ3+1</f>
        <v>1</v>
      </c>
      <c r="AL3" s="71">
        <f t="shared" ref="AL3" si="8">+AK3+1</f>
        <v>2</v>
      </c>
      <c r="AM3" s="71">
        <f t="shared" ref="AM3" si="9">+AL3+1</f>
        <v>3</v>
      </c>
      <c r="AN3" s="71">
        <f t="shared" ref="AN3" si="10">+AM3+1</f>
        <v>4</v>
      </c>
      <c r="AO3" s="71">
        <f t="shared" ref="AO3" si="11">+AN3+1</f>
        <v>5</v>
      </c>
      <c r="AP3" s="71">
        <f t="shared" ref="AP3" si="12">+AO3+1</f>
        <v>6</v>
      </c>
      <c r="AQ3" s="71">
        <f t="shared" ref="AQ3" si="13">+AP3+1</f>
        <v>7</v>
      </c>
      <c r="AR3" s="71">
        <f t="shared" ref="AR3" si="14">+AQ3+1</f>
        <v>8</v>
      </c>
      <c r="AU3" s="71">
        <v>0</v>
      </c>
      <c r="AV3" s="71">
        <f>+AU3+1</f>
        <v>1</v>
      </c>
      <c r="AW3" s="71">
        <f t="shared" ref="AW3" si="15">+AV3+1</f>
        <v>2</v>
      </c>
      <c r="AX3" s="71">
        <f t="shared" ref="AX3" si="16">+AW3+1</f>
        <v>3</v>
      </c>
      <c r="AY3" s="71">
        <f t="shared" ref="AY3" si="17">+AX3+1</f>
        <v>4</v>
      </c>
      <c r="AZ3" s="71">
        <f t="shared" ref="AZ3" si="18">+AY3+1</f>
        <v>5</v>
      </c>
      <c r="BA3" s="71">
        <f t="shared" ref="BA3" si="19">+AZ3+1</f>
        <v>6</v>
      </c>
      <c r="BB3" s="71">
        <f t="shared" ref="BB3" si="20">+BA3+1</f>
        <v>7</v>
      </c>
      <c r="BC3" s="71">
        <f t="shared" ref="BC3" si="21">+BB3+1</f>
        <v>8</v>
      </c>
    </row>
    <row r="4" spans="1:55" s="21" customFormat="1" ht="32.25" customHeight="1">
      <c r="B4" s="521" t="s">
        <v>400</v>
      </c>
      <c r="C4" s="522"/>
      <c r="D4" s="445"/>
      <c r="E4" s="445"/>
      <c r="F4" s="522"/>
      <c r="G4" s="521" t="s">
        <v>70</v>
      </c>
      <c r="H4" s="523" t="str">
        <f>+Assumptions!F$21</f>
        <v>I</v>
      </c>
      <c r="I4" s="523" t="str">
        <f>+Assumptions!G$21</f>
        <v>II</v>
      </c>
      <c r="J4" s="523" t="str">
        <f>+Assumptions!H$21</f>
        <v>III</v>
      </c>
      <c r="L4" s="545" t="s">
        <v>121</v>
      </c>
      <c r="M4" s="545" t="str">
        <f t="shared" ref="M4:U4" ca="1" si="22">+OFFSET($B$12,M3,0)</f>
        <v>Affordable Residential</v>
      </c>
      <c r="N4" s="545" t="str">
        <f t="shared" ca="1" si="22"/>
        <v>Market Rate Residential</v>
      </c>
      <c r="O4" s="545" t="str">
        <f t="shared" ca="1" si="22"/>
        <v>Retail</v>
      </c>
      <c r="P4" s="545" t="str">
        <f t="shared" ca="1" si="22"/>
        <v>Hotel</v>
      </c>
      <c r="Q4" s="545" t="str">
        <f t="shared" ca="1" si="22"/>
        <v>Museum</v>
      </c>
      <c r="R4" s="545" t="str">
        <f t="shared" ca="1" si="22"/>
        <v>Office</v>
      </c>
      <c r="S4" s="545" t="str">
        <f t="shared" ca="1" si="22"/>
        <v>Light Industrial/Flex</v>
      </c>
      <c r="T4" s="545" t="str">
        <f t="shared" ca="1" si="22"/>
        <v>Structural Parking</v>
      </c>
      <c r="U4" s="545" t="str">
        <f t="shared" ca="1" si="22"/>
        <v>Surface Parking</v>
      </c>
      <c r="X4" s="545" t="s">
        <v>121</v>
      </c>
      <c r="Y4" s="545" t="str">
        <f t="shared" ref="Y4:AG4" ca="1" si="23">+OFFSET($B$12,Y3,0)</f>
        <v>Affordable Residential</v>
      </c>
      <c r="Z4" s="545" t="str">
        <f t="shared" ca="1" si="23"/>
        <v>Market Rate Residential</v>
      </c>
      <c r="AA4" s="545" t="str">
        <f t="shared" ca="1" si="23"/>
        <v>Retail</v>
      </c>
      <c r="AB4" s="545" t="str">
        <f t="shared" ca="1" si="23"/>
        <v>Hotel</v>
      </c>
      <c r="AC4" s="545" t="str">
        <f t="shared" ca="1" si="23"/>
        <v>Museum</v>
      </c>
      <c r="AD4" s="545" t="str">
        <f t="shared" ca="1" si="23"/>
        <v>Office</v>
      </c>
      <c r="AE4" s="545" t="str">
        <f t="shared" ca="1" si="23"/>
        <v>Light Industrial/Flex</v>
      </c>
      <c r="AF4" s="545" t="str">
        <f t="shared" ca="1" si="23"/>
        <v>Structural Parking</v>
      </c>
      <c r="AG4" s="545" t="str">
        <f t="shared" ca="1" si="23"/>
        <v>Surface Parking</v>
      </c>
      <c r="AI4" s="545" t="s">
        <v>121</v>
      </c>
      <c r="AJ4" s="545" t="str">
        <f t="shared" ref="AJ4:AR4" ca="1" si="24">+OFFSET($B$12,AJ3,0)</f>
        <v>Affordable Residential</v>
      </c>
      <c r="AK4" s="545" t="str">
        <f t="shared" ca="1" si="24"/>
        <v>Market Rate Residential</v>
      </c>
      <c r="AL4" s="545" t="str">
        <f t="shared" ca="1" si="24"/>
        <v>Retail</v>
      </c>
      <c r="AM4" s="545" t="str">
        <f t="shared" ca="1" si="24"/>
        <v>Hotel</v>
      </c>
      <c r="AN4" s="545" t="str">
        <f t="shared" ca="1" si="24"/>
        <v>Museum</v>
      </c>
      <c r="AO4" s="545" t="str">
        <f t="shared" ca="1" si="24"/>
        <v>Office</v>
      </c>
      <c r="AP4" s="545" t="str">
        <f t="shared" ca="1" si="24"/>
        <v>Light Industrial/Flex</v>
      </c>
      <c r="AQ4" s="545" t="str">
        <f t="shared" ca="1" si="24"/>
        <v>Structural Parking</v>
      </c>
      <c r="AR4" s="545" t="str">
        <f t="shared" ca="1" si="24"/>
        <v>Surface Parking</v>
      </c>
      <c r="AT4" s="545" t="s">
        <v>121</v>
      </c>
      <c r="AU4" s="545" t="str">
        <f t="shared" ref="AU4:BC4" ca="1" si="25">+OFFSET($B$12,AU3,0)</f>
        <v>Affordable Residential</v>
      </c>
      <c r="AV4" s="545" t="str">
        <f t="shared" ca="1" si="25"/>
        <v>Market Rate Residential</v>
      </c>
      <c r="AW4" s="545" t="str">
        <f t="shared" ca="1" si="25"/>
        <v>Retail</v>
      </c>
      <c r="AX4" s="545" t="str">
        <f t="shared" ca="1" si="25"/>
        <v>Hotel</v>
      </c>
      <c r="AY4" s="545" t="str">
        <f t="shared" ca="1" si="25"/>
        <v>Museum</v>
      </c>
      <c r="AZ4" s="545" t="str">
        <f t="shared" ca="1" si="25"/>
        <v>Office</v>
      </c>
      <c r="BA4" s="545" t="str">
        <f t="shared" ca="1" si="25"/>
        <v>Light Industrial/Flex</v>
      </c>
      <c r="BB4" s="545" t="str">
        <f t="shared" ca="1" si="25"/>
        <v>Structural Parking</v>
      </c>
      <c r="BC4" s="545" t="str">
        <f t="shared" ca="1" si="25"/>
        <v>Surface Parking</v>
      </c>
    </row>
    <row r="5" spans="1:55" s="21" customFormat="1" ht="15.75">
      <c r="L5" s="61" t="str">
        <f>+H4</f>
        <v>I</v>
      </c>
      <c r="M5" s="49">
        <f t="shared" ref="M5:U7" ca="1" si="26">+INDEX($H$12:$J$20,MATCH(M$4,$B$12:$B$20,0),MATCH($L5,$H$4:$J$4,0))/INDEX($H$10:$J$10,1,MATCH($L5,$H$4:$J$4,0))</f>
        <v>0.19544851517701348</v>
      </c>
      <c r="N5" s="49">
        <f t="shared" ca="1" si="26"/>
        <v>0.29317277276552023</v>
      </c>
      <c r="O5" s="49">
        <f t="shared" ca="1" si="26"/>
        <v>6.065536068220128E-2</v>
      </c>
      <c r="P5" s="49">
        <f t="shared" ca="1" si="26"/>
        <v>4.3502626701070933E-2</v>
      </c>
      <c r="Q5" s="49">
        <f t="shared" ca="1" si="26"/>
        <v>6.8844213106664762E-2</v>
      </c>
      <c r="R5" s="49">
        <f t="shared" ca="1" si="26"/>
        <v>0.17793669900162856</v>
      </c>
      <c r="S5" s="49">
        <f t="shared" ca="1" si="26"/>
        <v>2.0739164823776926E-2</v>
      </c>
      <c r="T5" s="49">
        <f t="shared" ca="1" si="26"/>
        <v>0.13970064774212387</v>
      </c>
      <c r="U5" s="49">
        <f t="shared" ca="1" si="26"/>
        <v>0</v>
      </c>
      <c r="V5" s="77">
        <f ca="1">+SUM(M5:U5)</f>
        <v>1</v>
      </c>
      <c r="X5" s="61" t="s">
        <v>125</v>
      </c>
      <c r="Y5" s="49">
        <f ca="1">+$M5</f>
        <v>0.19544851517701348</v>
      </c>
      <c r="Z5" s="49">
        <f ca="1">+$N5</f>
        <v>0.29317277276552023</v>
      </c>
      <c r="AA5" s="49">
        <f ca="1">+$O5</f>
        <v>6.065536068220128E-2</v>
      </c>
      <c r="AB5" s="49">
        <f ca="1">+$P5</f>
        <v>4.3502626701070933E-2</v>
      </c>
      <c r="AC5" s="49">
        <f ca="1">+$Q5</f>
        <v>6.8844213106664762E-2</v>
      </c>
      <c r="AD5" s="49">
        <f ca="1">+$R5</f>
        <v>0.17793669900162856</v>
      </c>
      <c r="AE5" s="49">
        <f ca="1">+$S5</f>
        <v>2.0739164823776926E-2</v>
      </c>
      <c r="AF5" s="49">
        <f ca="1">+$T5</f>
        <v>0.13970064774212387</v>
      </c>
      <c r="AG5" s="49">
        <f ca="1">+$U5</f>
        <v>0</v>
      </c>
      <c r="AI5" s="61" t="s">
        <v>125</v>
      </c>
      <c r="AJ5" s="49">
        <v>0</v>
      </c>
      <c r="AK5" s="49">
        <v>0</v>
      </c>
      <c r="AL5" s="49">
        <v>0</v>
      </c>
      <c r="AM5" s="49">
        <v>0</v>
      </c>
      <c r="AN5" s="49">
        <v>0</v>
      </c>
      <c r="AO5" s="49">
        <v>0</v>
      </c>
      <c r="AP5" s="49">
        <v>0</v>
      </c>
      <c r="AQ5" s="49">
        <v>0</v>
      </c>
      <c r="AR5" s="49">
        <v>0</v>
      </c>
      <c r="AT5" s="61" t="s">
        <v>125</v>
      </c>
      <c r="AU5" s="49">
        <v>0</v>
      </c>
      <c r="AV5" s="49">
        <v>0</v>
      </c>
      <c r="AW5" s="49">
        <v>0</v>
      </c>
      <c r="AX5" s="49">
        <v>0</v>
      </c>
      <c r="AY5" s="49">
        <v>0</v>
      </c>
      <c r="AZ5" s="49">
        <v>0</v>
      </c>
      <c r="BA5" s="49">
        <v>0</v>
      </c>
      <c r="BB5" s="49">
        <v>0</v>
      </c>
      <c r="BC5" s="49">
        <v>0</v>
      </c>
    </row>
    <row r="6" spans="1:55" s="21" customFormat="1" ht="15.75">
      <c r="L6" s="61" t="str">
        <f>+I4</f>
        <v>II</v>
      </c>
      <c r="M6" s="49">
        <f t="shared" ca="1" si="26"/>
        <v>0.22576370070816676</v>
      </c>
      <c r="N6" s="49">
        <f t="shared" ca="1" si="26"/>
        <v>0.33864555106225003</v>
      </c>
      <c r="O6" s="49">
        <f t="shared" ca="1" si="26"/>
        <v>9.4918460952840386E-2</v>
      </c>
      <c r="P6" s="49">
        <f t="shared" ca="1" si="26"/>
        <v>0</v>
      </c>
      <c r="Q6" s="49">
        <f t="shared" ca="1" si="26"/>
        <v>0</v>
      </c>
      <c r="R6" s="49">
        <f t="shared" ca="1" si="26"/>
        <v>0.23273396072105618</v>
      </c>
      <c r="S6" s="49">
        <f t="shared" ca="1" si="26"/>
        <v>0</v>
      </c>
      <c r="T6" s="49">
        <f t="shared" ca="1" si="26"/>
        <v>0.10793832655568662</v>
      </c>
      <c r="U6" s="49">
        <f t="shared" ca="1" si="26"/>
        <v>0</v>
      </c>
      <c r="V6" s="77">
        <f ca="1">+SUM(M6:U6)</f>
        <v>1</v>
      </c>
      <c r="X6" s="61" t="s">
        <v>126</v>
      </c>
      <c r="Y6" s="49">
        <v>0</v>
      </c>
      <c r="Z6" s="49">
        <v>0</v>
      </c>
      <c r="AA6" s="49">
        <v>0</v>
      </c>
      <c r="AB6" s="49">
        <v>0</v>
      </c>
      <c r="AC6" s="49">
        <v>0</v>
      </c>
      <c r="AD6" s="49">
        <v>0</v>
      </c>
      <c r="AE6" s="49">
        <v>0</v>
      </c>
      <c r="AF6" s="49">
        <v>0</v>
      </c>
      <c r="AG6" s="49">
        <v>0</v>
      </c>
      <c r="AI6" s="61" t="s">
        <v>126</v>
      </c>
      <c r="AJ6" s="49">
        <f ca="1">+$M6</f>
        <v>0.22576370070816676</v>
      </c>
      <c r="AK6" s="49">
        <f ca="1">+$N6</f>
        <v>0.33864555106225003</v>
      </c>
      <c r="AL6" s="49">
        <f ca="1">+$O6</f>
        <v>9.4918460952840386E-2</v>
      </c>
      <c r="AM6" s="49">
        <f ca="1">+$P6</f>
        <v>0</v>
      </c>
      <c r="AN6" s="49">
        <f ca="1">+$Q6</f>
        <v>0</v>
      </c>
      <c r="AO6" s="49">
        <f ca="1">+$R6</f>
        <v>0.23273396072105618</v>
      </c>
      <c r="AP6" s="49">
        <f ca="1">+$S6</f>
        <v>0</v>
      </c>
      <c r="AQ6" s="49">
        <f ca="1">+$T6</f>
        <v>0.10793832655568662</v>
      </c>
      <c r="AR6" s="49">
        <f ca="1">+$U6</f>
        <v>0</v>
      </c>
      <c r="AT6" s="61" t="s">
        <v>126</v>
      </c>
      <c r="AU6" s="49">
        <v>0</v>
      </c>
      <c r="AV6" s="49">
        <v>0</v>
      </c>
      <c r="AW6" s="49">
        <v>0</v>
      </c>
      <c r="AX6" s="49">
        <v>0</v>
      </c>
      <c r="AY6" s="49">
        <v>0</v>
      </c>
      <c r="AZ6" s="49">
        <v>0</v>
      </c>
      <c r="BA6" s="49">
        <v>0</v>
      </c>
      <c r="BB6" s="49">
        <v>0</v>
      </c>
      <c r="BC6" s="49">
        <v>0</v>
      </c>
    </row>
    <row r="7" spans="1:55" s="21" customFormat="1" ht="15.75">
      <c r="L7" s="61" t="str">
        <f>+J4</f>
        <v>III</v>
      </c>
      <c r="M7" s="49">
        <f t="shared" ca="1" si="26"/>
        <v>0.33756955726652699</v>
      </c>
      <c r="N7" s="49">
        <f t="shared" ca="1" si="26"/>
        <v>0.5063543358997904</v>
      </c>
      <c r="O7" s="49">
        <f t="shared" ca="1" si="26"/>
        <v>3.9830119375573923E-2</v>
      </c>
      <c r="P7" s="49">
        <f t="shared" ca="1" si="26"/>
        <v>0</v>
      </c>
      <c r="Q7" s="49">
        <f t="shared" ca="1" si="26"/>
        <v>0</v>
      </c>
      <c r="R7" s="49">
        <f t="shared" ca="1" si="26"/>
        <v>0</v>
      </c>
      <c r="S7" s="49">
        <f t="shared" ca="1" si="26"/>
        <v>0</v>
      </c>
      <c r="T7" s="49">
        <f t="shared" ca="1" si="26"/>
        <v>0.11624598745810867</v>
      </c>
      <c r="U7" s="49">
        <f t="shared" ca="1" si="26"/>
        <v>0</v>
      </c>
      <c r="V7" s="77">
        <f ca="1">+SUM(M7:U7)</f>
        <v>0.99999999999999989</v>
      </c>
      <c r="X7" s="61" t="s">
        <v>127</v>
      </c>
      <c r="Y7" s="49">
        <v>0</v>
      </c>
      <c r="Z7" s="49">
        <v>0</v>
      </c>
      <c r="AA7" s="49">
        <v>0</v>
      </c>
      <c r="AB7" s="49">
        <v>0</v>
      </c>
      <c r="AC7" s="49">
        <v>0</v>
      </c>
      <c r="AD7" s="49">
        <v>0</v>
      </c>
      <c r="AE7" s="49">
        <v>0</v>
      </c>
      <c r="AF7" s="49">
        <v>0</v>
      </c>
      <c r="AG7" s="49">
        <v>0</v>
      </c>
      <c r="AI7" s="61" t="s">
        <v>127</v>
      </c>
      <c r="AJ7" s="49">
        <v>0</v>
      </c>
      <c r="AK7" s="49">
        <v>0</v>
      </c>
      <c r="AL7" s="49">
        <v>0</v>
      </c>
      <c r="AM7" s="49">
        <v>0</v>
      </c>
      <c r="AN7" s="49">
        <v>0</v>
      </c>
      <c r="AO7" s="49">
        <v>0</v>
      </c>
      <c r="AP7" s="49">
        <v>0</v>
      </c>
      <c r="AQ7" s="49">
        <v>0</v>
      </c>
      <c r="AR7" s="49">
        <v>0</v>
      </c>
      <c r="AT7" s="61" t="s">
        <v>127</v>
      </c>
      <c r="AU7" s="49">
        <f ca="1">+$M7</f>
        <v>0.33756955726652699</v>
      </c>
      <c r="AV7" s="49">
        <f ca="1">+$N7</f>
        <v>0.5063543358997904</v>
      </c>
      <c r="AW7" s="49">
        <f ca="1">+$O7</f>
        <v>3.9830119375573923E-2</v>
      </c>
      <c r="AX7" s="49">
        <f ca="1">+$P7</f>
        <v>0</v>
      </c>
      <c r="AY7" s="49">
        <f ca="1">+$Q7</f>
        <v>0</v>
      </c>
      <c r="AZ7" s="49">
        <f ca="1">+$R7</f>
        <v>0</v>
      </c>
      <c r="BA7" s="49">
        <f ca="1">+$S7</f>
        <v>0</v>
      </c>
      <c r="BB7" s="49">
        <f ca="1">+$T7</f>
        <v>0.11624598745810867</v>
      </c>
      <c r="BC7" s="49">
        <f ca="1">+$U7</f>
        <v>0</v>
      </c>
    </row>
    <row r="8" spans="1:55" s="21" customFormat="1"/>
    <row r="9" spans="1:55" s="21" customFormat="1">
      <c r="B9" s="15"/>
      <c r="H9" s="102"/>
      <c r="I9" s="102"/>
      <c r="J9" s="102"/>
      <c r="M9" s="76"/>
      <c r="N9" s="76"/>
      <c r="O9" s="76"/>
      <c r="P9" s="76"/>
      <c r="Q9" s="76"/>
      <c r="R9" s="76"/>
      <c r="S9" s="76"/>
      <c r="T9" s="76"/>
      <c r="U9" s="76"/>
      <c r="Y9" s="76"/>
      <c r="Z9" s="76"/>
      <c r="AA9" s="76"/>
      <c r="AB9" s="76"/>
      <c r="AC9" s="76"/>
      <c r="AD9" s="76"/>
      <c r="AE9" s="76"/>
      <c r="AF9" s="76"/>
      <c r="AG9" s="76"/>
      <c r="AJ9" s="76"/>
      <c r="AK9" s="76"/>
      <c r="AL9" s="76"/>
      <c r="AM9" s="76"/>
      <c r="AN9" s="76"/>
      <c r="AO9" s="76"/>
      <c r="AP9" s="76"/>
      <c r="AQ9" s="76"/>
      <c r="AR9" s="76"/>
      <c r="AU9" s="76"/>
      <c r="AV9" s="76"/>
      <c r="AW9" s="76"/>
      <c r="AX9" s="76"/>
      <c r="AY9" s="76"/>
      <c r="AZ9" s="76"/>
      <c r="BA9" s="76"/>
      <c r="BB9" s="76"/>
      <c r="BC9" s="76"/>
    </row>
    <row r="10" spans="1:55" ht="15.75">
      <c r="A10" s="21"/>
      <c r="B10" s="61" t="s">
        <v>401</v>
      </c>
      <c r="C10" s="21"/>
      <c r="D10" s="21"/>
      <c r="E10" s="21"/>
      <c r="F10" s="21"/>
      <c r="G10" s="11">
        <f t="shared" ref="G10:G21" ca="1" si="27">+SUM(H10:J10)</f>
        <v>4167836</v>
      </c>
      <c r="H10" s="22">
        <f ca="1">+SUM(H12:H20)</f>
        <v>1821867</v>
      </c>
      <c r="I10" s="22">
        <f t="shared" ref="I10:J10" ca="1" si="28">+SUM(I12:I20)</f>
        <v>1326665</v>
      </c>
      <c r="J10" s="22">
        <f t="shared" ca="1" si="28"/>
        <v>1019304</v>
      </c>
      <c r="K10" s="21"/>
      <c r="M10" s="76"/>
      <c r="N10" s="76"/>
      <c r="O10" s="76"/>
      <c r="P10" s="76"/>
      <c r="Q10" s="76"/>
      <c r="R10" s="76"/>
      <c r="S10" s="76"/>
      <c r="T10" s="76"/>
      <c r="U10" s="76"/>
      <c r="V10" s="21"/>
      <c r="W10" s="21"/>
      <c r="X10" s="21"/>
      <c r="Y10" s="76"/>
      <c r="Z10" s="76"/>
      <c r="AA10" s="76"/>
      <c r="AB10" s="76"/>
      <c r="AC10" s="76"/>
      <c r="AD10" s="76"/>
      <c r="AE10" s="76"/>
      <c r="AF10" s="76"/>
      <c r="AG10" s="76"/>
      <c r="AH10" s="21"/>
      <c r="AI10" s="21"/>
      <c r="AJ10" s="76"/>
      <c r="AK10" s="76"/>
      <c r="AL10" s="76"/>
      <c r="AM10" s="76"/>
      <c r="AN10" s="76"/>
      <c r="AO10" s="76"/>
      <c r="AP10" s="76"/>
      <c r="AQ10" s="76"/>
      <c r="AR10" s="76"/>
      <c r="AS10" s="21"/>
      <c r="AT10" s="21"/>
      <c r="AU10" s="76"/>
      <c r="AV10" s="76"/>
      <c r="AW10" s="76"/>
      <c r="AX10" s="76"/>
      <c r="AY10" s="76"/>
      <c r="AZ10" s="76"/>
      <c r="BA10" s="76"/>
      <c r="BB10" s="76"/>
      <c r="BC10" s="76"/>
    </row>
    <row r="11" spans="1:55" s="21" customFormat="1" ht="15.75">
      <c r="B11" s="21" t="s">
        <v>785</v>
      </c>
      <c r="G11" s="11">
        <v>272936</v>
      </c>
      <c r="H11" s="22"/>
      <c r="I11" s="22"/>
      <c r="J11" s="22"/>
      <c r="M11" s="76"/>
      <c r="N11" s="76"/>
      <c r="O11" s="76"/>
      <c r="P11" s="76"/>
      <c r="Q11" s="76"/>
      <c r="R11" s="76"/>
      <c r="S11" s="76"/>
      <c r="T11" s="76"/>
      <c r="U11" s="76"/>
      <c r="Y11" s="76"/>
      <c r="Z11" s="76"/>
      <c r="AA11" s="76"/>
      <c r="AB11" s="76"/>
      <c r="AC11" s="76"/>
      <c r="AD11" s="76"/>
      <c r="AE11" s="76"/>
      <c r="AF11" s="76"/>
      <c r="AG11" s="76"/>
      <c r="AJ11" s="76"/>
      <c r="AK11" s="76"/>
      <c r="AL11" s="76"/>
      <c r="AM11" s="76"/>
      <c r="AN11" s="76"/>
      <c r="AO11" s="76"/>
      <c r="AP11" s="76"/>
      <c r="AQ11" s="76"/>
      <c r="AR11" s="76"/>
      <c r="AU11" s="76"/>
      <c r="AV11" s="76"/>
      <c r="AW11" s="76"/>
      <c r="AX11" s="76"/>
      <c r="AY11" s="76"/>
      <c r="AZ11" s="76"/>
      <c r="BA11" s="76"/>
      <c r="BB11" s="76"/>
      <c r="BC11" s="76"/>
    </row>
    <row r="12" spans="1:55" ht="15.75">
      <c r="A12" s="21"/>
      <c r="B12" s="38" t="s">
        <v>130</v>
      </c>
      <c r="C12" s="21"/>
      <c r="D12" s="21"/>
      <c r="E12" s="21"/>
      <c r="F12" s="21"/>
      <c r="G12" s="11">
        <f t="shared" ca="1" si="27"/>
        <v>999680</v>
      </c>
      <c r="H12" s="22">
        <f ca="1">+Assumptions!N34</f>
        <v>356081.2</v>
      </c>
      <c r="I12" s="22">
        <f ca="1">+Assumptions!O34</f>
        <v>299512.80000000005</v>
      </c>
      <c r="J12" s="22">
        <f ca="1">+Assumptions!P34</f>
        <v>344086</v>
      </c>
      <c r="K12" s="21"/>
      <c r="M12" s="76">
        <f ca="1">+$G$12</f>
        <v>999680</v>
      </c>
      <c r="N12" s="76">
        <v>0</v>
      </c>
      <c r="O12" s="76">
        <v>0</v>
      </c>
      <c r="P12" s="76">
        <v>0</v>
      </c>
      <c r="Q12" s="76">
        <v>0</v>
      </c>
      <c r="R12" s="76">
        <v>0</v>
      </c>
      <c r="S12" s="76">
        <v>0</v>
      </c>
      <c r="T12" s="76">
        <v>0</v>
      </c>
      <c r="U12" s="76">
        <v>0</v>
      </c>
      <c r="V12" s="21"/>
      <c r="W12" s="21"/>
      <c r="X12" s="21"/>
      <c r="Y12" s="76">
        <f ca="1">+$H$12</f>
        <v>356081.2</v>
      </c>
      <c r="Z12" s="76">
        <v>0</v>
      </c>
      <c r="AA12" s="76">
        <v>0</v>
      </c>
      <c r="AB12" s="76">
        <v>0</v>
      </c>
      <c r="AC12" s="76">
        <v>0</v>
      </c>
      <c r="AD12" s="76">
        <v>0</v>
      </c>
      <c r="AE12" s="76">
        <v>0</v>
      </c>
      <c r="AF12" s="76">
        <v>0</v>
      </c>
      <c r="AG12" s="76">
        <v>0</v>
      </c>
      <c r="AH12" s="21"/>
      <c r="AI12" s="21"/>
      <c r="AJ12" s="76">
        <f ca="1">+$I$12</f>
        <v>299512.80000000005</v>
      </c>
      <c r="AK12" s="76">
        <v>0</v>
      </c>
      <c r="AL12" s="76">
        <v>0</v>
      </c>
      <c r="AM12" s="76">
        <v>0</v>
      </c>
      <c r="AN12" s="76">
        <v>0</v>
      </c>
      <c r="AO12" s="76">
        <v>0</v>
      </c>
      <c r="AP12" s="76">
        <v>0</v>
      </c>
      <c r="AQ12" s="76">
        <v>0</v>
      </c>
      <c r="AR12" s="76">
        <v>0</v>
      </c>
      <c r="AS12" s="21"/>
      <c r="AT12" s="21"/>
      <c r="AU12" s="76">
        <f ca="1">+$J$12</f>
        <v>344086</v>
      </c>
      <c r="AV12" s="76">
        <v>0</v>
      </c>
      <c r="AW12" s="76">
        <v>0</v>
      </c>
      <c r="AX12" s="76">
        <v>0</v>
      </c>
      <c r="AY12" s="76">
        <v>0</v>
      </c>
      <c r="AZ12" s="76">
        <v>0</v>
      </c>
      <c r="BA12" s="76">
        <v>0</v>
      </c>
      <c r="BB12" s="76">
        <v>0</v>
      </c>
      <c r="BC12" s="76">
        <v>0</v>
      </c>
    </row>
    <row r="13" spans="1:55" ht="15.75">
      <c r="A13" s="21"/>
      <c r="B13" s="38" t="s">
        <v>132</v>
      </c>
      <c r="C13" s="21"/>
      <c r="D13" s="21"/>
      <c r="E13" s="21"/>
      <c r="F13" s="21"/>
      <c r="G13" s="11">
        <f t="shared" ca="1" si="27"/>
        <v>1499520</v>
      </c>
      <c r="H13" s="22">
        <f ca="1">+Assumptions!N35</f>
        <v>534121.80000000005</v>
      </c>
      <c r="I13" s="22">
        <f ca="1">+Assumptions!O35</f>
        <v>449269.19999999995</v>
      </c>
      <c r="J13" s="22">
        <f ca="1">+Assumptions!P35</f>
        <v>516129</v>
      </c>
      <c r="K13" s="21"/>
      <c r="M13" s="76">
        <v>0</v>
      </c>
      <c r="N13" s="76">
        <f ca="1">+$G$13</f>
        <v>1499520</v>
      </c>
      <c r="O13" s="76">
        <v>0</v>
      </c>
      <c r="P13" s="76">
        <v>0</v>
      </c>
      <c r="Q13" s="76">
        <v>0</v>
      </c>
      <c r="R13" s="76">
        <v>0</v>
      </c>
      <c r="S13" s="76">
        <v>0</v>
      </c>
      <c r="T13" s="76">
        <v>0</v>
      </c>
      <c r="U13" s="76">
        <v>0</v>
      </c>
      <c r="V13" s="21"/>
      <c r="W13" s="21"/>
      <c r="X13" s="21"/>
      <c r="Y13" s="76">
        <v>0</v>
      </c>
      <c r="Z13" s="76">
        <f ca="1">+$H$13</f>
        <v>534121.80000000005</v>
      </c>
      <c r="AA13" s="76">
        <v>0</v>
      </c>
      <c r="AB13" s="76">
        <v>0</v>
      </c>
      <c r="AC13" s="76">
        <v>0</v>
      </c>
      <c r="AD13" s="76">
        <v>0</v>
      </c>
      <c r="AE13" s="76">
        <v>0</v>
      </c>
      <c r="AF13" s="76">
        <v>0</v>
      </c>
      <c r="AG13" s="76">
        <v>0</v>
      </c>
      <c r="AH13" s="21"/>
      <c r="AI13" s="21"/>
      <c r="AJ13" s="76">
        <v>0</v>
      </c>
      <c r="AK13" s="76">
        <f ca="1">+$I$13</f>
        <v>449269.19999999995</v>
      </c>
      <c r="AL13" s="76">
        <v>0</v>
      </c>
      <c r="AM13" s="76">
        <v>0</v>
      </c>
      <c r="AN13" s="76">
        <v>0</v>
      </c>
      <c r="AO13" s="76">
        <v>0</v>
      </c>
      <c r="AP13" s="76">
        <v>0</v>
      </c>
      <c r="AQ13" s="76">
        <v>0</v>
      </c>
      <c r="AR13" s="76">
        <v>0</v>
      </c>
      <c r="AS13" s="21"/>
      <c r="AT13" s="21"/>
      <c r="AU13" s="76">
        <v>0</v>
      </c>
      <c r="AV13" s="76">
        <f ca="1">+$J$13</f>
        <v>516129</v>
      </c>
      <c r="AW13" s="76">
        <v>0</v>
      </c>
      <c r="AX13" s="76">
        <v>0</v>
      </c>
      <c r="AY13" s="76">
        <v>0</v>
      </c>
      <c r="AZ13" s="76">
        <v>0</v>
      </c>
      <c r="BA13" s="76">
        <v>0</v>
      </c>
      <c r="BB13" s="76">
        <v>0</v>
      </c>
      <c r="BC13" s="76">
        <v>0</v>
      </c>
    </row>
    <row r="14" spans="1:55" ht="15.75">
      <c r="A14" s="21"/>
      <c r="B14" s="38" t="s">
        <v>14</v>
      </c>
      <c r="C14" s="21"/>
      <c r="D14" s="21"/>
      <c r="E14" s="21"/>
      <c r="F14" s="21"/>
      <c r="G14" s="11">
        <f t="shared" ca="1" si="27"/>
        <v>277030</v>
      </c>
      <c r="H14" s="22">
        <f ca="1">+Assumptions!N36</f>
        <v>110506</v>
      </c>
      <c r="I14" s="22">
        <f ca="1">+Assumptions!O36</f>
        <v>125925</v>
      </c>
      <c r="J14" s="22">
        <f ca="1">+Assumptions!P36</f>
        <v>40599</v>
      </c>
      <c r="K14" s="21"/>
      <c r="M14" s="76">
        <v>0</v>
      </c>
      <c r="N14" s="76">
        <v>0</v>
      </c>
      <c r="O14" s="76">
        <f ca="1">+$G$14</f>
        <v>277030</v>
      </c>
      <c r="P14" s="76">
        <v>0</v>
      </c>
      <c r="Q14" s="76">
        <v>0</v>
      </c>
      <c r="R14" s="76">
        <v>0</v>
      </c>
      <c r="S14" s="76">
        <v>0</v>
      </c>
      <c r="T14" s="76">
        <v>0</v>
      </c>
      <c r="U14" s="76">
        <v>0</v>
      </c>
      <c r="V14" s="21"/>
      <c r="W14" s="21"/>
      <c r="X14" s="21"/>
      <c r="Y14" s="76">
        <v>0</v>
      </c>
      <c r="Z14" s="76">
        <v>0</v>
      </c>
      <c r="AA14" s="76">
        <f ca="1">+$H$14</f>
        <v>110506</v>
      </c>
      <c r="AB14" s="76">
        <v>0</v>
      </c>
      <c r="AC14" s="76">
        <v>0</v>
      </c>
      <c r="AD14" s="76">
        <v>0</v>
      </c>
      <c r="AE14" s="76">
        <v>0</v>
      </c>
      <c r="AF14" s="76">
        <v>0</v>
      </c>
      <c r="AG14" s="76">
        <v>0</v>
      </c>
      <c r="AH14" s="21"/>
      <c r="AI14" s="21"/>
      <c r="AJ14" s="76">
        <v>0</v>
      </c>
      <c r="AK14" s="76">
        <v>0</v>
      </c>
      <c r="AL14" s="76">
        <f ca="1">+$I$14</f>
        <v>125925</v>
      </c>
      <c r="AM14" s="76">
        <v>0</v>
      </c>
      <c r="AN14" s="76">
        <v>0</v>
      </c>
      <c r="AO14" s="76">
        <v>0</v>
      </c>
      <c r="AP14" s="76">
        <v>0</v>
      </c>
      <c r="AQ14" s="76">
        <v>0</v>
      </c>
      <c r="AR14" s="76">
        <v>0</v>
      </c>
      <c r="AS14" s="21"/>
      <c r="AT14" s="21"/>
      <c r="AU14" s="76">
        <v>0</v>
      </c>
      <c r="AV14" s="76">
        <v>0</v>
      </c>
      <c r="AW14" s="76">
        <f ca="1">+$J$14</f>
        <v>40599</v>
      </c>
      <c r="AX14" s="76">
        <v>0</v>
      </c>
      <c r="AY14" s="76">
        <v>0</v>
      </c>
      <c r="AZ14" s="76">
        <v>0</v>
      </c>
      <c r="BA14" s="76">
        <v>0</v>
      </c>
      <c r="BB14" s="76">
        <v>0</v>
      </c>
      <c r="BC14" s="76">
        <v>0</v>
      </c>
    </row>
    <row r="15" spans="1:55" ht="15.75">
      <c r="A15" s="21"/>
      <c r="B15" s="38" t="s">
        <v>16</v>
      </c>
      <c r="C15" s="21"/>
      <c r="D15" s="21"/>
      <c r="E15" s="21"/>
      <c r="F15" s="21"/>
      <c r="G15" s="11">
        <f t="shared" ca="1" si="27"/>
        <v>79256</v>
      </c>
      <c r="H15" s="22">
        <f ca="1">+Assumptions!N37</f>
        <v>79256</v>
      </c>
      <c r="I15" s="22">
        <f ca="1">+Assumptions!O37</f>
        <v>0</v>
      </c>
      <c r="J15" s="22">
        <f ca="1">+Assumptions!P37</f>
        <v>0</v>
      </c>
      <c r="K15" s="21"/>
      <c r="M15" s="76">
        <v>0</v>
      </c>
      <c r="N15" s="76">
        <v>0</v>
      </c>
      <c r="O15" s="76">
        <v>0</v>
      </c>
      <c r="P15" s="76">
        <f ca="1">+$G$15</f>
        <v>79256</v>
      </c>
      <c r="Q15" s="76">
        <v>0</v>
      </c>
      <c r="R15" s="76">
        <v>0</v>
      </c>
      <c r="S15" s="76">
        <v>0</v>
      </c>
      <c r="T15" s="76">
        <v>0</v>
      </c>
      <c r="U15" s="76">
        <v>0</v>
      </c>
      <c r="V15" s="21"/>
      <c r="W15" s="21"/>
      <c r="X15" s="21"/>
      <c r="Y15" s="76">
        <v>0</v>
      </c>
      <c r="Z15" s="76">
        <v>0</v>
      </c>
      <c r="AA15" s="76">
        <v>0</v>
      </c>
      <c r="AB15" s="76">
        <f ca="1">+$H$15</f>
        <v>79256</v>
      </c>
      <c r="AC15" s="76">
        <v>0</v>
      </c>
      <c r="AD15" s="76">
        <v>0</v>
      </c>
      <c r="AE15" s="76">
        <v>0</v>
      </c>
      <c r="AF15" s="76">
        <v>0</v>
      </c>
      <c r="AG15" s="76">
        <v>0</v>
      </c>
      <c r="AH15" s="21"/>
      <c r="AI15" s="21"/>
      <c r="AJ15" s="76">
        <v>0</v>
      </c>
      <c r="AK15" s="76">
        <v>0</v>
      </c>
      <c r="AL15" s="76">
        <v>0</v>
      </c>
      <c r="AM15" s="76">
        <f ca="1">+$I$15</f>
        <v>0</v>
      </c>
      <c r="AN15" s="76">
        <v>0</v>
      </c>
      <c r="AO15" s="76">
        <v>0</v>
      </c>
      <c r="AP15" s="76">
        <v>0</v>
      </c>
      <c r="AQ15" s="76">
        <v>0</v>
      </c>
      <c r="AR15" s="76">
        <v>0</v>
      </c>
      <c r="AS15" s="21"/>
      <c r="AT15" s="21"/>
      <c r="AU15" s="76">
        <v>0</v>
      </c>
      <c r="AV15" s="76">
        <v>0</v>
      </c>
      <c r="AW15" s="76">
        <v>0</v>
      </c>
      <c r="AX15" s="76">
        <f ca="1">+$J$15</f>
        <v>0</v>
      </c>
      <c r="AY15" s="76">
        <v>0</v>
      </c>
      <c r="AZ15" s="76">
        <v>0</v>
      </c>
      <c r="BA15" s="76">
        <v>0</v>
      </c>
      <c r="BB15" s="76">
        <v>0</v>
      </c>
      <c r="BC15" s="76">
        <v>0</v>
      </c>
    </row>
    <row r="16" spans="1:55" ht="15.75">
      <c r="A16" s="21"/>
      <c r="B16" s="38" t="s">
        <v>769</v>
      </c>
      <c r="C16" s="21"/>
      <c r="D16" s="21"/>
      <c r="E16" s="21"/>
      <c r="F16" s="21"/>
      <c r="G16" s="11">
        <f t="shared" ca="1" si="27"/>
        <v>125425</v>
      </c>
      <c r="H16" s="22">
        <f ca="1">+Assumptions!N38</f>
        <v>125425</v>
      </c>
      <c r="I16" s="22">
        <f ca="1">+Assumptions!O38</f>
        <v>0</v>
      </c>
      <c r="J16" s="22">
        <f ca="1">+Assumptions!P38</f>
        <v>0</v>
      </c>
      <c r="K16" s="21"/>
      <c r="M16" s="76">
        <v>0</v>
      </c>
      <c r="N16" s="76">
        <v>0</v>
      </c>
      <c r="O16" s="76">
        <v>0</v>
      </c>
      <c r="P16" s="76">
        <v>0</v>
      </c>
      <c r="Q16" s="76">
        <f ca="1">+$G$16</f>
        <v>125425</v>
      </c>
      <c r="R16" s="76">
        <v>0</v>
      </c>
      <c r="S16" s="76">
        <v>0</v>
      </c>
      <c r="T16" s="76">
        <v>0</v>
      </c>
      <c r="U16" s="76">
        <v>0</v>
      </c>
      <c r="V16" s="21"/>
      <c r="W16" s="21"/>
      <c r="X16" s="21"/>
      <c r="Y16" s="76">
        <v>0</v>
      </c>
      <c r="Z16" s="76">
        <v>0</v>
      </c>
      <c r="AA16" s="76">
        <v>0</v>
      </c>
      <c r="AB16" s="76">
        <v>0</v>
      </c>
      <c r="AC16" s="76">
        <f ca="1">+$H$16</f>
        <v>125425</v>
      </c>
      <c r="AD16" s="76">
        <v>0</v>
      </c>
      <c r="AE16" s="76">
        <v>0</v>
      </c>
      <c r="AF16" s="76">
        <v>0</v>
      </c>
      <c r="AG16" s="76">
        <v>0</v>
      </c>
      <c r="AH16" s="21"/>
      <c r="AI16" s="21"/>
      <c r="AJ16" s="76">
        <v>0</v>
      </c>
      <c r="AK16" s="76">
        <v>0</v>
      </c>
      <c r="AL16" s="76">
        <v>0</v>
      </c>
      <c r="AM16" s="76">
        <v>0</v>
      </c>
      <c r="AN16" s="76">
        <f ca="1">+$I$16</f>
        <v>0</v>
      </c>
      <c r="AO16" s="76">
        <v>0</v>
      </c>
      <c r="AP16" s="76">
        <v>0</v>
      </c>
      <c r="AQ16" s="76">
        <v>0</v>
      </c>
      <c r="AR16" s="76">
        <v>0</v>
      </c>
      <c r="AS16" s="21"/>
      <c r="AT16" s="21"/>
      <c r="AU16" s="76">
        <v>0</v>
      </c>
      <c r="AV16" s="76">
        <v>0</v>
      </c>
      <c r="AW16" s="76">
        <v>0</v>
      </c>
      <c r="AX16" s="76">
        <v>0</v>
      </c>
      <c r="AY16" s="76">
        <f ca="1">+$J$16</f>
        <v>0</v>
      </c>
      <c r="AZ16" s="76">
        <v>0</v>
      </c>
      <c r="BA16" s="76">
        <v>0</v>
      </c>
      <c r="BB16" s="76">
        <v>0</v>
      </c>
      <c r="BC16" s="76">
        <v>0</v>
      </c>
    </row>
    <row r="17" spans="1:55" ht="15.75">
      <c r="A17" s="21"/>
      <c r="B17" s="38" t="s">
        <v>137</v>
      </c>
      <c r="C17" s="21"/>
      <c r="D17" s="21"/>
      <c r="E17" s="21"/>
      <c r="F17" s="21"/>
      <c r="G17" s="11">
        <f t="shared" ca="1" si="27"/>
        <v>632937</v>
      </c>
      <c r="H17" s="22">
        <f ca="1">+Assumptions!N39</f>
        <v>324177</v>
      </c>
      <c r="I17" s="22">
        <f ca="1">+Assumptions!O39</f>
        <v>308760</v>
      </c>
      <c r="J17" s="22">
        <f ca="1">+Assumptions!P39</f>
        <v>0</v>
      </c>
      <c r="K17" s="21"/>
      <c r="M17" s="76">
        <v>0</v>
      </c>
      <c r="N17" s="76">
        <v>0</v>
      </c>
      <c r="O17" s="76">
        <v>0</v>
      </c>
      <c r="P17" s="76">
        <v>0</v>
      </c>
      <c r="Q17" s="76">
        <v>0</v>
      </c>
      <c r="R17" s="76">
        <f ca="1">+$G$17</f>
        <v>632937</v>
      </c>
      <c r="S17" s="76">
        <v>0</v>
      </c>
      <c r="T17" s="76">
        <v>0</v>
      </c>
      <c r="U17" s="76">
        <v>0</v>
      </c>
      <c r="V17" s="21"/>
      <c r="W17" s="21"/>
      <c r="X17" s="21"/>
      <c r="Y17" s="76">
        <v>0</v>
      </c>
      <c r="Z17" s="76">
        <v>0</v>
      </c>
      <c r="AA17" s="76">
        <v>0</v>
      </c>
      <c r="AB17" s="76">
        <v>0</v>
      </c>
      <c r="AC17" s="76">
        <v>0</v>
      </c>
      <c r="AD17" s="76">
        <f ca="1">+$H$17</f>
        <v>324177</v>
      </c>
      <c r="AE17" s="76">
        <v>0</v>
      </c>
      <c r="AF17" s="76">
        <v>0</v>
      </c>
      <c r="AG17" s="76">
        <v>0</v>
      </c>
      <c r="AH17" s="21"/>
      <c r="AI17" s="21"/>
      <c r="AJ17" s="76">
        <v>0</v>
      </c>
      <c r="AK17" s="76">
        <v>0</v>
      </c>
      <c r="AL17" s="76">
        <v>0</v>
      </c>
      <c r="AM17" s="76">
        <v>0</v>
      </c>
      <c r="AN17" s="76">
        <v>0</v>
      </c>
      <c r="AO17" s="76">
        <f ca="1">+$I$17</f>
        <v>308760</v>
      </c>
      <c r="AP17" s="76">
        <v>0</v>
      </c>
      <c r="AQ17" s="76">
        <v>0</v>
      </c>
      <c r="AR17" s="76">
        <v>0</v>
      </c>
      <c r="AS17" s="21"/>
      <c r="AT17" s="21"/>
      <c r="AU17" s="76">
        <v>0</v>
      </c>
      <c r="AV17" s="76">
        <v>0</v>
      </c>
      <c r="AW17" s="76">
        <v>0</v>
      </c>
      <c r="AX17" s="76">
        <v>0</v>
      </c>
      <c r="AY17" s="76">
        <v>0</v>
      </c>
      <c r="AZ17" s="76">
        <f ca="1">+$J$17</f>
        <v>0</v>
      </c>
      <c r="BA17" s="76">
        <v>0</v>
      </c>
      <c r="BB17" s="76">
        <v>0</v>
      </c>
      <c r="BC17" s="76">
        <v>0</v>
      </c>
    </row>
    <row r="18" spans="1:55" s="21" customFormat="1" ht="15.75">
      <c r="B18" s="38" t="s">
        <v>69</v>
      </c>
      <c r="G18" s="11">
        <f t="shared" ca="1" si="27"/>
        <v>37784</v>
      </c>
      <c r="H18" s="22">
        <f ca="1">+Assumptions!N40</f>
        <v>37784</v>
      </c>
      <c r="I18" s="22">
        <f ca="1">+Assumptions!O40</f>
        <v>0</v>
      </c>
      <c r="J18" s="22">
        <f ca="1">+Assumptions!P40</f>
        <v>0</v>
      </c>
      <c r="M18" s="76">
        <v>0</v>
      </c>
      <c r="N18" s="76">
        <v>0</v>
      </c>
      <c r="O18" s="76">
        <v>0</v>
      </c>
      <c r="P18" s="76">
        <v>0</v>
      </c>
      <c r="Q18" s="76">
        <v>0</v>
      </c>
      <c r="R18" s="76">
        <v>0</v>
      </c>
      <c r="S18" s="76">
        <f ca="1">+$G$18</f>
        <v>37784</v>
      </c>
      <c r="T18" s="76">
        <v>0</v>
      </c>
      <c r="U18" s="76">
        <v>0</v>
      </c>
      <c r="Y18" s="76">
        <v>0</v>
      </c>
      <c r="Z18" s="76">
        <v>0</v>
      </c>
      <c r="AA18" s="76">
        <v>0</v>
      </c>
      <c r="AB18" s="76">
        <v>0</v>
      </c>
      <c r="AC18" s="76">
        <v>0</v>
      </c>
      <c r="AD18" s="76">
        <v>0</v>
      </c>
      <c r="AE18" s="76">
        <f ca="1">+$H$18</f>
        <v>37784</v>
      </c>
      <c r="AF18" s="76">
        <v>0</v>
      </c>
      <c r="AG18" s="76">
        <v>0</v>
      </c>
      <c r="AJ18" s="76">
        <v>0</v>
      </c>
      <c r="AK18" s="76">
        <v>0</v>
      </c>
      <c r="AL18" s="76">
        <v>0</v>
      </c>
      <c r="AM18" s="76">
        <v>0</v>
      </c>
      <c r="AN18" s="76">
        <v>0</v>
      </c>
      <c r="AO18" s="76">
        <v>0</v>
      </c>
      <c r="AP18" s="76">
        <f ca="1">+$I$18</f>
        <v>0</v>
      </c>
      <c r="AQ18" s="76">
        <v>0</v>
      </c>
      <c r="AR18" s="76">
        <v>0</v>
      </c>
      <c r="AU18" s="76">
        <v>0</v>
      </c>
      <c r="AV18" s="76">
        <v>0</v>
      </c>
      <c r="AW18" s="76">
        <v>0</v>
      </c>
      <c r="AX18" s="76">
        <v>0</v>
      </c>
      <c r="AY18" s="76">
        <v>0</v>
      </c>
      <c r="AZ18" s="76">
        <v>0</v>
      </c>
      <c r="BA18" s="76">
        <f ca="1">+$J$18</f>
        <v>0</v>
      </c>
      <c r="BB18" s="76">
        <v>0</v>
      </c>
      <c r="BC18" s="76">
        <v>0</v>
      </c>
    </row>
    <row r="19" spans="1:55" ht="15.75">
      <c r="B19" s="38" t="s">
        <v>140</v>
      </c>
      <c r="C19" s="21"/>
      <c r="D19" s="21"/>
      <c r="E19" s="21"/>
      <c r="F19" s="21"/>
      <c r="G19" s="11">
        <f t="shared" ca="1" si="27"/>
        <v>516204</v>
      </c>
      <c r="H19" s="22">
        <f ca="1">+Assumptions!N41</f>
        <v>254516</v>
      </c>
      <c r="I19" s="22">
        <f ca="1">+Assumptions!O41</f>
        <v>143198</v>
      </c>
      <c r="J19" s="22">
        <f ca="1">+Assumptions!P41</f>
        <v>118490</v>
      </c>
      <c r="K19" s="21"/>
      <c r="M19" s="76">
        <v>0</v>
      </c>
      <c r="N19" s="76">
        <v>0</v>
      </c>
      <c r="O19" s="76">
        <v>0</v>
      </c>
      <c r="P19" s="76">
        <v>0</v>
      </c>
      <c r="Q19" s="76">
        <v>0</v>
      </c>
      <c r="R19" s="76">
        <v>0</v>
      </c>
      <c r="S19" s="76">
        <v>0</v>
      </c>
      <c r="T19" s="76">
        <f ca="1">+$G$19</f>
        <v>516204</v>
      </c>
      <c r="U19" s="76">
        <v>0</v>
      </c>
      <c r="V19" s="21"/>
      <c r="W19" s="21"/>
      <c r="X19" s="21"/>
      <c r="Y19" s="76">
        <v>0</v>
      </c>
      <c r="Z19" s="76">
        <v>0</v>
      </c>
      <c r="AA19" s="76">
        <v>0</v>
      </c>
      <c r="AB19" s="76">
        <v>0</v>
      </c>
      <c r="AC19" s="76">
        <v>0</v>
      </c>
      <c r="AD19" s="76">
        <v>0</v>
      </c>
      <c r="AE19" s="76">
        <v>0</v>
      </c>
      <c r="AF19" s="76">
        <f ca="1">+$H$19</f>
        <v>254516</v>
      </c>
      <c r="AG19" s="76">
        <v>0</v>
      </c>
      <c r="AH19" s="21"/>
      <c r="AI19" s="21"/>
      <c r="AJ19" s="76">
        <v>0</v>
      </c>
      <c r="AK19" s="76">
        <v>0</v>
      </c>
      <c r="AL19" s="76">
        <v>0</v>
      </c>
      <c r="AM19" s="76">
        <v>0</v>
      </c>
      <c r="AN19" s="76">
        <v>0</v>
      </c>
      <c r="AO19" s="76">
        <v>0</v>
      </c>
      <c r="AP19" s="76">
        <v>0</v>
      </c>
      <c r="AQ19" s="76">
        <f ca="1">+$I$19</f>
        <v>143198</v>
      </c>
      <c r="AR19" s="76">
        <v>0</v>
      </c>
      <c r="AS19" s="21"/>
      <c r="AT19" s="21"/>
      <c r="AU19" s="76">
        <v>0</v>
      </c>
      <c r="AV19" s="76">
        <v>0</v>
      </c>
      <c r="AW19" s="76">
        <v>0</v>
      </c>
      <c r="AX19" s="76">
        <v>0</v>
      </c>
      <c r="AY19" s="76">
        <v>0</v>
      </c>
      <c r="AZ19" s="76">
        <v>0</v>
      </c>
      <c r="BA19" s="76">
        <v>0</v>
      </c>
      <c r="BB19" s="76">
        <f ca="1">+$J$19</f>
        <v>118490</v>
      </c>
      <c r="BC19" s="76">
        <v>0</v>
      </c>
    </row>
    <row r="20" spans="1:55" ht="15.75">
      <c r="B20" s="38" t="s">
        <v>30</v>
      </c>
      <c r="C20" s="21"/>
      <c r="D20" s="21"/>
      <c r="E20" s="21"/>
      <c r="F20" s="21"/>
      <c r="G20" s="11">
        <f t="shared" ca="1" si="27"/>
        <v>0</v>
      </c>
      <c r="H20" s="22">
        <f ca="1">+Assumptions!N42</f>
        <v>0</v>
      </c>
      <c r="I20" s="22">
        <f ca="1">+Assumptions!O42</f>
        <v>0</v>
      </c>
      <c r="J20" s="22">
        <f ca="1">+Assumptions!P42</f>
        <v>0</v>
      </c>
      <c r="K20" s="21"/>
      <c r="M20" s="76">
        <v>0</v>
      </c>
      <c r="N20" s="76">
        <v>0</v>
      </c>
      <c r="O20" s="76">
        <v>0</v>
      </c>
      <c r="P20" s="76">
        <v>0</v>
      </c>
      <c r="Q20" s="76">
        <v>0</v>
      </c>
      <c r="R20" s="76">
        <v>0</v>
      </c>
      <c r="S20" s="76">
        <v>0</v>
      </c>
      <c r="T20" s="76">
        <v>0</v>
      </c>
      <c r="U20" s="76">
        <f ca="1">+$G$20</f>
        <v>0</v>
      </c>
      <c r="V20" s="21"/>
      <c r="W20" s="21"/>
      <c r="X20" s="21"/>
      <c r="Y20" s="76">
        <v>0</v>
      </c>
      <c r="Z20" s="76">
        <v>0</v>
      </c>
      <c r="AA20" s="76">
        <v>0</v>
      </c>
      <c r="AB20" s="76">
        <v>0</v>
      </c>
      <c r="AC20" s="76">
        <v>0</v>
      </c>
      <c r="AD20" s="76">
        <v>0</v>
      </c>
      <c r="AE20" s="76">
        <v>0</v>
      </c>
      <c r="AF20" s="76">
        <v>0</v>
      </c>
      <c r="AG20" s="76">
        <f ca="1">+$H$20</f>
        <v>0</v>
      </c>
      <c r="AH20" s="21"/>
      <c r="AI20" s="21"/>
      <c r="AJ20" s="76">
        <v>0</v>
      </c>
      <c r="AK20" s="76">
        <v>0</v>
      </c>
      <c r="AL20" s="76">
        <v>0</v>
      </c>
      <c r="AM20" s="76">
        <v>0</v>
      </c>
      <c r="AN20" s="76">
        <v>0</v>
      </c>
      <c r="AO20" s="76">
        <v>0</v>
      </c>
      <c r="AP20" s="76">
        <v>0</v>
      </c>
      <c r="AQ20" s="76">
        <v>0</v>
      </c>
      <c r="AR20" s="76">
        <f ca="1">+$I$20</f>
        <v>0</v>
      </c>
      <c r="AS20" s="21"/>
      <c r="AT20" s="21"/>
      <c r="AU20" s="76">
        <v>0</v>
      </c>
      <c r="AV20" s="76">
        <v>0</v>
      </c>
      <c r="AW20" s="76">
        <v>0</v>
      </c>
      <c r="AX20" s="76">
        <v>0</v>
      </c>
      <c r="AY20" s="76">
        <v>0</v>
      </c>
      <c r="AZ20" s="76">
        <v>0</v>
      </c>
      <c r="BA20" s="76">
        <v>0</v>
      </c>
      <c r="BB20" s="76">
        <v>0</v>
      </c>
      <c r="BC20" s="76">
        <f ca="1">+$J$20</f>
        <v>0</v>
      </c>
    </row>
    <row r="21" spans="1:55">
      <c r="B21" s="8" t="s">
        <v>402</v>
      </c>
      <c r="C21" s="21"/>
      <c r="D21" s="21"/>
      <c r="E21" s="21"/>
      <c r="F21" s="21"/>
      <c r="G21" s="25">
        <f t="shared" ca="1" si="27"/>
        <v>1</v>
      </c>
      <c r="H21" s="25">
        <f ca="1">+H10/$G$10</f>
        <v>0.43712540512630538</v>
      </c>
      <c r="I21" s="25">
        <f t="shared" ref="I21:J21" ca="1" si="29">+I10/$G$10</f>
        <v>0.31831026940599388</v>
      </c>
      <c r="J21" s="25">
        <f t="shared" ca="1" si="29"/>
        <v>0.24456432546770074</v>
      </c>
      <c r="K21" s="21"/>
      <c r="M21" s="25"/>
      <c r="N21" s="25"/>
      <c r="O21" s="25"/>
      <c r="P21" s="25"/>
      <c r="Q21" s="25"/>
      <c r="R21" s="25"/>
      <c r="S21" s="25"/>
      <c r="T21" s="25"/>
      <c r="U21" s="25"/>
      <c r="V21" s="21"/>
      <c r="W21" s="21"/>
      <c r="X21" s="21"/>
      <c r="Y21" s="25"/>
      <c r="Z21" s="25"/>
      <c r="AA21" s="25"/>
      <c r="AB21" s="25"/>
      <c r="AC21" s="25"/>
      <c r="AD21" s="25"/>
      <c r="AE21" s="25"/>
      <c r="AF21" s="25"/>
      <c r="AG21" s="25"/>
      <c r="AH21" s="21"/>
      <c r="AI21" s="21"/>
      <c r="AJ21" s="25"/>
      <c r="AK21" s="25"/>
      <c r="AL21" s="25"/>
      <c r="AM21" s="25"/>
      <c r="AN21" s="25"/>
      <c r="AO21" s="25"/>
      <c r="AP21" s="25"/>
      <c r="AQ21" s="25"/>
      <c r="AR21" s="25"/>
      <c r="AS21" s="21"/>
      <c r="AT21" s="21"/>
      <c r="AU21" s="25"/>
      <c r="AV21" s="25"/>
      <c r="AW21" s="25"/>
      <c r="AX21" s="25"/>
      <c r="AY21" s="25"/>
      <c r="AZ21" s="25"/>
      <c r="BA21" s="25"/>
      <c r="BB21" s="25"/>
      <c r="BC21" s="25"/>
    </row>
    <row r="22" spans="1:55">
      <c r="B22" s="8"/>
      <c r="C22" s="21"/>
      <c r="D22" s="21"/>
      <c r="E22" s="21"/>
      <c r="F22" s="21"/>
      <c r="G22" s="21"/>
      <c r="H22" s="195"/>
      <c r="I22" s="195"/>
      <c r="J22" s="195"/>
      <c r="K22" s="21"/>
      <c r="M22" s="25"/>
      <c r="N22" s="25"/>
      <c r="O22" s="25"/>
      <c r="P22" s="25"/>
      <c r="Q22" s="25"/>
      <c r="R22" s="25"/>
      <c r="S22" s="25"/>
      <c r="T22" s="25"/>
      <c r="U22" s="25"/>
      <c r="V22" s="21"/>
      <c r="W22" s="21"/>
      <c r="X22" s="21"/>
      <c r="Y22" s="25"/>
      <c r="Z22" s="25"/>
      <c r="AA22" s="25"/>
      <c r="AB22" s="25"/>
      <c r="AC22" s="25"/>
      <c r="AD22" s="25"/>
      <c r="AE22" s="25"/>
      <c r="AF22" s="25"/>
      <c r="AG22" s="25"/>
      <c r="AH22" s="21"/>
      <c r="AI22" s="21"/>
      <c r="AJ22" s="25"/>
      <c r="AK22" s="25"/>
      <c r="AL22" s="25"/>
      <c r="AM22" s="25"/>
      <c r="AN22" s="25"/>
      <c r="AO22" s="25"/>
      <c r="AP22" s="25"/>
      <c r="AQ22" s="25"/>
      <c r="AR22" s="25"/>
      <c r="AS22" s="21"/>
      <c r="AT22" s="21"/>
      <c r="AU22" s="25"/>
      <c r="AV22" s="25"/>
      <c r="AW22" s="25"/>
      <c r="AX22" s="25"/>
      <c r="AY22" s="25"/>
      <c r="AZ22" s="25"/>
      <c r="BA22" s="25"/>
      <c r="BB22" s="25"/>
      <c r="BC22" s="25"/>
    </row>
    <row r="23" spans="1:55" ht="32.25" customHeight="1">
      <c r="B23" s="521" t="s">
        <v>387</v>
      </c>
      <c r="C23" s="522"/>
      <c r="D23" s="445"/>
      <c r="E23" s="445"/>
      <c r="F23" s="526" t="s">
        <v>375</v>
      </c>
      <c r="G23" s="521" t="s">
        <v>70</v>
      </c>
      <c r="H23" s="523" t="str">
        <f>+H4</f>
        <v>I</v>
      </c>
      <c r="I23" s="523" t="str">
        <f>+I4</f>
        <v>II</v>
      </c>
      <c r="J23" s="523" t="str">
        <f>+J4</f>
        <v>III</v>
      </c>
      <c r="K23" s="21"/>
      <c r="M23" s="593" t="str">
        <f t="shared" ref="M23:U23" ca="1" si="30">+M4</f>
        <v>Affordable Residential</v>
      </c>
      <c r="N23" s="593" t="str">
        <f t="shared" ca="1" si="30"/>
        <v>Market Rate Residential</v>
      </c>
      <c r="O23" s="593" t="str">
        <f t="shared" ca="1" si="30"/>
        <v>Retail</v>
      </c>
      <c r="P23" s="593" t="str">
        <f t="shared" ca="1" si="30"/>
        <v>Hotel</v>
      </c>
      <c r="Q23" s="593" t="str">
        <f t="shared" ca="1" si="30"/>
        <v>Museum</v>
      </c>
      <c r="R23" s="593" t="str">
        <f t="shared" ca="1" si="30"/>
        <v>Office</v>
      </c>
      <c r="S23" s="593" t="str">
        <f t="shared" ca="1" si="30"/>
        <v>Light Industrial/Flex</v>
      </c>
      <c r="T23" s="593" t="str">
        <f t="shared" ca="1" si="30"/>
        <v>Structural Parking</v>
      </c>
      <c r="U23" s="593" t="str">
        <f t="shared" ca="1" si="30"/>
        <v>Surface Parking</v>
      </c>
      <c r="V23" s="21"/>
      <c r="W23" s="21"/>
      <c r="X23" s="21"/>
      <c r="Y23" s="593" t="str">
        <f t="shared" ref="Y23:AG23" ca="1" si="31">+Y4</f>
        <v>Affordable Residential</v>
      </c>
      <c r="Z23" s="593" t="str">
        <f t="shared" ca="1" si="31"/>
        <v>Market Rate Residential</v>
      </c>
      <c r="AA23" s="593" t="str">
        <f t="shared" ca="1" si="31"/>
        <v>Retail</v>
      </c>
      <c r="AB23" s="593" t="str">
        <f t="shared" ca="1" si="31"/>
        <v>Hotel</v>
      </c>
      <c r="AC23" s="593" t="str">
        <f t="shared" ca="1" si="31"/>
        <v>Museum</v>
      </c>
      <c r="AD23" s="593" t="str">
        <f t="shared" ca="1" si="31"/>
        <v>Office</v>
      </c>
      <c r="AE23" s="593" t="str">
        <f t="shared" ca="1" si="31"/>
        <v>Light Industrial/Flex</v>
      </c>
      <c r="AF23" s="593" t="str">
        <f t="shared" ca="1" si="31"/>
        <v>Structural Parking</v>
      </c>
      <c r="AG23" s="593" t="str">
        <f t="shared" ca="1" si="31"/>
        <v>Surface Parking</v>
      </c>
      <c r="AH23" s="21"/>
      <c r="AI23" s="21"/>
      <c r="AJ23" s="593" t="str">
        <f t="shared" ref="AJ23:AR23" ca="1" si="32">+AJ4</f>
        <v>Affordable Residential</v>
      </c>
      <c r="AK23" s="593" t="str">
        <f t="shared" ca="1" si="32"/>
        <v>Market Rate Residential</v>
      </c>
      <c r="AL23" s="593" t="str">
        <f t="shared" ca="1" si="32"/>
        <v>Retail</v>
      </c>
      <c r="AM23" s="593" t="str">
        <f t="shared" ca="1" si="32"/>
        <v>Hotel</v>
      </c>
      <c r="AN23" s="593" t="str">
        <f t="shared" ca="1" si="32"/>
        <v>Museum</v>
      </c>
      <c r="AO23" s="593" t="str">
        <f t="shared" ca="1" si="32"/>
        <v>Office</v>
      </c>
      <c r="AP23" s="593" t="str">
        <f t="shared" ca="1" si="32"/>
        <v>Light Industrial/Flex</v>
      </c>
      <c r="AQ23" s="593" t="str">
        <f t="shared" ca="1" si="32"/>
        <v>Structural Parking</v>
      </c>
      <c r="AR23" s="593" t="str">
        <f t="shared" ca="1" si="32"/>
        <v>Surface Parking</v>
      </c>
      <c r="AS23" s="21"/>
      <c r="AT23" s="21"/>
      <c r="AU23" s="647" t="str">
        <f t="shared" ref="AU23:BC23" ca="1" si="33">+AU4</f>
        <v>Affordable Residential</v>
      </c>
      <c r="AV23" s="647" t="str">
        <f t="shared" ca="1" si="33"/>
        <v>Market Rate Residential</v>
      </c>
      <c r="AW23" s="647" t="str">
        <f t="shared" ca="1" si="33"/>
        <v>Retail</v>
      </c>
      <c r="AX23" s="647" t="str">
        <f t="shared" ca="1" si="33"/>
        <v>Hotel</v>
      </c>
      <c r="AY23" s="647" t="str">
        <f t="shared" ca="1" si="33"/>
        <v>Museum</v>
      </c>
      <c r="AZ23" s="647" t="str">
        <f t="shared" ca="1" si="33"/>
        <v>Office</v>
      </c>
      <c r="BA23" s="647" t="str">
        <f t="shared" ca="1" si="33"/>
        <v>Light Industrial/Flex</v>
      </c>
      <c r="BB23" s="647" t="str">
        <f t="shared" ca="1" si="33"/>
        <v>Structural Parking</v>
      </c>
      <c r="BC23" s="647" t="str">
        <f t="shared" ca="1" si="33"/>
        <v>Surface Parking</v>
      </c>
    </row>
    <row r="24" spans="1:55" ht="15.75">
      <c r="B24" s="15" t="s">
        <v>403</v>
      </c>
      <c r="C24" s="15"/>
      <c r="D24" s="20"/>
      <c r="E24" s="15"/>
      <c r="F24" s="47">
        <f ca="1">+G24/$G$10</f>
        <v>16.693747546688499</v>
      </c>
      <c r="G24" s="23">
        <f>+SUM(H24:J24)</f>
        <v>69576802</v>
      </c>
      <c r="H24" s="16">
        <f>'Parcel Breakdown'!AZ24</f>
        <v>69576802</v>
      </c>
      <c r="I24" s="16">
        <f>'Parcel Breakdown'!AZ25</f>
        <v>0</v>
      </c>
      <c r="J24" s="16">
        <f>'Parcel Breakdown'!AZ26</f>
        <v>0</v>
      </c>
      <c r="K24" s="21"/>
      <c r="M24" s="19">
        <f ca="1">+$H24*M$5+$I24*M$6+$J24*M$7</f>
        <v>13598682.641665062</v>
      </c>
      <c r="N24" s="19">
        <f t="shared" ref="N24:U24" ca="1" si="34">+$H24*N$5+$I24*N$6+$J24*N$7</f>
        <v>20398023.962497592</v>
      </c>
      <c r="O24" s="19">
        <f t="shared" ca="1" si="34"/>
        <v>4220206.0204241034</v>
      </c>
      <c r="P24" s="19">
        <f t="shared" ca="1" si="34"/>
        <v>3026773.6444603256</v>
      </c>
      <c r="Q24" s="19">
        <f t="shared" ca="1" si="34"/>
        <v>4789960.1841682186</v>
      </c>
      <c r="R24" s="19">
        <f t="shared" ca="1" si="34"/>
        <v>12380266.474969909</v>
      </c>
      <c r="S24" s="19">
        <f t="shared" ca="1" si="34"/>
        <v>1442964.764589292</v>
      </c>
      <c r="T24" s="19">
        <f t="shared" ca="1" si="34"/>
        <v>9719924.3072254993</v>
      </c>
      <c r="U24" s="19">
        <f t="shared" ca="1" si="34"/>
        <v>0</v>
      </c>
      <c r="V24" s="21"/>
      <c r="W24" s="21"/>
      <c r="X24" s="21"/>
      <c r="Y24" s="19">
        <f ca="1">+$H24*Y$5+$I24*Y$6+$J24*Y$7</f>
        <v>13598682.641665062</v>
      </c>
      <c r="Z24" s="19">
        <f t="shared" ref="Z24:AG24" ca="1" si="35">+$H24*Z$5+$I24*Z$6+$J24*Z$7</f>
        <v>20398023.962497592</v>
      </c>
      <c r="AA24" s="19">
        <f t="shared" ca="1" si="35"/>
        <v>4220206.0204241034</v>
      </c>
      <c r="AB24" s="19">
        <f t="shared" ca="1" si="35"/>
        <v>3026773.6444603256</v>
      </c>
      <c r="AC24" s="19">
        <f t="shared" ca="1" si="35"/>
        <v>4789960.1841682186</v>
      </c>
      <c r="AD24" s="19">
        <f t="shared" ca="1" si="35"/>
        <v>12380266.474969909</v>
      </c>
      <c r="AE24" s="19">
        <f t="shared" ca="1" si="35"/>
        <v>1442964.764589292</v>
      </c>
      <c r="AF24" s="19">
        <f t="shared" ca="1" si="35"/>
        <v>9719924.3072254993</v>
      </c>
      <c r="AG24" s="19">
        <f t="shared" ca="1" si="35"/>
        <v>0</v>
      </c>
      <c r="AH24" s="21"/>
      <c r="AI24" s="21"/>
      <c r="AJ24" s="19">
        <f ca="1">+$H24*AJ$5+$I24*AJ$6+$J24*AJ$7</f>
        <v>0</v>
      </c>
      <c r="AK24" s="19">
        <f t="shared" ref="AK24:AR24" ca="1" si="36">+$H24*AK$5+$I24*AK$6+$J24*AK$7</f>
        <v>0</v>
      </c>
      <c r="AL24" s="19">
        <f t="shared" ca="1" si="36"/>
        <v>0</v>
      </c>
      <c r="AM24" s="19">
        <f t="shared" ca="1" si="36"/>
        <v>0</v>
      </c>
      <c r="AN24" s="19">
        <f t="shared" ca="1" si="36"/>
        <v>0</v>
      </c>
      <c r="AO24" s="19">
        <f t="shared" ca="1" si="36"/>
        <v>0</v>
      </c>
      <c r="AP24" s="19">
        <f t="shared" ca="1" si="36"/>
        <v>0</v>
      </c>
      <c r="AQ24" s="19">
        <f t="shared" ca="1" si="36"/>
        <v>0</v>
      </c>
      <c r="AR24" s="19">
        <f t="shared" ca="1" si="36"/>
        <v>0</v>
      </c>
      <c r="AS24" s="21"/>
      <c r="AT24" s="21"/>
      <c r="AU24" s="19">
        <f ca="1">+$H24*AU$5+$I24*AU$6+$J24*AU$7</f>
        <v>0</v>
      </c>
      <c r="AV24" s="19">
        <f t="shared" ref="AV24:BC24" ca="1" si="37">+$H24*AV$5+$I24*AV$6+$J24*AV$7</f>
        <v>0</v>
      </c>
      <c r="AW24" s="19">
        <f t="shared" ca="1" si="37"/>
        <v>0</v>
      </c>
      <c r="AX24" s="19">
        <f t="shared" ca="1" si="37"/>
        <v>0</v>
      </c>
      <c r="AY24" s="19">
        <f t="shared" ca="1" si="37"/>
        <v>0</v>
      </c>
      <c r="AZ24" s="19">
        <f t="shared" ca="1" si="37"/>
        <v>0</v>
      </c>
      <c r="BA24" s="19">
        <f t="shared" ca="1" si="37"/>
        <v>0</v>
      </c>
      <c r="BB24" s="19">
        <f t="shared" ca="1" si="37"/>
        <v>0</v>
      </c>
      <c r="BC24" s="19">
        <f t="shared" ca="1" si="37"/>
        <v>0</v>
      </c>
    </row>
    <row r="25" spans="1:55" ht="15.75">
      <c r="B25" s="17" t="s">
        <v>404</v>
      </c>
      <c r="C25" s="17"/>
      <c r="D25" s="17"/>
      <c r="E25" s="17"/>
      <c r="F25" s="48">
        <f t="shared" ref="F25" ca="1" si="38">+G25/$G$10</f>
        <v>16.693747546688499</v>
      </c>
      <c r="G25" s="18">
        <f>+SUM(G24:G24)</f>
        <v>69576802</v>
      </c>
      <c r="H25" s="58">
        <f>+SUM(H24:H24)</f>
        <v>69576802</v>
      </c>
      <c r="I25" s="58">
        <f>+SUM(I24:I24)</f>
        <v>0</v>
      </c>
      <c r="J25" s="58">
        <f>+SUM(J24:J24)</f>
        <v>0</v>
      </c>
      <c r="K25" s="21"/>
      <c r="M25" s="58">
        <f t="shared" ref="M25:U25" ca="1" si="39">+SUM(M24:M24)</f>
        <v>13598682.641665062</v>
      </c>
      <c r="N25" s="58">
        <f t="shared" ca="1" si="39"/>
        <v>20398023.962497592</v>
      </c>
      <c r="O25" s="58">
        <f t="shared" ca="1" si="39"/>
        <v>4220206.0204241034</v>
      </c>
      <c r="P25" s="58">
        <f t="shared" ca="1" si="39"/>
        <v>3026773.6444603256</v>
      </c>
      <c r="Q25" s="58">
        <f t="shared" ca="1" si="39"/>
        <v>4789960.1841682186</v>
      </c>
      <c r="R25" s="58">
        <f t="shared" ca="1" si="39"/>
        <v>12380266.474969909</v>
      </c>
      <c r="S25" s="58">
        <f t="shared" ca="1" si="39"/>
        <v>1442964.764589292</v>
      </c>
      <c r="T25" s="58">
        <f t="shared" ca="1" si="39"/>
        <v>9719924.3072254993</v>
      </c>
      <c r="U25" s="58">
        <f t="shared" ca="1" si="39"/>
        <v>0</v>
      </c>
      <c r="V25" s="21"/>
      <c r="W25" s="21"/>
      <c r="X25" s="21"/>
      <c r="Y25" s="58">
        <f t="shared" ref="Y25:AG25" ca="1" si="40">+SUM(Y24:Y24)</f>
        <v>13598682.641665062</v>
      </c>
      <c r="Z25" s="58">
        <f t="shared" ca="1" si="40"/>
        <v>20398023.962497592</v>
      </c>
      <c r="AA25" s="58">
        <f t="shared" ca="1" si="40"/>
        <v>4220206.0204241034</v>
      </c>
      <c r="AB25" s="58">
        <f t="shared" ca="1" si="40"/>
        <v>3026773.6444603256</v>
      </c>
      <c r="AC25" s="58">
        <f t="shared" ca="1" si="40"/>
        <v>4789960.1841682186</v>
      </c>
      <c r="AD25" s="58">
        <f t="shared" ca="1" si="40"/>
        <v>12380266.474969909</v>
      </c>
      <c r="AE25" s="58">
        <f t="shared" ca="1" si="40"/>
        <v>1442964.764589292</v>
      </c>
      <c r="AF25" s="58">
        <f t="shared" ca="1" si="40"/>
        <v>9719924.3072254993</v>
      </c>
      <c r="AG25" s="58">
        <f t="shared" ca="1" si="40"/>
        <v>0</v>
      </c>
      <c r="AH25" s="21"/>
      <c r="AI25" s="21"/>
      <c r="AJ25" s="58">
        <f t="shared" ref="AJ25:AR25" ca="1" si="41">+SUM(AJ24:AJ24)</f>
        <v>0</v>
      </c>
      <c r="AK25" s="58">
        <f t="shared" ca="1" si="41"/>
        <v>0</v>
      </c>
      <c r="AL25" s="58">
        <f t="shared" ca="1" si="41"/>
        <v>0</v>
      </c>
      <c r="AM25" s="58">
        <f t="shared" ca="1" si="41"/>
        <v>0</v>
      </c>
      <c r="AN25" s="58">
        <f t="shared" ca="1" si="41"/>
        <v>0</v>
      </c>
      <c r="AO25" s="58">
        <f t="shared" ca="1" si="41"/>
        <v>0</v>
      </c>
      <c r="AP25" s="58">
        <f t="shared" ca="1" si="41"/>
        <v>0</v>
      </c>
      <c r="AQ25" s="58">
        <f t="shared" ca="1" si="41"/>
        <v>0</v>
      </c>
      <c r="AR25" s="58">
        <f t="shared" ca="1" si="41"/>
        <v>0</v>
      </c>
      <c r="AS25" s="21"/>
      <c r="AT25" s="21"/>
      <c r="AU25" s="58">
        <f t="shared" ref="AU25:BC25" ca="1" si="42">+SUM(AU24:AU24)</f>
        <v>0</v>
      </c>
      <c r="AV25" s="58">
        <f t="shared" ca="1" si="42"/>
        <v>0</v>
      </c>
      <c r="AW25" s="58">
        <f t="shared" ca="1" si="42"/>
        <v>0</v>
      </c>
      <c r="AX25" s="58">
        <f t="shared" ca="1" si="42"/>
        <v>0</v>
      </c>
      <c r="AY25" s="58">
        <f t="shared" ca="1" si="42"/>
        <v>0</v>
      </c>
      <c r="AZ25" s="58">
        <f t="shared" ca="1" si="42"/>
        <v>0</v>
      </c>
      <c r="BA25" s="58">
        <f t="shared" ca="1" si="42"/>
        <v>0</v>
      </c>
      <c r="BB25" s="58">
        <f t="shared" ca="1" si="42"/>
        <v>0</v>
      </c>
      <c r="BC25" s="58">
        <f t="shared" ca="1" si="42"/>
        <v>0</v>
      </c>
    </row>
    <row r="26" spans="1:55">
      <c r="B26" s="15"/>
      <c r="C26" s="15"/>
      <c r="D26" s="15"/>
      <c r="E26" s="15"/>
      <c r="F26" s="15"/>
      <c r="G26" s="15"/>
      <c r="H26" s="15"/>
      <c r="I26" s="15"/>
      <c r="J26" s="15"/>
      <c r="K26" s="21"/>
      <c r="M26" s="104"/>
      <c r="N26" s="104"/>
      <c r="O26" s="104"/>
      <c r="P26" s="104"/>
      <c r="Q26" s="104"/>
      <c r="R26" s="104"/>
      <c r="S26" s="104"/>
      <c r="T26" s="104"/>
      <c r="U26" s="104"/>
      <c r="V26" s="21"/>
      <c r="W26" s="21"/>
      <c r="X26" s="21"/>
      <c r="Y26" s="104"/>
      <c r="Z26" s="104"/>
      <c r="AA26" s="104"/>
      <c r="AB26" s="104"/>
      <c r="AC26" s="104"/>
      <c r="AD26" s="104"/>
      <c r="AE26" s="104"/>
      <c r="AF26" s="104"/>
      <c r="AG26" s="104"/>
      <c r="AH26" s="21"/>
      <c r="AI26" s="21"/>
      <c r="AJ26" s="104"/>
      <c r="AK26" s="104"/>
      <c r="AL26" s="104"/>
      <c r="AM26" s="104"/>
      <c r="AN26" s="104"/>
      <c r="AO26" s="104"/>
      <c r="AP26" s="104"/>
      <c r="AQ26" s="104"/>
      <c r="AR26" s="104"/>
      <c r="AS26" s="21"/>
      <c r="AT26" s="21"/>
      <c r="AU26" s="104"/>
      <c r="AV26" s="104"/>
      <c r="AW26" s="104"/>
      <c r="AX26" s="104"/>
      <c r="AY26" s="104"/>
      <c r="AZ26" s="104"/>
      <c r="BA26" s="104"/>
      <c r="BB26" s="104"/>
      <c r="BC26" s="104"/>
    </row>
    <row r="27" spans="1:55" ht="32.25" customHeight="1">
      <c r="B27" s="444" t="s">
        <v>90</v>
      </c>
      <c r="C27" s="445"/>
      <c r="D27" s="445"/>
      <c r="E27" s="445"/>
      <c r="F27" s="445"/>
      <c r="G27" s="444" t="s">
        <v>70</v>
      </c>
      <c r="H27" s="446" t="str">
        <f>+H$23</f>
        <v>I</v>
      </c>
      <c r="I27" s="446" t="str">
        <f t="shared" ref="I27:J27" si="43">+I$23</f>
        <v>II</v>
      </c>
      <c r="J27" s="446" t="str">
        <f t="shared" si="43"/>
        <v>III</v>
      </c>
      <c r="K27" s="21"/>
      <c r="M27" s="537" t="str">
        <f t="shared" ref="M27:U27" ca="1" si="44">+M$23</f>
        <v>Affordable Residential</v>
      </c>
      <c r="N27" s="537" t="str">
        <f t="shared" ca="1" si="44"/>
        <v>Market Rate Residential</v>
      </c>
      <c r="O27" s="537" t="str">
        <f t="shared" ca="1" si="44"/>
        <v>Retail</v>
      </c>
      <c r="P27" s="537" t="str">
        <f t="shared" ca="1" si="44"/>
        <v>Hotel</v>
      </c>
      <c r="Q27" s="537" t="str">
        <f t="shared" ca="1" si="44"/>
        <v>Museum</v>
      </c>
      <c r="R27" s="537" t="str">
        <f t="shared" ca="1" si="44"/>
        <v>Office</v>
      </c>
      <c r="S27" s="537" t="str">
        <f t="shared" ca="1" si="44"/>
        <v>Light Industrial/Flex</v>
      </c>
      <c r="T27" s="537" t="str">
        <f t="shared" ca="1" si="44"/>
        <v>Structural Parking</v>
      </c>
      <c r="U27" s="537" t="str">
        <f t="shared" ca="1" si="44"/>
        <v>Surface Parking</v>
      </c>
      <c r="V27" s="21"/>
      <c r="W27" s="21"/>
      <c r="X27" s="21"/>
      <c r="Y27" s="537" t="str">
        <f t="shared" ref="Y27:AG27" ca="1" si="45">+Y$23</f>
        <v>Affordable Residential</v>
      </c>
      <c r="Z27" s="537" t="str">
        <f t="shared" ca="1" si="45"/>
        <v>Market Rate Residential</v>
      </c>
      <c r="AA27" s="537" t="str">
        <f t="shared" ca="1" si="45"/>
        <v>Retail</v>
      </c>
      <c r="AB27" s="537" t="str">
        <f t="shared" ca="1" si="45"/>
        <v>Hotel</v>
      </c>
      <c r="AC27" s="537" t="str">
        <f t="shared" ca="1" si="45"/>
        <v>Museum</v>
      </c>
      <c r="AD27" s="537" t="str">
        <f t="shared" ca="1" si="45"/>
        <v>Office</v>
      </c>
      <c r="AE27" s="537" t="str">
        <f t="shared" ca="1" si="45"/>
        <v>Light Industrial/Flex</v>
      </c>
      <c r="AF27" s="537" t="str">
        <f t="shared" ca="1" si="45"/>
        <v>Structural Parking</v>
      </c>
      <c r="AG27" s="537" t="str">
        <f t="shared" ca="1" si="45"/>
        <v>Surface Parking</v>
      </c>
      <c r="AH27" s="21"/>
      <c r="AI27" s="21"/>
      <c r="AJ27" s="537" t="str">
        <f t="shared" ref="AJ27:AR27" ca="1" si="46">+AJ$23</f>
        <v>Affordable Residential</v>
      </c>
      <c r="AK27" s="537" t="str">
        <f t="shared" ca="1" si="46"/>
        <v>Market Rate Residential</v>
      </c>
      <c r="AL27" s="537" t="str">
        <f t="shared" ca="1" si="46"/>
        <v>Retail</v>
      </c>
      <c r="AM27" s="537" t="str">
        <f t="shared" ca="1" si="46"/>
        <v>Hotel</v>
      </c>
      <c r="AN27" s="537" t="str">
        <f t="shared" ca="1" si="46"/>
        <v>Museum</v>
      </c>
      <c r="AO27" s="537" t="str">
        <f t="shared" ca="1" si="46"/>
        <v>Office</v>
      </c>
      <c r="AP27" s="537" t="str">
        <f t="shared" ca="1" si="46"/>
        <v>Light Industrial/Flex</v>
      </c>
      <c r="AQ27" s="537" t="str">
        <f t="shared" ca="1" si="46"/>
        <v>Structural Parking</v>
      </c>
      <c r="AR27" s="537" t="str">
        <f t="shared" ca="1" si="46"/>
        <v>Surface Parking</v>
      </c>
      <c r="AS27" s="21"/>
      <c r="AT27" s="21"/>
      <c r="AU27" s="537" t="str">
        <f t="shared" ref="AU27:BC27" ca="1" si="47">+AU$23</f>
        <v>Affordable Residential</v>
      </c>
      <c r="AV27" s="537" t="str">
        <f t="shared" ca="1" si="47"/>
        <v>Market Rate Residential</v>
      </c>
      <c r="AW27" s="537" t="str">
        <f t="shared" ca="1" si="47"/>
        <v>Retail</v>
      </c>
      <c r="AX27" s="537" t="str">
        <f t="shared" ca="1" si="47"/>
        <v>Hotel</v>
      </c>
      <c r="AY27" s="537" t="str">
        <f t="shared" ca="1" si="47"/>
        <v>Museum</v>
      </c>
      <c r="AZ27" s="537" t="str">
        <f t="shared" ca="1" si="47"/>
        <v>Office</v>
      </c>
      <c r="BA27" s="537" t="str">
        <f t="shared" ca="1" si="47"/>
        <v>Light Industrial/Flex</v>
      </c>
      <c r="BB27" s="537" t="str">
        <f t="shared" ca="1" si="47"/>
        <v>Structural Parking</v>
      </c>
      <c r="BC27" s="537" t="str">
        <f t="shared" ca="1" si="47"/>
        <v>Surface Parking</v>
      </c>
    </row>
    <row r="28" spans="1:55" ht="15.75">
      <c r="B28" s="15" t="s">
        <v>405</v>
      </c>
      <c r="C28" s="15"/>
      <c r="D28" s="20"/>
      <c r="E28" s="10"/>
      <c r="F28" s="47">
        <f t="shared" ref="F28:F31" ca="1" si="48">+G28/$G$10</f>
        <v>1.3129800966942353</v>
      </c>
      <c r="G28" s="23">
        <f>+SUM(H28:J28)</f>
        <v>5472285.7142857146</v>
      </c>
      <c r="H28" s="16">
        <f>Infrastructure!G10+Infrastructure!G15</f>
        <v>3974285.7142857141</v>
      </c>
      <c r="I28" s="16">
        <f>Infrastructure!H10+Infrastructure!H15</f>
        <v>322000</v>
      </c>
      <c r="J28" s="16">
        <f>Infrastructure!I10+Infrastructure!I15</f>
        <v>1176000</v>
      </c>
      <c r="K28" s="21"/>
      <c r="M28" s="19">
        <f t="shared" ref="M28:U30" ca="1" si="49">+$H28*M$5+$I28*M$6+$J28*M$7</f>
        <v>1246445.9527198246</v>
      </c>
      <c r="N28" s="19">
        <f t="shared" ca="1" si="49"/>
        <v>1869668.9290797366</v>
      </c>
      <c r="O28" s="19">
        <f t="shared" ca="1" si="49"/>
        <v>318465.69826660946</v>
      </c>
      <c r="P28" s="19">
        <f t="shared" ca="1" si="49"/>
        <v>172891.86783197048</v>
      </c>
      <c r="Q28" s="19">
        <f t="shared" ca="1" si="49"/>
        <v>273606.57266105909</v>
      </c>
      <c r="R28" s="19">
        <f t="shared" ca="1" si="49"/>
        <v>782111.61624150956</v>
      </c>
      <c r="S28" s="19">
        <f t="shared" ca="1" si="49"/>
        <v>82423.366485353443</v>
      </c>
      <c r="T28" s="19">
        <f t="shared" ca="1" si="49"/>
        <v>726671.71099965065</v>
      </c>
      <c r="U28" s="19">
        <f t="shared" ca="1" si="49"/>
        <v>0</v>
      </c>
      <c r="V28" s="21"/>
      <c r="W28" s="21"/>
      <c r="X28" s="21"/>
      <c r="Y28" s="19">
        <f t="shared" ref="Y28:AG30" ca="1" si="50">+$H28*Y$5+$I28*Y$6+$J28*Y$7</f>
        <v>776768.24174635927</v>
      </c>
      <c r="Z28" s="19">
        <f t="shared" ca="1" si="50"/>
        <v>1165152.3626195388</v>
      </c>
      <c r="AA28" s="19">
        <f t="shared" ca="1" si="50"/>
        <v>241061.73345411994</v>
      </c>
      <c r="AB28" s="19">
        <f t="shared" ca="1" si="50"/>
        <v>172891.86783197048</v>
      </c>
      <c r="AC28" s="19">
        <f t="shared" ca="1" si="50"/>
        <v>273606.57266105909</v>
      </c>
      <c r="AD28" s="19">
        <f t="shared" ca="1" si="50"/>
        <v>707171.2808893295</v>
      </c>
      <c r="AE28" s="19">
        <f t="shared" ca="1" si="50"/>
        <v>82423.366485353443</v>
      </c>
      <c r="AF28" s="19">
        <f t="shared" ca="1" si="50"/>
        <v>555210.28859798366</v>
      </c>
      <c r="AG28" s="19">
        <f t="shared" ca="1" si="50"/>
        <v>0</v>
      </c>
      <c r="AH28" s="21"/>
      <c r="AI28" s="21"/>
      <c r="AJ28" s="19">
        <f t="shared" ref="AJ28:AR30" ca="1" si="51">+$H28*AJ$5+$I28*AJ$6+$J28*AJ$7</f>
        <v>72695.911628029702</v>
      </c>
      <c r="AK28" s="19">
        <f t="shared" ca="1" si="51"/>
        <v>109043.8674420445</v>
      </c>
      <c r="AL28" s="19">
        <f t="shared" ca="1" si="51"/>
        <v>30563.744426814603</v>
      </c>
      <c r="AM28" s="19">
        <f t="shared" ca="1" si="51"/>
        <v>0</v>
      </c>
      <c r="AN28" s="19">
        <f t="shared" ca="1" si="51"/>
        <v>0</v>
      </c>
      <c r="AO28" s="19">
        <f t="shared" ca="1" si="51"/>
        <v>74940.335352180089</v>
      </c>
      <c r="AP28" s="19">
        <f t="shared" ca="1" si="51"/>
        <v>0</v>
      </c>
      <c r="AQ28" s="19">
        <f t="shared" ca="1" si="51"/>
        <v>34756.141150931093</v>
      </c>
      <c r="AR28" s="19">
        <f t="shared" ca="1" si="51"/>
        <v>0</v>
      </c>
      <c r="AS28" s="21"/>
      <c r="AT28" s="21"/>
      <c r="AU28" s="19">
        <f t="shared" ref="AU28:BC30" ca="1" si="52">+$H28*AU$5+$I28*AU$6+$J28*AU$7</f>
        <v>396981.79934543575</v>
      </c>
      <c r="AV28" s="19">
        <f t="shared" ca="1" si="52"/>
        <v>595472.69901815348</v>
      </c>
      <c r="AW28" s="19">
        <f t="shared" ca="1" si="52"/>
        <v>46840.220385674933</v>
      </c>
      <c r="AX28" s="19">
        <f t="shared" ca="1" si="52"/>
        <v>0</v>
      </c>
      <c r="AY28" s="19">
        <f t="shared" ca="1" si="52"/>
        <v>0</v>
      </c>
      <c r="AZ28" s="19">
        <f t="shared" ca="1" si="52"/>
        <v>0</v>
      </c>
      <c r="BA28" s="19">
        <f t="shared" ca="1" si="52"/>
        <v>0</v>
      </c>
      <c r="BB28" s="19">
        <f t="shared" ca="1" si="52"/>
        <v>136705.2812507358</v>
      </c>
      <c r="BC28" s="19">
        <f t="shared" ca="1" si="52"/>
        <v>0</v>
      </c>
    </row>
    <row r="29" spans="1:55" ht="15.75">
      <c r="B29" s="15" t="s">
        <v>94</v>
      </c>
      <c r="C29" s="15"/>
      <c r="D29" s="20"/>
      <c r="E29" s="21"/>
      <c r="F29" s="47">
        <f t="shared" ca="1" si="48"/>
        <v>0.11996633264840555</v>
      </c>
      <c r="G29" s="13">
        <f>+SUM(H29:J29)</f>
        <v>500000</v>
      </c>
      <c r="H29" s="19">
        <v>400000</v>
      </c>
      <c r="I29" s="19">
        <f>SUM(Infrastructure!H17,Infrastructure!H16)</f>
        <v>50000</v>
      </c>
      <c r="J29" s="19">
        <f>SUM(Infrastructure!I17,Infrastructure!I16)</f>
        <v>50000</v>
      </c>
      <c r="K29" s="21"/>
      <c r="M29" s="19">
        <f t="shared" ca="1" si="49"/>
        <v>106346.06896954008</v>
      </c>
      <c r="N29" s="19">
        <f t="shared" ca="1" si="49"/>
        <v>159519.1034543101</v>
      </c>
      <c r="O29" s="19">
        <f t="shared" ca="1" si="49"/>
        <v>30999.573289301228</v>
      </c>
      <c r="P29" s="19">
        <f t="shared" ca="1" si="49"/>
        <v>17401.050680428372</v>
      </c>
      <c r="Q29" s="19">
        <f t="shared" ca="1" si="49"/>
        <v>27537.685242665906</v>
      </c>
      <c r="R29" s="19">
        <f t="shared" ca="1" si="49"/>
        <v>82811.37763670423</v>
      </c>
      <c r="S29" s="19">
        <f t="shared" ca="1" si="49"/>
        <v>8295.6659295107711</v>
      </c>
      <c r="T29" s="19">
        <f t="shared" ca="1" si="49"/>
        <v>67089.474797539311</v>
      </c>
      <c r="U29" s="19">
        <f t="shared" ca="1" si="49"/>
        <v>0</v>
      </c>
      <c r="V29" s="53"/>
      <c r="W29" s="53"/>
      <c r="X29" s="21"/>
      <c r="Y29" s="19">
        <f t="shared" ca="1" si="50"/>
        <v>78179.406070805388</v>
      </c>
      <c r="Z29" s="19">
        <f t="shared" ca="1" si="50"/>
        <v>117269.1091062081</v>
      </c>
      <c r="AA29" s="19">
        <f t="shared" ca="1" si="50"/>
        <v>24262.144272880512</v>
      </c>
      <c r="AB29" s="19">
        <f t="shared" ca="1" si="50"/>
        <v>17401.050680428372</v>
      </c>
      <c r="AC29" s="19">
        <f t="shared" ca="1" si="50"/>
        <v>27537.685242665906</v>
      </c>
      <c r="AD29" s="19">
        <f t="shared" ca="1" si="50"/>
        <v>71174.67960065142</v>
      </c>
      <c r="AE29" s="19">
        <f t="shared" ca="1" si="50"/>
        <v>8295.6659295107711</v>
      </c>
      <c r="AF29" s="19">
        <f t="shared" ca="1" si="50"/>
        <v>55880.25909684955</v>
      </c>
      <c r="AG29" s="19">
        <f t="shared" ca="1" si="50"/>
        <v>0</v>
      </c>
      <c r="AH29" s="21"/>
      <c r="AI29" s="21"/>
      <c r="AJ29" s="19">
        <f t="shared" ca="1" si="51"/>
        <v>11288.185035408338</v>
      </c>
      <c r="AK29" s="19">
        <f t="shared" ca="1" si="51"/>
        <v>16932.277553112501</v>
      </c>
      <c r="AL29" s="19">
        <f t="shared" ca="1" si="51"/>
        <v>4745.9230476420189</v>
      </c>
      <c r="AM29" s="19">
        <f t="shared" ca="1" si="51"/>
        <v>0</v>
      </c>
      <c r="AN29" s="19">
        <f t="shared" ca="1" si="51"/>
        <v>0</v>
      </c>
      <c r="AO29" s="19">
        <f t="shared" ca="1" si="51"/>
        <v>11636.698036052809</v>
      </c>
      <c r="AP29" s="19">
        <f t="shared" ca="1" si="51"/>
        <v>0</v>
      </c>
      <c r="AQ29" s="19">
        <f t="shared" ca="1" si="51"/>
        <v>5396.9163277843309</v>
      </c>
      <c r="AR29" s="19">
        <f t="shared" ca="1" si="51"/>
        <v>0</v>
      </c>
      <c r="AS29" s="21"/>
      <c r="AT29" s="21"/>
      <c r="AU29" s="19">
        <f t="shared" ca="1" si="52"/>
        <v>16878.477863326349</v>
      </c>
      <c r="AV29" s="19">
        <f t="shared" ca="1" si="52"/>
        <v>25317.716794989519</v>
      </c>
      <c r="AW29" s="19">
        <f t="shared" ca="1" si="52"/>
        <v>1991.5059687786961</v>
      </c>
      <c r="AX29" s="19">
        <f t="shared" ca="1" si="52"/>
        <v>0</v>
      </c>
      <c r="AY29" s="19">
        <f t="shared" ca="1" si="52"/>
        <v>0</v>
      </c>
      <c r="AZ29" s="19">
        <f t="shared" ca="1" si="52"/>
        <v>0</v>
      </c>
      <c r="BA29" s="19">
        <f t="shared" ca="1" si="52"/>
        <v>0</v>
      </c>
      <c r="BB29" s="19">
        <f t="shared" ca="1" si="52"/>
        <v>5812.2993729054333</v>
      </c>
      <c r="BC29" s="19">
        <f t="shared" ca="1" si="52"/>
        <v>0</v>
      </c>
    </row>
    <row r="30" spans="1:55" ht="15.75">
      <c r="B30" s="693" t="s">
        <v>406</v>
      </c>
      <c r="C30" s="693"/>
      <c r="D30" s="926"/>
      <c r="E30" s="920"/>
      <c r="F30" s="927">
        <f t="shared" ca="1" si="48"/>
        <v>0.19940383930653702</v>
      </c>
      <c r="G30" s="928">
        <f>+SUM(H30:J30)</f>
        <v>831082.5</v>
      </c>
      <c r="H30" s="922">
        <f>SUM(Infrastructure!G6:G7)</f>
        <v>404737.5</v>
      </c>
      <c r="I30" s="922">
        <f>SUM(Infrastructure!H6:H7)</f>
        <v>0</v>
      </c>
      <c r="J30" s="922">
        <f>SUM(Infrastructure!I6:I7)</f>
        <v>426345</v>
      </c>
      <c r="K30" s="21"/>
      <c r="M30" s="19">
        <f t="shared" ca="1" si="49"/>
        <v>223026.43630425393</v>
      </c>
      <c r="N30" s="19">
        <f t="shared" ca="1" si="49"/>
        <v>334539.65445638087</v>
      </c>
      <c r="O30" s="19">
        <f t="shared" ca="1" si="49"/>
        <v>41530.871289291506</v>
      </c>
      <c r="P30" s="19">
        <f t="shared" ca="1" si="49"/>
        <v>17607.144374424697</v>
      </c>
      <c r="Q30" s="19">
        <f t="shared" ca="1" si="49"/>
        <v>27863.83470225873</v>
      </c>
      <c r="R30" s="19">
        <f t="shared" ca="1" si="49"/>
        <v>72017.654712171643</v>
      </c>
      <c r="S30" s="19">
        <f t="shared" ca="1" si="49"/>
        <v>8393.9177228634144</v>
      </c>
      <c r="T30" s="19">
        <f t="shared" ca="1" si="49"/>
        <v>106102.9864383552</v>
      </c>
      <c r="U30" s="19">
        <f t="shared" ca="1" si="49"/>
        <v>0</v>
      </c>
      <c r="V30" s="21"/>
      <c r="W30" s="21"/>
      <c r="X30" s="21"/>
      <c r="Y30" s="19">
        <f t="shared" ca="1" si="50"/>
        <v>79105.343411456488</v>
      </c>
      <c r="Z30" s="19">
        <f t="shared" ca="1" si="50"/>
        <v>118658.01511718474</v>
      </c>
      <c r="AA30" s="19">
        <f t="shared" ca="1" si="50"/>
        <v>24549.499044112439</v>
      </c>
      <c r="AB30" s="19">
        <f t="shared" ca="1" si="50"/>
        <v>17607.144374424697</v>
      </c>
      <c r="AC30" s="19">
        <f t="shared" ca="1" si="50"/>
        <v>27863.83470225873</v>
      </c>
      <c r="AD30" s="19">
        <f t="shared" ca="1" si="50"/>
        <v>72017.654712171643</v>
      </c>
      <c r="AE30" s="19">
        <f t="shared" ca="1" si="50"/>
        <v>8393.9177228634144</v>
      </c>
      <c r="AF30" s="19">
        <f t="shared" ca="1" si="50"/>
        <v>56542.090915527864</v>
      </c>
      <c r="AG30" s="19">
        <f t="shared" ca="1" si="50"/>
        <v>0</v>
      </c>
      <c r="AH30" s="21"/>
      <c r="AI30" s="21"/>
      <c r="AJ30" s="19">
        <f t="shared" ca="1" si="51"/>
        <v>0</v>
      </c>
      <c r="AK30" s="19">
        <f t="shared" ca="1" si="51"/>
        <v>0</v>
      </c>
      <c r="AL30" s="19">
        <f t="shared" ca="1" si="51"/>
        <v>0</v>
      </c>
      <c r="AM30" s="19">
        <f t="shared" ca="1" si="51"/>
        <v>0</v>
      </c>
      <c r="AN30" s="19">
        <f t="shared" ca="1" si="51"/>
        <v>0</v>
      </c>
      <c r="AO30" s="19">
        <f t="shared" ca="1" si="51"/>
        <v>0</v>
      </c>
      <c r="AP30" s="19">
        <f t="shared" ca="1" si="51"/>
        <v>0</v>
      </c>
      <c r="AQ30" s="19">
        <f t="shared" ca="1" si="51"/>
        <v>0</v>
      </c>
      <c r="AR30" s="19">
        <f t="shared" ca="1" si="51"/>
        <v>0</v>
      </c>
      <c r="AS30" s="21"/>
      <c r="AT30" s="21"/>
      <c r="AU30" s="19">
        <f t="shared" ca="1" si="52"/>
        <v>143921.09289279746</v>
      </c>
      <c r="AV30" s="19">
        <f t="shared" ca="1" si="52"/>
        <v>215881.63933919615</v>
      </c>
      <c r="AW30" s="19">
        <f t="shared" ca="1" si="52"/>
        <v>16981.372245179064</v>
      </c>
      <c r="AX30" s="19">
        <f t="shared" ca="1" si="52"/>
        <v>0</v>
      </c>
      <c r="AY30" s="19">
        <f t="shared" ca="1" si="52"/>
        <v>0</v>
      </c>
      <c r="AZ30" s="19">
        <f t="shared" ca="1" si="52"/>
        <v>0</v>
      </c>
      <c r="BA30" s="19">
        <f t="shared" ca="1" si="52"/>
        <v>0</v>
      </c>
      <c r="BB30" s="19">
        <f t="shared" ca="1" si="52"/>
        <v>49560.895522827341</v>
      </c>
      <c r="BC30" s="19">
        <f t="shared" ca="1" si="52"/>
        <v>0</v>
      </c>
    </row>
    <row r="31" spans="1:55" ht="15.75">
      <c r="B31" s="17" t="s">
        <v>407</v>
      </c>
      <c r="C31" s="17"/>
      <c r="D31" s="17"/>
      <c r="E31" s="17"/>
      <c r="F31" s="48">
        <f t="shared" ca="1" si="48"/>
        <v>1.6323502686491778</v>
      </c>
      <c r="G31" s="18">
        <f>SUM(H31:J31)</f>
        <v>6803368.2142857146</v>
      </c>
      <c r="H31" s="58">
        <f>+SUM(H28:H30)</f>
        <v>4779023.2142857146</v>
      </c>
      <c r="I31" s="58">
        <f>+SUM(I28:I30)</f>
        <v>372000</v>
      </c>
      <c r="J31" s="58">
        <f>+SUM(J28:J30)</f>
        <v>1652345</v>
      </c>
      <c r="K31" s="21"/>
      <c r="M31" s="58">
        <f t="shared" ref="M31:U31" ca="1" si="53">+SUM(M28:M30)</f>
        <v>1575818.4579936187</v>
      </c>
      <c r="N31" s="58">
        <f t="shared" ca="1" si="53"/>
        <v>2363727.6869904273</v>
      </c>
      <c r="O31" s="58">
        <f t="shared" ca="1" si="53"/>
        <v>390996.14284520224</v>
      </c>
      <c r="P31" s="58">
        <f t="shared" ca="1" si="53"/>
        <v>207900.06288682355</v>
      </c>
      <c r="Q31" s="58">
        <f t="shared" ca="1" si="53"/>
        <v>329008.09260598378</v>
      </c>
      <c r="R31" s="58">
        <f t="shared" ca="1" si="53"/>
        <v>936940.64859038545</v>
      </c>
      <c r="S31" s="58">
        <f t="shared" ca="1" si="53"/>
        <v>99112.950137727632</v>
      </c>
      <c r="T31" s="58">
        <f t="shared" ca="1" si="53"/>
        <v>899864.17223554512</v>
      </c>
      <c r="U31" s="58">
        <f t="shared" ca="1" si="53"/>
        <v>0</v>
      </c>
      <c r="V31" s="21"/>
      <c r="W31" s="21"/>
      <c r="X31" s="16">
        <f ca="1">+SUM(Y31:AG31)</f>
        <v>4779023.2142857146</v>
      </c>
      <c r="Y31" s="58">
        <f t="shared" ref="Y31:AG31" ca="1" si="54">+SUM(Y28:Y30)</f>
        <v>934052.9912286211</v>
      </c>
      <c r="Z31" s="58">
        <f t="shared" ca="1" si="54"/>
        <v>1401079.4868429317</v>
      </c>
      <c r="AA31" s="58">
        <f t="shared" ca="1" si="54"/>
        <v>289873.3767711129</v>
      </c>
      <c r="AB31" s="58">
        <f t="shared" ca="1" si="54"/>
        <v>207900.06288682355</v>
      </c>
      <c r="AC31" s="58">
        <f t="shared" ca="1" si="54"/>
        <v>329008.09260598378</v>
      </c>
      <c r="AD31" s="58">
        <f t="shared" ca="1" si="54"/>
        <v>850363.61520215252</v>
      </c>
      <c r="AE31" s="58">
        <f t="shared" ca="1" si="54"/>
        <v>99112.950137727632</v>
      </c>
      <c r="AF31" s="58">
        <f t="shared" ca="1" si="54"/>
        <v>667632.63861036114</v>
      </c>
      <c r="AG31" s="58">
        <f t="shared" ca="1" si="54"/>
        <v>0</v>
      </c>
      <c r="AH31" s="16"/>
      <c r="AI31" s="16">
        <f ca="1">+SUM(AJ31:AR31)</f>
        <v>372000</v>
      </c>
      <c r="AJ31" s="58">
        <f t="shared" ref="AJ31:AR31" ca="1" si="55">+SUM(AJ28:AJ30)</f>
        <v>83984.096663438046</v>
      </c>
      <c r="AK31" s="58">
        <f t="shared" ca="1" si="55"/>
        <v>125976.144995157</v>
      </c>
      <c r="AL31" s="58">
        <f t="shared" ca="1" si="55"/>
        <v>35309.667474456619</v>
      </c>
      <c r="AM31" s="58">
        <f t="shared" ca="1" si="55"/>
        <v>0</v>
      </c>
      <c r="AN31" s="58">
        <f t="shared" ca="1" si="55"/>
        <v>0</v>
      </c>
      <c r="AO31" s="58">
        <f t="shared" ca="1" si="55"/>
        <v>86577.0333882329</v>
      </c>
      <c r="AP31" s="58">
        <f t="shared" ca="1" si="55"/>
        <v>0</v>
      </c>
      <c r="AQ31" s="58">
        <f t="shared" ca="1" si="55"/>
        <v>40153.057478715426</v>
      </c>
      <c r="AR31" s="58">
        <f t="shared" ca="1" si="55"/>
        <v>0</v>
      </c>
      <c r="AS31" s="21"/>
      <c r="AT31" s="16">
        <f ca="1">+SUM(AU31:BC31)</f>
        <v>1652345.0000000002</v>
      </c>
      <c r="AU31" s="58">
        <f t="shared" ref="AU31:BC31" ca="1" si="56">+SUM(AU28:AU30)</f>
        <v>557781.37010155956</v>
      </c>
      <c r="AV31" s="58">
        <f t="shared" ca="1" si="56"/>
        <v>836672.05515233916</v>
      </c>
      <c r="AW31" s="58">
        <f t="shared" ca="1" si="56"/>
        <v>65813.098599632693</v>
      </c>
      <c r="AX31" s="58">
        <f t="shared" ca="1" si="56"/>
        <v>0</v>
      </c>
      <c r="AY31" s="58">
        <f t="shared" ca="1" si="56"/>
        <v>0</v>
      </c>
      <c r="AZ31" s="58">
        <f t="shared" ca="1" si="56"/>
        <v>0</v>
      </c>
      <c r="BA31" s="58">
        <f t="shared" ca="1" si="56"/>
        <v>0</v>
      </c>
      <c r="BB31" s="58">
        <f t="shared" ca="1" si="56"/>
        <v>192078.47614646857</v>
      </c>
      <c r="BC31" s="58">
        <f t="shared" ca="1" si="56"/>
        <v>0</v>
      </c>
    </row>
    <row r="32" spans="1:55">
      <c r="B32" s="15"/>
      <c r="C32" s="15"/>
      <c r="D32" s="15"/>
      <c r="E32" s="15"/>
      <c r="F32" s="15"/>
      <c r="G32" s="15"/>
      <c r="H32" s="19"/>
      <c r="I32" s="15"/>
      <c r="J32" s="19"/>
      <c r="K32" s="21"/>
      <c r="M32" s="15"/>
      <c r="N32" s="15"/>
      <c r="O32" s="15"/>
      <c r="P32" s="15"/>
      <c r="Q32" s="15"/>
      <c r="R32" s="15"/>
      <c r="S32" s="15"/>
      <c r="T32" s="15"/>
      <c r="U32" s="15"/>
      <c r="V32" s="21"/>
      <c r="W32" s="21"/>
      <c r="X32" s="21"/>
      <c r="Y32" s="15"/>
      <c r="Z32" s="15"/>
      <c r="AA32" s="15"/>
      <c r="AB32" s="15"/>
      <c r="AC32" s="15"/>
      <c r="AD32" s="15"/>
      <c r="AE32" s="15"/>
      <c r="AF32" s="15"/>
      <c r="AG32" s="15"/>
      <c r="AH32" s="21"/>
      <c r="AI32" s="21"/>
      <c r="AJ32" s="15"/>
      <c r="AK32" s="15"/>
      <c r="AL32" s="15"/>
      <c r="AM32" s="15"/>
      <c r="AN32" s="15"/>
      <c r="AO32" s="15"/>
      <c r="AP32" s="15"/>
      <c r="AQ32" s="15"/>
      <c r="AR32" s="15"/>
      <c r="AS32" s="21"/>
      <c r="AT32" s="21"/>
      <c r="AU32" s="15"/>
      <c r="AV32" s="15"/>
      <c r="AW32" s="15"/>
      <c r="AX32" s="15"/>
      <c r="AY32" s="15"/>
      <c r="AZ32" s="15"/>
      <c r="BA32" s="15"/>
      <c r="BB32" s="15"/>
      <c r="BC32" s="15"/>
    </row>
    <row r="33" spans="2:55" ht="32.25" customHeight="1">
      <c r="B33" s="444" t="s">
        <v>28</v>
      </c>
      <c r="C33" s="445"/>
      <c r="D33" s="445" t="s">
        <v>408</v>
      </c>
      <c r="E33" s="445"/>
      <c r="F33" s="445"/>
      <c r="G33" s="444" t="s">
        <v>70</v>
      </c>
      <c r="H33" s="446" t="str">
        <f>+H$23</f>
        <v>I</v>
      </c>
      <c r="I33" s="446" t="str">
        <f t="shared" ref="I33:J33" si="57">+I$23</f>
        <v>II</v>
      </c>
      <c r="J33" s="446" t="str">
        <f t="shared" si="57"/>
        <v>III</v>
      </c>
      <c r="K33" s="21"/>
      <c r="M33" s="537" t="str">
        <f t="shared" ref="M33:U33" ca="1" si="58">+M$23</f>
        <v>Affordable Residential</v>
      </c>
      <c r="N33" s="537" t="str">
        <f t="shared" ca="1" si="58"/>
        <v>Market Rate Residential</v>
      </c>
      <c r="O33" s="537" t="str">
        <f t="shared" ca="1" si="58"/>
        <v>Retail</v>
      </c>
      <c r="P33" s="537" t="str">
        <f t="shared" ca="1" si="58"/>
        <v>Hotel</v>
      </c>
      <c r="Q33" s="537" t="str">
        <f t="shared" ca="1" si="58"/>
        <v>Museum</v>
      </c>
      <c r="R33" s="537" t="str">
        <f t="shared" ca="1" si="58"/>
        <v>Office</v>
      </c>
      <c r="S33" s="537" t="str">
        <f t="shared" ca="1" si="58"/>
        <v>Light Industrial/Flex</v>
      </c>
      <c r="T33" s="537" t="str">
        <f t="shared" ca="1" si="58"/>
        <v>Structural Parking</v>
      </c>
      <c r="U33" s="537" t="str">
        <f t="shared" ca="1" si="58"/>
        <v>Surface Parking</v>
      </c>
      <c r="V33" s="21"/>
      <c r="W33" s="21"/>
      <c r="X33" s="21"/>
      <c r="Y33" s="537" t="str">
        <f t="shared" ref="Y33:AG33" ca="1" si="59">+Y$23</f>
        <v>Affordable Residential</v>
      </c>
      <c r="Z33" s="537" t="str">
        <f t="shared" ca="1" si="59"/>
        <v>Market Rate Residential</v>
      </c>
      <c r="AA33" s="537" t="str">
        <f t="shared" ca="1" si="59"/>
        <v>Retail</v>
      </c>
      <c r="AB33" s="537" t="str">
        <f t="shared" ca="1" si="59"/>
        <v>Hotel</v>
      </c>
      <c r="AC33" s="537" t="str">
        <f t="shared" ca="1" si="59"/>
        <v>Museum</v>
      </c>
      <c r="AD33" s="537" t="str">
        <f t="shared" ca="1" si="59"/>
        <v>Office</v>
      </c>
      <c r="AE33" s="537" t="str">
        <f t="shared" ca="1" si="59"/>
        <v>Light Industrial/Flex</v>
      </c>
      <c r="AF33" s="537" t="str">
        <f t="shared" ca="1" si="59"/>
        <v>Structural Parking</v>
      </c>
      <c r="AG33" s="537" t="str">
        <f t="shared" ca="1" si="59"/>
        <v>Surface Parking</v>
      </c>
      <c r="AH33" s="21"/>
      <c r="AI33" s="21"/>
      <c r="AJ33" s="537" t="str">
        <f t="shared" ref="AJ33:AR33" ca="1" si="60">+AJ$23</f>
        <v>Affordable Residential</v>
      </c>
      <c r="AK33" s="537" t="str">
        <f t="shared" ca="1" si="60"/>
        <v>Market Rate Residential</v>
      </c>
      <c r="AL33" s="537" t="str">
        <f t="shared" ca="1" si="60"/>
        <v>Retail</v>
      </c>
      <c r="AM33" s="537" t="str">
        <f t="shared" ca="1" si="60"/>
        <v>Hotel</v>
      </c>
      <c r="AN33" s="537" t="str">
        <f t="shared" ca="1" si="60"/>
        <v>Museum</v>
      </c>
      <c r="AO33" s="537" t="str">
        <f t="shared" ca="1" si="60"/>
        <v>Office</v>
      </c>
      <c r="AP33" s="537" t="str">
        <f t="shared" ca="1" si="60"/>
        <v>Light Industrial/Flex</v>
      </c>
      <c r="AQ33" s="537" t="str">
        <f t="shared" ca="1" si="60"/>
        <v>Structural Parking</v>
      </c>
      <c r="AR33" s="537" t="str">
        <f t="shared" ca="1" si="60"/>
        <v>Surface Parking</v>
      </c>
      <c r="AS33" s="21"/>
      <c r="AT33" s="21"/>
      <c r="AU33" s="537" t="str">
        <f t="shared" ref="AU33:BC33" ca="1" si="61">+AU$23</f>
        <v>Affordable Residential</v>
      </c>
      <c r="AV33" s="537" t="str">
        <f t="shared" ca="1" si="61"/>
        <v>Market Rate Residential</v>
      </c>
      <c r="AW33" s="537" t="str">
        <f t="shared" ca="1" si="61"/>
        <v>Retail</v>
      </c>
      <c r="AX33" s="537" t="str">
        <f t="shared" ca="1" si="61"/>
        <v>Hotel</v>
      </c>
      <c r="AY33" s="537" t="str">
        <f t="shared" ca="1" si="61"/>
        <v>Museum</v>
      </c>
      <c r="AZ33" s="537" t="str">
        <f t="shared" ca="1" si="61"/>
        <v>Office</v>
      </c>
      <c r="BA33" s="537" t="str">
        <f t="shared" ca="1" si="61"/>
        <v>Light Industrial/Flex</v>
      </c>
      <c r="BB33" s="537" t="str">
        <f t="shared" ca="1" si="61"/>
        <v>Structural Parking</v>
      </c>
      <c r="BC33" s="537" t="str">
        <f t="shared" ca="1" si="61"/>
        <v>Surface Parking</v>
      </c>
    </row>
    <row r="34" spans="2:55" ht="15.75">
      <c r="B34" s="15" t="s">
        <v>409</v>
      </c>
      <c r="C34" s="15"/>
      <c r="D34" s="20"/>
      <c r="E34" s="15"/>
      <c r="F34" s="47">
        <f t="shared" ref="F34:F45" ca="1" si="62">+G34/$G$10</f>
        <v>0.64477664668187518</v>
      </c>
      <c r="G34" s="23">
        <f>H34</f>
        <v>2687323.32</v>
      </c>
      <c r="H34" s="16">
        <f>Demolition!J39</f>
        <v>2687323.32</v>
      </c>
      <c r="I34" s="16">
        <f>0</f>
        <v>0</v>
      </c>
      <c r="J34" s="16">
        <v>0</v>
      </c>
      <c r="K34" s="21"/>
      <c r="M34" s="19">
        <f t="shared" ref="M34:U34" ca="1" si="63">+$H34*M$5+$I34*M$6+$J34*M$7</f>
        <v>525233.35269456217</v>
      </c>
      <c r="N34" s="19">
        <f t="shared" ca="1" si="63"/>
        <v>787850.02904184337</v>
      </c>
      <c r="O34" s="19">
        <f t="shared" ca="1" si="63"/>
        <v>163000.5652442906</v>
      </c>
      <c r="P34" s="19">
        <f t="shared" ca="1" si="63"/>
        <v>116905.62321504258</v>
      </c>
      <c r="Q34" s="19">
        <f t="shared" ca="1" si="63"/>
        <v>185006.65932858986</v>
      </c>
      <c r="R34" s="19">
        <f t="shared" ca="1" si="63"/>
        <v>478173.44071089715</v>
      </c>
      <c r="S34" s="19">
        <f t="shared" ca="1" si="63"/>
        <v>55732.841268259421</v>
      </c>
      <c r="T34" s="19">
        <f t="shared" ca="1" si="63"/>
        <v>375420.8084965148</v>
      </c>
      <c r="U34" s="19">
        <f t="shared" ca="1" si="63"/>
        <v>0</v>
      </c>
      <c r="V34" s="21"/>
      <c r="W34" s="21"/>
      <c r="X34" s="21"/>
      <c r="Y34" s="19">
        <f t="shared" ref="Y34:AG34" ca="1" si="64">+$H34*Y$5+$I34*Y$6+$J34*Y$7</f>
        <v>525233.35269456217</v>
      </c>
      <c r="Z34" s="19">
        <f t="shared" ca="1" si="64"/>
        <v>787850.02904184337</v>
      </c>
      <c r="AA34" s="19">
        <f t="shared" ca="1" si="64"/>
        <v>163000.5652442906</v>
      </c>
      <c r="AB34" s="19">
        <f t="shared" ca="1" si="64"/>
        <v>116905.62321504258</v>
      </c>
      <c r="AC34" s="19">
        <f t="shared" ca="1" si="64"/>
        <v>185006.65932858986</v>
      </c>
      <c r="AD34" s="19">
        <f t="shared" ca="1" si="64"/>
        <v>478173.44071089715</v>
      </c>
      <c r="AE34" s="19">
        <f t="shared" ca="1" si="64"/>
        <v>55732.841268259421</v>
      </c>
      <c r="AF34" s="19">
        <f t="shared" ca="1" si="64"/>
        <v>375420.8084965148</v>
      </c>
      <c r="AG34" s="19">
        <f t="shared" ca="1" si="64"/>
        <v>0</v>
      </c>
      <c r="AH34" s="21"/>
      <c r="AI34" s="21"/>
      <c r="AJ34" s="19">
        <f t="shared" ref="AJ34:AR34" ca="1" si="65">+$H34*AJ$5+$I34*AJ$6+$J34*AJ$7</f>
        <v>0</v>
      </c>
      <c r="AK34" s="19">
        <f t="shared" ca="1" si="65"/>
        <v>0</v>
      </c>
      <c r="AL34" s="19">
        <f t="shared" ca="1" si="65"/>
        <v>0</v>
      </c>
      <c r="AM34" s="19">
        <f t="shared" ca="1" si="65"/>
        <v>0</v>
      </c>
      <c r="AN34" s="19">
        <f t="shared" ca="1" si="65"/>
        <v>0</v>
      </c>
      <c r="AO34" s="19">
        <f t="shared" ca="1" si="65"/>
        <v>0</v>
      </c>
      <c r="AP34" s="19">
        <f t="shared" ca="1" si="65"/>
        <v>0</v>
      </c>
      <c r="AQ34" s="19">
        <f t="shared" ca="1" si="65"/>
        <v>0</v>
      </c>
      <c r="AR34" s="19">
        <f t="shared" ca="1" si="65"/>
        <v>0</v>
      </c>
      <c r="AS34" s="21"/>
      <c r="AT34" s="21"/>
      <c r="AU34" s="19">
        <f t="shared" ref="AU34:BC34" ca="1" si="66">+$H34*AU$5+$I34*AU$6+$J34*AU$7</f>
        <v>0</v>
      </c>
      <c r="AV34" s="19">
        <f t="shared" ca="1" si="66"/>
        <v>0</v>
      </c>
      <c r="AW34" s="19">
        <f t="shared" ca="1" si="66"/>
        <v>0</v>
      </c>
      <c r="AX34" s="19">
        <f t="shared" ca="1" si="66"/>
        <v>0</v>
      </c>
      <c r="AY34" s="19">
        <f t="shared" ca="1" si="66"/>
        <v>0</v>
      </c>
      <c r="AZ34" s="19">
        <f t="shared" ca="1" si="66"/>
        <v>0</v>
      </c>
      <c r="BA34" s="19">
        <f t="shared" ca="1" si="66"/>
        <v>0</v>
      </c>
      <c r="BB34" s="19">
        <f t="shared" ca="1" si="66"/>
        <v>0</v>
      </c>
      <c r="BC34" s="19">
        <f t="shared" ca="1" si="66"/>
        <v>0</v>
      </c>
    </row>
    <row r="35" spans="2:55" ht="15.75">
      <c r="B35" s="32" t="s">
        <v>130</v>
      </c>
      <c r="C35" s="15"/>
      <c r="D35" s="16">
        <v>198.15</v>
      </c>
      <c r="E35" s="21"/>
      <c r="F35" s="47">
        <f t="shared" ca="1" si="62"/>
        <v>48.813523827378816</v>
      </c>
      <c r="G35" s="23">
        <f ca="1">+SUM(H35:J35)</f>
        <v>203446761.89460722</v>
      </c>
      <c r="H35" s="16">
        <f t="shared" ref="H35:H43" ca="1" si="67">+$D35*H12</f>
        <v>70557489.780000001</v>
      </c>
      <c r="I35" s="16">
        <f ca="1">+$D35*I12*(1+Assumptions!O$85)^Assumptions!O$86</f>
        <v>60535430.546400011</v>
      </c>
      <c r="J35" s="16">
        <f ca="1">+$D35*J12*(1+Assumptions!P$85)^Assumptions!P$86</f>
        <v>72353841.568207204</v>
      </c>
      <c r="K35" s="16"/>
      <c r="L35" s="16"/>
      <c r="M35" s="16">
        <f ca="1">+$G$35</f>
        <v>203446761.89460722</v>
      </c>
      <c r="N35" s="16">
        <v>0</v>
      </c>
      <c r="O35" s="16">
        <v>0</v>
      </c>
      <c r="P35" s="16">
        <v>0</v>
      </c>
      <c r="Q35" s="16">
        <v>0</v>
      </c>
      <c r="R35" s="16">
        <v>0</v>
      </c>
      <c r="S35" s="16">
        <v>0</v>
      </c>
      <c r="T35" s="16">
        <v>0</v>
      </c>
      <c r="U35" s="16">
        <v>0</v>
      </c>
      <c r="V35" s="21"/>
      <c r="W35" s="21"/>
      <c r="X35" s="16"/>
      <c r="Y35" s="16">
        <f ca="1">+$H$35</f>
        <v>70557489.780000001</v>
      </c>
      <c r="Z35" s="16">
        <v>0</v>
      </c>
      <c r="AA35" s="16">
        <v>0</v>
      </c>
      <c r="AB35" s="16">
        <v>0</v>
      </c>
      <c r="AC35" s="16">
        <v>0</v>
      </c>
      <c r="AD35" s="16">
        <v>0</v>
      </c>
      <c r="AE35" s="16">
        <v>0</v>
      </c>
      <c r="AF35" s="16">
        <v>0</v>
      </c>
      <c r="AG35" s="16">
        <v>0</v>
      </c>
      <c r="AH35" s="21"/>
      <c r="AI35" s="16"/>
      <c r="AJ35" s="16">
        <f ca="1">+$I$35</f>
        <v>60535430.546400011</v>
      </c>
      <c r="AK35" s="16">
        <v>0</v>
      </c>
      <c r="AL35" s="16">
        <v>0</v>
      </c>
      <c r="AM35" s="16">
        <v>0</v>
      </c>
      <c r="AN35" s="16">
        <v>0</v>
      </c>
      <c r="AO35" s="16">
        <v>0</v>
      </c>
      <c r="AP35" s="16">
        <v>0</v>
      </c>
      <c r="AQ35" s="16">
        <v>0</v>
      </c>
      <c r="AR35" s="16">
        <v>0</v>
      </c>
      <c r="AS35" s="21"/>
      <c r="AT35" s="16"/>
      <c r="AU35" s="16">
        <f ca="1">+$J$35</f>
        <v>72353841.568207204</v>
      </c>
      <c r="AV35" s="16">
        <v>0</v>
      </c>
      <c r="AW35" s="16">
        <v>0</v>
      </c>
      <c r="AX35" s="16">
        <v>0</v>
      </c>
      <c r="AY35" s="16">
        <v>0</v>
      </c>
      <c r="AZ35" s="16">
        <v>0</v>
      </c>
      <c r="BA35" s="16">
        <v>0</v>
      </c>
      <c r="BB35" s="16">
        <v>0</v>
      </c>
      <c r="BC35" s="16">
        <v>0</v>
      </c>
    </row>
    <row r="36" spans="2:55" ht="15.75">
      <c r="B36" s="32" t="s">
        <v>132</v>
      </c>
      <c r="C36" s="15"/>
      <c r="D36" s="16">
        <v>198.15</v>
      </c>
      <c r="E36" s="21"/>
      <c r="F36" s="47">
        <f t="shared" ca="1" si="62"/>
        <v>73.220285741068224</v>
      </c>
      <c r="G36" s="23">
        <f t="shared" ref="G36:G44" ca="1" si="68">+SUM(H36:J36)</f>
        <v>305170142.84191084</v>
      </c>
      <c r="H36" s="16">
        <f t="shared" ca="1" si="67"/>
        <v>105836234.67000002</v>
      </c>
      <c r="I36" s="16">
        <f ca="1">+$D36*I13*(1+Assumptions!O$85)^Assumptions!O$86</f>
        <v>90803145.819599986</v>
      </c>
      <c r="J36" s="16">
        <f ca="1">+$D36*J13*(1+Assumptions!P$85)^Assumptions!P$86</f>
        <v>108530762.35231081</v>
      </c>
      <c r="K36" s="16"/>
      <c r="L36" s="16"/>
      <c r="M36" s="16">
        <v>0</v>
      </c>
      <c r="N36" s="16">
        <f ca="1">+$G$36</f>
        <v>305170142.84191084</v>
      </c>
      <c r="O36" s="16">
        <v>0</v>
      </c>
      <c r="P36" s="16">
        <v>0</v>
      </c>
      <c r="Q36" s="16">
        <v>0</v>
      </c>
      <c r="R36" s="16">
        <v>0</v>
      </c>
      <c r="S36" s="16">
        <v>0</v>
      </c>
      <c r="T36" s="16">
        <v>0</v>
      </c>
      <c r="U36" s="16">
        <v>0</v>
      </c>
      <c r="V36" s="21"/>
      <c r="W36" s="21"/>
      <c r="X36" s="16"/>
      <c r="Y36" s="16">
        <v>0</v>
      </c>
      <c r="Z36" s="16">
        <f ca="1">+$H$36</f>
        <v>105836234.67000002</v>
      </c>
      <c r="AA36" s="16">
        <v>0</v>
      </c>
      <c r="AB36" s="16">
        <v>0</v>
      </c>
      <c r="AC36" s="16">
        <v>0</v>
      </c>
      <c r="AD36" s="16">
        <v>0</v>
      </c>
      <c r="AE36" s="16">
        <v>0</v>
      </c>
      <c r="AF36" s="16">
        <v>0</v>
      </c>
      <c r="AG36" s="16">
        <v>0</v>
      </c>
      <c r="AH36" s="21"/>
      <c r="AI36" s="16"/>
      <c r="AJ36" s="16">
        <v>0</v>
      </c>
      <c r="AK36" s="16">
        <f ca="1">+$I$36</f>
        <v>90803145.819599986</v>
      </c>
      <c r="AL36" s="16">
        <v>0</v>
      </c>
      <c r="AM36" s="16">
        <v>0</v>
      </c>
      <c r="AN36" s="16">
        <v>0</v>
      </c>
      <c r="AO36" s="16">
        <v>0</v>
      </c>
      <c r="AP36" s="16">
        <v>0</v>
      </c>
      <c r="AQ36" s="16">
        <v>0</v>
      </c>
      <c r="AR36" s="16">
        <v>0</v>
      </c>
      <c r="AS36" s="21"/>
      <c r="AT36" s="16"/>
      <c r="AU36" s="16">
        <v>0</v>
      </c>
      <c r="AV36" s="16">
        <f ca="1">+$J$36</f>
        <v>108530762.35231081</v>
      </c>
      <c r="AW36" s="16">
        <v>0</v>
      </c>
      <c r="AX36" s="16">
        <v>0</v>
      </c>
      <c r="AY36" s="16">
        <v>0</v>
      </c>
      <c r="AZ36" s="16">
        <v>0</v>
      </c>
      <c r="BA36" s="16">
        <v>0</v>
      </c>
      <c r="BB36" s="16">
        <v>0</v>
      </c>
      <c r="BC36" s="16">
        <v>0</v>
      </c>
    </row>
    <row r="37" spans="2:55" ht="15.75">
      <c r="B37" s="32" t="s">
        <v>14</v>
      </c>
      <c r="C37" s="15"/>
      <c r="D37" s="16">
        <v>165</v>
      </c>
      <c r="E37" s="21"/>
      <c r="F37" s="47">
        <f t="shared" ca="1" si="62"/>
        <v>11.165392494493545</v>
      </c>
      <c r="G37" s="23">
        <f t="shared" ca="1" si="68"/>
        <v>46535524.792680003</v>
      </c>
      <c r="H37" s="16">
        <f t="shared" ca="1" si="67"/>
        <v>18233490</v>
      </c>
      <c r="I37" s="16">
        <f ca="1">+$D37*I14*(1+Assumptions!O$85)^Assumptions!O$86</f>
        <v>21193177.5</v>
      </c>
      <c r="J37" s="16">
        <f ca="1">+$D37*J14*(1+Assumptions!P$85)^Assumptions!P$86</f>
        <v>7108857.29268</v>
      </c>
      <c r="K37" s="16"/>
      <c r="L37" s="16"/>
      <c r="M37" s="16">
        <v>0</v>
      </c>
      <c r="N37" s="16">
        <v>0</v>
      </c>
      <c r="O37" s="16">
        <f ca="1">+$G$37</f>
        <v>46535524.792680003</v>
      </c>
      <c r="P37" s="16">
        <v>0</v>
      </c>
      <c r="Q37" s="16">
        <v>0</v>
      </c>
      <c r="R37" s="16">
        <v>0</v>
      </c>
      <c r="S37" s="16">
        <v>0</v>
      </c>
      <c r="T37" s="16">
        <v>0</v>
      </c>
      <c r="U37" s="16">
        <v>0</v>
      </c>
      <c r="V37" s="21"/>
      <c r="W37" s="21"/>
      <c r="X37" s="16"/>
      <c r="Y37" s="16">
        <v>0</v>
      </c>
      <c r="Z37" s="16">
        <v>0</v>
      </c>
      <c r="AA37" s="16">
        <f ca="1">+$H$37</f>
        <v>18233490</v>
      </c>
      <c r="AB37" s="16">
        <v>0</v>
      </c>
      <c r="AC37" s="16">
        <v>0</v>
      </c>
      <c r="AD37" s="16">
        <v>0</v>
      </c>
      <c r="AE37" s="16">
        <v>0</v>
      </c>
      <c r="AF37" s="16">
        <v>0</v>
      </c>
      <c r="AG37" s="16">
        <v>0</v>
      </c>
      <c r="AH37" s="21"/>
      <c r="AI37" s="16"/>
      <c r="AJ37" s="16">
        <v>0</v>
      </c>
      <c r="AK37" s="16">
        <v>0</v>
      </c>
      <c r="AL37" s="16">
        <f ca="1">+$I$37</f>
        <v>21193177.5</v>
      </c>
      <c r="AM37" s="16">
        <v>0</v>
      </c>
      <c r="AN37" s="16">
        <v>0</v>
      </c>
      <c r="AO37" s="16">
        <v>0</v>
      </c>
      <c r="AP37" s="16">
        <v>0</v>
      </c>
      <c r="AQ37" s="16">
        <v>0</v>
      </c>
      <c r="AR37" s="16">
        <v>0</v>
      </c>
      <c r="AS37" s="21"/>
      <c r="AT37" s="16"/>
      <c r="AU37" s="16">
        <v>0</v>
      </c>
      <c r="AV37" s="16">
        <v>0</v>
      </c>
      <c r="AW37" s="16">
        <f ca="1">+$J$37</f>
        <v>7108857.29268</v>
      </c>
      <c r="AX37" s="16">
        <v>0</v>
      </c>
      <c r="AY37" s="16">
        <v>0</v>
      </c>
      <c r="AZ37" s="16">
        <v>0</v>
      </c>
      <c r="BA37" s="16">
        <v>0</v>
      </c>
      <c r="BB37" s="16">
        <v>0</v>
      </c>
      <c r="BC37" s="16">
        <v>0</v>
      </c>
    </row>
    <row r="38" spans="2:55" ht="15.75">
      <c r="B38" s="32" t="s">
        <v>16</v>
      </c>
      <c r="C38" s="15"/>
      <c r="D38" s="16">
        <v>175</v>
      </c>
      <c r="E38" s="21"/>
      <c r="F38" s="47">
        <f t="shared" ca="1" si="62"/>
        <v>3.3278180811337106</v>
      </c>
      <c r="G38" s="23">
        <f t="shared" ca="1" si="68"/>
        <v>13869800</v>
      </c>
      <c r="H38" s="16">
        <f t="shared" ca="1" si="67"/>
        <v>13869800</v>
      </c>
      <c r="I38" s="16">
        <f ca="1">+$D38*I15*(1+Assumptions!O$85)^Assumptions!O$86</f>
        <v>0</v>
      </c>
      <c r="J38" s="16">
        <f ca="1">+$D38*J15*(1+Assumptions!P$85)^Assumptions!P$86</f>
        <v>0</v>
      </c>
      <c r="K38" s="16"/>
      <c r="L38" s="16"/>
      <c r="M38" s="16">
        <v>0</v>
      </c>
      <c r="N38" s="16">
        <v>0</v>
      </c>
      <c r="O38" s="16">
        <v>0</v>
      </c>
      <c r="P38" s="16">
        <f ca="1">+$G$38</f>
        <v>13869800</v>
      </c>
      <c r="Q38" s="16">
        <v>0</v>
      </c>
      <c r="R38" s="16">
        <v>0</v>
      </c>
      <c r="S38" s="16">
        <v>0</v>
      </c>
      <c r="T38" s="16">
        <v>0</v>
      </c>
      <c r="U38" s="16">
        <v>0</v>
      </c>
      <c r="V38" s="21"/>
      <c r="W38" s="21"/>
      <c r="X38" s="16"/>
      <c r="Y38" s="16">
        <v>0</v>
      </c>
      <c r="Z38" s="16">
        <v>0</v>
      </c>
      <c r="AA38" s="16">
        <v>0</v>
      </c>
      <c r="AB38" s="16">
        <f ca="1">+$H$38</f>
        <v>13869800</v>
      </c>
      <c r="AC38" s="16">
        <v>0</v>
      </c>
      <c r="AD38" s="16">
        <v>0</v>
      </c>
      <c r="AE38" s="16">
        <v>0</v>
      </c>
      <c r="AF38" s="16">
        <v>0</v>
      </c>
      <c r="AG38" s="16">
        <v>0</v>
      </c>
      <c r="AH38" s="21"/>
      <c r="AI38" s="16"/>
      <c r="AJ38" s="16">
        <v>0</v>
      </c>
      <c r="AK38" s="16">
        <v>0</v>
      </c>
      <c r="AL38" s="16">
        <v>0</v>
      </c>
      <c r="AM38" s="16">
        <f ca="1">+$I$38</f>
        <v>0</v>
      </c>
      <c r="AN38" s="16">
        <v>0</v>
      </c>
      <c r="AO38" s="16">
        <v>0</v>
      </c>
      <c r="AP38" s="16">
        <v>0</v>
      </c>
      <c r="AQ38" s="16">
        <v>0</v>
      </c>
      <c r="AR38" s="16">
        <v>0</v>
      </c>
      <c r="AS38" s="21"/>
      <c r="AT38" s="16"/>
      <c r="AU38" s="16">
        <v>0</v>
      </c>
      <c r="AV38" s="16">
        <v>0</v>
      </c>
      <c r="AW38" s="16">
        <v>0</v>
      </c>
      <c r="AX38" s="16">
        <f ca="1">+$J$38</f>
        <v>0</v>
      </c>
      <c r="AY38" s="16">
        <v>0</v>
      </c>
      <c r="AZ38" s="16">
        <v>0</v>
      </c>
      <c r="BA38" s="16">
        <v>0</v>
      </c>
      <c r="BB38" s="16">
        <v>0</v>
      </c>
      <c r="BC38" s="16">
        <v>0</v>
      </c>
    </row>
    <row r="39" spans="2:55" ht="15.75">
      <c r="B39" s="32" t="s">
        <v>769</v>
      </c>
      <c r="C39" s="15"/>
      <c r="D39" s="16">
        <v>165</v>
      </c>
      <c r="E39" s="21"/>
      <c r="F39" s="47">
        <f t="shared" ca="1" si="62"/>
        <v>4.9654364999006679</v>
      </c>
      <c r="G39" s="23">
        <f ca="1">+SUM(H39:J39)</f>
        <v>20695125</v>
      </c>
      <c r="H39" s="16">
        <f t="shared" ca="1" si="67"/>
        <v>20695125</v>
      </c>
      <c r="I39" s="16">
        <f ca="1">+$D39*I16*(1+Assumptions!O$85)^Assumptions!O$86</f>
        <v>0</v>
      </c>
      <c r="J39" s="16">
        <f ca="1">+$D39*J16*(1+Assumptions!P$85)^Assumptions!P$86</f>
        <v>0</v>
      </c>
      <c r="K39" s="16"/>
      <c r="L39" s="16"/>
      <c r="M39" s="16">
        <v>0</v>
      </c>
      <c r="N39" s="16">
        <v>0</v>
      </c>
      <c r="O39" s="16">
        <v>0</v>
      </c>
      <c r="P39" s="16">
        <v>0</v>
      </c>
      <c r="Q39" s="16">
        <f ca="1">+$G$39</f>
        <v>20695125</v>
      </c>
      <c r="R39" s="16">
        <v>0</v>
      </c>
      <c r="S39" s="16">
        <v>0</v>
      </c>
      <c r="T39" s="16">
        <v>0</v>
      </c>
      <c r="U39" s="16">
        <v>0</v>
      </c>
      <c r="V39" s="21"/>
      <c r="W39" s="21"/>
      <c r="X39" s="16"/>
      <c r="Y39" s="16">
        <v>0</v>
      </c>
      <c r="Z39" s="16">
        <v>0</v>
      </c>
      <c r="AA39" s="16">
        <v>0</v>
      </c>
      <c r="AB39" s="16">
        <v>0</v>
      </c>
      <c r="AC39" s="16">
        <f ca="1">+$H$39</f>
        <v>20695125</v>
      </c>
      <c r="AD39" s="16">
        <v>0</v>
      </c>
      <c r="AE39" s="16">
        <v>0</v>
      </c>
      <c r="AF39" s="16">
        <v>0</v>
      </c>
      <c r="AG39" s="16">
        <v>0</v>
      </c>
      <c r="AH39" s="21"/>
      <c r="AI39" s="16"/>
      <c r="AJ39" s="16">
        <v>0</v>
      </c>
      <c r="AK39" s="16">
        <v>0</v>
      </c>
      <c r="AL39" s="16">
        <v>0</v>
      </c>
      <c r="AM39" s="16">
        <v>0</v>
      </c>
      <c r="AN39" s="16">
        <f ca="1">+$I$39</f>
        <v>0</v>
      </c>
      <c r="AO39" s="16">
        <v>0</v>
      </c>
      <c r="AP39" s="16">
        <v>0</v>
      </c>
      <c r="AQ39" s="16">
        <v>0</v>
      </c>
      <c r="AR39" s="16">
        <v>0</v>
      </c>
      <c r="AS39" s="21"/>
      <c r="AT39" s="16"/>
      <c r="AU39" s="16">
        <v>0</v>
      </c>
      <c r="AV39" s="16">
        <v>0</v>
      </c>
      <c r="AW39" s="16">
        <v>0</v>
      </c>
      <c r="AX39" s="16">
        <v>0</v>
      </c>
      <c r="AY39" s="16">
        <f ca="1">+$J$39</f>
        <v>0</v>
      </c>
      <c r="AZ39" s="16">
        <v>0</v>
      </c>
      <c r="BA39" s="16">
        <v>0</v>
      </c>
      <c r="BB39" s="16">
        <v>0</v>
      </c>
      <c r="BC39" s="16">
        <v>0</v>
      </c>
    </row>
    <row r="40" spans="2:55" ht="15.75">
      <c r="B40" s="32" t="s">
        <v>137</v>
      </c>
      <c r="C40" s="15"/>
      <c r="D40" s="16">
        <v>165.96</v>
      </c>
      <c r="E40" s="21"/>
      <c r="F40" s="47">
        <f t="shared" ca="1" si="62"/>
        <v>25.448952576828841</v>
      </c>
      <c r="G40" s="23">
        <f t="shared" ca="1" si="68"/>
        <v>106067060.71200001</v>
      </c>
      <c r="H40" s="16">
        <f t="shared" ca="1" si="67"/>
        <v>53800414.920000002</v>
      </c>
      <c r="I40" s="16">
        <f ca="1">+$D40*I17*(1+Assumptions!O$85)^Assumptions!O$86</f>
        <v>52266645.792000003</v>
      </c>
      <c r="J40" s="16">
        <f ca="1">+$D40*J17*(1+Assumptions!P$85)^Assumptions!P$86</f>
        <v>0</v>
      </c>
      <c r="K40" s="16"/>
      <c r="L40" s="16"/>
      <c r="M40" s="16">
        <v>0</v>
      </c>
      <c r="N40" s="16">
        <v>0</v>
      </c>
      <c r="O40" s="16">
        <v>0</v>
      </c>
      <c r="P40" s="16">
        <v>0</v>
      </c>
      <c r="Q40" s="16">
        <v>0</v>
      </c>
      <c r="R40" s="16">
        <f ca="1">+$G$40</f>
        <v>106067060.71200001</v>
      </c>
      <c r="S40" s="16">
        <v>0</v>
      </c>
      <c r="T40" s="16">
        <v>0</v>
      </c>
      <c r="U40" s="16">
        <v>0</v>
      </c>
      <c r="V40" s="21"/>
      <c r="W40" s="21"/>
      <c r="X40" s="16"/>
      <c r="Y40" s="16">
        <v>0</v>
      </c>
      <c r="Z40" s="16">
        <v>0</v>
      </c>
      <c r="AA40" s="16">
        <v>0</v>
      </c>
      <c r="AB40" s="16">
        <v>0</v>
      </c>
      <c r="AC40" s="16">
        <v>0</v>
      </c>
      <c r="AD40" s="16">
        <f ca="1">+$H$40</f>
        <v>53800414.920000002</v>
      </c>
      <c r="AE40" s="16">
        <v>0</v>
      </c>
      <c r="AF40" s="16">
        <v>0</v>
      </c>
      <c r="AG40" s="16">
        <v>0</v>
      </c>
      <c r="AH40" s="21"/>
      <c r="AI40" s="16"/>
      <c r="AJ40" s="16">
        <v>0</v>
      </c>
      <c r="AK40" s="16">
        <v>0</v>
      </c>
      <c r="AL40" s="16">
        <v>0</v>
      </c>
      <c r="AM40" s="16">
        <v>0</v>
      </c>
      <c r="AN40" s="16">
        <v>0</v>
      </c>
      <c r="AO40" s="16">
        <f ca="1">+$I$40</f>
        <v>52266645.792000003</v>
      </c>
      <c r="AP40" s="16">
        <v>0</v>
      </c>
      <c r="AQ40" s="16">
        <v>0</v>
      </c>
      <c r="AR40" s="16">
        <v>0</v>
      </c>
      <c r="AS40" s="21"/>
      <c r="AT40" s="16"/>
      <c r="AU40" s="16">
        <v>0</v>
      </c>
      <c r="AV40" s="16">
        <v>0</v>
      </c>
      <c r="AW40" s="16">
        <v>0</v>
      </c>
      <c r="AX40" s="16">
        <v>0</v>
      </c>
      <c r="AY40" s="16">
        <v>0</v>
      </c>
      <c r="AZ40" s="16">
        <f ca="1">+$J$40</f>
        <v>0</v>
      </c>
      <c r="BA40" s="16">
        <v>0</v>
      </c>
      <c r="BB40" s="16">
        <v>0</v>
      </c>
      <c r="BC40" s="16">
        <v>0</v>
      </c>
    </row>
    <row r="41" spans="2:55" s="21" customFormat="1" ht="15.75">
      <c r="B41" s="32" t="s">
        <v>18</v>
      </c>
      <c r="C41" s="15"/>
      <c r="D41" s="19">
        <v>110</v>
      </c>
      <c r="F41" s="47">
        <f t="shared" ref="F41" ca="1" si="69">+G41/$G$10</f>
        <v>0.99721774081321812</v>
      </c>
      <c r="G41" s="23">
        <f t="shared" ca="1" si="68"/>
        <v>4156240</v>
      </c>
      <c r="H41" s="16">
        <f t="shared" ca="1" si="67"/>
        <v>4156240</v>
      </c>
      <c r="I41" s="16">
        <f ca="1">+$D41*I18*(1+Assumptions!O$85)^Assumptions!O$86</f>
        <v>0</v>
      </c>
      <c r="J41" s="16">
        <f ca="1">+$D41*J18*(1+Assumptions!P$85)^Assumptions!P$86</f>
        <v>0</v>
      </c>
      <c r="K41" s="16"/>
      <c r="L41" s="16"/>
      <c r="M41" s="16">
        <v>0</v>
      </c>
      <c r="N41" s="16">
        <v>0</v>
      </c>
      <c r="O41" s="16">
        <v>0</v>
      </c>
      <c r="P41" s="16">
        <v>0</v>
      </c>
      <c r="Q41" s="16">
        <v>0</v>
      </c>
      <c r="R41" s="16">
        <v>0</v>
      </c>
      <c r="S41" s="16">
        <f ca="1">+$G$41</f>
        <v>4156240</v>
      </c>
      <c r="T41" s="16">
        <v>0</v>
      </c>
      <c r="U41" s="16">
        <v>0</v>
      </c>
      <c r="X41" s="16"/>
      <c r="Y41" s="16">
        <v>0</v>
      </c>
      <c r="Z41" s="16">
        <v>0</v>
      </c>
      <c r="AA41" s="16">
        <v>0</v>
      </c>
      <c r="AB41" s="16">
        <v>0</v>
      </c>
      <c r="AC41" s="16">
        <v>0</v>
      </c>
      <c r="AD41" s="16">
        <v>0</v>
      </c>
      <c r="AE41" s="16">
        <f ca="1">+$H$41</f>
        <v>4156240</v>
      </c>
      <c r="AF41" s="16">
        <v>0</v>
      </c>
      <c r="AG41" s="16">
        <v>0</v>
      </c>
      <c r="AI41" s="16"/>
      <c r="AJ41" s="16">
        <v>0</v>
      </c>
      <c r="AK41" s="16">
        <v>0</v>
      </c>
      <c r="AL41" s="16">
        <v>0</v>
      </c>
      <c r="AM41" s="16">
        <v>0</v>
      </c>
      <c r="AN41" s="16">
        <v>0</v>
      </c>
      <c r="AO41" s="16">
        <v>0</v>
      </c>
      <c r="AP41" s="16">
        <f ca="1">+$I$41</f>
        <v>0</v>
      </c>
      <c r="AQ41" s="16">
        <v>0</v>
      </c>
      <c r="AR41" s="16">
        <v>0</v>
      </c>
      <c r="AT41" s="16"/>
      <c r="AU41" s="16">
        <v>0</v>
      </c>
      <c r="AV41" s="16">
        <v>0</v>
      </c>
      <c r="AW41" s="16">
        <v>0</v>
      </c>
      <c r="AX41" s="16">
        <v>0</v>
      </c>
      <c r="AY41" s="16">
        <v>0</v>
      </c>
      <c r="AZ41" s="16">
        <v>0</v>
      </c>
      <c r="BA41" s="16">
        <f ca="1">+$J$41</f>
        <v>0</v>
      </c>
      <c r="BB41" s="16">
        <v>0</v>
      </c>
      <c r="BC41" s="16">
        <v>0</v>
      </c>
    </row>
    <row r="42" spans="2:55" ht="15.75">
      <c r="B42" s="32" t="s">
        <v>140</v>
      </c>
      <c r="C42" s="15"/>
      <c r="D42" s="19">
        <v>50</v>
      </c>
      <c r="E42" s="21"/>
      <c r="F42" s="47">
        <f t="shared" ca="1" si="62"/>
        <v>6.3140739693212495</v>
      </c>
      <c r="G42" s="23">
        <f t="shared" ca="1" si="68"/>
        <v>26316024.796</v>
      </c>
      <c r="H42" s="16">
        <f t="shared" ca="1" si="67"/>
        <v>12725800</v>
      </c>
      <c r="I42" s="16">
        <f ca="1">+$D42*I19*(1+Assumptions!O$85)^Assumptions!O$86</f>
        <v>7303098</v>
      </c>
      <c r="J42" s="16">
        <f ca="1">+$D42*J19*(1+Assumptions!P$85)^Assumptions!P$86</f>
        <v>6287126.7959999992</v>
      </c>
      <c r="K42" s="16"/>
      <c r="L42" s="16"/>
      <c r="M42" s="16">
        <v>0</v>
      </c>
      <c r="N42" s="16">
        <v>0</v>
      </c>
      <c r="O42" s="16">
        <v>0</v>
      </c>
      <c r="P42" s="16">
        <v>0</v>
      </c>
      <c r="Q42" s="16">
        <v>0</v>
      </c>
      <c r="R42" s="16">
        <v>0</v>
      </c>
      <c r="S42" s="16">
        <v>0</v>
      </c>
      <c r="T42" s="16">
        <f ca="1">+$G$42</f>
        <v>26316024.796</v>
      </c>
      <c r="U42" s="16">
        <v>0</v>
      </c>
      <c r="V42" s="21"/>
      <c r="W42" s="21"/>
      <c r="X42" s="16"/>
      <c r="Y42" s="16">
        <v>0</v>
      </c>
      <c r="Z42" s="16">
        <v>0</v>
      </c>
      <c r="AA42" s="16">
        <v>0</v>
      </c>
      <c r="AB42" s="16">
        <v>0</v>
      </c>
      <c r="AC42" s="16">
        <v>0</v>
      </c>
      <c r="AD42" s="16">
        <v>0</v>
      </c>
      <c r="AE42" s="16">
        <v>0</v>
      </c>
      <c r="AF42" s="16">
        <f ca="1">+$H$42</f>
        <v>12725800</v>
      </c>
      <c r="AG42" s="16">
        <v>0</v>
      </c>
      <c r="AH42" s="21"/>
      <c r="AI42" s="16"/>
      <c r="AJ42" s="16">
        <v>0</v>
      </c>
      <c r="AK42" s="16">
        <v>0</v>
      </c>
      <c r="AL42" s="16">
        <v>0</v>
      </c>
      <c r="AM42" s="16">
        <v>0</v>
      </c>
      <c r="AN42" s="16">
        <v>0</v>
      </c>
      <c r="AO42" s="16">
        <v>0</v>
      </c>
      <c r="AP42" s="16">
        <v>0</v>
      </c>
      <c r="AQ42" s="16">
        <f ca="1">+$I$42</f>
        <v>7303098</v>
      </c>
      <c r="AR42" s="16">
        <v>0</v>
      </c>
      <c r="AS42" s="21"/>
      <c r="AT42" s="16"/>
      <c r="AU42" s="16">
        <v>0</v>
      </c>
      <c r="AV42" s="16">
        <v>0</v>
      </c>
      <c r="AW42" s="16">
        <v>0</v>
      </c>
      <c r="AX42" s="16">
        <v>0</v>
      </c>
      <c r="AY42" s="16">
        <v>0</v>
      </c>
      <c r="AZ42" s="16">
        <v>0</v>
      </c>
      <c r="BA42" s="16">
        <v>0</v>
      </c>
      <c r="BB42" s="16">
        <f ca="1">+$J$42</f>
        <v>6287126.7959999992</v>
      </c>
      <c r="BC42" s="16">
        <v>0</v>
      </c>
    </row>
    <row r="43" spans="2:55" ht="15.75">
      <c r="B43" s="32" t="s">
        <v>30</v>
      </c>
      <c r="C43" s="15"/>
      <c r="D43" s="16">
        <v>10</v>
      </c>
      <c r="E43" s="21"/>
      <c r="F43" s="47">
        <f t="shared" ca="1" si="62"/>
        <v>0</v>
      </c>
      <c r="G43" s="23">
        <f t="shared" ca="1" si="68"/>
        <v>0</v>
      </c>
      <c r="H43" s="16">
        <f t="shared" ca="1" si="67"/>
        <v>0</v>
      </c>
      <c r="I43" s="16">
        <f ca="1">+$D43*I20*(1+Assumptions!O$85)^Assumptions!O$86</f>
        <v>0</v>
      </c>
      <c r="J43" s="16">
        <f ca="1">+$D43*J20*(1+Assumptions!P$85)^Assumptions!P$86</f>
        <v>0</v>
      </c>
      <c r="K43" s="21"/>
      <c r="M43" s="16">
        <v>0</v>
      </c>
      <c r="N43" s="16">
        <v>0</v>
      </c>
      <c r="O43" s="16">
        <v>0</v>
      </c>
      <c r="P43" s="16">
        <v>0</v>
      </c>
      <c r="Q43" s="16">
        <v>0</v>
      </c>
      <c r="R43" s="16">
        <v>0</v>
      </c>
      <c r="S43" s="16">
        <v>0</v>
      </c>
      <c r="T43" s="16">
        <v>0</v>
      </c>
      <c r="U43" s="16">
        <f ca="1">+$G$43</f>
        <v>0</v>
      </c>
      <c r="V43" s="21"/>
      <c r="W43" s="21"/>
      <c r="X43" s="21"/>
      <c r="Y43" s="16">
        <v>0</v>
      </c>
      <c r="Z43" s="16">
        <v>0</v>
      </c>
      <c r="AA43" s="16">
        <v>0</v>
      </c>
      <c r="AB43" s="16">
        <v>0</v>
      </c>
      <c r="AC43" s="16">
        <v>0</v>
      </c>
      <c r="AD43" s="16">
        <v>0</v>
      </c>
      <c r="AE43" s="16">
        <v>0</v>
      </c>
      <c r="AF43" s="16">
        <v>0</v>
      </c>
      <c r="AG43" s="16">
        <f ca="1">+$H$43</f>
        <v>0</v>
      </c>
      <c r="AH43" s="21"/>
      <c r="AI43" s="21"/>
      <c r="AJ43" s="16">
        <v>0</v>
      </c>
      <c r="AK43" s="16">
        <v>0</v>
      </c>
      <c r="AL43" s="16">
        <v>0</v>
      </c>
      <c r="AM43" s="16">
        <v>0</v>
      </c>
      <c r="AN43" s="16">
        <v>0</v>
      </c>
      <c r="AO43" s="16">
        <v>0</v>
      </c>
      <c r="AP43" s="16">
        <v>0</v>
      </c>
      <c r="AQ43" s="16">
        <v>0</v>
      </c>
      <c r="AR43" s="16">
        <f ca="1">+$I$43</f>
        <v>0</v>
      </c>
      <c r="AS43" s="21"/>
      <c r="AT43" s="21"/>
      <c r="AU43" s="16">
        <v>0</v>
      </c>
      <c r="AV43" s="16">
        <v>0</v>
      </c>
      <c r="AW43" s="16">
        <v>0</v>
      </c>
      <c r="AX43" s="16">
        <v>0</v>
      </c>
      <c r="AY43" s="16">
        <v>0</v>
      </c>
      <c r="AZ43" s="16">
        <v>0</v>
      </c>
      <c r="BA43" s="16">
        <v>0</v>
      </c>
      <c r="BB43" s="16">
        <v>0</v>
      </c>
      <c r="BC43" s="16">
        <f ca="1">+$J$43</f>
        <v>0</v>
      </c>
    </row>
    <row r="44" spans="2:55" ht="18.75">
      <c r="B44" s="15" t="s">
        <v>410</v>
      </c>
      <c r="C44" s="15"/>
      <c r="D44" s="49">
        <v>0.05</v>
      </c>
      <c r="E44" s="21"/>
      <c r="F44" s="47">
        <f t="shared" ca="1" si="62"/>
        <v>8.7126350465469145</v>
      </c>
      <c r="G44" s="23">
        <f t="shared" ca="1" si="68"/>
        <v>36312834.001859903</v>
      </c>
      <c r="H44" s="16">
        <f t="shared" ref="H44:J44" ca="1" si="70">+SUM(H35:H43)*$D$44</f>
        <v>14993729.718500001</v>
      </c>
      <c r="I44" s="16">
        <f t="shared" ca="1" si="70"/>
        <v>11605074.8829</v>
      </c>
      <c r="J44" s="16">
        <f t="shared" ca="1" si="70"/>
        <v>9714029.4004599005</v>
      </c>
      <c r="K44" s="21"/>
      <c r="M44" s="16">
        <f t="shared" ref="M44:N44" ca="1" si="71">+SUM(M35:M43)*$D$44</f>
        <v>10172338.094730362</v>
      </c>
      <c r="N44" s="16">
        <f t="shared" ca="1" si="71"/>
        <v>15258507.142095543</v>
      </c>
      <c r="O44" s="16">
        <f t="shared" ref="O44:U44" ca="1" si="72">+SUM(O35:O43)*$D$44</f>
        <v>2326776.2396340002</v>
      </c>
      <c r="P44" s="16">
        <f t="shared" ca="1" si="72"/>
        <v>693490</v>
      </c>
      <c r="Q44" s="16">
        <f t="shared" ca="1" si="72"/>
        <v>1034756.25</v>
      </c>
      <c r="R44" s="16">
        <f t="shared" ca="1" si="72"/>
        <v>5303353.035600001</v>
      </c>
      <c r="S44" s="16">
        <f t="shared" ca="1" si="72"/>
        <v>207812</v>
      </c>
      <c r="T44" s="16">
        <f t="shared" ca="1" si="72"/>
        <v>1315801.2398000001</v>
      </c>
      <c r="U44" s="16">
        <f t="shared" ca="1" si="72"/>
        <v>0</v>
      </c>
      <c r="V44" s="21"/>
      <c r="W44" s="21"/>
      <c r="X44" s="21"/>
      <c r="Y44" s="16">
        <f t="shared" ref="Y44:Z44" ca="1" si="73">+SUM(Y35:Y43)*$D$44</f>
        <v>3527874.4890000001</v>
      </c>
      <c r="Z44" s="16">
        <f t="shared" ca="1" si="73"/>
        <v>5291811.733500001</v>
      </c>
      <c r="AA44" s="16">
        <f t="shared" ref="AA44:AG44" ca="1" si="74">+SUM(AA35:AA43)*$D$44</f>
        <v>911674.5</v>
      </c>
      <c r="AB44" s="16">
        <f t="shared" ca="1" si="74"/>
        <v>693490</v>
      </c>
      <c r="AC44" s="16">
        <f t="shared" ca="1" si="74"/>
        <v>1034756.25</v>
      </c>
      <c r="AD44" s="16">
        <f t="shared" ca="1" si="74"/>
        <v>2690020.7460000003</v>
      </c>
      <c r="AE44" s="16">
        <f t="shared" ca="1" si="74"/>
        <v>207812</v>
      </c>
      <c r="AF44" s="16">
        <f t="shared" ca="1" si="74"/>
        <v>636290</v>
      </c>
      <c r="AG44" s="16">
        <f t="shared" ca="1" si="74"/>
        <v>0</v>
      </c>
      <c r="AH44" s="21"/>
      <c r="AI44" s="21"/>
      <c r="AJ44" s="16">
        <f t="shared" ref="AJ44:AK44" ca="1" si="75">+SUM(AJ35:AJ43)*$D$44</f>
        <v>3026771.5273200008</v>
      </c>
      <c r="AK44" s="16">
        <f t="shared" ca="1" si="75"/>
        <v>4540157.2909799991</v>
      </c>
      <c r="AL44" s="16">
        <f t="shared" ref="AL44:AR44" ca="1" si="76">+SUM(AL35:AL43)*$D$44</f>
        <v>1059658.875</v>
      </c>
      <c r="AM44" s="16">
        <f t="shared" ca="1" si="76"/>
        <v>0</v>
      </c>
      <c r="AN44" s="16">
        <f t="shared" ca="1" si="76"/>
        <v>0</v>
      </c>
      <c r="AO44" s="16">
        <f t="shared" ca="1" si="76"/>
        <v>2613332.2896000003</v>
      </c>
      <c r="AP44" s="16">
        <f t="shared" ca="1" si="76"/>
        <v>0</v>
      </c>
      <c r="AQ44" s="16">
        <f t="shared" ca="1" si="76"/>
        <v>365154.9</v>
      </c>
      <c r="AR44" s="16">
        <f t="shared" ca="1" si="76"/>
        <v>0</v>
      </c>
      <c r="AS44" s="21"/>
      <c r="AT44" s="21"/>
      <c r="AU44" s="16">
        <f t="shared" ref="AU44:AV44" ca="1" si="77">+SUM(AU35:AU43)*$D$44</f>
        <v>3617692.0784103605</v>
      </c>
      <c r="AV44" s="16">
        <f t="shared" ca="1" si="77"/>
        <v>5426538.1176155405</v>
      </c>
      <c r="AW44" s="16">
        <f t="shared" ref="AW44:BC44" ca="1" si="78">+SUM(AW35:AW43)*$D$44</f>
        <v>355442.864634</v>
      </c>
      <c r="AX44" s="16">
        <f t="shared" ca="1" si="78"/>
        <v>0</v>
      </c>
      <c r="AY44" s="16">
        <f t="shared" ca="1" si="78"/>
        <v>0</v>
      </c>
      <c r="AZ44" s="16">
        <f t="shared" ca="1" si="78"/>
        <v>0</v>
      </c>
      <c r="BA44" s="16">
        <f t="shared" ca="1" si="78"/>
        <v>0</v>
      </c>
      <c r="BB44" s="16">
        <f t="shared" ca="1" si="78"/>
        <v>314356.33979999996</v>
      </c>
      <c r="BC44" s="16">
        <f t="shared" ca="1" si="78"/>
        <v>0</v>
      </c>
    </row>
    <row r="45" spans="2:55" ht="15.75">
      <c r="B45" s="17" t="s">
        <v>407</v>
      </c>
      <c r="C45" s="17"/>
      <c r="D45" s="17"/>
      <c r="E45" s="17"/>
      <c r="F45" s="48">
        <f t="shared" ca="1" si="62"/>
        <v>183.61011262416707</v>
      </c>
      <c r="G45" s="18">
        <f t="shared" ref="G45:J45" ca="1" si="79">+SUM(G34:G44)</f>
        <v>765256837.35905802</v>
      </c>
      <c r="H45" s="58">
        <f t="shared" ca="1" si="79"/>
        <v>317555647.40850002</v>
      </c>
      <c r="I45" s="58">
        <f t="shared" ca="1" si="79"/>
        <v>243706572.54089999</v>
      </c>
      <c r="J45" s="58">
        <f t="shared" ca="1" si="79"/>
        <v>203994617.4096579</v>
      </c>
      <c r="K45" s="21"/>
      <c r="M45" s="58">
        <f t="shared" ref="M45:N45" ca="1" si="80">+SUM(M34:M44)</f>
        <v>214144333.34203213</v>
      </c>
      <c r="N45" s="58">
        <f t="shared" ca="1" si="80"/>
        <v>321216500.01304823</v>
      </c>
      <c r="O45" s="58">
        <f t="shared" ref="O45:U45" ca="1" si="81">+SUM(O34:O44)</f>
        <v>49025301.59755829</v>
      </c>
      <c r="P45" s="58">
        <f t="shared" ca="1" si="81"/>
        <v>14680195.623215042</v>
      </c>
      <c r="Q45" s="58">
        <f t="shared" ca="1" si="81"/>
        <v>21914887.909328591</v>
      </c>
      <c r="R45" s="58">
        <f t="shared" ca="1" si="81"/>
        <v>111848587.18831092</v>
      </c>
      <c r="S45" s="58">
        <f t="shared" ca="1" si="81"/>
        <v>4419784.8412682591</v>
      </c>
      <c r="T45" s="58">
        <f t="shared" ca="1" si="81"/>
        <v>28007246.844296515</v>
      </c>
      <c r="U45" s="58">
        <f t="shared" ca="1" si="81"/>
        <v>0</v>
      </c>
      <c r="V45" s="21"/>
      <c r="W45" s="21"/>
      <c r="X45" s="16">
        <f ca="1">+SUM(Y45:AG45)</f>
        <v>317555647.40850002</v>
      </c>
      <c r="Y45" s="58">
        <f t="shared" ref="Y45:AG45" ca="1" si="82">+SUM(Y34:Y44)</f>
        <v>74610597.621694565</v>
      </c>
      <c r="Z45" s="58">
        <f t="shared" ca="1" si="82"/>
        <v>111915896.43254186</v>
      </c>
      <c r="AA45" s="58">
        <f t="shared" ca="1" si="82"/>
        <v>19308165.065244291</v>
      </c>
      <c r="AB45" s="58">
        <f t="shared" ca="1" si="82"/>
        <v>14680195.623215042</v>
      </c>
      <c r="AC45" s="58">
        <f t="shared" ca="1" si="82"/>
        <v>21914887.909328591</v>
      </c>
      <c r="AD45" s="58">
        <f t="shared" ca="1" si="82"/>
        <v>56968609.106710896</v>
      </c>
      <c r="AE45" s="58">
        <f t="shared" ca="1" si="82"/>
        <v>4419784.8412682591</v>
      </c>
      <c r="AF45" s="58">
        <f t="shared" ca="1" si="82"/>
        <v>13737510.808496514</v>
      </c>
      <c r="AG45" s="58">
        <f t="shared" ca="1" si="82"/>
        <v>0</v>
      </c>
      <c r="AH45" s="16"/>
      <c r="AI45" s="16">
        <f ca="1">+SUM(AJ45:AR45)</f>
        <v>243706572.54090002</v>
      </c>
      <c r="AJ45" s="58">
        <f t="shared" ref="AJ45:AR45" ca="1" si="83">+SUM(AJ34:AJ44)</f>
        <v>63562202.073720008</v>
      </c>
      <c r="AK45" s="58">
        <f t="shared" ca="1" si="83"/>
        <v>95343303.110579982</v>
      </c>
      <c r="AL45" s="58">
        <f t="shared" ca="1" si="83"/>
        <v>22252836.375</v>
      </c>
      <c r="AM45" s="58">
        <f t="shared" ca="1" si="83"/>
        <v>0</v>
      </c>
      <c r="AN45" s="58">
        <f t="shared" ca="1" si="83"/>
        <v>0</v>
      </c>
      <c r="AO45" s="58">
        <f t="shared" ca="1" si="83"/>
        <v>54879978.081600003</v>
      </c>
      <c r="AP45" s="58">
        <f t="shared" ca="1" si="83"/>
        <v>0</v>
      </c>
      <c r="AQ45" s="58">
        <f t="shared" ca="1" si="83"/>
        <v>7668252.9000000004</v>
      </c>
      <c r="AR45" s="58">
        <f t="shared" ca="1" si="83"/>
        <v>0</v>
      </c>
      <c r="AS45" s="21"/>
      <c r="AT45" s="16">
        <f ca="1">+SUM(AU45:BC45)</f>
        <v>203994617.4096579</v>
      </c>
      <c r="AU45" s="58">
        <f t="shared" ref="AU45:BC45" ca="1" si="84">+SUM(AU34:AU44)</f>
        <v>75971533.646617562</v>
      </c>
      <c r="AV45" s="58">
        <f t="shared" ca="1" si="84"/>
        <v>113957300.46992634</v>
      </c>
      <c r="AW45" s="58">
        <f t="shared" ca="1" si="84"/>
        <v>7464300.1573139997</v>
      </c>
      <c r="AX45" s="58">
        <f t="shared" ca="1" si="84"/>
        <v>0</v>
      </c>
      <c r="AY45" s="58">
        <f t="shared" ca="1" si="84"/>
        <v>0</v>
      </c>
      <c r="AZ45" s="58">
        <f t="shared" ca="1" si="84"/>
        <v>0</v>
      </c>
      <c r="BA45" s="58">
        <f t="shared" ca="1" si="84"/>
        <v>0</v>
      </c>
      <c r="BB45" s="58">
        <f t="shared" ca="1" si="84"/>
        <v>6601483.1357999993</v>
      </c>
      <c r="BC45" s="58">
        <f t="shared" ca="1" si="84"/>
        <v>0</v>
      </c>
    </row>
    <row r="46" spans="2:55">
      <c r="B46" s="103" t="s">
        <v>411</v>
      </c>
      <c r="C46" s="103"/>
      <c r="D46" s="103"/>
      <c r="E46" s="103"/>
      <c r="F46" s="103"/>
      <c r="G46" s="103"/>
      <c r="H46" s="103"/>
      <c r="I46" s="103"/>
      <c r="J46" s="103"/>
      <c r="K46" s="21"/>
      <c r="M46" s="103"/>
      <c r="N46" s="103"/>
      <c r="O46" s="103"/>
      <c r="P46" s="103"/>
      <c r="Q46" s="103"/>
      <c r="R46" s="103"/>
      <c r="S46" s="103"/>
      <c r="T46" s="103"/>
      <c r="U46" s="103"/>
      <c r="V46" s="21"/>
      <c r="W46" s="21"/>
      <c r="X46" s="21"/>
      <c r="Y46" s="103"/>
      <c r="Z46" s="103"/>
      <c r="AA46" s="103"/>
      <c r="AB46" s="103"/>
      <c r="AC46" s="103"/>
      <c r="AD46" s="103"/>
      <c r="AE46" s="103"/>
      <c r="AF46" s="103"/>
      <c r="AG46" s="103"/>
      <c r="AH46" s="21"/>
      <c r="AI46" s="21"/>
      <c r="AJ46" s="103"/>
      <c r="AK46" s="103"/>
      <c r="AL46" s="103"/>
      <c r="AM46" s="103"/>
      <c r="AN46" s="103"/>
      <c r="AO46" s="103"/>
      <c r="AP46" s="103"/>
      <c r="AQ46" s="103"/>
      <c r="AR46" s="103"/>
      <c r="AS46" s="21"/>
      <c r="AT46" s="21"/>
      <c r="AU46" s="103"/>
      <c r="AV46" s="103"/>
      <c r="AW46" s="103"/>
      <c r="AX46" s="103"/>
      <c r="AY46" s="103"/>
      <c r="AZ46" s="103"/>
      <c r="BA46" s="103"/>
      <c r="BB46" s="103"/>
      <c r="BC46" s="103"/>
    </row>
    <row r="47" spans="2:55" s="21" customFormat="1">
      <c r="B47" s="15"/>
      <c r="C47" s="15"/>
      <c r="D47" s="15"/>
      <c r="E47" s="15"/>
      <c r="F47" s="15"/>
      <c r="G47" s="15"/>
      <c r="H47" s="15"/>
      <c r="I47" s="15"/>
      <c r="J47" s="15"/>
      <c r="M47" s="15"/>
      <c r="N47" s="15"/>
      <c r="O47" s="15"/>
      <c r="P47" s="15"/>
      <c r="Q47" s="15"/>
      <c r="R47" s="15"/>
      <c r="S47" s="15"/>
      <c r="T47" s="15"/>
      <c r="U47" s="15"/>
      <c r="Y47" s="15"/>
      <c r="Z47" s="15"/>
      <c r="AA47" s="15"/>
      <c r="AB47" s="15"/>
      <c r="AC47" s="15"/>
      <c r="AD47" s="15"/>
      <c r="AE47" s="15"/>
      <c r="AF47" s="15"/>
      <c r="AG47" s="15"/>
      <c r="AJ47" s="15"/>
      <c r="AK47" s="15"/>
      <c r="AL47" s="15"/>
      <c r="AM47" s="15"/>
      <c r="AN47" s="15"/>
      <c r="AO47" s="15"/>
      <c r="AP47" s="15"/>
      <c r="AQ47" s="15"/>
      <c r="AR47" s="15"/>
      <c r="AU47" s="15"/>
      <c r="AV47" s="15"/>
      <c r="AW47" s="15"/>
      <c r="AX47" s="15"/>
      <c r="AY47" s="15"/>
      <c r="AZ47" s="15"/>
      <c r="BA47" s="15"/>
      <c r="BB47" s="15"/>
      <c r="BC47" s="15"/>
    </row>
    <row r="48" spans="2:55" ht="32.25" customHeight="1">
      <c r="B48" s="444" t="s">
        <v>349</v>
      </c>
      <c r="C48" s="445"/>
      <c r="D48" s="445"/>
      <c r="E48" s="527" t="s">
        <v>412</v>
      </c>
      <c r="F48" s="445"/>
      <c r="G48" s="444" t="s">
        <v>70</v>
      </c>
      <c r="H48" s="446" t="str">
        <f>+H$23</f>
        <v>I</v>
      </c>
      <c r="I48" s="446" t="str">
        <f t="shared" ref="I48:J48" si="85">+I$23</f>
        <v>II</v>
      </c>
      <c r="J48" s="446" t="str">
        <f t="shared" si="85"/>
        <v>III</v>
      </c>
      <c r="K48" s="21"/>
      <c r="M48" s="537" t="str">
        <f t="shared" ref="M48:U48" ca="1" si="86">+M$23</f>
        <v>Affordable Residential</v>
      </c>
      <c r="N48" s="537" t="str">
        <f t="shared" ca="1" si="86"/>
        <v>Market Rate Residential</v>
      </c>
      <c r="O48" s="537" t="str">
        <f t="shared" ca="1" si="86"/>
        <v>Retail</v>
      </c>
      <c r="P48" s="537" t="str">
        <f t="shared" ca="1" si="86"/>
        <v>Hotel</v>
      </c>
      <c r="Q48" s="537" t="str">
        <f t="shared" ca="1" si="86"/>
        <v>Museum</v>
      </c>
      <c r="R48" s="537" t="str">
        <f t="shared" ca="1" si="86"/>
        <v>Office</v>
      </c>
      <c r="S48" s="537" t="str">
        <f t="shared" ca="1" si="86"/>
        <v>Light Industrial/Flex</v>
      </c>
      <c r="T48" s="537" t="str">
        <f t="shared" ca="1" si="86"/>
        <v>Structural Parking</v>
      </c>
      <c r="U48" s="537" t="str">
        <f t="shared" ca="1" si="86"/>
        <v>Surface Parking</v>
      </c>
      <c r="V48" s="21"/>
      <c r="W48" s="21"/>
      <c r="X48" s="21"/>
      <c r="Y48" s="537" t="str">
        <f t="shared" ref="Y48:AG48" ca="1" si="87">+Y$23</f>
        <v>Affordable Residential</v>
      </c>
      <c r="Z48" s="537" t="str">
        <f t="shared" ca="1" si="87"/>
        <v>Market Rate Residential</v>
      </c>
      <c r="AA48" s="537" t="str">
        <f t="shared" ca="1" si="87"/>
        <v>Retail</v>
      </c>
      <c r="AB48" s="537" t="str">
        <f t="shared" ca="1" si="87"/>
        <v>Hotel</v>
      </c>
      <c r="AC48" s="537" t="str">
        <f t="shared" ca="1" si="87"/>
        <v>Museum</v>
      </c>
      <c r="AD48" s="537" t="str">
        <f t="shared" ca="1" si="87"/>
        <v>Office</v>
      </c>
      <c r="AE48" s="537" t="str">
        <f t="shared" ca="1" si="87"/>
        <v>Light Industrial/Flex</v>
      </c>
      <c r="AF48" s="537" t="str">
        <f t="shared" ca="1" si="87"/>
        <v>Structural Parking</v>
      </c>
      <c r="AG48" s="537" t="str">
        <f t="shared" ca="1" si="87"/>
        <v>Surface Parking</v>
      </c>
      <c r="AH48" s="21"/>
      <c r="AI48" s="21"/>
      <c r="AJ48" s="537" t="str">
        <f t="shared" ref="AJ48:AR48" ca="1" si="88">+AJ$23</f>
        <v>Affordable Residential</v>
      </c>
      <c r="AK48" s="537" t="str">
        <f t="shared" ca="1" si="88"/>
        <v>Market Rate Residential</v>
      </c>
      <c r="AL48" s="537" t="str">
        <f t="shared" ca="1" si="88"/>
        <v>Retail</v>
      </c>
      <c r="AM48" s="537" t="str">
        <f t="shared" ca="1" si="88"/>
        <v>Hotel</v>
      </c>
      <c r="AN48" s="537" t="str">
        <f t="shared" ca="1" si="88"/>
        <v>Museum</v>
      </c>
      <c r="AO48" s="537" t="str">
        <f t="shared" ca="1" si="88"/>
        <v>Office</v>
      </c>
      <c r="AP48" s="537" t="str">
        <f t="shared" ca="1" si="88"/>
        <v>Light Industrial/Flex</v>
      </c>
      <c r="AQ48" s="537" t="str">
        <f t="shared" ca="1" si="88"/>
        <v>Structural Parking</v>
      </c>
      <c r="AR48" s="537" t="str">
        <f t="shared" ca="1" si="88"/>
        <v>Surface Parking</v>
      </c>
      <c r="AS48" s="21"/>
      <c r="AT48" s="21"/>
      <c r="AU48" s="537" t="str">
        <f t="shared" ref="AU48:BC48" ca="1" si="89">+AU$23</f>
        <v>Affordable Residential</v>
      </c>
      <c r="AV48" s="537" t="str">
        <f t="shared" ca="1" si="89"/>
        <v>Market Rate Residential</v>
      </c>
      <c r="AW48" s="537" t="str">
        <f t="shared" ca="1" si="89"/>
        <v>Retail</v>
      </c>
      <c r="AX48" s="537" t="str">
        <f t="shared" ca="1" si="89"/>
        <v>Hotel</v>
      </c>
      <c r="AY48" s="537" t="str">
        <f t="shared" ca="1" si="89"/>
        <v>Museum</v>
      </c>
      <c r="AZ48" s="537" t="str">
        <f t="shared" ca="1" si="89"/>
        <v>Office</v>
      </c>
      <c r="BA48" s="537" t="str">
        <f t="shared" ca="1" si="89"/>
        <v>Light Industrial/Flex</v>
      </c>
      <c r="BB48" s="537" t="str">
        <f t="shared" ca="1" si="89"/>
        <v>Structural Parking</v>
      </c>
      <c r="BC48" s="537" t="str">
        <f t="shared" ca="1" si="89"/>
        <v>Surface Parking</v>
      </c>
    </row>
    <row r="49" spans="1:55" ht="15.75">
      <c r="A49" s="53"/>
      <c r="B49" s="15" t="s">
        <v>413</v>
      </c>
      <c r="C49" s="15"/>
      <c r="D49" s="53">
        <v>0.05</v>
      </c>
      <c r="E49" s="49">
        <v>0.7</v>
      </c>
      <c r="F49" s="929">
        <f t="shared" ref="F49:F62" ca="1" si="90">+G49/$G$10</f>
        <v>8.7126350465469145</v>
      </c>
      <c r="G49" s="26">
        <f ca="1">+D49*SUM(G35:G43)</f>
        <v>36312834.001859903</v>
      </c>
      <c r="H49" s="16">
        <f t="shared" ref="H49:J54" ca="1" si="91">+$G49*H$21</f>
        <v>15873262.274347287</v>
      </c>
      <c r="I49" s="16">
        <f t="shared" ca="1" si="91"/>
        <v>11558747.974027161</v>
      </c>
      <c r="J49" s="16">
        <f t="shared" ca="1" si="91"/>
        <v>8880823.7534854561</v>
      </c>
      <c r="K49" s="21"/>
      <c r="M49" s="19">
        <f t="shared" ref="M49:U63" ca="1" si="92">+$H49*M$5+$I49*M$6+$J49*M$7</f>
        <v>8709847.0033320189</v>
      </c>
      <c r="N49" s="19">
        <f t="shared" ca="1" si="92"/>
        <v>13064770.504998028</v>
      </c>
      <c r="O49" s="19">
        <f t="shared" ca="1" si="92"/>
        <v>2413661.2869448913</v>
      </c>
      <c r="P49" s="19">
        <f t="shared" ca="1" si="92"/>
        <v>690528.60324912216</v>
      </c>
      <c r="Q49" s="19">
        <f t="shared" ca="1" si="92"/>
        <v>1092782.2507131468</v>
      </c>
      <c r="R49" s="19">
        <f t="shared" ca="1" si="92"/>
        <v>5514549.0884562638</v>
      </c>
      <c r="S49" s="19">
        <f t="shared" ca="1" si="92"/>
        <v>329198.20259872859</v>
      </c>
      <c r="T49" s="19">
        <f t="shared" ca="1" si="92"/>
        <v>4497497.0615677033</v>
      </c>
      <c r="U49" s="19">
        <f t="shared" ca="1" si="92"/>
        <v>0</v>
      </c>
      <c r="V49" s="21"/>
      <c r="W49" s="21"/>
      <c r="X49" s="21"/>
      <c r="Y49" s="19">
        <f t="shared" ref="Y49:AG63" ca="1" si="93">+$H49*Y$5+$I49*Y$6+$J49*Y$7</f>
        <v>3102405.5425364813</v>
      </c>
      <c r="Z49" s="19">
        <f t="shared" ca="1" si="93"/>
        <v>4653608.3138047215</v>
      </c>
      <c r="AA49" s="19">
        <f t="shared" ca="1" si="93"/>
        <v>962798.44845371332</v>
      </c>
      <c r="AB49" s="19">
        <f t="shared" ca="1" si="93"/>
        <v>690528.60324912216</v>
      </c>
      <c r="AC49" s="19">
        <f t="shared" ca="1" si="93"/>
        <v>1092782.2507131468</v>
      </c>
      <c r="AD49" s="19">
        <f t="shared" ca="1" si="93"/>
        <v>2824435.8914844394</v>
      </c>
      <c r="AE49" s="19">
        <f t="shared" ca="1" si="93"/>
        <v>329198.20259872859</v>
      </c>
      <c r="AF49" s="19">
        <f t="shared" ca="1" si="93"/>
        <v>2217505.0215069344</v>
      </c>
      <c r="AG49" s="19">
        <f t="shared" ca="1" si="93"/>
        <v>0</v>
      </c>
      <c r="AH49" s="21"/>
      <c r="AI49" s="21"/>
      <c r="AJ49" s="19">
        <f t="shared" ref="AJ49:AR63" ca="1" si="94">+$H49*AJ$5+$I49*AJ$6+$J49*AJ$7</f>
        <v>2609545.7181693967</v>
      </c>
      <c r="AK49" s="19">
        <f t="shared" ca="1" si="94"/>
        <v>3914318.5772540937</v>
      </c>
      <c r="AL49" s="19">
        <f t="shared" ca="1" si="94"/>
        <v>1097138.5682364199</v>
      </c>
      <c r="AM49" s="19">
        <f t="shared" ca="1" si="94"/>
        <v>0</v>
      </c>
      <c r="AN49" s="19">
        <f t="shared" ca="1" si="94"/>
        <v>0</v>
      </c>
      <c r="AO49" s="19">
        <f t="shared" ca="1" si="94"/>
        <v>2690113.1969718249</v>
      </c>
      <c r="AP49" s="19">
        <f t="shared" ca="1" si="94"/>
        <v>0</v>
      </c>
      <c r="AQ49" s="19">
        <f t="shared" ca="1" si="94"/>
        <v>1247631.9133954248</v>
      </c>
      <c r="AR49" s="19">
        <f t="shared" ca="1" si="94"/>
        <v>0</v>
      </c>
      <c r="AS49" s="21"/>
      <c r="AT49" s="21"/>
      <c r="AU49" s="19">
        <f t="shared" ref="AU49:BC63" ca="1" si="95">+$H49*AU$5+$I49*AU$6+$J49*AU$7</f>
        <v>2997895.7426261418</v>
      </c>
      <c r="AV49" s="19">
        <f t="shared" ca="1" si="95"/>
        <v>4496843.6139392117</v>
      </c>
      <c r="AW49" s="19">
        <f t="shared" ca="1" si="95"/>
        <v>353724.27025475819</v>
      </c>
      <c r="AX49" s="19">
        <f t="shared" ca="1" si="95"/>
        <v>0</v>
      </c>
      <c r="AY49" s="19">
        <f t="shared" ca="1" si="95"/>
        <v>0</v>
      </c>
      <c r="AZ49" s="19">
        <f t="shared" ca="1" si="95"/>
        <v>0</v>
      </c>
      <c r="BA49" s="19">
        <f t="shared" ca="1" si="95"/>
        <v>0</v>
      </c>
      <c r="BB49" s="19">
        <f t="shared" ca="1" si="95"/>
        <v>1032360.1266653439</v>
      </c>
      <c r="BC49" s="19">
        <f t="shared" ca="1" si="95"/>
        <v>0</v>
      </c>
    </row>
    <row r="50" spans="1:55" ht="15.75">
      <c r="A50" s="53"/>
      <c r="B50" s="15" t="s">
        <v>414</v>
      </c>
      <c r="C50" s="15"/>
      <c r="D50" s="21"/>
      <c r="E50" s="49">
        <v>0.75</v>
      </c>
      <c r="F50" s="929">
        <f t="shared" ca="1" si="90"/>
        <v>1.5173164403891337</v>
      </c>
      <c r="G50" s="26">
        <f ca="1">753+8.19*(G45+G31)/1000</f>
        <v>6323926.0836456856</v>
      </c>
      <c r="H50" s="16">
        <f t="shared" ca="1" si="91"/>
        <v>2764348.7513024299</v>
      </c>
      <c r="I50" s="16">
        <f t="shared" ca="1" si="91"/>
        <v>2012970.61538885</v>
      </c>
      <c r="J50" s="16">
        <f t="shared" ca="1" si="91"/>
        <v>1546606.7169544054</v>
      </c>
      <c r="K50" s="21"/>
      <c r="M50" s="19">
        <f t="shared" ca="1" si="92"/>
        <v>1516830.8991282093</v>
      </c>
      <c r="N50" s="19">
        <f t="shared" ca="1" si="92"/>
        <v>2275246.3486923138</v>
      </c>
      <c r="O50" s="19">
        <f t="shared" ca="1" si="92"/>
        <v>420342.17348100169</v>
      </c>
      <c r="P50" s="19">
        <f t="shared" ca="1" si="92"/>
        <v>120256.43179948119</v>
      </c>
      <c r="Q50" s="19">
        <f t="shared" ca="1" si="92"/>
        <v>190309.41453580713</v>
      </c>
      <c r="R50" s="19">
        <f t="shared" ca="1" si="92"/>
        <v>960365.71583057707</v>
      </c>
      <c r="S50" s="19">
        <f t="shared" ca="1" si="92"/>
        <v>57330.284383663027</v>
      </c>
      <c r="T50" s="19">
        <f t="shared" ca="1" si="92"/>
        <v>783244.8157946323</v>
      </c>
      <c r="U50" s="19">
        <f t="shared" ca="1" si="92"/>
        <v>0</v>
      </c>
      <c r="V50" s="21"/>
      <c r="W50" s="21"/>
      <c r="X50" s="21"/>
      <c r="Y50" s="19">
        <f t="shared" ca="1" si="93"/>
        <v>540287.85887349118</v>
      </c>
      <c r="Z50" s="19">
        <f t="shared" ca="1" si="93"/>
        <v>810431.78831023688</v>
      </c>
      <c r="AA50" s="19">
        <f t="shared" ca="1" si="93"/>
        <v>167672.57056164162</v>
      </c>
      <c r="AB50" s="19">
        <f t="shared" ca="1" si="93"/>
        <v>120256.43179948119</v>
      </c>
      <c r="AC50" s="19">
        <f t="shared" ca="1" si="93"/>
        <v>190309.41453580713</v>
      </c>
      <c r="AD50" s="19">
        <f t="shared" ca="1" si="93"/>
        <v>491879.09169602825</v>
      </c>
      <c r="AE50" s="19">
        <f t="shared" ca="1" si="93"/>
        <v>57330.284383663027</v>
      </c>
      <c r="AF50" s="19">
        <f t="shared" ca="1" si="93"/>
        <v>386181.31114208075</v>
      </c>
      <c r="AG50" s="19">
        <f t="shared" ca="1" si="93"/>
        <v>0</v>
      </c>
      <c r="AH50" s="21"/>
      <c r="AI50" s="21"/>
      <c r="AJ50" s="19">
        <f t="shared" ca="1" si="94"/>
        <v>454455.69554698258</v>
      </c>
      <c r="AK50" s="19">
        <f t="shared" ca="1" si="94"/>
        <v>681683.54332047363</v>
      </c>
      <c r="AL50" s="19">
        <f t="shared" ca="1" si="94"/>
        <v>191068.07275600164</v>
      </c>
      <c r="AM50" s="19">
        <f t="shared" ca="1" si="94"/>
        <v>0</v>
      </c>
      <c r="AN50" s="19">
        <f t="shared" ca="1" si="94"/>
        <v>0</v>
      </c>
      <c r="AO50" s="19">
        <f t="shared" ca="1" si="94"/>
        <v>468486.62413454888</v>
      </c>
      <c r="AP50" s="19">
        <f t="shared" ca="1" si="94"/>
        <v>0</v>
      </c>
      <c r="AQ50" s="19">
        <f t="shared" ca="1" si="94"/>
        <v>217276.67963084314</v>
      </c>
      <c r="AR50" s="19">
        <f t="shared" ca="1" si="94"/>
        <v>0</v>
      </c>
      <c r="AS50" s="21"/>
      <c r="AT50" s="21"/>
      <c r="AU50" s="19">
        <f t="shared" ca="1" si="95"/>
        <v>522087.34470773546</v>
      </c>
      <c r="AV50" s="19">
        <f t="shared" ca="1" si="95"/>
        <v>783131.01706160302</v>
      </c>
      <c r="AW50" s="19">
        <f t="shared" ca="1" si="95"/>
        <v>61601.530163358439</v>
      </c>
      <c r="AX50" s="19">
        <f t="shared" ca="1" si="95"/>
        <v>0</v>
      </c>
      <c r="AY50" s="19">
        <f t="shared" ca="1" si="95"/>
        <v>0</v>
      </c>
      <c r="AZ50" s="19">
        <f t="shared" ca="1" si="95"/>
        <v>0</v>
      </c>
      <c r="BA50" s="19">
        <f t="shared" ca="1" si="95"/>
        <v>0</v>
      </c>
      <c r="BB50" s="19">
        <f t="shared" ca="1" si="95"/>
        <v>179786.82502170844</v>
      </c>
      <c r="BC50" s="19">
        <f t="shared" ca="1" si="95"/>
        <v>0</v>
      </c>
    </row>
    <row r="51" spans="1:55" ht="15.75">
      <c r="A51" s="21"/>
      <c r="B51" s="15" t="s">
        <v>415</v>
      </c>
      <c r="C51" s="15"/>
      <c r="D51" s="21"/>
      <c r="E51" s="49">
        <v>1</v>
      </c>
      <c r="F51" s="929">
        <f t="shared" ca="1" si="90"/>
        <v>7.1979799589043325E-2</v>
      </c>
      <c r="G51" s="26">
        <v>300000</v>
      </c>
      <c r="H51" s="16">
        <f t="shared" ca="1" si="91"/>
        <v>131137.62153789162</v>
      </c>
      <c r="I51" s="16">
        <f t="shared" ca="1" si="91"/>
        <v>95493.080821798168</v>
      </c>
      <c r="J51" s="16">
        <f t="shared" ca="1" si="91"/>
        <v>73369.297640310222</v>
      </c>
      <c r="K51" s="21"/>
      <c r="M51" s="19">
        <f t="shared" ca="1" si="92"/>
        <v>71956.766053174855</v>
      </c>
      <c r="N51" s="19">
        <f t="shared" ca="1" si="92"/>
        <v>107935.14907976225</v>
      </c>
      <c r="O51" s="19">
        <f t="shared" ca="1" si="92"/>
        <v>19940.563880152673</v>
      </c>
      <c r="P51" s="19">
        <f t="shared" ca="1" si="92"/>
        <v>5704.8309962292187</v>
      </c>
      <c r="Q51" s="19">
        <f t="shared" ca="1" si="92"/>
        <v>9028.0663634557623</v>
      </c>
      <c r="R51" s="19">
        <f t="shared" ca="1" si="92"/>
        <v>45558.678412490321</v>
      </c>
      <c r="S51" s="19">
        <f t="shared" ca="1" si="92"/>
        <v>2719.6847476724133</v>
      </c>
      <c r="T51" s="19">
        <f t="shared" ca="1" si="92"/>
        <v>37156.260467062522</v>
      </c>
      <c r="U51" s="19">
        <f t="shared" ca="1" si="92"/>
        <v>0</v>
      </c>
      <c r="V51" s="21"/>
      <c r="W51" s="21"/>
      <c r="X51" s="21"/>
      <c r="Y51" s="19">
        <f t="shared" ca="1" si="93"/>
        <v>25630.653413426062</v>
      </c>
      <c r="Z51" s="19">
        <f t="shared" ca="1" si="93"/>
        <v>38445.980120139095</v>
      </c>
      <c r="AA51" s="19">
        <f t="shared" ca="1" si="93"/>
        <v>7954.199733386823</v>
      </c>
      <c r="AB51" s="19">
        <f t="shared" ca="1" si="93"/>
        <v>5704.8309962292187</v>
      </c>
      <c r="AC51" s="19">
        <f t="shared" ca="1" si="93"/>
        <v>9028.0663634557623</v>
      </c>
      <c r="AD51" s="19">
        <f t="shared" ca="1" si="93"/>
        <v>23334.195491377304</v>
      </c>
      <c r="AE51" s="19">
        <f t="shared" ca="1" si="93"/>
        <v>2719.6847476724133</v>
      </c>
      <c r="AF51" s="19">
        <f t="shared" ca="1" si="93"/>
        <v>18320.010672204953</v>
      </c>
      <c r="AG51" s="19">
        <f t="shared" ca="1" si="93"/>
        <v>0</v>
      </c>
      <c r="AH51" s="21"/>
      <c r="AI51" s="21"/>
      <c r="AJ51" s="19">
        <f t="shared" ca="1" si="94"/>
        <v>21558.87131835322</v>
      </c>
      <c r="AK51" s="19">
        <f t="shared" ca="1" si="94"/>
        <v>32338.306977529821</v>
      </c>
      <c r="AL51" s="19">
        <f t="shared" ca="1" si="94"/>
        <v>9064.0562632502806</v>
      </c>
      <c r="AM51" s="19">
        <f t="shared" ca="1" si="94"/>
        <v>0</v>
      </c>
      <c r="AN51" s="19">
        <f t="shared" ca="1" si="94"/>
        <v>0</v>
      </c>
      <c r="AO51" s="19">
        <f t="shared" ca="1" si="94"/>
        <v>22224.482921113016</v>
      </c>
      <c r="AP51" s="19">
        <f t="shared" ca="1" si="94"/>
        <v>0</v>
      </c>
      <c r="AQ51" s="19">
        <f t="shared" ca="1" si="94"/>
        <v>10307.363341551827</v>
      </c>
      <c r="AR51" s="19">
        <f t="shared" ca="1" si="94"/>
        <v>0</v>
      </c>
      <c r="AS51" s="21"/>
      <c r="AT51" s="21"/>
      <c r="AU51" s="19">
        <f t="shared" ca="1" si="95"/>
        <v>24767.241321395566</v>
      </c>
      <c r="AV51" s="19">
        <f t="shared" ca="1" si="95"/>
        <v>37150.861982093338</v>
      </c>
      <c r="AW51" s="19">
        <f t="shared" ca="1" si="95"/>
        <v>2922.3078835155702</v>
      </c>
      <c r="AX51" s="19">
        <f t="shared" ca="1" si="95"/>
        <v>0</v>
      </c>
      <c r="AY51" s="19">
        <f t="shared" ca="1" si="95"/>
        <v>0</v>
      </c>
      <c r="AZ51" s="19">
        <f t="shared" ca="1" si="95"/>
        <v>0</v>
      </c>
      <c r="BA51" s="19">
        <f t="shared" ca="1" si="95"/>
        <v>0</v>
      </c>
      <c r="BB51" s="19">
        <f t="shared" ca="1" si="95"/>
        <v>8528.886453305744</v>
      </c>
      <c r="BC51" s="19">
        <f t="shared" ca="1" si="95"/>
        <v>0</v>
      </c>
    </row>
    <row r="52" spans="1:55" ht="15.75">
      <c r="A52" s="21"/>
      <c r="B52" s="15" t="s">
        <v>416</v>
      </c>
      <c r="C52" s="15"/>
      <c r="D52" s="21"/>
      <c r="E52" s="49">
        <v>0</v>
      </c>
      <c r="F52" s="929">
        <f t="shared" ca="1" si="90"/>
        <v>0.43187879753426001</v>
      </c>
      <c r="G52" s="26">
        <v>1800000</v>
      </c>
      <c r="H52" s="16">
        <f t="shared" ca="1" si="91"/>
        <v>786825.72922734963</v>
      </c>
      <c r="I52" s="16">
        <f t="shared" ca="1" si="91"/>
        <v>572958.48493078898</v>
      </c>
      <c r="J52" s="16">
        <f t="shared" ca="1" si="91"/>
        <v>440215.78584186133</v>
      </c>
      <c r="K52" s="21"/>
      <c r="M52" s="19">
        <f t="shared" ca="1" si="92"/>
        <v>431740.59631904901</v>
      </c>
      <c r="N52" s="19">
        <f t="shared" ca="1" si="92"/>
        <v>647610.89447857346</v>
      </c>
      <c r="O52" s="19">
        <f t="shared" ca="1" si="92"/>
        <v>119643.38328091605</v>
      </c>
      <c r="P52" s="19">
        <f t="shared" ca="1" si="92"/>
        <v>34228.985977375305</v>
      </c>
      <c r="Q52" s="19">
        <f t="shared" ca="1" si="92"/>
        <v>54168.398180734563</v>
      </c>
      <c r="R52" s="19">
        <f t="shared" ca="1" si="92"/>
        <v>273352.07047494192</v>
      </c>
      <c r="S52" s="19">
        <f t="shared" ca="1" si="92"/>
        <v>16318.108486034478</v>
      </c>
      <c r="T52" s="19">
        <f t="shared" ca="1" si="92"/>
        <v>222937.56280237512</v>
      </c>
      <c r="U52" s="19">
        <f t="shared" ca="1" si="92"/>
        <v>0</v>
      </c>
      <c r="V52" s="21"/>
      <c r="W52" s="21"/>
      <c r="X52" s="21"/>
      <c r="Y52" s="19">
        <f t="shared" ca="1" si="93"/>
        <v>153783.92048055635</v>
      </c>
      <c r="Z52" s="19">
        <f t="shared" ca="1" si="93"/>
        <v>230675.88072083451</v>
      </c>
      <c r="AA52" s="19">
        <f t="shared" ca="1" si="93"/>
        <v>47725.198400320936</v>
      </c>
      <c r="AB52" s="19">
        <f t="shared" ca="1" si="93"/>
        <v>34228.985977375305</v>
      </c>
      <c r="AC52" s="19">
        <f t="shared" ca="1" si="93"/>
        <v>54168.398180734563</v>
      </c>
      <c r="AD52" s="19">
        <f t="shared" ca="1" si="93"/>
        <v>140005.17294826382</v>
      </c>
      <c r="AE52" s="19">
        <f t="shared" ca="1" si="93"/>
        <v>16318.108486034478</v>
      </c>
      <c r="AF52" s="19">
        <f t="shared" ca="1" si="93"/>
        <v>109920.0640332297</v>
      </c>
      <c r="AG52" s="19">
        <f t="shared" ca="1" si="93"/>
        <v>0</v>
      </c>
      <c r="AH52" s="21"/>
      <c r="AI52" s="21"/>
      <c r="AJ52" s="19">
        <f t="shared" ca="1" si="94"/>
        <v>129353.22791011931</v>
      </c>
      <c r="AK52" s="19">
        <f t="shared" ca="1" si="94"/>
        <v>194029.84186517893</v>
      </c>
      <c r="AL52" s="19">
        <f t="shared" ca="1" si="94"/>
        <v>54384.337579501684</v>
      </c>
      <c r="AM52" s="19">
        <f t="shared" ca="1" si="94"/>
        <v>0</v>
      </c>
      <c r="AN52" s="19">
        <f t="shared" ca="1" si="94"/>
        <v>0</v>
      </c>
      <c r="AO52" s="19">
        <f t="shared" ca="1" si="94"/>
        <v>133346.89752667811</v>
      </c>
      <c r="AP52" s="19">
        <f t="shared" ca="1" si="94"/>
        <v>0</v>
      </c>
      <c r="AQ52" s="19">
        <f t="shared" ca="1" si="94"/>
        <v>61844.180049310955</v>
      </c>
      <c r="AR52" s="19">
        <f t="shared" ca="1" si="94"/>
        <v>0</v>
      </c>
      <c r="AS52" s="21"/>
      <c r="AT52" s="21"/>
      <c r="AU52" s="19">
        <f t="shared" ca="1" si="95"/>
        <v>148603.44792837338</v>
      </c>
      <c r="AV52" s="19">
        <f t="shared" ca="1" si="95"/>
        <v>222905.17189256006</v>
      </c>
      <c r="AW52" s="19">
        <f t="shared" ca="1" si="95"/>
        <v>17533.847301093421</v>
      </c>
      <c r="AX52" s="19">
        <f t="shared" ca="1" si="95"/>
        <v>0</v>
      </c>
      <c r="AY52" s="19">
        <f t="shared" ca="1" si="95"/>
        <v>0</v>
      </c>
      <c r="AZ52" s="19">
        <f t="shared" ca="1" si="95"/>
        <v>0</v>
      </c>
      <c r="BA52" s="19">
        <f t="shared" ca="1" si="95"/>
        <v>0</v>
      </c>
      <c r="BB52" s="19">
        <f t="shared" ca="1" si="95"/>
        <v>51173.318719834468</v>
      </c>
      <c r="BC52" s="19">
        <f t="shared" ca="1" si="95"/>
        <v>0</v>
      </c>
    </row>
    <row r="53" spans="1:55" ht="15.75">
      <c r="A53" s="21"/>
      <c r="B53" s="15" t="s">
        <v>417</v>
      </c>
      <c r="C53" s="15"/>
      <c r="D53" s="21"/>
      <c r="E53" s="49">
        <v>0.5</v>
      </c>
      <c r="F53" s="929">
        <f t="shared" ca="1" si="90"/>
        <v>0.23993266529681109</v>
      </c>
      <c r="G53" s="26">
        <v>1000000</v>
      </c>
      <c r="H53" s="16">
        <f t="shared" ca="1" si="91"/>
        <v>437125.40512630536</v>
      </c>
      <c r="I53" s="16">
        <f t="shared" ca="1" si="91"/>
        <v>318310.26940599387</v>
      </c>
      <c r="J53" s="16">
        <f t="shared" ca="1" si="91"/>
        <v>244564.32546770075</v>
      </c>
      <c r="K53" s="21"/>
      <c r="M53" s="19">
        <f t="shared" ca="1" si="92"/>
        <v>239855.88684391615</v>
      </c>
      <c r="N53" s="19">
        <f t="shared" ca="1" si="92"/>
        <v>359783.83026587416</v>
      </c>
      <c r="O53" s="19">
        <f t="shared" ca="1" si="92"/>
        <v>66468.546267175581</v>
      </c>
      <c r="P53" s="19">
        <f t="shared" ca="1" si="92"/>
        <v>19016.103320764061</v>
      </c>
      <c r="Q53" s="19">
        <f t="shared" ca="1" si="92"/>
        <v>30093.554544852534</v>
      </c>
      <c r="R53" s="19">
        <f t="shared" ca="1" si="92"/>
        <v>151862.26137496773</v>
      </c>
      <c r="S53" s="19">
        <f t="shared" ca="1" si="92"/>
        <v>9065.6158255747105</v>
      </c>
      <c r="T53" s="19">
        <f t="shared" ca="1" si="92"/>
        <v>123854.20155687508</v>
      </c>
      <c r="U53" s="19">
        <f t="shared" ca="1" si="92"/>
        <v>0</v>
      </c>
      <c r="V53" s="21"/>
      <c r="W53" s="21"/>
      <c r="X53" s="21"/>
      <c r="Y53" s="19">
        <f t="shared" ca="1" si="93"/>
        <v>85435.511378086856</v>
      </c>
      <c r="Z53" s="19">
        <f t="shared" ca="1" si="93"/>
        <v>128153.26706713029</v>
      </c>
      <c r="AA53" s="19">
        <f t="shared" ca="1" si="93"/>
        <v>26513.999111289409</v>
      </c>
      <c r="AB53" s="19">
        <f t="shared" ca="1" si="93"/>
        <v>19016.103320764061</v>
      </c>
      <c r="AC53" s="19">
        <f t="shared" ca="1" si="93"/>
        <v>30093.554544852534</v>
      </c>
      <c r="AD53" s="19">
        <f t="shared" ca="1" si="93"/>
        <v>77780.65163792434</v>
      </c>
      <c r="AE53" s="19">
        <f t="shared" ca="1" si="93"/>
        <v>9065.6158255747105</v>
      </c>
      <c r="AF53" s="19">
        <f t="shared" ca="1" si="93"/>
        <v>61066.702240683175</v>
      </c>
      <c r="AG53" s="19">
        <f t="shared" ca="1" si="93"/>
        <v>0</v>
      </c>
      <c r="AH53" s="21"/>
      <c r="AI53" s="21"/>
      <c r="AJ53" s="19">
        <f t="shared" ca="1" si="94"/>
        <v>71862.904394510726</v>
      </c>
      <c r="AK53" s="19">
        <f t="shared" ca="1" si="94"/>
        <v>107794.35659176606</v>
      </c>
      <c r="AL53" s="19">
        <f t="shared" ca="1" si="94"/>
        <v>30213.520877500934</v>
      </c>
      <c r="AM53" s="19">
        <f t="shared" ca="1" si="94"/>
        <v>0</v>
      </c>
      <c r="AN53" s="19">
        <f t="shared" ca="1" si="94"/>
        <v>0</v>
      </c>
      <c r="AO53" s="19">
        <f t="shared" ca="1" si="94"/>
        <v>74081.609737043385</v>
      </c>
      <c r="AP53" s="19">
        <f t="shared" ca="1" si="94"/>
        <v>0</v>
      </c>
      <c r="AQ53" s="19">
        <f t="shared" ca="1" si="94"/>
        <v>34357.87780517275</v>
      </c>
      <c r="AR53" s="19">
        <f t="shared" ca="1" si="94"/>
        <v>0</v>
      </c>
      <c r="AS53" s="21"/>
      <c r="AT53" s="21"/>
      <c r="AU53" s="19">
        <f t="shared" ca="1" si="95"/>
        <v>82557.471071318549</v>
      </c>
      <c r="AV53" s="19">
        <f t="shared" ca="1" si="95"/>
        <v>123836.20660697781</v>
      </c>
      <c r="AW53" s="19">
        <f t="shared" ca="1" si="95"/>
        <v>9741.026278385234</v>
      </c>
      <c r="AX53" s="19">
        <f t="shared" ca="1" si="95"/>
        <v>0</v>
      </c>
      <c r="AY53" s="19">
        <f t="shared" ca="1" si="95"/>
        <v>0</v>
      </c>
      <c r="AZ53" s="19">
        <f t="shared" ca="1" si="95"/>
        <v>0</v>
      </c>
      <c r="BA53" s="19">
        <f t="shared" ca="1" si="95"/>
        <v>0</v>
      </c>
      <c r="BB53" s="19">
        <f t="shared" ca="1" si="95"/>
        <v>28429.621511019148</v>
      </c>
      <c r="BC53" s="19">
        <f t="shared" ca="1" si="95"/>
        <v>0</v>
      </c>
    </row>
    <row r="54" spans="1:55" ht="15.75">
      <c r="A54" s="21"/>
      <c r="B54" s="15" t="s">
        <v>216</v>
      </c>
      <c r="C54" s="15"/>
      <c r="D54" s="21"/>
      <c r="E54" s="49">
        <v>0</v>
      </c>
      <c r="F54" s="929">
        <f t="shared" ca="1" si="90"/>
        <v>0.11996633264840555</v>
      </c>
      <c r="G54" s="13">
        <v>500000</v>
      </c>
      <c r="H54" s="16">
        <f t="shared" ca="1" si="91"/>
        <v>218562.70256315268</v>
      </c>
      <c r="I54" s="16">
        <f t="shared" ca="1" si="91"/>
        <v>159155.13470299693</v>
      </c>
      <c r="J54" s="16">
        <f t="shared" ca="1" si="91"/>
        <v>122282.16273385037</v>
      </c>
      <c r="K54" s="12"/>
      <c r="L54" s="12"/>
      <c r="M54" s="19">
        <f t="shared" ca="1" si="92"/>
        <v>119927.94342195807</v>
      </c>
      <c r="N54" s="19">
        <f t="shared" ca="1" si="92"/>
        <v>179891.91513293708</v>
      </c>
      <c r="O54" s="19">
        <f t="shared" ca="1" si="92"/>
        <v>33234.273133587791</v>
      </c>
      <c r="P54" s="19">
        <f t="shared" ca="1" si="92"/>
        <v>9508.0516603820306</v>
      </c>
      <c r="Q54" s="19">
        <f t="shared" ca="1" si="92"/>
        <v>15046.777272426267</v>
      </c>
      <c r="R54" s="19">
        <f t="shared" ca="1" si="92"/>
        <v>75931.130687483863</v>
      </c>
      <c r="S54" s="19">
        <f t="shared" ca="1" si="92"/>
        <v>4532.8079127873552</v>
      </c>
      <c r="T54" s="19">
        <f t="shared" ca="1" si="92"/>
        <v>61927.10077843754</v>
      </c>
      <c r="U54" s="19">
        <f t="shared" ca="1" si="92"/>
        <v>0</v>
      </c>
      <c r="V54" s="21"/>
      <c r="W54" s="21"/>
      <c r="X54" s="12"/>
      <c r="Y54" s="19">
        <f t="shared" ca="1" si="93"/>
        <v>42717.755689043428</v>
      </c>
      <c r="Z54" s="19">
        <f t="shared" ca="1" si="93"/>
        <v>64076.633533565146</v>
      </c>
      <c r="AA54" s="19">
        <f t="shared" ca="1" si="93"/>
        <v>13256.999555644705</v>
      </c>
      <c r="AB54" s="19">
        <f t="shared" ca="1" si="93"/>
        <v>9508.0516603820306</v>
      </c>
      <c r="AC54" s="19">
        <f t="shared" ca="1" si="93"/>
        <v>15046.777272426267</v>
      </c>
      <c r="AD54" s="19">
        <f t="shared" ca="1" si="93"/>
        <v>38890.32581896217</v>
      </c>
      <c r="AE54" s="19">
        <f t="shared" ca="1" si="93"/>
        <v>4532.8079127873552</v>
      </c>
      <c r="AF54" s="19">
        <f t="shared" ca="1" si="93"/>
        <v>30533.351120341587</v>
      </c>
      <c r="AG54" s="19">
        <f t="shared" ca="1" si="93"/>
        <v>0</v>
      </c>
      <c r="AH54" s="21"/>
      <c r="AI54" s="12"/>
      <c r="AJ54" s="19">
        <f t="shared" ca="1" si="94"/>
        <v>35931.452197255363</v>
      </c>
      <c r="AK54" s="19">
        <f t="shared" ca="1" si="94"/>
        <v>53897.17829588303</v>
      </c>
      <c r="AL54" s="19">
        <f t="shared" ca="1" si="94"/>
        <v>15106.760438750467</v>
      </c>
      <c r="AM54" s="19">
        <f t="shared" ca="1" si="94"/>
        <v>0</v>
      </c>
      <c r="AN54" s="19">
        <f t="shared" ca="1" si="94"/>
        <v>0</v>
      </c>
      <c r="AO54" s="19">
        <f t="shared" ca="1" si="94"/>
        <v>37040.804868521693</v>
      </c>
      <c r="AP54" s="19">
        <f t="shared" ca="1" si="94"/>
        <v>0</v>
      </c>
      <c r="AQ54" s="19">
        <f t="shared" ca="1" si="94"/>
        <v>17178.938902586375</v>
      </c>
      <c r="AR54" s="19">
        <f t="shared" ca="1" si="94"/>
        <v>0</v>
      </c>
      <c r="AS54" s="21"/>
      <c r="AT54" s="12"/>
      <c r="AU54" s="19">
        <f t="shared" ca="1" si="95"/>
        <v>41278.735535659274</v>
      </c>
      <c r="AV54" s="19">
        <f t="shared" ca="1" si="95"/>
        <v>61918.103303488904</v>
      </c>
      <c r="AW54" s="19">
        <f t="shared" ca="1" si="95"/>
        <v>4870.513139192617</v>
      </c>
      <c r="AX54" s="19">
        <f t="shared" ca="1" si="95"/>
        <v>0</v>
      </c>
      <c r="AY54" s="19">
        <f t="shared" ca="1" si="95"/>
        <v>0</v>
      </c>
      <c r="AZ54" s="19">
        <f t="shared" ca="1" si="95"/>
        <v>0</v>
      </c>
      <c r="BA54" s="19">
        <f t="shared" ca="1" si="95"/>
        <v>0</v>
      </c>
      <c r="BB54" s="19">
        <f t="shared" ca="1" si="95"/>
        <v>14214.810755509574</v>
      </c>
      <c r="BC54" s="19">
        <f t="shared" ca="1" si="95"/>
        <v>0</v>
      </c>
    </row>
    <row r="55" spans="1:55" ht="15.75">
      <c r="A55" s="21"/>
      <c r="B55" s="15" t="s">
        <v>418</v>
      </c>
      <c r="C55" s="15"/>
      <c r="D55" s="21"/>
      <c r="E55" s="49">
        <v>0.1</v>
      </c>
      <c r="F55" s="929">
        <f ca="1">+H55/$G$10</f>
        <v>9.7239674205031087E-2</v>
      </c>
      <c r="G55" s="16">
        <f>SUM(H55:J55)</f>
        <v>1485214.2462127998</v>
      </c>
      <c r="H55" s="13">
        <f>0.1*'Parcel x Block Info'!P15</f>
        <v>405279.01477999997</v>
      </c>
      <c r="I55" s="16">
        <f>0.1*'Parcel x Block Info'!P16</f>
        <v>293776.94823599997</v>
      </c>
      <c r="J55" s="16">
        <f>0.1*'Parcel x Block Info'!P17</f>
        <v>786158.28319679992</v>
      </c>
      <c r="K55" s="21"/>
      <c r="M55" s="744">
        <f t="shared" ref="M55:U55" ca="1" si="96">+$I55*M$5*M$6+$J55*M$7</f>
        <v>278346.06434568006</v>
      </c>
      <c r="N55" s="744">
        <f t="shared" ca="1" si="96"/>
        <v>427241.31707766256</v>
      </c>
      <c r="O55" s="744">
        <f t="shared" ca="1" si="96"/>
        <v>33004.144253337407</v>
      </c>
      <c r="P55" s="19">
        <f t="shared" ca="1" si="96"/>
        <v>0</v>
      </c>
      <c r="Q55" s="19">
        <f t="shared" ca="1" si="96"/>
        <v>0</v>
      </c>
      <c r="R55" s="744">
        <f t="shared" ca="1" si="96"/>
        <v>12165.865338404168</v>
      </c>
      <c r="S55" s="19">
        <f t="shared" ca="1" si="96"/>
        <v>0</v>
      </c>
      <c r="T55" s="744">
        <f t="shared" ca="1" si="96"/>
        <v>95817.624434951867</v>
      </c>
      <c r="U55" s="19">
        <f t="shared" ca="1" si="96"/>
        <v>0</v>
      </c>
      <c r="V55" s="21"/>
      <c r="W55" s="21"/>
      <c r="X55" s="21"/>
      <c r="Y55" s="19">
        <f t="shared" ref="Y55:AE55" ca="1" si="97">+$I55*Y$5+Y$6+$J55*Y$7</f>
        <v>57418.26832596054</v>
      </c>
      <c r="Z55" s="19">
        <f t="shared" ca="1" si="97"/>
        <v>86127.402488940817</v>
      </c>
      <c r="AA55" s="19">
        <f t="shared" ca="1" si="97"/>
        <v>17819.146755370952</v>
      </c>
      <c r="AB55" s="19">
        <f t="shared" ca="1" si="97"/>
        <v>12780.068912490546</v>
      </c>
      <c r="AC55" s="19">
        <f t="shared" ca="1" si="97"/>
        <v>20224.842830184803</v>
      </c>
      <c r="AD55" s="19">
        <f t="shared" ca="1" si="97"/>
        <v>52273.700411886144</v>
      </c>
      <c r="AE55" s="19">
        <f t="shared" ca="1" si="97"/>
        <v>6092.6885508925852</v>
      </c>
      <c r="AF55" s="19">
        <f ca="1">+$I55*AF$5*AF$6+$J55+AF$7</f>
        <v>786158.28319679992</v>
      </c>
      <c r="AG55" s="19">
        <f ca="1">+$I55*AG$5*AG$6+$J55*AG$7</f>
        <v>0</v>
      </c>
      <c r="AH55" s="21"/>
      <c r="AI55" s="21"/>
      <c r="AJ55" s="19">
        <f t="shared" ref="AJ55:AR55" ca="1" si="98">+$I55*AJ$5+AJ$6+$J55*AJ$7</f>
        <v>0.22576370070816676</v>
      </c>
      <c r="AK55" s="19">
        <f t="shared" ca="1" si="98"/>
        <v>0.33864555106225003</v>
      </c>
      <c r="AL55" s="19">
        <f t="shared" ca="1" si="98"/>
        <v>9.4918460952840386E-2</v>
      </c>
      <c r="AM55" s="19">
        <f t="shared" ca="1" si="98"/>
        <v>0</v>
      </c>
      <c r="AN55" s="19">
        <f t="shared" ca="1" si="98"/>
        <v>0</v>
      </c>
      <c r="AO55" s="19">
        <f t="shared" ca="1" si="98"/>
        <v>0.23273396072105618</v>
      </c>
      <c r="AP55" s="19">
        <f t="shared" ca="1" si="98"/>
        <v>0</v>
      </c>
      <c r="AQ55" s="19">
        <f t="shared" ca="1" si="98"/>
        <v>0.10793832655568662</v>
      </c>
      <c r="AR55" s="19">
        <f t="shared" ca="1" si="98"/>
        <v>0</v>
      </c>
      <c r="AS55" s="21"/>
      <c r="AT55" s="21"/>
      <c r="AU55" s="19">
        <f t="shared" ref="AU55:BC55" ca="1" si="99">+$I55*AU$5+AU$6+$J55*AU$7</f>
        <v>265383.10360015667</v>
      </c>
      <c r="AV55" s="19">
        <f t="shared" ca="1" si="99"/>
        <v>398074.65540023497</v>
      </c>
      <c r="AW55" s="19">
        <f t="shared" ca="1" si="99"/>
        <v>31312.778267824793</v>
      </c>
      <c r="AX55" s="19">
        <f t="shared" ca="1" si="99"/>
        <v>0</v>
      </c>
      <c r="AY55" s="19">
        <f t="shared" ca="1" si="99"/>
        <v>0</v>
      </c>
      <c r="AZ55" s="19">
        <f t="shared" ca="1" si="99"/>
        <v>0</v>
      </c>
      <c r="BA55" s="19">
        <f t="shared" ca="1" si="99"/>
        <v>0</v>
      </c>
      <c r="BB55" s="19">
        <f t="shared" ca="1" si="99"/>
        <v>91387.745928583448</v>
      </c>
      <c r="BC55" s="19">
        <f t="shared" ca="1" si="99"/>
        <v>0</v>
      </c>
    </row>
    <row r="56" spans="1:55" ht="15.75">
      <c r="A56" s="21"/>
      <c r="B56" s="15" t="s">
        <v>223</v>
      </c>
      <c r="C56" s="15"/>
      <c r="D56" s="53">
        <v>0.01</v>
      </c>
      <c r="E56" s="49">
        <v>0.1</v>
      </c>
      <c r="F56" s="929">
        <f t="shared" ca="1" si="90"/>
        <v>1.742527009309383</v>
      </c>
      <c r="G56" s="26">
        <f ca="1">$D$56*SUM(G35:G43)</f>
        <v>7262566.8003719812</v>
      </c>
      <c r="H56" s="16">
        <f t="shared" ref="H56:J62" ca="1" si="100">+$G56*H$21</f>
        <v>3174652.4548694575</v>
      </c>
      <c r="I56" s="16">
        <f t="shared" ca="1" si="100"/>
        <v>2311749.5948054325</v>
      </c>
      <c r="J56" s="16">
        <f t="shared" ca="1" si="100"/>
        <v>1776164.7506970912</v>
      </c>
      <c r="K56" s="21"/>
      <c r="M56" s="19">
        <f t="shared" ca="1" si="92"/>
        <v>1741969.400666404</v>
      </c>
      <c r="N56" s="19">
        <f t="shared" ca="1" si="92"/>
        <v>2612954.1009996058</v>
      </c>
      <c r="O56" s="19">
        <f t="shared" ca="1" si="92"/>
        <v>482732.25738897838</v>
      </c>
      <c r="P56" s="19">
        <f t="shared" ca="1" si="92"/>
        <v>138105.72064982445</v>
      </c>
      <c r="Q56" s="19">
        <f t="shared" ca="1" si="92"/>
        <v>218556.45014262936</v>
      </c>
      <c r="R56" s="19">
        <f t="shared" ca="1" si="92"/>
        <v>1102909.817691253</v>
      </c>
      <c r="S56" s="19">
        <f t="shared" ca="1" si="92"/>
        <v>65839.640519745721</v>
      </c>
      <c r="T56" s="19">
        <f t="shared" ca="1" si="92"/>
        <v>899499.4123135407</v>
      </c>
      <c r="U56" s="19">
        <f t="shared" ca="1" si="92"/>
        <v>0</v>
      </c>
      <c r="V56" s="21"/>
      <c r="W56" s="21"/>
      <c r="X56" s="21"/>
      <c r="Y56" s="19">
        <f t="shared" ca="1" si="93"/>
        <v>620481.1085072963</v>
      </c>
      <c r="Z56" s="19">
        <f t="shared" ca="1" si="93"/>
        <v>930721.66276094445</v>
      </c>
      <c r="AA56" s="19">
        <f t="shared" ca="1" si="93"/>
        <v>192559.68969074267</v>
      </c>
      <c r="AB56" s="19">
        <f t="shared" ca="1" si="93"/>
        <v>138105.72064982445</v>
      </c>
      <c r="AC56" s="19">
        <f t="shared" ca="1" si="93"/>
        <v>218556.45014262936</v>
      </c>
      <c r="AD56" s="19">
        <f t="shared" ca="1" si="93"/>
        <v>564887.1782968879</v>
      </c>
      <c r="AE56" s="19">
        <f t="shared" ca="1" si="93"/>
        <v>65839.640519745721</v>
      </c>
      <c r="AF56" s="19">
        <f t="shared" ca="1" si="93"/>
        <v>443501.00430138689</v>
      </c>
      <c r="AG56" s="19">
        <f t="shared" ca="1" si="93"/>
        <v>0</v>
      </c>
      <c r="AH56" s="21"/>
      <c r="AI56" s="21"/>
      <c r="AJ56" s="19">
        <f t="shared" ca="1" si="94"/>
        <v>521909.14363387943</v>
      </c>
      <c r="AK56" s="19">
        <f t="shared" ca="1" si="94"/>
        <v>782863.71545081888</v>
      </c>
      <c r="AL56" s="19">
        <f t="shared" ca="1" si="94"/>
        <v>219427.71364728402</v>
      </c>
      <c r="AM56" s="19">
        <f t="shared" ca="1" si="94"/>
        <v>0</v>
      </c>
      <c r="AN56" s="19">
        <f t="shared" ca="1" si="94"/>
        <v>0</v>
      </c>
      <c r="AO56" s="19">
        <f t="shared" ca="1" si="94"/>
        <v>538022.63939436502</v>
      </c>
      <c r="AP56" s="19">
        <f t="shared" ca="1" si="94"/>
        <v>0</v>
      </c>
      <c r="AQ56" s="19">
        <f t="shared" ca="1" si="94"/>
        <v>249526.38267908501</v>
      </c>
      <c r="AR56" s="19">
        <f t="shared" ca="1" si="94"/>
        <v>0</v>
      </c>
      <c r="AS56" s="21"/>
      <c r="AT56" s="21"/>
      <c r="AU56" s="19">
        <f t="shared" ca="1" si="95"/>
        <v>599579.14852522837</v>
      </c>
      <c r="AV56" s="19">
        <f t="shared" ca="1" si="95"/>
        <v>899368.72278784239</v>
      </c>
      <c r="AW56" s="19">
        <f t="shared" ca="1" si="95"/>
        <v>70744.854050951646</v>
      </c>
      <c r="AX56" s="19">
        <f t="shared" ca="1" si="95"/>
        <v>0</v>
      </c>
      <c r="AY56" s="19">
        <f t="shared" ca="1" si="95"/>
        <v>0</v>
      </c>
      <c r="AZ56" s="19">
        <f t="shared" ca="1" si="95"/>
        <v>0</v>
      </c>
      <c r="BA56" s="19">
        <f t="shared" ca="1" si="95"/>
        <v>0</v>
      </c>
      <c r="BB56" s="19">
        <f t="shared" ca="1" si="95"/>
        <v>206472.02533306877</v>
      </c>
      <c r="BC56" s="19">
        <f t="shared" ca="1" si="95"/>
        <v>0</v>
      </c>
    </row>
    <row r="57" spans="1:55" ht="15.75">
      <c r="A57" s="21"/>
      <c r="B57" s="15" t="s">
        <v>419</v>
      </c>
      <c r="C57" s="15"/>
      <c r="D57" s="930"/>
      <c r="E57" s="49">
        <v>0.25</v>
      </c>
      <c r="F57" s="929">
        <f t="shared" ca="1" si="90"/>
        <v>3.5989899794521663E-2</v>
      </c>
      <c r="G57" s="26">
        <v>150000</v>
      </c>
      <c r="H57" s="16">
        <f t="shared" ca="1" si="100"/>
        <v>65568.810768945812</v>
      </c>
      <c r="I57" s="16">
        <f t="shared" ca="1" si="100"/>
        <v>47746.540410899084</v>
      </c>
      <c r="J57" s="16">
        <f t="shared" ca="1" si="100"/>
        <v>36684.648820155111</v>
      </c>
      <c r="K57" s="21"/>
      <c r="M57" s="19">
        <f t="shared" ca="1" si="92"/>
        <v>35978.383026587428</v>
      </c>
      <c r="N57" s="19">
        <f t="shared" ca="1" si="92"/>
        <v>53967.574539881127</v>
      </c>
      <c r="O57" s="19">
        <f t="shared" ca="1" si="92"/>
        <v>9970.2819400763365</v>
      </c>
      <c r="P57" s="19">
        <f t="shared" ca="1" si="92"/>
        <v>2852.4154981146094</v>
      </c>
      <c r="Q57" s="19">
        <f t="shared" ca="1" si="92"/>
        <v>4514.0331817278811</v>
      </c>
      <c r="R57" s="19">
        <f t="shared" ca="1" si="92"/>
        <v>22779.33920624516</v>
      </c>
      <c r="S57" s="19">
        <f t="shared" ca="1" si="92"/>
        <v>1359.8423738362067</v>
      </c>
      <c r="T57" s="19">
        <f t="shared" ca="1" si="92"/>
        <v>18578.130233531261</v>
      </c>
      <c r="U57" s="19">
        <f t="shared" ca="1" si="92"/>
        <v>0</v>
      </c>
      <c r="V57" s="21"/>
      <c r="W57" s="21"/>
      <c r="X57" s="21"/>
      <c r="Y57" s="19">
        <f t="shared" ca="1" si="93"/>
        <v>12815.326706713031</v>
      </c>
      <c r="Z57" s="19">
        <f t="shared" ca="1" si="93"/>
        <v>19222.990060069547</v>
      </c>
      <c r="AA57" s="19">
        <f t="shared" ca="1" si="93"/>
        <v>3977.0998666934115</v>
      </c>
      <c r="AB57" s="19">
        <f t="shared" ca="1" si="93"/>
        <v>2852.4154981146094</v>
      </c>
      <c r="AC57" s="19">
        <f t="shared" ca="1" si="93"/>
        <v>4514.0331817278811</v>
      </c>
      <c r="AD57" s="19">
        <f t="shared" ca="1" si="93"/>
        <v>11667.097745688652</v>
      </c>
      <c r="AE57" s="19">
        <f t="shared" ca="1" si="93"/>
        <v>1359.8423738362067</v>
      </c>
      <c r="AF57" s="19">
        <f t="shared" ca="1" si="93"/>
        <v>9160.0053361024766</v>
      </c>
      <c r="AG57" s="19">
        <f t="shared" ca="1" si="93"/>
        <v>0</v>
      </c>
      <c r="AH57" s="21"/>
      <c r="AI57" s="21"/>
      <c r="AJ57" s="19">
        <f t="shared" ca="1" si="94"/>
        <v>10779.43565917661</v>
      </c>
      <c r="AK57" s="19">
        <f t="shared" ca="1" si="94"/>
        <v>16169.15348876491</v>
      </c>
      <c r="AL57" s="19">
        <f t="shared" ca="1" si="94"/>
        <v>4532.0281316251403</v>
      </c>
      <c r="AM57" s="19">
        <f t="shared" ca="1" si="94"/>
        <v>0</v>
      </c>
      <c r="AN57" s="19">
        <f t="shared" ca="1" si="94"/>
        <v>0</v>
      </c>
      <c r="AO57" s="19">
        <f t="shared" ca="1" si="94"/>
        <v>11112.241460556508</v>
      </c>
      <c r="AP57" s="19">
        <f t="shared" ca="1" si="94"/>
        <v>0</v>
      </c>
      <c r="AQ57" s="19">
        <f t="shared" ca="1" si="94"/>
        <v>5153.6816707759135</v>
      </c>
      <c r="AR57" s="19">
        <f t="shared" ca="1" si="94"/>
        <v>0</v>
      </c>
      <c r="AS57" s="21"/>
      <c r="AT57" s="21"/>
      <c r="AU57" s="19">
        <f t="shared" ca="1" si="95"/>
        <v>12383.620660697783</v>
      </c>
      <c r="AV57" s="19">
        <f t="shared" ca="1" si="95"/>
        <v>18575.430991046669</v>
      </c>
      <c r="AW57" s="19">
        <f t="shared" ca="1" si="95"/>
        <v>1461.1539417577851</v>
      </c>
      <c r="AX57" s="19">
        <f t="shared" ca="1" si="95"/>
        <v>0</v>
      </c>
      <c r="AY57" s="19">
        <f t="shared" ca="1" si="95"/>
        <v>0</v>
      </c>
      <c r="AZ57" s="19">
        <f t="shared" ca="1" si="95"/>
        <v>0</v>
      </c>
      <c r="BA57" s="19">
        <f t="shared" ca="1" si="95"/>
        <v>0</v>
      </c>
      <c r="BB57" s="19">
        <f t="shared" ca="1" si="95"/>
        <v>4264.443226652872</v>
      </c>
      <c r="BC57" s="19">
        <f t="shared" ca="1" si="95"/>
        <v>0</v>
      </c>
    </row>
    <row r="58" spans="1:55" ht="15.75">
      <c r="A58" s="21"/>
      <c r="B58" s="15" t="s">
        <v>420</v>
      </c>
      <c r="C58" s="15"/>
      <c r="D58" s="930">
        <v>2.5000000000000001E-3</v>
      </c>
      <c r="E58" s="49">
        <v>0.25</v>
      </c>
      <c r="F58" s="929">
        <f t="shared" ca="1" si="90"/>
        <v>0.47447294221036723</v>
      </c>
      <c r="G58" s="13">
        <f ca="1">D58*SUM('S&amp;U'!$G$17:$G$18)</f>
        <v>1514471.8403737561</v>
      </c>
      <c r="H58" s="16">
        <f t="shared" ca="1" si="100"/>
        <v>864426.59580597514</v>
      </c>
      <c r="I58" s="16">
        <f ca="1">+$G58*I$21</f>
        <v>482071.93951716169</v>
      </c>
      <c r="J58" s="16">
        <f t="shared" ca="1" si="100"/>
        <v>483632.16788679617</v>
      </c>
      <c r="K58" s="16"/>
      <c r="L58" s="16"/>
      <c r="M58" s="19">
        <f t="shared" ca="1" si="92"/>
        <v>510995.51408880902</v>
      </c>
      <c r="N58" s="19">
        <f t="shared" ca="1" si="92"/>
        <v>766493.27113321342</v>
      </c>
      <c r="O58" s="19">
        <f t="shared" ca="1" si="92"/>
        <v>118720.88517028111</v>
      </c>
      <c r="P58" s="19">
        <f t="shared" ca="1" si="92"/>
        <v>32876.421775423383</v>
      </c>
      <c r="Q58" s="19">
        <f t="shared" ca="1" si="92"/>
        <v>52027.924714627014</v>
      </c>
      <c r="R58" s="19">
        <f t="shared" ca="1" si="92"/>
        <v>236785.35750874964</v>
      </c>
      <c r="S58" s="19">
        <f t="shared" ca="1" si="92"/>
        <v>15673.295654115742</v>
      </c>
      <c r="T58" s="19">
        <f t="shared" ca="1" si="92"/>
        <v>243952.73952506881</v>
      </c>
      <c r="U58" s="19">
        <f t="shared" ca="1" si="92"/>
        <v>0</v>
      </c>
      <c r="V58" s="21"/>
      <c r="W58" s="21"/>
      <c r="X58" s="16"/>
      <c r="Y58" s="19">
        <f t="shared" ca="1" si="93"/>
        <v>147707.12270993856</v>
      </c>
      <c r="Z58" s="19">
        <f t="shared" ca="1" si="93"/>
        <v>221560.68406490787</v>
      </c>
      <c r="AA58" s="19">
        <f t="shared" ca="1" si="93"/>
        <v>45839.329069281026</v>
      </c>
      <c r="AB58" s="19">
        <f t="shared" ca="1" si="93"/>
        <v>32876.421775423383</v>
      </c>
      <c r="AC58" s="19">
        <f t="shared" ca="1" si="93"/>
        <v>52027.924714627014</v>
      </c>
      <c r="AD58" s="19">
        <f t="shared" ca="1" si="93"/>
        <v>134472.84472962838</v>
      </c>
      <c r="AE58" s="19">
        <f t="shared" ca="1" si="93"/>
        <v>15673.295654115742</v>
      </c>
      <c r="AF58" s="19">
        <f t="shared" ca="1" si="93"/>
        <v>105576.55400971105</v>
      </c>
      <c r="AG58" s="19">
        <f t="shared" ca="1" si="93"/>
        <v>0</v>
      </c>
      <c r="AH58" s="21"/>
      <c r="AI58" s="16"/>
      <c r="AJ58" s="19">
        <f t="shared" ca="1" si="94"/>
        <v>99248.306702650574</v>
      </c>
      <c r="AK58" s="19">
        <f t="shared" ca="1" si="94"/>
        <v>148872.46005397581</v>
      </c>
      <c r="AL58" s="19">
        <f t="shared" ca="1" si="94"/>
        <v>41727.241779086806</v>
      </c>
      <c r="AM58" s="19">
        <f t="shared" ca="1" si="94"/>
        <v>0</v>
      </c>
      <c r="AN58" s="19">
        <f t="shared" ca="1" si="94"/>
        <v>0</v>
      </c>
      <c r="AO58" s="19">
        <f t="shared" ca="1" si="94"/>
        <v>102312.51277912124</v>
      </c>
      <c r="AP58" s="19">
        <f t="shared" ca="1" si="94"/>
        <v>0</v>
      </c>
      <c r="AQ58" s="19">
        <f t="shared" ca="1" si="94"/>
        <v>47450.923710793511</v>
      </c>
      <c r="AR58" s="19">
        <f t="shared" ca="1" si="94"/>
        <v>0</v>
      </c>
      <c r="AS58" s="21"/>
      <c r="AT58" s="16"/>
      <c r="AU58" s="19">
        <f t="shared" ca="1" si="95"/>
        <v>264040.08467621991</v>
      </c>
      <c r="AV58" s="19">
        <f t="shared" ca="1" si="95"/>
        <v>396060.12701432977</v>
      </c>
      <c r="AW58" s="19">
        <f t="shared" ca="1" si="95"/>
        <v>31154.314321913276</v>
      </c>
      <c r="AX58" s="19">
        <f t="shared" ca="1" si="95"/>
        <v>0</v>
      </c>
      <c r="AY58" s="19">
        <f t="shared" ca="1" si="95"/>
        <v>0</v>
      </c>
      <c r="AZ58" s="19">
        <f t="shared" ca="1" si="95"/>
        <v>0</v>
      </c>
      <c r="BA58" s="19">
        <f t="shared" ca="1" si="95"/>
        <v>0</v>
      </c>
      <c r="BB58" s="19">
        <f t="shared" ca="1" si="95"/>
        <v>90925.261804564245</v>
      </c>
      <c r="BC58" s="19">
        <f t="shared" ca="1" si="95"/>
        <v>0</v>
      </c>
    </row>
    <row r="59" spans="1:55" ht="15.75">
      <c r="A59" s="21"/>
      <c r="B59" s="15" t="s">
        <v>421</v>
      </c>
      <c r="C59" s="15"/>
      <c r="D59" s="21"/>
      <c r="E59" s="49">
        <v>0.25</v>
      </c>
      <c r="F59" s="929">
        <f t="shared" ca="1" si="90"/>
        <v>4.7986533059362221E-2</v>
      </c>
      <c r="G59" s="26">
        <v>200000</v>
      </c>
      <c r="H59" s="16">
        <f t="shared" ca="1" si="100"/>
        <v>87425.081025261083</v>
      </c>
      <c r="I59" s="16">
        <f t="shared" ca="1" si="100"/>
        <v>63662.053881198779</v>
      </c>
      <c r="J59" s="16">
        <f t="shared" ca="1" si="100"/>
        <v>48912.865093540146</v>
      </c>
      <c r="K59" s="21"/>
      <c r="M59" s="19">
        <f t="shared" ca="1" si="92"/>
        <v>47971.177368783232</v>
      </c>
      <c r="N59" s="19">
        <f t="shared" ca="1" si="92"/>
        <v>71956.766053174826</v>
      </c>
      <c r="O59" s="19">
        <f t="shared" ca="1" si="92"/>
        <v>13293.709253435118</v>
      </c>
      <c r="P59" s="19">
        <f t="shared" ca="1" si="92"/>
        <v>3803.2206641528123</v>
      </c>
      <c r="Q59" s="19">
        <f t="shared" ca="1" si="92"/>
        <v>6018.7109089705082</v>
      </c>
      <c r="R59" s="19">
        <f t="shared" ca="1" si="92"/>
        <v>30372.45227499355</v>
      </c>
      <c r="S59" s="19">
        <f t="shared" ca="1" si="92"/>
        <v>1813.1231651149421</v>
      </c>
      <c r="T59" s="19">
        <f t="shared" ca="1" si="92"/>
        <v>24770.840311375014</v>
      </c>
      <c r="U59" s="19">
        <f t="shared" ca="1" si="92"/>
        <v>0</v>
      </c>
      <c r="V59" s="21"/>
      <c r="W59" s="21"/>
      <c r="X59" s="21"/>
      <c r="Y59" s="19">
        <f t="shared" ca="1" si="93"/>
        <v>17087.102275617373</v>
      </c>
      <c r="Z59" s="19">
        <f t="shared" ca="1" si="93"/>
        <v>25630.653413426062</v>
      </c>
      <c r="AA59" s="19">
        <f t="shared" ca="1" si="93"/>
        <v>5302.7998222578826</v>
      </c>
      <c r="AB59" s="19">
        <f t="shared" ca="1" si="93"/>
        <v>3803.2206641528123</v>
      </c>
      <c r="AC59" s="19">
        <f t="shared" ca="1" si="93"/>
        <v>6018.7109089705082</v>
      </c>
      <c r="AD59" s="19">
        <f t="shared" ca="1" si="93"/>
        <v>15556.13032758487</v>
      </c>
      <c r="AE59" s="19">
        <f t="shared" ca="1" si="93"/>
        <v>1813.1231651149421</v>
      </c>
      <c r="AF59" s="19">
        <f t="shared" ca="1" si="93"/>
        <v>12213.340448136636</v>
      </c>
      <c r="AG59" s="19">
        <f t="shared" ca="1" si="93"/>
        <v>0</v>
      </c>
      <c r="AH59" s="21"/>
      <c r="AI59" s="21"/>
      <c r="AJ59" s="19">
        <f t="shared" ca="1" si="94"/>
        <v>14372.580878902147</v>
      </c>
      <c r="AK59" s="19">
        <f t="shared" ca="1" si="94"/>
        <v>21558.871318353213</v>
      </c>
      <c r="AL59" s="19">
        <f t="shared" ca="1" si="94"/>
        <v>6042.7041755001874</v>
      </c>
      <c r="AM59" s="19">
        <f t="shared" ca="1" si="94"/>
        <v>0</v>
      </c>
      <c r="AN59" s="19">
        <f t="shared" ca="1" si="94"/>
        <v>0</v>
      </c>
      <c r="AO59" s="19">
        <f t="shared" ca="1" si="94"/>
        <v>14816.321947408678</v>
      </c>
      <c r="AP59" s="19">
        <f t="shared" ca="1" si="94"/>
        <v>0</v>
      </c>
      <c r="AQ59" s="19">
        <f t="shared" ca="1" si="94"/>
        <v>6871.5755610345504</v>
      </c>
      <c r="AR59" s="19">
        <f t="shared" ca="1" si="94"/>
        <v>0</v>
      </c>
      <c r="AS59" s="21"/>
      <c r="AT59" s="21"/>
      <c r="AU59" s="19">
        <f t="shared" ca="1" si="95"/>
        <v>16511.494214263708</v>
      </c>
      <c r="AV59" s="19">
        <f t="shared" ca="1" si="95"/>
        <v>24767.241321395559</v>
      </c>
      <c r="AW59" s="19">
        <f t="shared" ca="1" si="95"/>
        <v>1948.2052556770468</v>
      </c>
      <c r="AX59" s="19">
        <f t="shared" ca="1" si="95"/>
        <v>0</v>
      </c>
      <c r="AY59" s="19">
        <f t="shared" ca="1" si="95"/>
        <v>0</v>
      </c>
      <c r="AZ59" s="19">
        <f t="shared" ca="1" si="95"/>
        <v>0</v>
      </c>
      <c r="BA59" s="19">
        <f t="shared" ca="1" si="95"/>
        <v>0</v>
      </c>
      <c r="BB59" s="19">
        <f t="shared" ca="1" si="95"/>
        <v>5685.924302203829</v>
      </c>
      <c r="BC59" s="19">
        <f t="shared" ca="1" si="95"/>
        <v>0</v>
      </c>
    </row>
    <row r="60" spans="1:55" ht="15.75">
      <c r="A60" s="21"/>
      <c r="B60" s="15" t="s">
        <v>422</v>
      </c>
      <c r="C60" s="15"/>
      <c r="D60" s="21"/>
      <c r="E60" s="49">
        <v>0</v>
      </c>
      <c r="F60" s="929">
        <f t="shared" ca="1" si="90"/>
        <v>4.7986533059362221E-2</v>
      </c>
      <c r="G60" s="26">
        <v>200000</v>
      </c>
      <c r="H60" s="16">
        <f t="shared" ca="1" si="100"/>
        <v>87425.081025261083</v>
      </c>
      <c r="I60" s="16">
        <f t="shared" ca="1" si="100"/>
        <v>63662.053881198779</v>
      </c>
      <c r="J60" s="16">
        <f t="shared" ca="1" si="100"/>
        <v>48912.865093540146</v>
      </c>
      <c r="K60" s="21"/>
      <c r="M60" s="19">
        <f t="shared" ca="1" si="92"/>
        <v>47971.177368783232</v>
      </c>
      <c r="N60" s="19">
        <f t="shared" ca="1" si="92"/>
        <v>71956.766053174826</v>
      </c>
      <c r="O60" s="19">
        <f t="shared" ca="1" si="92"/>
        <v>13293.709253435118</v>
      </c>
      <c r="P60" s="19">
        <f t="shared" ca="1" si="92"/>
        <v>3803.2206641528123</v>
      </c>
      <c r="Q60" s="19">
        <f t="shared" ca="1" si="92"/>
        <v>6018.7109089705082</v>
      </c>
      <c r="R60" s="19">
        <f t="shared" ca="1" si="92"/>
        <v>30372.45227499355</v>
      </c>
      <c r="S60" s="19">
        <f t="shared" ca="1" si="92"/>
        <v>1813.1231651149421</v>
      </c>
      <c r="T60" s="19">
        <f t="shared" ca="1" si="92"/>
        <v>24770.840311375014</v>
      </c>
      <c r="U60" s="19">
        <f t="shared" ca="1" si="92"/>
        <v>0</v>
      </c>
      <c r="V60" s="21"/>
      <c r="W60" s="21"/>
      <c r="X60" s="21"/>
      <c r="Y60" s="19">
        <f t="shared" ca="1" si="93"/>
        <v>17087.102275617373</v>
      </c>
      <c r="Z60" s="19">
        <f t="shared" ca="1" si="93"/>
        <v>25630.653413426062</v>
      </c>
      <c r="AA60" s="19">
        <f t="shared" ca="1" si="93"/>
        <v>5302.7998222578826</v>
      </c>
      <c r="AB60" s="19">
        <f t="shared" ca="1" si="93"/>
        <v>3803.2206641528123</v>
      </c>
      <c r="AC60" s="19">
        <f t="shared" ca="1" si="93"/>
        <v>6018.7109089705082</v>
      </c>
      <c r="AD60" s="19">
        <f t="shared" ca="1" si="93"/>
        <v>15556.13032758487</v>
      </c>
      <c r="AE60" s="19">
        <f t="shared" ca="1" si="93"/>
        <v>1813.1231651149421</v>
      </c>
      <c r="AF60" s="19">
        <f t="shared" ca="1" si="93"/>
        <v>12213.340448136636</v>
      </c>
      <c r="AG60" s="19">
        <f t="shared" ca="1" si="93"/>
        <v>0</v>
      </c>
      <c r="AH60" s="21"/>
      <c r="AI60" s="21"/>
      <c r="AJ60" s="19">
        <f t="shared" ca="1" si="94"/>
        <v>14372.580878902147</v>
      </c>
      <c r="AK60" s="19">
        <f t="shared" ca="1" si="94"/>
        <v>21558.871318353213</v>
      </c>
      <c r="AL60" s="19">
        <f t="shared" ca="1" si="94"/>
        <v>6042.7041755001874</v>
      </c>
      <c r="AM60" s="19">
        <f t="shared" ca="1" si="94"/>
        <v>0</v>
      </c>
      <c r="AN60" s="19">
        <f t="shared" ca="1" si="94"/>
        <v>0</v>
      </c>
      <c r="AO60" s="19">
        <f t="shared" ca="1" si="94"/>
        <v>14816.321947408678</v>
      </c>
      <c r="AP60" s="19">
        <f t="shared" ca="1" si="94"/>
        <v>0</v>
      </c>
      <c r="AQ60" s="19">
        <f t="shared" ca="1" si="94"/>
        <v>6871.5755610345504</v>
      </c>
      <c r="AR60" s="19">
        <f t="shared" ca="1" si="94"/>
        <v>0</v>
      </c>
      <c r="AS60" s="21"/>
      <c r="AT60" s="21"/>
      <c r="AU60" s="19">
        <f t="shared" ca="1" si="95"/>
        <v>16511.494214263708</v>
      </c>
      <c r="AV60" s="19">
        <f t="shared" ca="1" si="95"/>
        <v>24767.241321395559</v>
      </c>
      <c r="AW60" s="19">
        <f t="shared" ca="1" si="95"/>
        <v>1948.2052556770468</v>
      </c>
      <c r="AX60" s="19">
        <f t="shared" ca="1" si="95"/>
        <v>0</v>
      </c>
      <c r="AY60" s="19">
        <f t="shared" ca="1" si="95"/>
        <v>0</v>
      </c>
      <c r="AZ60" s="19">
        <f t="shared" ca="1" si="95"/>
        <v>0</v>
      </c>
      <c r="BA60" s="19">
        <f t="shared" ca="1" si="95"/>
        <v>0</v>
      </c>
      <c r="BB60" s="19">
        <f t="shared" ca="1" si="95"/>
        <v>5685.924302203829</v>
      </c>
      <c r="BC60" s="19">
        <f t="shared" ca="1" si="95"/>
        <v>0</v>
      </c>
    </row>
    <row r="61" spans="1:55" ht="15.75">
      <c r="A61" s="21"/>
      <c r="B61" s="15" t="s">
        <v>423</v>
      </c>
      <c r="C61" s="15"/>
      <c r="D61" s="21"/>
      <c r="E61" s="49">
        <v>0</v>
      </c>
      <c r="F61" s="929">
        <f t="shared" ca="1" si="90"/>
        <v>4.7986533059362221E-2</v>
      </c>
      <c r="G61" s="26">
        <v>200000</v>
      </c>
      <c r="H61" s="16">
        <f t="shared" ca="1" si="100"/>
        <v>87425.081025261083</v>
      </c>
      <c r="I61" s="16">
        <f t="shared" ca="1" si="100"/>
        <v>63662.053881198779</v>
      </c>
      <c r="J61" s="16">
        <f t="shared" ca="1" si="100"/>
        <v>48912.865093540146</v>
      </c>
      <c r="K61" s="21"/>
      <c r="M61" s="19">
        <f t="shared" ca="1" si="92"/>
        <v>47971.177368783232</v>
      </c>
      <c r="N61" s="19">
        <f t="shared" ca="1" si="92"/>
        <v>71956.766053174826</v>
      </c>
      <c r="O61" s="19">
        <f t="shared" ca="1" si="92"/>
        <v>13293.709253435118</v>
      </c>
      <c r="P61" s="19">
        <f t="shared" ca="1" si="92"/>
        <v>3803.2206641528123</v>
      </c>
      <c r="Q61" s="19">
        <f t="shared" ca="1" si="92"/>
        <v>6018.7109089705082</v>
      </c>
      <c r="R61" s="19">
        <f t="shared" ca="1" si="92"/>
        <v>30372.45227499355</v>
      </c>
      <c r="S61" s="19">
        <f t="shared" ca="1" si="92"/>
        <v>1813.1231651149421</v>
      </c>
      <c r="T61" s="19">
        <f t="shared" ca="1" si="92"/>
        <v>24770.840311375014</v>
      </c>
      <c r="U61" s="19">
        <f t="shared" ca="1" si="92"/>
        <v>0</v>
      </c>
      <c r="V61" s="21"/>
      <c r="W61" s="21"/>
      <c r="X61" s="21"/>
      <c r="Y61" s="19">
        <f t="shared" ca="1" si="93"/>
        <v>17087.102275617373</v>
      </c>
      <c r="Z61" s="19">
        <f t="shared" ca="1" si="93"/>
        <v>25630.653413426062</v>
      </c>
      <c r="AA61" s="19">
        <f t="shared" ca="1" si="93"/>
        <v>5302.7998222578826</v>
      </c>
      <c r="AB61" s="19">
        <f t="shared" ca="1" si="93"/>
        <v>3803.2206641528123</v>
      </c>
      <c r="AC61" s="19">
        <f t="shared" ca="1" si="93"/>
        <v>6018.7109089705082</v>
      </c>
      <c r="AD61" s="19">
        <f t="shared" ca="1" si="93"/>
        <v>15556.13032758487</v>
      </c>
      <c r="AE61" s="19">
        <f t="shared" ca="1" si="93"/>
        <v>1813.1231651149421</v>
      </c>
      <c r="AF61" s="19">
        <f t="shared" ca="1" si="93"/>
        <v>12213.340448136636</v>
      </c>
      <c r="AG61" s="19">
        <f t="shared" ca="1" si="93"/>
        <v>0</v>
      </c>
      <c r="AH61" s="21"/>
      <c r="AI61" s="21"/>
      <c r="AJ61" s="19">
        <f t="shared" ca="1" si="94"/>
        <v>14372.580878902147</v>
      </c>
      <c r="AK61" s="19">
        <f t="shared" ca="1" si="94"/>
        <v>21558.871318353213</v>
      </c>
      <c r="AL61" s="19">
        <f t="shared" ca="1" si="94"/>
        <v>6042.7041755001874</v>
      </c>
      <c r="AM61" s="19">
        <f t="shared" ca="1" si="94"/>
        <v>0</v>
      </c>
      <c r="AN61" s="19">
        <f t="shared" ca="1" si="94"/>
        <v>0</v>
      </c>
      <c r="AO61" s="19">
        <f t="shared" ca="1" si="94"/>
        <v>14816.321947408678</v>
      </c>
      <c r="AP61" s="19">
        <f t="shared" ca="1" si="94"/>
        <v>0</v>
      </c>
      <c r="AQ61" s="19">
        <f t="shared" ca="1" si="94"/>
        <v>6871.5755610345504</v>
      </c>
      <c r="AR61" s="19">
        <f t="shared" ca="1" si="94"/>
        <v>0</v>
      </c>
      <c r="AS61" s="21"/>
      <c r="AT61" s="21"/>
      <c r="AU61" s="19">
        <f t="shared" ca="1" si="95"/>
        <v>16511.494214263708</v>
      </c>
      <c r="AV61" s="19">
        <f t="shared" ca="1" si="95"/>
        <v>24767.241321395559</v>
      </c>
      <c r="AW61" s="19">
        <f t="shared" ca="1" si="95"/>
        <v>1948.2052556770468</v>
      </c>
      <c r="AX61" s="19">
        <f t="shared" ca="1" si="95"/>
        <v>0</v>
      </c>
      <c r="AY61" s="19">
        <f t="shared" ca="1" si="95"/>
        <v>0</v>
      </c>
      <c r="AZ61" s="19">
        <f t="shared" ca="1" si="95"/>
        <v>0</v>
      </c>
      <c r="BA61" s="19">
        <f t="shared" ca="1" si="95"/>
        <v>0</v>
      </c>
      <c r="BB61" s="19">
        <f t="shared" ca="1" si="95"/>
        <v>5685.924302203829</v>
      </c>
      <c r="BC61" s="19">
        <f t="shared" ca="1" si="95"/>
        <v>0</v>
      </c>
    </row>
    <row r="62" spans="1:55" ht="15.75">
      <c r="A62" s="21"/>
      <c r="B62" s="15" t="s">
        <v>424</v>
      </c>
      <c r="C62" s="15"/>
      <c r="D62" s="931">
        <v>5.7000000000000002E-2</v>
      </c>
      <c r="E62" s="49">
        <v>0</v>
      </c>
      <c r="F62" s="929">
        <f t="shared" ca="1" si="90"/>
        <v>5.7000000000000002E-2</v>
      </c>
      <c r="G62" s="13">
        <f ca="1">$D$62*$G$10</f>
        <v>237566.652</v>
      </c>
      <c r="H62" s="16">
        <f t="shared" ca="1" si="100"/>
        <v>103846.41900000001</v>
      </c>
      <c r="I62" s="16">
        <f t="shared" ca="1" si="100"/>
        <v>75619.904999999999</v>
      </c>
      <c r="J62" s="16">
        <f t="shared" ca="1" si="100"/>
        <v>58100.328000000001</v>
      </c>
      <c r="K62" s="21"/>
      <c r="M62" s="19">
        <f t="shared" ca="1" si="92"/>
        <v>56981.760000000009</v>
      </c>
      <c r="N62" s="19">
        <f t="shared" ca="1" si="92"/>
        <v>85472.639999999999</v>
      </c>
      <c r="O62" s="19">
        <f t="shared" ca="1" si="92"/>
        <v>15790.71</v>
      </c>
      <c r="P62" s="19">
        <f t="shared" ca="1" si="92"/>
        <v>4517.5920000000006</v>
      </c>
      <c r="Q62" s="19">
        <f t="shared" ca="1" si="92"/>
        <v>7149.2250000000013</v>
      </c>
      <c r="R62" s="19">
        <f t="shared" ca="1" si="92"/>
        <v>36077.409</v>
      </c>
      <c r="S62" s="19">
        <f t="shared" ca="1" si="92"/>
        <v>2153.6880000000001</v>
      </c>
      <c r="T62" s="19">
        <f t="shared" ca="1" si="92"/>
        <v>29423.628000000001</v>
      </c>
      <c r="U62" s="19">
        <f t="shared" ca="1" si="92"/>
        <v>0</v>
      </c>
      <c r="V62" s="21"/>
      <c r="W62" s="21"/>
      <c r="X62" s="21"/>
      <c r="Y62" s="19">
        <f t="shared" ca="1" si="93"/>
        <v>20296.628400000001</v>
      </c>
      <c r="Z62" s="19">
        <f t="shared" ca="1" si="93"/>
        <v>30444.942600000006</v>
      </c>
      <c r="AA62" s="19">
        <f t="shared" ca="1" si="93"/>
        <v>6298.8420000000006</v>
      </c>
      <c r="AB62" s="19">
        <f t="shared" ca="1" si="93"/>
        <v>4517.5920000000006</v>
      </c>
      <c r="AC62" s="19">
        <f t="shared" ca="1" si="93"/>
        <v>7149.2250000000013</v>
      </c>
      <c r="AD62" s="19">
        <f t="shared" ca="1" si="93"/>
        <v>18478.089000000004</v>
      </c>
      <c r="AE62" s="19">
        <f t="shared" ca="1" si="93"/>
        <v>2153.6880000000001</v>
      </c>
      <c r="AF62" s="19">
        <f t="shared" ca="1" si="93"/>
        <v>14507.412</v>
      </c>
      <c r="AG62" s="19">
        <f t="shared" ca="1" si="93"/>
        <v>0</v>
      </c>
      <c r="AH62" s="21"/>
      <c r="AI62" s="21"/>
      <c r="AJ62" s="19">
        <f t="shared" ca="1" si="94"/>
        <v>17072.229600000002</v>
      </c>
      <c r="AK62" s="19">
        <f t="shared" ca="1" si="94"/>
        <v>25608.344399999994</v>
      </c>
      <c r="AL62" s="19">
        <f t="shared" ca="1" si="94"/>
        <v>7177.7249999999995</v>
      </c>
      <c r="AM62" s="19">
        <f t="shared" ca="1" si="94"/>
        <v>0</v>
      </c>
      <c r="AN62" s="19">
        <f t="shared" ca="1" si="94"/>
        <v>0</v>
      </c>
      <c r="AO62" s="19">
        <f t="shared" ca="1" si="94"/>
        <v>17599.32</v>
      </c>
      <c r="AP62" s="19">
        <f t="shared" ca="1" si="94"/>
        <v>0</v>
      </c>
      <c r="AQ62" s="19">
        <f t="shared" ca="1" si="94"/>
        <v>8162.2859999999991</v>
      </c>
      <c r="AR62" s="19">
        <f t="shared" ca="1" si="94"/>
        <v>0</v>
      </c>
      <c r="AS62" s="21"/>
      <c r="AT62" s="21"/>
      <c r="AU62" s="19">
        <f t="shared" ca="1" si="95"/>
        <v>19612.902000000002</v>
      </c>
      <c r="AV62" s="19">
        <f t="shared" ca="1" si="95"/>
        <v>29419.352999999999</v>
      </c>
      <c r="AW62" s="19">
        <f t="shared" ca="1" si="95"/>
        <v>2314.143</v>
      </c>
      <c r="AX62" s="19">
        <f t="shared" ca="1" si="95"/>
        <v>0</v>
      </c>
      <c r="AY62" s="19">
        <f t="shared" ca="1" si="95"/>
        <v>0</v>
      </c>
      <c r="AZ62" s="19">
        <f t="shared" ca="1" si="95"/>
        <v>0</v>
      </c>
      <c r="BA62" s="19">
        <f t="shared" ca="1" si="95"/>
        <v>0</v>
      </c>
      <c r="BB62" s="19">
        <f t="shared" ca="1" si="95"/>
        <v>6753.93</v>
      </c>
      <c r="BC62" s="19">
        <f t="shared" ca="1" si="95"/>
        <v>0</v>
      </c>
    </row>
    <row r="63" spans="1:55" ht="15.75">
      <c r="A63" s="21"/>
      <c r="B63" s="15" t="s">
        <v>425</v>
      </c>
      <c r="C63" s="15"/>
      <c r="D63" s="53">
        <v>0.05</v>
      </c>
      <c r="E63" s="49">
        <v>0.25</v>
      </c>
      <c r="F63" s="929">
        <f ca="1">+G63/$G$10</f>
        <v>3.4760024862818892</v>
      </c>
      <c r="G63" s="26">
        <f ca="1">SUM(H63:J63)</f>
        <v>14487408.298415164</v>
      </c>
      <c r="H63" s="16">
        <f ca="1">SUM(H49:H62)*0.25</f>
        <v>6244654.6508315587</v>
      </c>
      <c r="I63" s="16">
        <f ca="1">SUM(I49:I62)*0.25</f>
        <v>4519281.5385997854</v>
      </c>
      <c r="J63" s="16">
        <f ca="1">SUM(J49:J62)*0.25</f>
        <v>3723472.1089838198</v>
      </c>
      <c r="K63" s="16"/>
      <c r="L63" s="16"/>
      <c r="M63" s="19">
        <f t="shared" ca="1" si="92"/>
        <v>3497729.0353185744</v>
      </c>
      <c r="N63" s="19">
        <f t="shared" ca="1" si="92"/>
        <v>5246593.5529778618</v>
      </c>
      <c r="O63" s="19">
        <f t="shared" ca="1" si="92"/>
        <v>956041.36703089555</v>
      </c>
      <c r="P63" s="19">
        <f t="shared" ca="1" si="92"/>
        <v>271658.88015223172</v>
      </c>
      <c r="Q63" s="19">
        <f t="shared" ca="1" si="92"/>
        <v>429908.33555937308</v>
      </c>
      <c r="R63" s="19">
        <f t="shared" ca="1" si="92"/>
        <v>2162943.5270660119</v>
      </c>
      <c r="S63" s="19">
        <f t="shared" ca="1" si="92"/>
        <v>129508.92207116085</v>
      </c>
      <c r="T63" s="19">
        <f t="shared" ca="1" si="92"/>
        <v>1793024.6782390554</v>
      </c>
      <c r="U63" s="19">
        <f t="shared" ca="1" si="92"/>
        <v>0</v>
      </c>
      <c r="V63" s="21"/>
      <c r="W63" s="21"/>
      <c r="X63" s="16"/>
      <c r="Y63" s="19">
        <f t="shared" ca="1" si="93"/>
        <v>1220508.4792982596</v>
      </c>
      <c r="Z63" s="19">
        <f t="shared" ca="1" si="93"/>
        <v>1830762.7189473896</v>
      </c>
      <c r="AA63" s="19">
        <f t="shared" ca="1" si="93"/>
        <v>378771.78018197388</v>
      </c>
      <c r="AB63" s="19">
        <f t="shared" ca="1" si="93"/>
        <v>271658.88015223172</v>
      </c>
      <c r="AC63" s="19">
        <f t="shared" ca="1" si="93"/>
        <v>429908.33555937308</v>
      </c>
      <c r="AD63" s="19">
        <f t="shared" ca="1" si="93"/>
        <v>1111153.2349741349</v>
      </c>
      <c r="AE63" s="19">
        <f t="shared" ca="1" si="93"/>
        <v>129508.92207116085</v>
      </c>
      <c r="AF63" s="19">
        <f t="shared" ca="1" si="93"/>
        <v>872382.29964703519</v>
      </c>
      <c r="AG63" s="19">
        <f t="shared" ca="1" si="93"/>
        <v>0</v>
      </c>
      <c r="AH63" s="21"/>
      <c r="AI63" s="16"/>
      <c r="AJ63" s="19">
        <f ca="1">+$H63*AJ$5+$I63*AJ$6+$J63*AJ$7</f>
        <v>1020289.7246963853</v>
      </c>
      <c r="AK63" s="19">
        <f t="shared" ca="1" si="94"/>
        <v>1530434.5870445776</v>
      </c>
      <c r="AL63" s="19">
        <f t="shared" ca="1" si="94"/>
        <v>428963.24825647613</v>
      </c>
      <c r="AM63" s="19">
        <f t="shared" ca="1" si="94"/>
        <v>0</v>
      </c>
      <c r="AN63" s="19">
        <f t="shared" ca="1" si="94"/>
        <v>0</v>
      </c>
      <c r="AO63" s="19">
        <f t="shared" ca="1" si="94"/>
        <v>1051790.2920918767</v>
      </c>
      <c r="AP63" s="19">
        <f t="shared" ca="1" si="94"/>
        <v>0</v>
      </c>
      <c r="AQ63" s="19">
        <f t="shared" ca="1" si="94"/>
        <v>487803.68651046953</v>
      </c>
      <c r="AR63" s="19">
        <f t="shared" ca="1" si="94"/>
        <v>0</v>
      </c>
      <c r="AS63" s="21"/>
      <c r="AT63" s="16"/>
      <c r="AU63" s="19">
        <f t="shared" ca="1" si="95"/>
        <v>1256930.8313239296</v>
      </c>
      <c r="AV63" s="19">
        <f t="shared" ca="1" si="95"/>
        <v>1885396.2469858942</v>
      </c>
      <c r="AW63" s="19">
        <f t="shared" ca="1" si="95"/>
        <v>148306.33859244554</v>
      </c>
      <c r="AX63" s="19">
        <f t="shared" ca="1" si="95"/>
        <v>0</v>
      </c>
      <c r="AY63" s="19">
        <f t="shared" ca="1" si="95"/>
        <v>0</v>
      </c>
      <c r="AZ63" s="19">
        <f t="shared" ca="1" si="95"/>
        <v>0</v>
      </c>
      <c r="BA63" s="19">
        <f t="shared" ca="1" si="95"/>
        <v>0</v>
      </c>
      <c r="BB63" s="19">
        <f t="shared" ca="1" si="95"/>
        <v>432838.69208155054</v>
      </c>
      <c r="BC63" s="19">
        <f t="shared" ca="1" si="95"/>
        <v>0</v>
      </c>
    </row>
    <row r="64" spans="1:55" ht="15.75">
      <c r="A64" s="21"/>
      <c r="B64" s="17" t="s">
        <v>426</v>
      </c>
      <c r="C64" s="17"/>
      <c r="D64" s="17"/>
      <c r="E64" s="17"/>
      <c r="F64" s="932">
        <f ca="1">+G64/$G$10</f>
        <v>17.380012431409448</v>
      </c>
      <c r="G64" s="18">
        <f ca="1">+SUM(G49:G63)</f>
        <v>72437041.492075831</v>
      </c>
      <c r="H64" s="58">
        <f ca="1">+SUM(H49:H63)</f>
        <v>31331965.673236135</v>
      </c>
      <c r="I64" s="58">
        <f ca="1">+SUM(I49:I63)</f>
        <v>22638868.187490463</v>
      </c>
      <c r="J64" s="58">
        <f ca="1">+SUM(J49:J63)</f>
        <v>18617360.5449191</v>
      </c>
      <c r="K64" s="21"/>
      <c r="M64" s="58">
        <f t="shared" ref="M64:U64" ca="1" si="101">+SUM(M49:M63)</f>
        <v>17356072.784650732</v>
      </c>
      <c r="N64" s="58">
        <f t="shared" ca="1" si="101"/>
        <v>26043831.397535235</v>
      </c>
      <c r="O64" s="58">
        <f t="shared" ca="1" si="101"/>
        <v>4729431.0005315989</v>
      </c>
      <c r="P64" s="58">
        <f t="shared" ca="1" si="101"/>
        <v>1340663.6990714069</v>
      </c>
      <c r="Q64" s="58">
        <f t="shared" ca="1" si="101"/>
        <v>2121640.5629356923</v>
      </c>
      <c r="R64" s="58">
        <f t="shared" ca="1" si="101"/>
        <v>10686397.617872369</v>
      </c>
      <c r="S64" s="58">
        <f t="shared" ca="1" si="101"/>
        <v>639139.46206866403</v>
      </c>
      <c r="T64" s="58">
        <f t="shared" ca="1" si="101"/>
        <v>8881225.7366473582</v>
      </c>
      <c r="U64" s="58">
        <f t="shared" ca="1" si="101"/>
        <v>0</v>
      </c>
      <c r="V64" s="21"/>
      <c r="W64" s="21"/>
      <c r="X64" s="16">
        <f ca="1">+SUM(Y64:AG64)</f>
        <v>31856888.64085032</v>
      </c>
      <c r="Y64" s="58">
        <f t="shared" ref="Y64:AG64" ca="1" si="102">+SUM(Y49:Y63)</f>
        <v>6080749.483146105</v>
      </c>
      <c r="Z64" s="58">
        <f t="shared" ca="1" si="102"/>
        <v>9121124.2247191574</v>
      </c>
      <c r="AA64" s="58">
        <f t="shared" ca="1" si="102"/>
        <v>1887095.7028468323</v>
      </c>
      <c r="AB64" s="58">
        <f t="shared" ca="1" si="102"/>
        <v>1353443.7679838974</v>
      </c>
      <c r="AC64" s="58">
        <f t="shared" ca="1" si="102"/>
        <v>2141865.4057658771</v>
      </c>
      <c r="AD64" s="58">
        <f t="shared" ca="1" si="102"/>
        <v>5535925.8652179763</v>
      </c>
      <c r="AE64" s="58">
        <f t="shared" ca="1" si="102"/>
        <v>645232.15061955655</v>
      </c>
      <c r="AF64" s="58">
        <f t="shared" ca="1" si="102"/>
        <v>5091452.0405509192</v>
      </c>
      <c r="AG64" s="58">
        <f t="shared" ca="1" si="102"/>
        <v>0</v>
      </c>
      <c r="AH64" s="16"/>
      <c r="AI64" s="16">
        <f ca="1">+SUM(AJ64:AR64)</f>
        <v>22302631.744762927</v>
      </c>
      <c r="AJ64" s="58">
        <f t="shared" ref="AJ64:AR64" ca="1" si="103">+SUM(AJ49:AJ63)</f>
        <v>5035124.6782291178</v>
      </c>
      <c r="AK64" s="58">
        <f t="shared" ca="1" si="103"/>
        <v>7552687.0173436739</v>
      </c>
      <c r="AL64" s="58">
        <f t="shared" ca="1" si="103"/>
        <v>2116931.480410859</v>
      </c>
      <c r="AM64" s="58">
        <f t="shared" ca="1" si="103"/>
        <v>0</v>
      </c>
      <c r="AN64" s="58">
        <f t="shared" ca="1" si="103"/>
        <v>0</v>
      </c>
      <c r="AO64" s="58">
        <f t="shared" ca="1" si="103"/>
        <v>5190579.8204618357</v>
      </c>
      <c r="AP64" s="58">
        <f t="shared" ca="1" si="103"/>
        <v>0</v>
      </c>
      <c r="AQ64" s="58">
        <f t="shared" ca="1" si="103"/>
        <v>2407308.7483174438</v>
      </c>
      <c r="AR64" s="58">
        <f t="shared" ca="1" si="103"/>
        <v>0</v>
      </c>
      <c r="AS64" s="21"/>
      <c r="AT64" s="16">
        <f ca="1">+SUM(AU64:BC64)</f>
        <v>18617360.544919096</v>
      </c>
      <c r="AU64" s="58">
        <f t="shared" ref="AU64:BC64" ca="1" si="104">+SUM(AU49:AU63)</f>
        <v>6284654.1566196475</v>
      </c>
      <c r="AV64" s="58">
        <f t="shared" ca="1" si="104"/>
        <v>9426981.2349294685</v>
      </c>
      <c r="AW64" s="58">
        <f t="shared" ca="1" si="104"/>
        <v>741531.69296222739</v>
      </c>
      <c r="AX64" s="58">
        <f t="shared" ca="1" si="104"/>
        <v>0</v>
      </c>
      <c r="AY64" s="58">
        <f t="shared" ca="1" si="104"/>
        <v>0</v>
      </c>
      <c r="AZ64" s="58">
        <f t="shared" ca="1" si="104"/>
        <v>0</v>
      </c>
      <c r="BA64" s="58">
        <f t="shared" ca="1" si="104"/>
        <v>0</v>
      </c>
      <c r="BB64" s="58">
        <f t="shared" ca="1" si="104"/>
        <v>2164193.4604077525</v>
      </c>
      <c r="BC64" s="58">
        <f t="shared" ca="1" si="104"/>
        <v>0</v>
      </c>
    </row>
    <row r="65" spans="2:55">
      <c r="B65" s="15"/>
      <c r="C65" s="15"/>
      <c r="D65" s="21"/>
      <c r="E65" s="21"/>
      <c r="F65" s="21"/>
      <c r="G65" s="21"/>
      <c r="H65" s="15"/>
      <c r="I65" s="15"/>
      <c r="J65" s="15"/>
      <c r="K65" s="21"/>
      <c r="M65" s="15"/>
      <c r="N65" s="15"/>
      <c r="O65" s="15"/>
      <c r="P65" s="15"/>
      <c r="Q65" s="15"/>
      <c r="R65" s="15"/>
      <c r="S65" s="15"/>
      <c r="T65" s="15"/>
      <c r="U65" s="15"/>
      <c r="V65" s="21"/>
      <c r="W65" s="21"/>
      <c r="X65" s="21"/>
      <c r="Y65" s="15"/>
      <c r="Z65" s="15"/>
      <c r="AA65" s="15"/>
      <c r="AB65" s="15"/>
      <c r="AC65" s="15"/>
      <c r="AD65" s="15"/>
      <c r="AE65" s="15"/>
      <c r="AF65" s="15"/>
      <c r="AG65" s="15"/>
      <c r="AH65" s="21"/>
      <c r="AI65" s="21"/>
      <c r="AJ65" s="15"/>
      <c r="AK65" s="15"/>
      <c r="AL65" s="15"/>
      <c r="AM65" s="15"/>
      <c r="AN65" s="15"/>
      <c r="AO65" s="15"/>
      <c r="AP65" s="15"/>
      <c r="AQ65" s="15"/>
      <c r="AR65" s="15"/>
      <c r="AS65" s="21"/>
      <c r="AT65" s="21"/>
      <c r="AU65" s="15"/>
      <c r="AV65" s="15"/>
      <c r="AW65" s="15"/>
      <c r="AX65" s="15"/>
      <c r="AY65" s="15"/>
      <c r="AZ65" s="15"/>
      <c r="BA65" s="15"/>
      <c r="BB65" s="15"/>
      <c r="BC65" s="15"/>
    </row>
    <row r="66" spans="2:55" ht="32.25" customHeight="1">
      <c r="B66" s="444" t="s">
        <v>37</v>
      </c>
      <c r="C66" s="445"/>
      <c r="D66" s="445"/>
      <c r="E66" s="445"/>
      <c r="F66" s="445"/>
      <c r="G66" s="444" t="s">
        <v>70</v>
      </c>
      <c r="H66" s="446" t="str">
        <f>+H$23</f>
        <v>I</v>
      </c>
      <c r="I66" s="446" t="str">
        <f t="shared" ref="I66:J66" si="105">+I$23</f>
        <v>II</v>
      </c>
      <c r="J66" s="446" t="str">
        <f t="shared" si="105"/>
        <v>III</v>
      </c>
      <c r="K66" s="21"/>
      <c r="M66" s="537" t="str">
        <f t="shared" ref="M66:U66" ca="1" si="106">+M$23</f>
        <v>Affordable Residential</v>
      </c>
      <c r="N66" s="537" t="str">
        <f t="shared" ca="1" si="106"/>
        <v>Market Rate Residential</v>
      </c>
      <c r="O66" s="537" t="str">
        <f t="shared" ca="1" si="106"/>
        <v>Retail</v>
      </c>
      <c r="P66" s="537" t="str">
        <f t="shared" ca="1" si="106"/>
        <v>Hotel</v>
      </c>
      <c r="Q66" s="537" t="str">
        <f t="shared" ca="1" si="106"/>
        <v>Museum</v>
      </c>
      <c r="R66" s="537" t="str">
        <f t="shared" ca="1" si="106"/>
        <v>Office</v>
      </c>
      <c r="S66" s="537" t="str">
        <f t="shared" ca="1" si="106"/>
        <v>Light Industrial/Flex</v>
      </c>
      <c r="T66" s="537" t="str">
        <f t="shared" ca="1" si="106"/>
        <v>Structural Parking</v>
      </c>
      <c r="U66" s="537" t="str">
        <f t="shared" ca="1" si="106"/>
        <v>Surface Parking</v>
      </c>
      <c r="V66" s="21"/>
      <c r="W66" s="21"/>
      <c r="X66" s="21"/>
      <c r="Y66" s="537" t="str">
        <f t="shared" ref="Y66:AG66" ca="1" si="107">+Y$23</f>
        <v>Affordable Residential</v>
      </c>
      <c r="Z66" s="537" t="str">
        <f t="shared" ca="1" si="107"/>
        <v>Market Rate Residential</v>
      </c>
      <c r="AA66" s="537" t="str">
        <f t="shared" ca="1" si="107"/>
        <v>Retail</v>
      </c>
      <c r="AB66" s="537" t="str">
        <f t="shared" ca="1" si="107"/>
        <v>Hotel</v>
      </c>
      <c r="AC66" s="537" t="str">
        <f t="shared" ca="1" si="107"/>
        <v>Museum</v>
      </c>
      <c r="AD66" s="537" t="str">
        <f t="shared" ca="1" si="107"/>
        <v>Office</v>
      </c>
      <c r="AE66" s="537" t="str">
        <f t="shared" ca="1" si="107"/>
        <v>Light Industrial/Flex</v>
      </c>
      <c r="AF66" s="537" t="str">
        <f t="shared" ca="1" si="107"/>
        <v>Structural Parking</v>
      </c>
      <c r="AG66" s="537" t="str">
        <f t="shared" ca="1" si="107"/>
        <v>Surface Parking</v>
      </c>
      <c r="AH66" s="21"/>
      <c r="AI66" s="21"/>
      <c r="AJ66" s="537" t="str">
        <f t="shared" ref="AJ66:AR66" ca="1" si="108">+AJ$23</f>
        <v>Affordable Residential</v>
      </c>
      <c r="AK66" s="537" t="str">
        <f t="shared" ca="1" si="108"/>
        <v>Market Rate Residential</v>
      </c>
      <c r="AL66" s="537" t="str">
        <f t="shared" ca="1" si="108"/>
        <v>Retail</v>
      </c>
      <c r="AM66" s="537" t="str">
        <f t="shared" ca="1" si="108"/>
        <v>Hotel</v>
      </c>
      <c r="AN66" s="537" t="str">
        <f t="shared" ca="1" si="108"/>
        <v>Museum</v>
      </c>
      <c r="AO66" s="537" t="str">
        <f t="shared" ca="1" si="108"/>
        <v>Office</v>
      </c>
      <c r="AP66" s="537" t="str">
        <f t="shared" ca="1" si="108"/>
        <v>Light Industrial/Flex</v>
      </c>
      <c r="AQ66" s="537" t="str">
        <f t="shared" ca="1" si="108"/>
        <v>Structural Parking</v>
      </c>
      <c r="AR66" s="537" t="str">
        <f t="shared" ca="1" si="108"/>
        <v>Surface Parking</v>
      </c>
      <c r="AS66" s="21"/>
      <c r="AT66" s="21"/>
      <c r="AU66" s="537" t="str">
        <f t="shared" ref="AU66:BC66" ca="1" si="109">+AU$23</f>
        <v>Affordable Residential</v>
      </c>
      <c r="AV66" s="537" t="str">
        <f t="shared" ca="1" si="109"/>
        <v>Market Rate Residential</v>
      </c>
      <c r="AW66" s="537" t="str">
        <f t="shared" ca="1" si="109"/>
        <v>Retail</v>
      </c>
      <c r="AX66" s="537" t="str">
        <f t="shared" ca="1" si="109"/>
        <v>Hotel</v>
      </c>
      <c r="AY66" s="537" t="str">
        <f t="shared" ca="1" si="109"/>
        <v>Museum</v>
      </c>
      <c r="AZ66" s="537" t="str">
        <f t="shared" ca="1" si="109"/>
        <v>Office</v>
      </c>
      <c r="BA66" s="537" t="str">
        <f t="shared" ca="1" si="109"/>
        <v>Light Industrial/Flex</v>
      </c>
      <c r="BB66" s="537" t="str">
        <f t="shared" ca="1" si="109"/>
        <v>Structural Parking</v>
      </c>
      <c r="BC66" s="537" t="str">
        <f t="shared" ca="1" si="109"/>
        <v>Surface Parking</v>
      </c>
    </row>
    <row r="67" spans="2:55" ht="15.75">
      <c r="B67" s="15" t="s">
        <v>427</v>
      </c>
      <c r="C67" s="15"/>
      <c r="D67" s="15"/>
      <c r="E67" s="24"/>
      <c r="F67" s="47">
        <f t="shared" ref="F67:F71" ca="1" si="110">+G67/$G$10</f>
        <v>1.4610969513707164</v>
      </c>
      <c r="G67" s="26">
        <f ca="1">+SUM(H67:J67)</f>
        <v>5653114.9496535929</v>
      </c>
      <c r="H67" s="16">
        <f ca="1">+Assumptions!N146*'S&amp;U'!H17</f>
        <v>2397868.1525509921</v>
      </c>
      <c r="I67" s="16">
        <f ca="1">+Assumptions!O146*'S&amp;U'!I17</f>
        <v>1738814.875422355</v>
      </c>
      <c r="J67" s="16">
        <f ca="1">+Assumptions!P146*'S&amp;U'!J17</f>
        <v>1516431.9216802458</v>
      </c>
      <c r="K67" s="16"/>
      <c r="L67" s="16"/>
      <c r="M67" s="16">
        <f ca="1">$G67*('Loan Sizing'!$E$5/'Loan Sizing'!$E$63)</f>
        <v>367461.27306288504</v>
      </c>
      <c r="N67" s="16">
        <f ca="1">$G67*('Loan Sizing'!$E$6/'Loan Sizing'!$E$63)</f>
        <v>1824857.1224696219</v>
      </c>
      <c r="O67" s="16">
        <f ca="1">$G67*('Loan Sizing'!$E$7/'Loan Sizing'!$E$63)</f>
        <v>1191831.6234973788</v>
      </c>
      <c r="P67" s="16">
        <f ca="1">$G67*('Loan Sizing'!$E$31/'Loan Sizing'!$E$63)</f>
        <v>154270.04334122984</v>
      </c>
      <c r="Q67" s="16">
        <f ca="1">$G67*('Loan Sizing'!$E$8/'Loan Sizing'!$E$63)</f>
        <v>0</v>
      </c>
      <c r="R67" s="16">
        <f ca="1">$G67*('Loan Sizing'!$E$9/'Loan Sizing'!$E$63)</f>
        <v>1869366.0854417109</v>
      </c>
      <c r="S67" s="16">
        <f ca="1">$G67*('Loan Sizing'!$E$47/'Loan Sizing'!$E$63)</f>
        <v>248439.14118240701</v>
      </c>
      <c r="T67" s="16">
        <f ca="1">$G67*('Loan Sizing'!$E$10/'Loan Sizing'!$E$63)*SUM(T$12:T$20)/SUM($T$12:$U$20)</f>
        <v>214494.8175848033</v>
      </c>
      <c r="U67" s="16">
        <f ca="1">$G67*('Loan Sizing'!$E$10/'Loan Sizing'!$E$63)*SUM(U$12:U$20)/SUM($T$12:$U$20)</f>
        <v>0</v>
      </c>
      <c r="V67" s="21"/>
      <c r="W67" s="21"/>
      <c r="X67" s="16"/>
      <c r="Y67" s="16">
        <f ca="1">$H67*('Loan Sizing'!$F$5/'Loan Sizing'!$F$63)</f>
        <v>35139.425521983947</v>
      </c>
      <c r="Z67" s="16">
        <f ca="1">$H67*('Loan Sizing'!$F$6/'Loan Sizing'!$F$63)</f>
        <v>174034.13108073379</v>
      </c>
      <c r="AA67" s="16">
        <f ca="1">$H67*('Loan Sizing'!$F$7/'Loan Sizing'!$F$63)</f>
        <v>532391.83017494576</v>
      </c>
      <c r="AB67" s="16">
        <f ca="1">$H67*('Loan Sizing'!$F$31/'Loan Sizing'!$F$63)</f>
        <v>178438.77884732795</v>
      </c>
      <c r="AC67" s="16">
        <f ca="1">$H67*('Loan Sizing'!$F$8/'Loan Sizing'!$F$63)</f>
        <v>91508.957151457536</v>
      </c>
      <c r="AD67" s="16">
        <f ca="1">$H67*('Loan Sizing'!$F$9/'Loan Sizing'!$F$63)</f>
        <v>1236163.7543714033</v>
      </c>
      <c r="AE67" s="16">
        <f ca="1">$H67*('Loan Sizing'!$F$47/'Loan Sizing'!$F$63)</f>
        <v>17344.391228863853</v>
      </c>
      <c r="AF67" s="16">
        <f ca="1">$H67*('Loan Sizing'!$F$10/'Loan Sizing'!$F$63)*SUM(AF$12:AF$20)/SUM($AF$12:$AG$20)</f>
        <v>132846.88417427609</v>
      </c>
      <c r="AG67" s="16">
        <f ca="1">$H67*('Loan Sizing'!$F$10/'Loan Sizing'!$F$63)*SUM(AG$12:AG$20)/SUM($AF$12:$AG$20)</f>
        <v>0</v>
      </c>
      <c r="AH67" s="21"/>
      <c r="AI67" s="16"/>
      <c r="AJ67" s="16">
        <f ca="1">$I67*('Loan Sizing'!$G$5/'Loan Sizing'!$G$63)</f>
        <v>99278.017958853132</v>
      </c>
      <c r="AK67" s="16">
        <f ca="1">$I67*('Loan Sizing'!$G$6/'Loan Sizing'!$G$63)</f>
        <v>497928.90162419539</v>
      </c>
      <c r="AL67" s="16">
        <f ca="1">$I67*('Loan Sizing'!$G$7/'Loan Sizing'!$G$63)</f>
        <v>302792.97220538452</v>
      </c>
      <c r="AM67" s="16">
        <f ca="1">$I67*('Loan Sizing'!$G$31/'Loan Sizing'!$G$63)</f>
        <v>0</v>
      </c>
      <c r="AN67" s="16">
        <f ca="1">$I67*('Loan Sizing'!$G$8/'Loan Sizing'!$G$63)</f>
        <v>0</v>
      </c>
      <c r="AO67" s="16">
        <f ca="1">$I67*('Loan Sizing'!$G$9/'Loan Sizing'!$G$63)</f>
        <v>395521.53960712068</v>
      </c>
      <c r="AP67" s="16">
        <f ca="1">$I67*('Loan Sizing'!$G$47/'Loan Sizing'!$G$63)</f>
        <v>5.2131800854739852E-7</v>
      </c>
      <c r="AQ67" s="16">
        <f ca="1">$I67*('Loan Sizing'!$G$10/'Loan Sizing'!$G$63)*SUM(AQ$12:AQ$20)/SUM($AQ$12:$AR$20)</f>
        <v>34938.432546142554</v>
      </c>
      <c r="AR67" s="16">
        <f ca="1">$I67*('Loan Sizing'!$G$10/'Loan Sizing'!$G$63)*SUM(AR$12:AR$20)/SUM($AQ$12:$AR$20)</f>
        <v>0</v>
      </c>
      <c r="AS67" s="21"/>
      <c r="AT67" s="16"/>
      <c r="AU67" s="16">
        <f ca="1">$J67*('Loan Sizing'!$H$5/'Loan Sizing'!$H$63)</f>
        <v>206239.67051374496</v>
      </c>
      <c r="AV67" s="16">
        <f ca="1">$J67*('Loan Sizing'!$H$6/'Loan Sizing'!$H$63)</f>
        <v>1012786.5576885269</v>
      </c>
      <c r="AW67" s="16">
        <f ca="1">$J67*('Loan Sizing'!$H$7/'Loan Sizing'!$H$63)</f>
        <v>239252.53652900778</v>
      </c>
      <c r="AX67" s="16">
        <f ca="1">$J67*('Loan Sizing'!$H$31/'Loan Sizing'!$H$63)</f>
        <v>0</v>
      </c>
      <c r="AY67" s="16">
        <v>0</v>
      </c>
      <c r="AZ67" s="16">
        <f ca="1">$J67*('Loan Sizing'!$H$9/'Loan Sizing'!$H$63)</f>
        <v>0</v>
      </c>
      <c r="BA67" s="16">
        <f ca="1">$J67*('Loan Sizing'!$H$47/'Loan Sizing'!$H$63)</f>
        <v>0</v>
      </c>
      <c r="BB67" s="16">
        <f ca="1">$J67*('Loan Sizing'!$H$10/'Loan Sizing'!$H$63)*SUM(BB$12:BB$20)/SUM($BB$12:$BC$20)</f>
        <v>58153.156948966214</v>
      </c>
      <c r="BC67" s="16">
        <v>0</v>
      </c>
    </row>
    <row r="68" spans="2:55" ht="15.75">
      <c r="B68" s="15" t="s">
        <v>428</v>
      </c>
      <c r="C68" s="15"/>
      <c r="D68" s="15"/>
      <c r="E68" s="24"/>
      <c r="F68" s="47">
        <f t="shared" ca="1" si="110"/>
        <v>12.708937003388016</v>
      </c>
      <c r="G68" s="26">
        <f ca="1">+SUM(H68:J68)</f>
        <v>52968765.164452694</v>
      </c>
      <c r="H68" s="16">
        <f ca="1">+Assumptions!N145*Assumptions!N147*'S&amp;U'!H17*(Assumptions!F$25/12)</f>
        <v>20573708.748887513</v>
      </c>
      <c r="I68" s="16">
        <f ca="1">+Assumptions!O145*Assumptions!O147*'S&amp;U'!I17*(Assumptions!G$25/12)</f>
        <v>11674785.306092963</v>
      </c>
      <c r="J68" s="16">
        <f ca="1">+Assumptions!P145*Assumptions!P147*'S&amp;U'!J17*(Assumptions!H$25/12)</f>
        <v>20720271.109472219</v>
      </c>
      <c r="K68" s="16"/>
      <c r="L68" s="16"/>
      <c r="M68" s="16">
        <f ca="1">$G68*('Loan Sizing'!$E$5/'Loan Sizing'!$E$63)</f>
        <v>3443052.2027668096</v>
      </c>
      <c r="N68" s="16">
        <f ca="1">$G68*('Loan Sizing'!$E$6/'Loan Sizing'!$E$63)</f>
        <v>17098613.638609167</v>
      </c>
      <c r="O68" s="16">
        <f ca="1">$G68*('Loan Sizing'!$E$7/'Loan Sizing'!$E$63)</f>
        <v>11167267.94746487</v>
      </c>
      <c r="P68" s="16">
        <f ca="1">$G68*('Loan Sizing'!$E$31/'Loan Sizing'!$E$63)</f>
        <v>1445485.1476445333</v>
      </c>
      <c r="Q68" s="16">
        <f ca="1">$G68*('Loan Sizing'!$E$8/'Loan Sizing'!$E$63)</f>
        <v>0</v>
      </c>
      <c r="R68" s="16">
        <f ca="1">$G68*('Loan Sizing'!$E$9/'Loan Sizing'!$E$63)</f>
        <v>17515655.363105919</v>
      </c>
      <c r="S68" s="16">
        <f ca="1">$G68*('Loan Sizing'!$E$47/'Loan Sizing'!$E$63)</f>
        <v>2327834.2372563295</v>
      </c>
      <c r="T68" s="16">
        <f ca="1">$G68*('Loan Sizing'!$E$10/'Loan Sizing'!$E$63)*SUM(T$12:T$20)/SUM($T$12:$U$20)</f>
        <v>2009781.4608099852</v>
      </c>
      <c r="U68" s="16">
        <f ca="1">$G68*('Loan Sizing'!$E$10/'Loan Sizing'!$E$63)*SUM(U$12:U$20)/SUM($T$12:$U$20)</f>
        <v>0</v>
      </c>
      <c r="V68" s="21"/>
      <c r="W68" s="21"/>
      <c r="X68" s="16"/>
      <c r="Y68" s="16">
        <f ca="1">$H68*('Loan Sizing'!$F$5/'Loan Sizing'!$F$63)</f>
        <v>301496.27097862231</v>
      </c>
      <c r="Z68" s="16">
        <f ca="1">$H68*('Loan Sizing'!$F$6/'Loan Sizing'!$F$63)</f>
        <v>1493212.844672696</v>
      </c>
      <c r="AA68" s="16">
        <f ca="1">$H68*('Loan Sizing'!$F$7/'Loan Sizing'!$F$63)</f>
        <v>4567921.9029010348</v>
      </c>
      <c r="AB68" s="16">
        <f ca="1">$H68*('Loan Sizing'!$F$31/'Loan Sizing'!$F$63)</f>
        <v>1531004.7225100738</v>
      </c>
      <c r="AC68" s="16">
        <f ca="1">$H68*('Loan Sizing'!$F$8/'Loan Sizing'!$F$63)</f>
        <v>785146.85235950572</v>
      </c>
      <c r="AD68" s="16">
        <f ca="1">$H68*('Loan Sizing'!$F$9/'Loan Sizing'!$F$63)</f>
        <v>10606285.012506641</v>
      </c>
      <c r="AE68" s="16">
        <f ca="1">$H68*('Loan Sizing'!$F$47/'Loan Sizing'!$F$63)</f>
        <v>148814.87674365184</v>
      </c>
      <c r="AF68" s="16">
        <f ca="1">$H68*('Loan Sizing'!$F$10/'Loan Sizing'!$F$63)*SUM(AF$12:AF$20)/SUM($AF$12:$AG$20)</f>
        <v>1139826.2662152888</v>
      </c>
      <c r="AG68" s="16">
        <v>0</v>
      </c>
      <c r="AH68" s="21"/>
      <c r="AI68" s="16"/>
      <c r="AJ68" s="16">
        <f ca="1">$I68*('Loan Sizing'!$G$5/'Loan Sizing'!$G$63)</f>
        <v>871164.60758893634</v>
      </c>
      <c r="AK68" s="16">
        <f ca="1">$I68*('Loan Sizing'!$G$6/'Loan Sizing'!$G$63)</f>
        <v>4369326.1117523154</v>
      </c>
      <c r="AL68" s="16">
        <f ca="1">$I68*('Loan Sizing'!$G$7/'Loan Sizing'!$G$63)</f>
        <v>2639470.4376696711</v>
      </c>
      <c r="AM68" s="16">
        <f ca="1">$I68*('Loan Sizing'!$G$31/'Loan Sizing'!$G$63)</f>
        <v>0</v>
      </c>
      <c r="AN68" s="16">
        <f ca="1">$I68*('Loan Sizing'!$G$8/'Loan Sizing'!$G$63)</f>
        <v>0</v>
      </c>
      <c r="AO68" s="16">
        <f ca="1">$I68*('Loan Sizing'!$G$9/'Loan Sizing'!$G$63)</f>
        <v>3829885.1480423603</v>
      </c>
      <c r="AP68" s="16">
        <f ca="1">$I68*('Loan Sizing'!$G$47/'Loan Sizing'!$G$63)</f>
        <v>4.5745655250034224E-6</v>
      </c>
      <c r="AQ68" s="16">
        <f ca="1">$I68*('Loan Sizing'!$G$10/'Loan Sizing'!$G$63)*SUM(AQ$12:AQ$20)/SUM($AQ$12:$AR$20)</f>
        <v>267621.83363170282</v>
      </c>
      <c r="AR68" s="16">
        <f ca="1">$I68*('Loan Sizing'!$G$10/'Loan Sizing'!$G$63)*SUM(AR$12:AR$20)/SUM($AQ$12:$AR$20)</f>
        <v>0</v>
      </c>
      <c r="AS68" s="21"/>
      <c r="AT68" s="16"/>
      <c r="AU68" s="16">
        <f ca="1">$J68*('Loan Sizing'!$H$5/'Loan Sizing'!$H$63)</f>
        <v>2818024.2221741453</v>
      </c>
      <c r="AV68" s="16">
        <f ca="1">$J68*('Loan Sizing'!$H$6/'Loan Sizing'!$H$63)</f>
        <v>13838545.437689841</v>
      </c>
      <c r="AW68" s="16">
        <f ca="1">$J68*('Loan Sizing'!$H$7/'Loan Sizing'!$H$63)</f>
        <v>3269106.4792523258</v>
      </c>
      <c r="AX68" s="16">
        <f ca="1">$J68*('Loan Sizing'!$H$31/'Loan Sizing'!$H$63)</f>
        <v>0</v>
      </c>
      <c r="AY68" s="16">
        <f ca="1">$J68*('Loan Sizing'!$H$8/'Loan Sizing'!$H$63)</f>
        <v>0</v>
      </c>
      <c r="AZ68" s="16">
        <f ca="1">$J68*('Loan Sizing'!$H$9/'Loan Sizing'!$H$63)</f>
        <v>0</v>
      </c>
      <c r="BA68" s="16">
        <f ca="1">$J68*('Loan Sizing'!$H$47/'Loan Sizing'!$H$63)</f>
        <v>0</v>
      </c>
      <c r="BB68" s="16">
        <f ca="1">$J68*('Loan Sizing'!$H$10/'Loan Sizing'!$H$63)*SUM(BB$12:BB$20)/SUM($BB$12:$BC$20)</f>
        <v>794594.9703559085</v>
      </c>
      <c r="BC68" s="16">
        <v>0</v>
      </c>
    </row>
    <row r="69" spans="2:55" s="21" customFormat="1" ht="15.75">
      <c r="B69" s="15" t="s">
        <v>797</v>
      </c>
      <c r="C69" s="15"/>
      <c r="D69" s="15"/>
      <c r="E69" s="24"/>
      <c r="F69" s="47">
        <v>1</v>
      </c>
      <c r="G69" s="26">
        <f>+SUM(H69:J69)</f>
        <v>35000</v>
      </c>
      <c r="H69" s="16">
        <f>+Assumptions!$N$170*'S&amp;U'!H18</f>
        <v>35000</v>
      </c>
      <c r="I69" s="16">
        <v>0</v>
      </c>
      <c r="J69" s="16">
        <v>0</v>
      </c>
      <c r="M69" s="16">
        <f ca="1">$G69*('Loan Sizing'!$E$5/'Loan Sizing'!$E$63)</f>
        <v>2275.0544915045593</v>
      </c>
      <c r="N69" s="16">
        <f ca="1">$G69*('Loan Sizing'!$E$6/'Loan Sizing'!$E$63)</f>
        <v>11298.195747877113</v>
      </c>
      <c r="O69" s="16">
        <f ca="1">$G69*('Loan Sizing'!$E$7/'Loan Sizing'!$E$63)</f>
        <v>7378.9595990727876</v>
      </c>
      <c r="P69" s="16">
        <f ca="1">$G69*('Loan Sizing'!$E$31/'Loan Sizing'!$E$63)</f>
        <v>955.12855567776978</v>
      </c>
      <c r="Q69" s="16">
        <f ca="1">$G69*('Loan Sizing'!$E$8/'Loan Sizing'!$E$63)</f>
        <v>0</v>
      </c>
      <c r="R69" s="16">
        <f ca="1">$G69*('Loan Sizing'!$E$9/'Loan Sizing'!$E$63)</f>
        <v>11573.76306216259</v>
      </c>
      <c r="S69" s="16">
        <f ca="1">$G69*('Loan Sizing'!$E$47/'Loan Sizing'!$E$63)</f>
        <v>1538.1555158217811</v>
      </c>
      <c r="T69" s="16">
        <f ca="1">$G69*('Loan Sizing'!$E$10/'Loan Sizing'!$E$63)*SUM(T$12:T$20)/SUM($T$12:$U$20)</f>
        <v>1327.9968092508259</v>
      </c>
      <c r="U69" s="16">
        <f ca="1">$G69*('Loan Sizing'!$E$10/'Loan Sizing'!$E$63)*SUM(U$12:U$20)/SUM($T$12:$U$20)</f>
        <v>0</v>
      </c>
      <c r="Y69" s="16">
        <f ca="1">$H69*('Loan Sizing'!$F$5/'Loan Sizing'!$F$63)</f>
        <v>512.90555402765585</v>
      </c>
      <c r="Z69" s="16">
        <f ca="1">$H69*('Loan Sizing'!$F$6/'Loan Sizing'!$F$63)</f>
        <v>2540.2541759210212</v>
      </c>
      <c r="AA69" s="16">
        <f ca="1">$H69*('Loan Sizing'!$F$7/'Loan Sizing'!$F$63)</f>
        <v>7770.9502235556492</v>
      </c>
      <c r="AB69" s="16">
        <f ca="1">$H69*('Loan Sizing'!$F$31/'Loan Sizing'!$F$63)</f>
        <v>2604.5457307618449</v>
      </c>
      <c r="AC69" s="16">
        <f ca="1">$H69*('Loan Sizing'!$F$8/'Loan Sizing'!$F$63)</f>
        <v>1335.692080022696</v>
      </c>
      <c r="AD69" s="16">
        <f ca="1">$H69*('Loan Sizing'!$F$9/'Loan Sizing'!$F$63)</f>
        <v>18043.415505131299</v>
      </c>
      <c r="AE69" s="16">
        <f ca="1">$H69*('Loan Sizing'!$F$47/'Loan Sizing'!$F$63)</f>
        <v>253.16391660834881</v>
      </c>
      <c r="AF69" s="16">
        <f ca="1">$H69*('Loan Sizing'!$F$10/'Loan Sizing'!$F$63)*SUM(AF$12:AF$20)/SUM($AF$12:$AG$20)</f>
        <v>1939.0728139714868</v>
      </c>
      <c r="AG69" s="16">
        <v>0</v>
      </c>
      <c r="AJ69" s="16">
        <f ca="1">$I69*('Loan Sizing'!$G$5/'Loan Sizing'!$G$63)</f>
        <v>0</v>
      </c>
      <c r="AK69" s="16">
        <f ca="1">$I69*('Loan Sizing'!$G$6/'Loan Sizing'!$G$63)</f>
        <v>0</v>
      </c>
      <c r="AL69" s="16">
        <f ca="1">$I69*('Loan Sizing'!$G$7/'Loan Sizing'!$G$63)</f>
        <v>0</v>
      </c>
      <c r="AM69" s="16">
        <f ca="1">$I69*('Loan Sizing'!$G$31/'Loan Sizing'!$G$63)</f>
        <v>0</v>
      </c>
      <c r="AN69" s="16">
        <f ca="1">$I69*('Loan Sizing'!$G$8/'Loan Sizing'!$G$63)</f>
        <v>0</v>
      </c>
      <c r="AO69" s="16">
        <f ca="1">$I69*('Loan Sizing'!$G$9/'Loan Sizing'!$G$63)</f>
        <v>0</v>
      </c>
      <c r="AP69" s="16">
        <f ca="1">$I69*('Loan Sizing'!$G$47/'Loan Sizing'!$G$63)</f>
        <v>0</v>
      </c>
      <c r="AQ69" s="16">
        <f ca="1">$I69*('Loan Sizing'!$G$10/'Loan Sizing'!$G$63)*SUM(AQ$12:AQ$20)/SUM($AQ$12:$AR$20)</f>
        <v>0</v>
      </c>
      <c r="AR69" s="16">
        <f ca="1">$I69*('Loan Sizing'!$G$10/'Loan Sizing'!$G$63)*SUM(AR$12:AR$20)/SUM($AQ$12:$AR$20)</f>
        <v>0</v>
      </c>
      <c r="AU69" s="16">
        <f ca="1">$J69*('Loan Sizing'!$H$5/'Loan Sizing'!$H$63)</f>
        <v>0</v>
      </c>
      <c r="AV69" s="16">
        <f ca="1">$J69*('Loan Sizing'!$H$6/'Loan Sizing'!$H$63)</f>
        <v>0</v>
      </c>
      <c r="AW69" s="16">
        <f ca="1">$J69*('Loan Sizing'!$H$7/'Loan Sizing'!$H$63)</f>
        <v>0</v>
      </c>
      <c r="AX69" s="16">
        <f ca="1">$J69*('Loan Sizing'!$H$31/'Loan Sizing'!$H$63)</f>
        <v>0</v>
      </c>
      <c r="AY69" s="16">
        <f ca="1">$J69*('Loan Sizing'!$H$8/'Loan Sizing'!$H$63)</f>
        <v>0</v>
      </c>
      <c r="AZ69" s="16">
        <f ca="1">$J69*('Loan Sizing'!$H$9/'Loan Sizing'!$H$63)</f>
        <v>0</v>
      </c>
      <c r="BA69" s="16">
        <f ca="1">$J69*('Loan Sizing'!$H$47/'Loan Sizing'!$H$63)</f>
        <v>0</v>
      </c>
      <c r="BB69" s="16">
        <f ca="1">$J69*('Loan Sizing'!$H$10/'Loan Sizing'!$H$63)*SUM(BB$12:BB$20)/SUM($BB$12:$BC$20)</f>
        <v>0</v>
      </c>
      <c r="BC69" s="16">
        <v>0</v>
      </c>
    </row>
    <row r="70" spans="2:55" s="21" customFormat="1" ht="15.75">
      <c r="B70" s="15" t="s">
        <v>798</v>
      </c>
      <c r="C70" s="15"/>
      <c r="D70" s="15"/>
      <c r="E70" s="24"/>
      <c r="F70" s="47">
        <v>0.2</v>
      </c>
      <c r="G70" s="26">
        <f>+SUM(H70:J70)</f>
        <v>300000</v>
      </c>
      <c r="H70" s="16">
        <f>+'S&amp;U'!H18*Assumptions!N168*Assumptions!N171*(Assumptions!F25)/12</f>
        <v>210000</v>
      </c>
      <c r="I70" s="16">
        <f>+'S&amp;U'!I18*Assumptions!O168*Assumptions!O171*(Assumptions!G25)/12</f>
        <v>45000</v>
      </c>
      <c r="J70" s="16">
        <f>+'S&amp;U'!J18*Assumptions!P168*Assumptions!P171*(Assumptions!H25)/12</f>
        <v>45000</v>
      </c>
      <c r="M70" s="16">
        <f ca="1">$G70*('Loan Sizing'!$E$5/'Loan Sizing'!$E$63)</f>
        <v>19500.467070039078</v>
      </c>
      <c r="N70" s="16">
        <f ca="1">$G70*('Loan Sizing'!$E$6/'Loan Sizing'!$E$63)</f>
        <v>96841.677838946693</v>
      </c>
      <c r="O70" s="16">
        <f ca="1">$G70*('Loan Sizing'!$E$7/'Loan Sizing'!$E$63)</f>
        <v>63248.225134909604</v>
      </c>
      <c r="P70" s="16">
        <f ca="1">$G70*('Loan Sizing'!$E$31/'Loan Sizing'!$E$63)</f>
        <v>8186.8161915237415</v>
      </c>
      <c r="Q70" s="16">
        <f ca="1">$G70*('Loan Sizing'!$E$8/'Loan Sizing'!$E$63)</f>
        <v>0</v>
      </c>
      <c r="R70" s="16">
        <f ca="1">$G70*('Loan Sizing'!$E$9/'Loan Sizing'!$E$63)</f>
        <v>99203.683389965052</v>
      </c>
      <c r="S70" s="16">
        <f ca="1">$G70*('Loan Sizing'!$E$47/'Loan Sizing'!$E$63)</f>
        <v>13184.190135615267</v>
      </c>
      <c r="T70" s="16">
        <f ca="1">$G70*('Loan Sizing'!$E$10/'Loan Sizing'!$E$63)*SUM(T$12:T$20)/SUM($T$12:$U$20)</f>
        <v>11382.829793578509</v>
      </c>
      <c r="U70" s="16">
        <f ca="1">$G70*('Loan Sizing'!$E$10/'Loan Sizing'!$E$63)*SUM(U$12:U$20)/SUM($T$12:$U$20)</f>
        <v>0</v>
      </c>
      <c r="Y70" s="16">
        <f ca="1">$H70*('Loan Sizing'!$F$5/'Loan Sizing'!$F$63)</f>
        <v>3077.4333241659351</v>
      </c>
      <c r="Z70" s="16">
        <f ca="1">$H70*('Loan Sizing'!$F$6/'Loan Sizing'!$F$63)</f>
        <v>15241.525055526128</v>
      </c>
      <c r="AA70" s="16">
        <f ca="1">$H70*('Loan Sizing'!$F$7/'Loan Sizing'!$F$63)</f>
        <v>46625.701341333894</v>
      </c>
      <c r="AB70" s="16">
        <f ca="1">$H70*('Loan Sizing'!$F$31/'Loan Sizing'!$F$63)</f>
        <v>15627.274384571068</v>
      </c>
      <c r="AC70" s="16">
        <f ca="1">$H70*('Loan Sizing'!$F$8/'Loan Sizing'!$F$63)</f>
        <v>8014.1524801361757</v>
      </c>
      <c r="AD70" s="16">
        <f ca="1">$H70*('Loan Sizing'!$F$9/'Loan Sizing'!$F$63)</f>
        <v>108260.49303078779</v>
      </c>
      <c r="AE70" s="16">
        <f ca="1">$H70*('Loan Sizing'!$F$47/'Loan Sizing'!$F$63)</f>
        <v>1518.9834996500929</v>
      </c>
      <c r="AF70" s="16">
        <f ca="1">$H70*('Loan Sizing'!$F$10/'Loan Sizing'!$F$63)*SUM(AF$12:AF$20)/SUM($AF$12:$AG$20)</f>
        <v>11634.436883828921</v>
      </c>
      <c r="AG70" s="16">
        <v>0</v>
      </c>
      <c r="AJ70" s="16">
        <f ca="1">$I70*('Loan Sizing'!$G$5/'Loan Sizing'!$G$63)</f>
        <v>3357.869657872232</v>
      </c>
      <c r="AK70" s="16">
        <f ca="1">$I70*('Loan Sizing'!$G$6/'Loan Sizing'!$G$63)</f>
        <v>16841.395355359571</v>
      </c>
      <c r="AL70" s="16">
        <f ca="1">$I70*('Loan Sizing'!$G$7/'Loan Sizing'!$G$63)</f>
        <v>10173.734812335009</v>
      </c>
      <c r="AM70" s="16">
        <f ca="1">$I70*('Loan Sizing'!$G$31/'Loan Sizing'!$G$63)</f>
        <v>0</v>
      </c>
      <c r="AN70" s="16">
        <f ca="1">$I70*('Loan Sizing'!$G$8/'Loan Sizing'!$G$63)</f>
        <v>0</v>
      </c>
      <c r="AO70" s="16">
        <f ca="1">$I70*('Loan Sizing'!$G$9/'Loan Sizing'!$G$63)</f>
        <v>14762.141413595078</v>
      </c>
      <c r="AP70" s="16">
        <f ca="1">$I70*('Loan Sizing'!$G$47/'Loan Sizing'!$G$63)</f>
        <v>1.763248258772861E-8</v>
      </c>
      <c r="AQ70" s="16">
        <f ca="1">$I70*('Loan Sizing'!$G$10/'Loan Sizing'!$G$63)*SUM(AQ$12:AQ$20)/SUM($AQ$12:$AR$20)</f>
        <v>1031.5378139880231</v>
      </c>
      <c r="AR70" s="16">
        <f ca="1">$I70*('Loan Sizing'!$G$10/'Loan Sizing'!$G$63)*SUM(AR$12:AR$20)/SUM($AQ$12:$AR$20)</f>
        <v>0</v>
      </c>
      <c r="AU70" s="16">
        <f ca="1">$J70*('Loan Sizing'!$H$5/'Loan Sizing'!$H$63)</f>
        <v>6120.1462725970405</v>
      </c>
      <c r="AV70" s="16">
        <f ca="1">$J70*('Loan Sizing'!$H$6/'Loan Sizing'!$H$63)</f>
        <v>30054.362773823039</v>
      </c>
      <c r="AW70" s="16">
        <f ca="1">$J70*('Loan Sizing'!$H$7/'Loan Sizing'!$H$63)</f>
        <v>7099.8005184933991</v>
      </c>
      <c r="AX70" s="16">
        <f ca="1">$J70*('Loan Sizing'!$H$31/'Loan Sizing'!$H$63)</f>
        <v>0</v>
      </c>
      <c r="AY70" s="16">
        <f ca="1">$J70*('Loan Sizing'!$H$8/'Loan Sizing'!$H$63)</f>
        <v>0</v>
      </c>
      <c r="AZ70" s="16">
        <f ca="1">$J70*('Loan Sizing'!$H$9/'Loan Sizing'!$H$63)</f>
        <v>0</v>
      </c>
      <c r="BA70" s="16">
        <f ca="1">$J70*('Loan Sizing'!$H$47/'Loan Sizing'!$H$63)</f>
        <v>0</v>
      </c>
      <c r="BB70" s="16">
        <f ca="1">$J70*('Loan Sizing'!$H$10/'Loan Sizing'!$H$63)*SUM(BB$12:BB$20)/SUM($BB$12:$BC$20)</f>
        <v>1725.6904350865257</v>
      </c>
      <c r="BC70" s="16">
        <v>0</v>
      </c>
    </row>
    <row r="71" spans="2:55" ht="15.75">
      <c r="B71" s="17" t="s">
        <v>429</v>
      </c>
      <c r="C71" s="17"/>
      <c r="D71" s="17"/>
      <c r="E71" s="17"/>
      <c r="F71" s="48">
        <f t="shared" ca="1" si="110"/>
        <v>14.250411397633163</v>
      </c>
      <c r="G71" s="18">
        <f ca="1">+SUM(G67:G70)</f>
        <v>59393377.637865812</v>
      </c>
      <c r="H71" s="58">
        <f ca="1">+SUM(H67:H70)</f>
        <v>23216576.901438504</v>
      </c>
      <c r="I71" s="58">
        <f ca="1">+SUM(I67:I70)</f>
        <v>13458600.181515317</v>
      </c>
      <c r="J71" s="58">
        <f ca="1">+SUM(J67:J70)</f>
        <v>23126555.566392131</v>
      </c>
      <c r="K71" s="49"/>
      <c r="M71" s="58">
        <f ca="1">+SUM(M67:M70)</f>
        <v>3832288.9973912379</v>
      </c>
      <c r="N71" s="58">
        <f ca="1">+SUM(N67:N70)</f>
        <v>19031610.634665616</v>
      </c>
      <c r="O71" s="58">
        <f ca="1">+SUM(O67:O70)</f>
        <v>12429726.75569623</v>
      </c>
      <c r="P71" s="58">
        <f ca="1">+SUM(P67:P70)</f>
        <v>1608897.1357329648</v>
      </c>
      <c r="Q71" s="58">
        <f ca="1">+SUM(Q67:Q70)</f>
        <v>0</v>
      </c>
      <c r="R71" s="58">
        <f ca="1">+SUM(R67:R70)</f>
        <v>19495798.894999761</v>
      </c>
      <c r="S71" s="58">
        <f ca="1">+SUM(S67:S70)</f>
        <v>2590995.7240901734</v>
      </c>
      <c r="T71" s="58">
        <f ca="1">+SUM(T67:T70)</f>
        <v>2236987.1049976177</v>
      </c>
      <c r="U71" s="58">
        <f ca="1">+SUM(U67:U70)</f>
        <v>0</v>
      </c>
      <c r="V71" s="21"/>
      <c r="W71" s="21"/>
      <c r="X71" s="16">
        <f ca="1">+SUM(Y71:AG71)</f>
        <v>28164860.643364139</v>
      </c>
      <c r="Y71" s="58">
        <f t="shared" ref="Y71:AF71" ca="1" si="111">+SUM(Y67:Y70)</f>
        <v>340226.03537879983</v>
      </c>
      <c r="Z71" s="58">
        <f t="shared" ca="1" si="111"/>
        <v>1685028.7549848768</v>
      </c>
      <c r="AA71" s="58">
        <f t="shared" ca="1" si="111"/>
        <v>5154710.3846408697</v>
      </c>
      <c r="AB71" s="58">
        <f t="shared" ca="1" si="111"/>
        <v>1727675.3214727347</v>
      </c>
      <c r="AC71" s="58">
        <f t="shared" ca="1" si="111"/>
        <v>886005.65407112206</v>
      </c>
      <c r="AD71" s="58">
        <f t="shared" ca="1" si="111"/>
        <v>11968752.675413964</v>
      </c>
      <c r="AE71" s="58">
        <f t="shared" ca="1" si="111"/>
        <v>167931.41538877413</v>
      </c>
      <c r="AF71" s="58">
        <f t="shared" ca="1" si="111"/>
        <v>1286246.6600873652</v>
      </c>
      <c r="AG71" s="58">
        <v>0</v>
      </c>
      <c r="AH71" s="16"/>
      <c r="AI71" s="16">
        <f ca="1">+SUM(AJ71:AR71)</f>
        <v>16056189.021147538</v>
      </c>
      <c r="AJ71" s="58">
        <f t="shared" ref="AJ71:AR71" ca="1" si="112">+SUM(AJ67:AJ70)</f>
        <v>973800.49520566175</v>
      </c>
      <c r="AK71" s="58">
        <f t="shared" ca="1" si="112"/>
        <v>4884096.4087318704</v>
      </c>
      <c r="AL71" s="58">
        <f t="shared" ca="1" si="112"/>
        <v>2952437.1446873909</v>
      </c>
      <c r="AM71" s="58">
        <f t="shared" ca="1" si="112"/>
        <v>0</v>
      </c>
      <c r="AN71" s="58">
        <f t="shared" ca="1" si="112"/>
        <v>0</v>
      </c>
      <c r="AO71" s="58">
        <f t="shared" ca="1" si="112"/>
        <v>4240168.8290630765</v>
      </c>
      <c r="AP71" s="58">
        <f t="shared" ca="1" si="112"/>
        <v>5.1135160161385491E-6</v>
      </c>
      <c r="AQ71" s="58">
        <f t="shared" ca="1" si="112"/>
        <v>303591.80399183341</v>
      </c>
      <c r="AR71" s="58">
        <f t="shared" ca="1" si="112"/>
        <v>0</v>
      </c>
      <c r="AS71" s="21"/>
      <c r="AT71" s="16">
        <f ca="1">+SUM(AU71:BC71)</f>
        <v>22281703.031152464</v>
      </c>
      <c r="AU71" s="58">
        <f t="shared" ref="AU71:BB71" ca="1" si="113">+SUM(AU67:AU70)</f>
        <v>3030384.0389604871</v>
      </c>
      <c r="AV71" s="58">
        <f t="shared" ca="1" si="113"/>
        <v>14881386.35815219</v>
      </c>
      <c r="AW71" s="58">
        <f t="shared" ca="1" si="113"/>
        <v>3515458.8162998268</v>
      </c>
      <c r="AX71" s="58">
        <f t="shared" ca="1" si="113"/>
        <v>0</v>
      </c>
      <c r="AY71" s="58">
        <f t="shared" ca="1" si="113"/>
        <v>0</v>
      </c>
      <c r="AZ71" s="58">
        <f t="shared" ca="1" si="113"/>
        <v>0</v>
      </c>
      <c r="BA71" s="58">
        <f t="shared" ca="1" si="113"/>
        <v>0</v>
      </c>
      <c r="BB71" s="58">
        <f t="shared" ca="1" si="113"/>
        <v>854473.8177399612</v>
      </c>
      <c r="BC71" s="58">
        <v>0</v>
      </c>
    </row>
    <row r="72" spans="2:55">
      <c r="B72" s="15"/>
      <c r="C72" s="15"/>
      <c r="D72" s="15"/>
      <c r="E72" s="15"/>
      <c r="F72" s="15"/>
      <c r="G72" s="15"/>
      <c r="H72" s="15"/>
      <c r="I72" s="15"/>
      <c r="J72" s="15"/>
      <c r="K72" s="21"/>
      <c r="M72" s="15"/>
      <c r="N72" s="15"/>
      <c r="O72" s="15"/>
      <c r="P72" s="15"/>
      <c r="Q72" s="15"/>
      <c r="R72" s="15"/>
      <c r="S72" s="15"/>
      <c r="T72" s="15"/>
      <c r="U72" s="15"/>
      <c r="V72" s="21"/>
      <c r="W72" s="21"/>
      <c r="X72" s="21"/>
      <c r="Y72" s="15"/>
      <c r="Z72" s="15"/>
      <c r="AA72" s="15"/>
      <c r="AB72" s="15"/>
      <c r="AC72" s="15"/>
      <c r="AD72" s="15"/>
      <c r="AE72" s="15"/>
      <c r="AF72" s="15"/>
      <c r="AG72" s="15"/>
      <c r="AH72" s="21"/>
      <c r="AI72" s="21"/>
      <c r="AJ72" s="15"/>
      <c r="AK72" s="15"/>
      <c r="AL72" s="15"/>
      <c r="AM72" s="15"/>
      <c r="AN72" s="15"/>
      <c r="AO72" s="15"/>
      <c r="AP72" s="15"/>
      <c r="AQ72" s="15"/>
      <c r="AR72" s="15"/>
      <c r="AS72" s="21"/>
      <c r="AT72" s="21"/>
      <c r="AU72" s="15"/>
      <c r="AV72" s="15"/>
      <c r="AW72" s="15"/>
      <c r="AX72" s="15"/>
      <c r="AY72" s="15"/>
      <c r="AZ72" s="15"/>
      <c r="BA72" s="15"/>
      <c r="BB72" s="15"/>
      <c r="BC72" s="15">
        <v>0</v>
      </c>
    </row>
    <row r="73" spans="2:55" ht="32.25" customHeight="1">
      <c r="B73" s="444" t="s">
        <v>350</v>
      </c>
      <c r="C73" s="445"/>
      <c r="D73" s="445"/>
      <c r="E73" s="445"/>
      <c r="F73" s="445"/>
      <c r="G73" s="444" t="s">
        <v>70</v>
      </c>
      <c r="H73" s="446" t="str">
        <f>+H$23</f>
        <v>I</v>
      </c>
      <c r="I73" s="446" t="str">
        <f t="shared" ref="I73:J73" si="114">+I$23</f>
        <v>II</v>
      </c>
      <c r="J73" s="446" t="str">
        <f t="shared" si="114"/>
        <v>III</v>
      </c>
      <c r="K73" s="21"/>
      <c r="M73" s="537" t="str">
        <f t="shared" ref="M73:U73" ca="1" si="115">+M$23</f>
        <v>Affordable Residential</v>
      </c>
      <c r="N73" s="537" t="str">
        <f t="shared" ca="1" si="115"/>
        <v>Market Rate Residential</v>
      </c>
      <c r="O73" s="537" t="str">
        <f t="shared" ca="1" si="115"/>
        <v>Retail</v>
      </c>
      <c r="P73" s="537" t="str">
        <f t="shared" ca="1" si="115"/>
        <v>Hotel</v>
      </c>
      <c r="Q73" s="537" t="str">
        <f t="shared" ca="1" si="115"/>
        <v>Museum</v>
      </c>
      <c r="R73" s="537" t="str">
        <f t="shared" ca="1" si="115"/>
        <v>Office</v>
      </c>
      <c r="S73" s="537" t="str">
        <f t="shared" ca="1" si="115"/>
        <v>Light Industrial/Flex</v>
      </c>
      <c r="T73" s="537" t="str">
        <f t="shared" ca="1" si="115"/>
        <v>Structural Parking</v>
      </c>
      <c r="U73" s="537" t="str">
        <f t="shared" ca="1" si="115"/>
        <v>Surface Parking</v>
      </c>
      <c r="V73" s="21"/>
      <c r="W73" s="21"/>
      <c r="X73" s="21"/>
      <c r="Y73" s="537" t="str">
        <f t="shared" ref="Y73:AG73" ca="1" si="116">+Y$23</f>
        <v>Affordable Residential</v>
      </c>
      <c r="Z73" s="537" t="str">
        <f t="shared" ca="1" si="116"/>
        <v>Market Rate Residential</v>
      </c>
      <c r="AA73" s="537" t="str">
        <f t="shared" ca="1" si="116"/>
        <v>Retail</v>
      </c>
      <c r="AB73" s="537" t="str">
        <f t="shared" ca="1" si="116"/>
        <v>Hotel</v>
      </c>
      <c r="AC73" s="537" t="str">
        <f t="shared" ca="1" si="116"/>
        <v>Museum</v>
      </c>
      <c r="AD73" s="537" t="str">
        <f t="shared" ca="1" si="116"/>
        <v>Office</v>
      </c>
      <c r="AE73" s="537" t="str">
        <f t="shared" ca="1" si="116"/>
        <v>Light Industrial/Flex</v>
      </c>
      <c r="AF73" s="537" t="str">
        <f t="shared" ca="1" si="116"/>
        <v>Structural Parking</v>
      </c>
      <c r="AG73" s="537" t="str">
        <f t="shared" ca="1" si="116"/>
        <v>Surface Parking</v>
      </c>
      <c r="AH73" s="21"/>
      <c r="AI73" s="21"/>
      <c r="AJ73" s="537" t="str">
        <f t="shared" ref="AJ73:AR73" ca="1" si="117">+AJ$23</f>
        <v>Affordable Residential</v>
      </c>
      <c r="AK73" s="537" t="str">
        <f t="shared" ca="1" si="117"/>
        <v>Market Rate Residential</v>
      </c>
      <c r="AL73" s="537" t="str">
        <f t="shared" ca="1" si="117"/>
        <v>Retail</v>
      </c>
      <c r="AM73" s="537" t="str">
        <f t="shared" ca="1" si="117"/>
        <v>Hotel</v>
      </c>
      <c r="AN73" s="537" t="str">
        <f t="shared" ca="1" si="117"/>
        <v>Museum</v>
      </c>
      <c r="AO73" s="537" t="str">
        <f t="shared" ca="1" si="117"/>
        <v>Office</v>
      </c>
      <c r="AP73" s="537" t="str">
        <f t="shared" ca="1" si="117"/>
        <v>Light Industrial/Flex</v>
      </c>
      <c r="AQ73" s="537" t="str">
        <f t="shared" ca="1" si="117"/>
        <v>Structural Parking</v>
      </c>
      <c r="AR73" s="537" t="str">
        <f t="shared" ca="1" si="117"/>
        <v>Surface Parking</v>
      </c>
      <c r="AS73" s="21"/>
      <c r="AT73" s="21"/>
      <c r="AU73" s="537" t="str">
        <f t="shared" ref="AU73:BC73" ca="1" si="118">+AU$23</f>
        <v>Affordable Residential</v>
      </c>
      <c r="AV73" s="537" t="str">
        <f t="shared" ca="1" si="118"/>
        <v>Market Rate Residential</v>
      </c>
      <c r="AW73" s="537" t="str">
        <f t="shared" ca="1" si="118"/>
        <v>Retail</v>
      </c>
      <c r="AX73" s="537" t="str">
        <f t="shared" ca="1" si="118"/>
        <v>Hotel</v>
      </c>
      <c r="AY73" s="537" t="str">
        <f t="shared" ca="1" si="118"/>
        <v>Museum</v>
      </c>
      <c r="AZ73" s="537" t="str">
        <f t="shared" ca="1" si="118"/>
        <v>Office</v>
      </c>
      <c r="BA73" s="537" t="str">
        <f t="shared" ca="1" si="118"/>
        <v>Light Industrial/Flex</v>
      </c>
      <c r="BB73" s="537" t="str">
        <f t="shared" ca="1" si="118"/>
        <v>Structural Parking</v>
      </c>
      <c r="BC73" s="537" t="str">
        <f t="shared" ca="1" si="118"/>
        <v>Surface Parking</v>
      </c>
    </row>
    <row r="74" spans="2:55" ht="15.75">
      <c r="B74" s="15" t="s">
        <v>430</v>
      </c>
      <c r="C74" s="15"/>
      <c r="D74" s="15"/>
      <c r="E74" s="24"/>
      <c r="F74" s="47">
        <f t="shared" ref="F74:F76" ca="1" si="119">+G74/$G$10</f>
        <v>0.23993266529681109</v>
      </c>
      <c r="G74" s="26">
        <v>1000000</v>
      </c>
      <c r="H74" s="16">
        <f t="shared" ref="H74:J75" ca="1" si="120">+$G74*H$21</f>
        <v>437125.40512630536</v>
      </c>
      <c r="I74" s="16">
        <f t="shared" ca="1" si="120"/>
        <v>318310.26940599387</v>
      </c>
      <c r="J74" s="16">
        <f t="shared" ca="1" si="120"/>
        <v>244564.32546770075</v>
      </c>
      <c r="K74" s="21"/>
      <c r="M74" s="19">
        <f t="shared" ref="M74:U75" ca="1" si="121">+$H74*M$5+$I74*M$6+$J74*M$7</f>
        <v>239855.88684391615</v>
      </c>
      <c r="N74" s="19">
        <f t="shared" ca="1" si="121"/>
        <v>359783.83026587416</v>
      </c>
      <c r="O74" s="19">
        <f t="shared" ca="1" si="121"/>
        <v>66468.546267175581</v>
      </c>
      <c r="P74" s="19">
        <f t="shared" ca="1" si="121"/>
        <v>19016.103320764061</v>
      </c>
      <c r="Q74" s="19">
        <f t="shared" ca="1" si="121"/>
        <v>30093.554544852534</v>
      </c>
      <c r="R74" s="19">
        <f t="shared" ca="1" si="121"/>
        <v>151862.26137496773</v>
      </c>
      <c r="S74" s="19">
        <f t="shared" ca="1" si="121"/>
        <v>9065.6158255747105</v>
      </c>
      <c r="T74" s="19">
        <f t="shared" ca="1" si="121"/>
        <v>123854.20155687508</v>
      </c>
      <c r="U74" s="19">
        <f t="shared" ca="1" si="121"/>
        <v>0</v>
      </c>
      <c r="V74" s="21"/>
      <c r="W74" s="21"/>
      <c r="X74" s="21"/>
      <c r="Y74" s="19">
        <f t="shared" ref="Y74:AG75" ca="1" si="122">+$H74*Y$5+$I74*Y$6+$J74*Y$7</f>
        <v>85435.511378086856</v>
      </c>
      <c r="Z74" s="19">
        <f t="shared" ca="1" si="122"/>
        <v>128153.26706713029</v>
      </c>
      <c r="AA74" s="19">
        <f t="shared" ca="1" si="122"/>
        <v>26513.999111289409</v>
      </c>
      <c r="AB74" s="19">
        <f t="shared" ca="1" si="122"/>
        <v>19016.103320764061</v>
      </c>
      <c r="AC74" s="19">
        <f t="shared" ca="1" si="122"/>
        <v>30093.554544852534</v>
      </c>
      <c r="AD74" s="19">
        <f t="shared" ca="1" si="122"/>
        <v>77780.65163792434</v>
      </c>
      <c r="AE74" s="19">
        <f t="shared" ca="1" si="122"/>
        <v>9065.6158255747105</v>
      </c>
      <c r="AF74" s="19">
        <f t="shared" ca="1" si="122"/>
        <v>61066.702240683175</v>
      </c>
      <c r="AG74" s="19">
        <f t="shared" ca="1" si="122"/>
        <v>0</v>
      </c>
      <c r="AH74" s="21"/>
      <c r="AI74" s="21"/>
      <c r="AJ74" s="19">
        <f t="shared" ref="AJ74:AR75" ca="1" si="123">+$H74*AJ$5+$I74*AJ$6+$J74*AJ$7</f>
        <v>71862.904394510726</v>
      </c>
      <c r="AK74" s="19">
        <f t="shared" ca="1" si="123"/>
        <v>107794.35659176606</v>
      </c>
      <c r="AL74" s="19">
        <f t="shared" ca="1" si="123"/>
        <v>30213.520877500934</v>
      </c>
      <c r="AM74" s="19">
        <f t="shared" ca="1" si="123"/>
        <v>0</v>
      </c>
      <c r="AN74" s="19">
        <f t="shared" ca="1" si="123"/>
        <v>0</v>
      </c>
      <c r="AO74" s="19">
        <f t="shared" ca="1" si="123"/>
        <v>74081.609737043385</v>
      </c>
      <c r="AP74" s="19">
        <f t="shared" ca="1" si="123"/>
        <v>0</v>
      </c>
      <c r="AQ74" s="19">
        <f t="shared" ca="1" si="123"/>
        <v>34357.87780517275</v>
      </c>
      <c r="AR74" s="19">
        <f t="shared" ca="1" si="123"/>
        <v>0</v>
      </c>
      <c r="AS74" s="21"/>
      <c r="AT74" s="21"/>
      <c r="AU74" s="19">
        <f t="shared" ref="AU74:BC75" ca="1" si="124">+$H74*AU$5+$I74*AU$6+$J74*AU$7</f>
        <v>82557.471071318549</v>
      </c>
      <c r="AV74" s="19">
        <f t="shared" ca="1" si="124"/>
        <v>123836.20660697781</v>
      </c>
      <c r="AW74" s="19">
        <f t="shared" ca="1" si="124"/>
        <v>9741.026278385234</v>
      </c>
      <c r="AX74" s="19">
        <f t="shared" ca="1" si="124"/>
        <v>0</v>
      </c>
      <c r="AY74" s="19">
        <f t="shared" ca="1" si="124"/>
        <v>0</v>
      </c>
      <c r="AZ74" s="19">
        <f t="shared" ca="1" si="124"/>
        <v>0</v>
      </c>
      <c r="BA74" s="19">
        <f t="shared" ca="1" si="124"/>
        <v>0</v>
      </c>
      <c r="BB74" s="19">
        <f t="shared" ca="1" si="124"/>
        <v>28429.621511019148</v>
      </c>
      <c r="BC74" s="19">
        <f t="shared" ca="1" si="124"/>
        <v>0</v>
      </c>
    </row>
    <row r="75" spans="2:55" ht="15.75">
      <c r="B75" s="15" t="s">
        <v>431</v>
      </c>
      <c r="C75" s="15"/>
      <c r="D75" s="15"/>
      <c r="E75" s="24"/>
      <c r="F75" s="47">
        <f t="shared" ca="1" si="119"/>
        <v>0.23993266529681109</v>
      </c>
      <c r="G75" s="13">
        <v>1000000</v>
      </c>
      <c r="H75" s="16">
        <f t="shared" ca="1" si="120"/>
        <v>437125.40512630536</v>
      </c>
      <c r="I75" s="16">
        <f t="shared" ca="1" si="120"/>
        <v>318310.26940599387</v>
      </c>
      <c r="J75" s="16">
        <f t="shared" ca="1" si="120"/>
        <v>244564.32546770075</v>
      </c>
      <c r="K75" s="21"/>
      <c r="M75" s="19">
        <f t="shared" ca="1" si="121"/>
        <v>239855.88684391615</v>
      </c>
      <c r="N75" s="19">
        <f t="shared" ca="1" si="121"/>
        <v>359783.83026587416</v>
      </c>
      <c r="O75" s="19">
        <f t="shared" ca="1" si="121"/>
        <v>66468.546267175581</v>
      </c>
      <c r="P75" s="19">
        <f t="shared" ca="1" si="121"/>
        <v>19016.103320764061</v>
      </c>
      <c r="Q75" s="19">
        <f t="shared" ca="1" si="121"/>
        <v>30093.554544852534</v>
      </c>
      <c r="R75" s="19">
        <f t="shared" ca="1" si="121"/>
        <v>151862.26137496773</v>
      </c>
      <c r="S75" s="19">
        <f t="shared" ca="1" si="121"/>
        <v>9065.6158255747105</v>
      </c>
      <c r="T75" s="19">
        <f t="shared" ca="1" si="121"/>
        <v>123854.20155687508</v>
      </c>
      <c r="U75" s="19">
        <f t="shared" ca="1" si="121"/>
        <v>0</v>
      </c>
      <c r="V75" s="21"/>
      <c r="W75" s="21"/>
      <c r="X75" s="21"/>
      <c r="Y75" s="19">
        <f t="shared" ca="1" si="122"/>
        <v>85435.511378086856</v>
      </c>
      <c r="Z75" s="19">
        <f t="shared" ca="1" si="122"/>
        <v>128153.26706713029</v>
      </c>
      <c r="AA75" s="19">
        <f t="shared" ca="1" si="122"/>
        <v>26513.999111289409</v>
      </c>
      <c r="AB75" s="19">
        <f t="shared" ca="1" si="122"/>
        <v>19016.103320764061</v>
      </c>
      <c r="AC75" s="19">
        <f t="shared" ca="1" si="122"/>
        <v>30093.554544852534</v>
      </c>
      <c r="AD75" s="19">
        <f t="shared" ca="1" si="122"/>
        <v>77780.65163792434</v>
      </c>
      <c r="AE75" s="19">
        <f t="shared" ca="1" si="122"/>
        <v>9065.6158255747105</v>
      </c>
      <c r="AF75" s="19">
        <f t="shared" ca="1" si="122"/>
        <v>61066.702240683175</v>
      </c>
      <c r="AG75" s="19">
        <f t="shared" ca="1" si="122"/>
        <v>0</v>
      </c>
      <c r="AH75" s="21"/>
      <c r="AI75" s="21"/>
      <c r="AJ75" s="19">
        <f t="shared" ca="1" si="123"/>
        <v>71862.904394510726</v>
      </c>
      <c r="AK75" s="19">
        <f t="shared" ca="1" si="123"/>
        <v>107794.35659176606</v>
      </c>
      <c r="AL75" s="19">
        <f t="shared" ca="1" si="123"/>
        <v>30213.520877500934</v>
      </c>
      <c r="AM75" s="19">
        <f t="shared" ca="1" si="123"/>
        <v>0</v>
      </c>
      <c r="AN75" s="19">
        <f t="shared" ca="1" si="123"/>
        <v>0</v>
      </c>
      <c r="AO75" s="19">
        <f t="shared" ca="1" si="123"/>
        <v>74081.609737043385</v>
      </c>
      <c r="AP75" s="19">
        <f t="shared" ca="1" si="123"/>
        <v>0</v>
      </c>
      <c r="AQ75" s="19">
        <f t="shared" ca="1" si="123"/>
        <v>34357.87780517275</v>
      </c>
      <c r="AR75" s="19">
        <f t="shared" ca="1" si="123"/>
        <v>0</v>
      </c>
      <c r="AS75" s="21"/>
      <c r="AT75" s="21"/>
      <c r="AU75" s="19">
        <f t="shared" ca="1" si="124"/>
        <v>82557.471071318549</v>
      </c>
      <c r="AV75" s="19">
        <f t="shared" ca="1" si="124"/>
        <v>123836.20660697781</v>
      </c>
      <c r="AW75" s="19">
        <f t="shared" ca="1" si="124"/>
        <v>9741.026278385234</v>
      </c>
      <c r="AX75" s="19">
        <f t="shared" ca="1" si="124"/>
        <v>0</v>
      </c>
      <c r="AY75" s="19">
        <f t="shared" ca="1" si="124"/>
        <v>0</v>
      </c>
      <c r="AZ75" s="19">
        <f t="shared" ca="1" si="124"/>
        <v>0</v>
      </c>
      <c r="BA75" s="19">
        <f t="shared" ca="1" si="124"/>
        <v>0</v>
      </c>
      <c r="BB75" s="19">
        <f t="shared" ca="1" si="124"/>
        <v>28429.621511019148</v>
      </c>
      <c r="BC75" s="19">
        <f t="shared" ca="1" si="124"/>
        <v>0</v>
      </c>
    </row>
    <row r="76" spans="2:55" ht="15.75">
      <c r="B76" s="17" t="s">
        <v>432</v>
      </c>
      <c r="C76" s="17"/>
      <c r="D76" s="17"/>
      <c r="E76" s="17"/>
      <c r="F76" s="48">
        <f t="shared" ca="1" si="119"/>
        <v>0.47986533059362219</v>
      </c>
      <c r="G76" s="18">
        <f>+SUM(G74:G75)</f>
        <v>2000000</v>
      </c>
      <c r="H76" s="58">
        <f ca="1">+SUM(H74:H75)</f>
        <v>874250.81025261071</v>
      </c>
      <c r="I76" s="58">
        <f ca="1">+SUM(I74:I75)</f>
        <v>636620.53881198773</v>
      </c>
      <c r="J76" s="58">
        <f ca="1">+SUM(J74:J75)</f>
        <v>489128.6509354015</v>
      </c>
      <c r="K76" s="21"/>
      <c r="M76" s="58">
        <f t="shared" ref="M76:U76" ca="1" si="125">+SUM(M74:M75)</f>
        <v>479711.77368783229</v>
      </c>
      <c r="N76" s="58">
        <f t="shared" ca="1" si="125"/>
        <v>719567.66053174832</v>
      </c>
      <c r="O76" s="58">
        <f t="shared" ca="1" si="125"/>
        <v>132937.09253435116</v>
      </c>
      <c r="P76" s="58">
        <f t="shared" ca="1" si="125"/>
        <v>38032.206641528122</v>
      </c>
      <c r="Q76" s="58">
        <f t="shared" ca="1" si="125"/>
        <v>60187.109089705067</v>
      </c>
      <c r="R76" s="58">
        <f t="shared" ca="1" si="125"/>
        <v>303724.52274993545</v>
      </c>
      <c r="S76" s="58">
        <f t="shared" ca="1" si="125"/>
        <v>18131.231651149421</v>
      </c>
      <c r="T76" s="58">
        <f t="shared" ca="1" si="125"/>
        <v>247708.40311375016</v>
      </c>
      <c r="U76" s="58">
        <f t="shared" ca="1" si="125"/>
        <v>0</v>
      </c>
      <c r="V76" s="21"/>
      <c r="W76" s="21"/>
      <c r="X76" s="16">
        <f ca="1">+SUM(Y76:AG76)</f>
        <v>874250.81025261094</v>
      </c>
      <c r="Y76" s="58">
        <f t="shared" ref="Y76:AG76" ca="1" si="126">+SUM(Y74:Y75)</f>
        <v>170871.02275617371</v>
      </c>
      <c r="Z76" s="58">
        <f t="shared" ca="1" si="126"/>
        <v>256306.53413426058</v>
      </c>
      <c r="AA76" s="58">
        <f t="shared" ca="1" si="126"/>
        <v>53027.998222578819</v>
      </c>
      <c r="AB76" s="58">
        <f t="shared" ca="1" si="126"/>
        <v>38032.206641528122</v>
      </c>
      <c r="AC76" s="58">
        <f t="shared" ca="1" si="126"/>
        <v>60187.109089705067</v>
      </c>
      <c r="AD76" s="58">
        <f t="shared" ca="1" si="126"/>
        <v>155561.30327584868</v>
      </c>
      <c r="AE76" s="58">
        <f t="shared" ca="1" si="126"/>
        <v>18131.231651149421</v>
      </c>
      <c r="AF76" s="58">
        <f t="shared" ca="1" si="126"/>
        <v>122133.40448136635</v>
      </c>
      <c r="AG76" s="58">
        <f t="shared" ca="1" si="126"/>
        <v>0</v>
      </c>
      <c r="AH76" s="16"/>
      <c r="AI76" s="16">
        <f ca="1">+SUM(AJ76:AR76)</f>
        <v>636620.53881198773</v>
      </c>
      <c r="AJ76" s="58">
        <f t="shared" ref="AJ76:AR76" ca="1" si="127">+SUM(AJ74:AJ75)</f>
        <v>143725.80878902145</v>
      </c>
      <c r="AK76" s="58">
        <f t="shared" ca="1" si="127"/>
        <v>215588.71318353212</v>
      </c>
      <c r="AL76" s="58">
        <f t="shared" ca="1" si="127"/>
        <v>60427.041755001868</v>
      </c>
      <c r="AM76" s="58">
        <f t="shared" ca="1" si="127"/>
        <v>0</v>
      </c>
      <c r="AN76" s="58">
        <f t="shared" ca="1" si="127"/>
        <v>0</v>
      </c>
      <c r="AO76" s="58">
        <f t="shared" ca="1" si="127"/>
        <v>148163.21947408677</v>
      </c>
      <c r="AP76" s="58">
        <f t="shared" ca="1" si="127"/>
        <v>0</v>
      </c>
      <c r="AQ76" s="58">
        <f t="shared" ca="1" si="127"/>
        <v>68715.755610345499</v>
      </c>
      <c r="AR76" s="58">
        <f t="shared" ca="1" si="127"/>
        <v>0</v>
      </c>
      <c r="AS76" s="21"/>
      <c r="AT76" s="16">
        <f ca="1">+SUM(AU76:BC76)</f>
        <v>489128.65093540144</v>
      </c>
      <c r="AU76" s="58">
        <f t="shared" ref="AU76:BC76" ca="1" si="128">+SUM(AU74:AU75)</f>
        <v>165114.9421426371</v>
      </c>
      <c r="AV76" s="58">
        <f t="shared" ca="1" si="128"/>
        <v>247672.41321395562</v>
      </c>
      <c r="AW76" s="58">
        <f t="shared" ca="1" si="128"/>
        <v>19482.052556770468</v>
      </c>
      <c r="AX76" s="58">
        <f t="shared" ca="1" si="128"/>
        <v>0</v>
      </c>
      <c r="AY76" s="58">
        <f t="shared" ca="1" si="128"/>
        <v>0</v>
      </c>
      <c r="AZ76" s="58">
        <f t="shared" ca="1" si="128"/>
        <v>0</v>
      </c>
      <c r="BA76" s="58">
        <f t="shared" ca="1" si="128"/>
        <v>0</v>
      </c>
      <c r="BB76" s="58">
        <f t="shared" ca="1" si="128"/>
        <v>56859.243022038296</v>
      </c>
      <c r="BC76" s="58">
        <f t="shared" ca="1" si="128"/>
        <v>0</v>
      </c>
    </row>
    <row r="77" spans="2:55">
      <c r="B77" s="15"/>
      <c r="C77" s="15"/>
      <c r="D77" s="15"/>
      <c r="E77" s="15"/>
      <c r="F77" s="15"/>
      <c r="G77" s="15"/>
      <c r="H77" s="15"/>
      <c r="I77" s="15"/>
      <c r="J77" s="15"/>
      <c r="K77" s="21"/>
      <c r="M77" s="15"/>
      <c r="N77" s="15"/>
      <c r="O77" s="15"/>
      <c r="P77" s="15"/>
      <c r="Q77" s="15"/>
      <c r="R77" s="15"/>
      <c r="S77" s="15"/>
      <c r="T77" s="15"/>
      <c r="U77" s="15"/>
      <c r="V77" s="21"/>
      <c r="W77" s="21"/>
      <c r="X77" s="21"/>
      <c r="Y77" s="15"/>
      <c r="Z77" s="15"/>
      <c r="AA77" s="15"/>
      <c r="AB77" s="15"/>
      <c r="AC77" s="15"/>
      <c r="AD77" s="15"/>
      <c r="AE77" s="15"/>
      <c r="AF77" s="15"/>
      <c r="AG77" s="15"/>
      <c r="AH77" s="21"/>
      <c r="AI77" s="21"/>
      <c r="AJ77" s="15"/>
      <c r="AK77" s="15"/>
      <c r="AL77" s="15"/>
      <c r="AM77" s="15"/>
      <c r="AN77" s="15"/>
      <c r="AO77" s="15"/>
      <c r="AP77" s="15"/>
      <c r="AQ77" s="15"/>
      <c r="AR77" s="15"/>
      <c r="AS77" s="21"/>
      <c r="AT77" s="21"/>
      <c r="AU77" s="15"/>
      <c r="AV77" s="15"/>
      <c r="AW77" s="15"/>
      <c r="AX77" s="15"/>
      <c r="AY77" s="15"/>
      <c r="AZ77" s="15"/>
      <c r="BA77" s="15"/>
      <c r="BB77" s="15"/>
      <c r="BC77" s="15"/>
    </row>
    <row r="78" spans="2:55" ht="32.25" customHeight="1">
      <c r="B78" s="444" t="s">
        <v>351</v>
      </c>
      <c r="C78" s="445"/>
      <c r="D78" s="445"/>
      <c r="E78" s="445"/>
      <c r="F78" s="445"/>
      <c r="G78" s="444" t="s">
        <v>70</v>
      </c>
      <c r="H78" s="446" t="str">
        <f>+H$23</f>
        <v>I</v>
      </c>
      <c r="I78" s="446" t="str">
        <f t="shared" ref="I78:J78" si="129">+I$23</f>
        <v>II</v>
      </c>
      <c r="J78" s="446" t="str">
        <f t="shared" si="129"/>
        <v>III</v>
      </c>
      <c r="K78" s="21"/>
      <c r="M78" s="537" t="str">
        <f t="shared" ref="M78:U78" ca="1" si="130">+M$23</f>
        <v>Affordable Residential</v>
      </c>
      <c r="N78" s="537" t="str">
        <f t="shared" ca="1" si="130"/>
        <v>Market Rate Residential</v>
      </c>
      <c r="O78" s="537" t="str">
        <f t="shared" ca="1" si="130"/>
        <v>Retail</v>
      </c>
      <c r="P78" s="537" t="str">
        <f t="shared" ca="1" si="130"/>
        <v>Hotel</v>
      </c>
      <c r="Q78" s="537" t="str">
        <f t="shared" ca="1" si="130"/>
        <v>Museum</v>
      </c>
      <c r="R78" s="537" t="str">
        <f t="shared" ca="1" si="130"/>
        <v>Office</v>
      </c>
      <c r="S78" s="537" t="str">
        <f t="shared" ca="1" si="130"/>
        <v>Light Industrial/Flex</v>
      </c>
      <c r="T78" s="537" t="str">
        <f t="shared" ca="1" si="130"/>
        <v>Structural Parking</v>
      </c>
      <c r="U78" s="537" t="str">
        <f t="shared" ca="1" si="130"/>
        <v>Surface Parking</v>
      </c>
      <c r="V78" s="21"/>
      <c r="W78" s="21"/>
      <c r="X78" s="21"/>
      <c r="Y78" s="537" t="str">
        <f t="shared" ref="Y78:AG78" ca="1" si="131">+Y$23</f>
        <v>Affordable Residential</v>
      </c>
      <c r="Z78" s="537" t="str">
        <f t="shared" ca="1" si="131"/>
        <v>Market Rate Residential</v>
      </c>
      <c r="AA78" s="537" t="str">
        <f t="shared" ca="1" si="131"/>
        <v>Retail</v>
      </c>
      <c r="AB78" s="537" t="str">
        <f t="shared" ca="1" si="131"/>
        <v>Hotel</v>
      </c>
      <c r="AC78" s="537" t="str">
        <f t="shared" ca="1" si="131"/>
        <v>Museum</v>
      </c>
      <c r="AD78" s="537" t="str">
        <f t="shared" ca="1" si="131"/>
        <v>Office</v>
      </c>
      <c r="AE78" s="537" t="str">
        <f t="shared" ca="1" si="131"/>
        <v>Light Industrial/Flex</v>
      </c>
      <c r="AF78" s="537" t="str">
        <f t="shared" ca="1" si="131"/>
        <v>Structural Parking</v>
      </c>
      <c r="AG78" s="537" t="str">
        <f t="shared" ca="1" si="131"/>
        <v>Surface Parking</v>
      </c>
      <c r="AH78" s="21"/>
      <c r="AI78" s="21"/>
      <c r="AJ78" s="537" t="str">
        <f t="shared" ref="AJ78:AR78" ca="1" si="132">+AJ$23</f>
        <v>Affordable Residential</v>
      </c>
      <c r="AK78" s="537" t="str">
        <f t="shared" ca="1" si="132"/>
        <v>Market Rate Residential</v>
      </c>
      <c r="AL78" s="537" t="str">
        <f t="shared" ca="1" si="132"/>
        <v>Retail</v>
      </c>
      <c r="AM78" s="537" t="str">
        <f t="shared" ca="1" si="132"/>
        <v>Hotel</v>
      </c>
      <c r="AN78" s="537" t="str">
        <f t="shared" ca="1" si="132"/>
        <v>Museum</v>
      </c>
      <c r="AO78" s="537" t="str">
        <f t="shared" ca="1" si="132"/>
        <v>Office</v>
      </c>
      <c r="AP78" s="537" t="str">
        <f t="shared" ca="1" si="132"/>
        <v>Light Industrial/Flex</v>
      </c>
      <c r="AQ78" s="537" t="str">
        <f t="shared" ca="1" si="132"/>
        <v>Structural Parking</v>
      </c>
      <c r="AR78" s="537" t="str">
        <f t="shared" ca="1" si="132"/>
        <v>Surface Parking</v>
      </c>
      <c r="AS78" s="21"/>
      <c r="AT78" s="21"/>
      <c r="AU78" s="537" t="str">
        <f t="shared" ref="AU78:BC78" ca="1" si="133">+AU$23</f>
        <v>Affordable Residential</v>
      </c>
      <c r="AV78" s="537" t="str">
        <f t="shared" ca="1" si="133"/>
        <v>Market Rate Residential</v>
      </c>
      <c r="AW78" s="537" t="str">
        <f t="shared" ca="1" si="133"/>
        <v>Retail</v>
      </c>
      <c r="AX78" s="537" t="str">
        <f t="shared" ca="1" si="133"/>
        <v>Hotel</v>
      </c>
      <c r="AY78" s="537" t="str">
        <f t="shared" ca="1" si="133"/>
        <v>Museum</v>
      </c>
      <c r="AZ78" s="537" t="str">
        <f t="shared" ca="1" si="133"/>
        <v>Office</v>
      </c>
      <c r="BA78" s="537" t="str">
        <f t="shared" ca="1" si="133"/>
        <v>Light Industrial/Flex</v>
      </c>
      <c r="BB78" s="537" t="str">
        <f t="shared" ca="1" si="133"/>
        <v>Structural Parking</v>
      </c>
      <c r="BC78" s="537" t="str">
        <f t="shared" ca="1" si="133"/>
        <v>Surface Parking</v>
      </c>
    </row>
    <row r="79" spans="2:55" ht="15.75">
      <c r="B79" s="15" t="s">
        <v>351</v>
      </c>
      <c r="C79" s="15"/>
      <c r="D79" s="933">
        <v>0.03</v>
      </c>
      <c r="E79" s="49">
        <v>0</v>
      </c>
      <c r="F79" s="929">
        <f t="shared" ref="F79:F82" ca="1" si="134">+G79/$G$10</f>
        <v>6.9750151998161831</v>
      </c>
      <c r="G79" s="23">
        <f ca="1">+SUM(H79:J79)</f>
        <v>25310251.04938215</v>
      </c>
      <c r="H79" s="16">
        <f ca="1">+$D79*SUM(H76,H71,H64,H45,H31)</f>
        <v>11329463.147659039</v>
      </c>
      <c r="I79" s="16">
        <f ca="1">+$D79*SUM(I76,I71,I64,I45,I31)</f>
        <v>8423106.0286267865</v>
      </c>
      <c r="J79" s="16">
        <f ca="1">+$D79*SUM(J76,J71,J64,J45,J31)</f>
        <v>7436400.2151571354</v>
      </c>
      <c r="K79" s="16"/>
      <c r="L79" s="16"/>
      <c r="M79" s="19">
        <f t="shared" ref="M79:U79" ca="1" si="135">+$H79*M$5+$I79*M$6+$J79*M$7</f>
        <v>7468208.39186446</v>
      </c>
      <c r="N79" s="19">
        <f t="shared" ca="1" si="135"/>
        <v>11202312.587796688</v>
      </c>
      <c r="O79" s="19">
        <f t="shared" ca="1" si="135"/>
        <v>1750589.8923451139</v>
      </c>
      <c r="P79" s="19">
        <f t="shared" ca="1" si="135"/>
        <v>497633.56776703056</v>
      </c>
      <c r="Q79" s="19">
        <f t="shared" ca="1" si="135"/>
        <v>787520.06456520408</v>
      </c>
      <c r="R79" s="19">
        <f t="shared" ca="1" si="135"/>
        <v>3533017.3773918152</v>
      </c>
      <c r="S79" s="19">
        <f t="shared" ca="1" si="135"/>
        <v>237238.65353423692</v>
      </c>
      <c r="T79" s="19">
        <f t="shared" ca="1" si="135"/>
        <v>3594198.9150765343</v>
      </c>
      <c r="U79" s="19">
        <f t="shared" ca="1" si="135"/>
        <v>0</v>
      </c>
      <c r="V79" s="21"/>
      <c r="W79" s="21"/>
      <c r="X79" s="16"/>
      <c r="Y79" s="19">
        <f t="shared" ref="Y79:AG79" ca="1" si="136">+$H79*Y$5+$I79*Y$6+$J79*Y$7</f>
        <v>2235767.1087459065</v>
      </c>
      <c r="Z79" s="19">
        <f t="shared" ca="1" si="136"/>
        <v>3353650.6631188598</v>
      </c>
      <c r="AA79" s="19">
        <f t="shared" ca="1" si="136"/>
        <v>693846.46007448621</v>
      </c>
      <c r="AB79" s="19">
        <f t="shared" ca="1" si="136"/>
        <v>497633.56776703056</v>
      </c>
      <c r="AC79" s="19">
        <f t="shared" ca="1" si="136"/>
        <v>787520.06456520408</v>
      </c>
      <c r="AD79" s="19">
        <f t="shared" ca="1" si="136"/>
        <v>2035446.6172657297</v>
      </c>
      <c r="AE79" s="19">
        <f t="shared" ca="1" si="136"/>
        <v>237238.65353423692</v>
      </c>
      <c r="AF79" s="19">
        <f t="shared" ca="1" si="136"/>
        <v>1598058.2559527801</v>
      </c>
      <c r="AG79" s="19">
        <f t="shared" ca="1" si="136"/>
        <v>0</v>
      </c>
      <c r="AH79" s="21"/>
      <c r="AI79" s="16"/>
      <c r="AJ79" s="19">
        <f t="shared" ref="AJ79:AR79" ca="1" si="137">+$H79*AJ$5+$I79*AJ$6+$J79*AJ$7</f>
        <v>1452719.3016047811</v>
      </c>
      <c r="AK79" s="19">
        <f t="shared" ca="1" si="137"/>
        <v>2179078.952407171</v>
      </c>
      <c r="AL79" s="19">
        <f t="shared" ca="1" si="137"/>
        <v>610770.81865810754</v>
      </c>
      <c r="AM79" s="19">
        <f t="shared" ca="1" si="137"/>
        <v>0</v>
      </c>
      <c r="AN79" s="19">
        <f t="shared" ca="1" si="137"/>
        <v>0</v>
      </c>
      <c r="AO79" s="19">
        <f t="shared" ca="1" si="137"/>
        <v>1497570.7601260853</v>
      </c>
      <c r="AP79" s="19">
        <f t="shared" ca="1" si="137"/>
        <v>0</v>
      </c>
      <c r="AQ79" s="19">
        <f t="shared" ca="1" si="137"/>
        <v>694549.61040463508</v>
      </c>
      <c r="AR79" s="19">
        <f t="shared" ca="1" si="137"/>
        <v>0</v>
      </c>
      <c r="AS79" s="21"/>
      <c r="AT79" s="16"/>
      <c r="AU79" s="19">
        <f t="shared" ref="AU79:BC79" ca="1" si="138">+$H79*AU$5+$I79*AU$6+$J79*AU$7</f>
        <v>3779721.9815137726</v>
      </c>
      <c r="AV79" s="19">
        <f t="shared" ca="1" si="138"/>
        <v>3765453.4924309496</v>
      </c>
      <c r="AW79" s="19">
        <f t="shared" ca="1" si="138"/>
        <v>445972.61361252033</v>
      </c>
      <c r="AX79" s="19">
        <f t="shared" ca="1" si="138"/>
        <v>0</v>
      </c>
      <c r="AY79" s="19">
        <f t="shared" ca="1" si="138"/>
        <v>0</v>
      </c>
      <c r="AZ79" s="19">
        <f t="shared" ca="1" si="138"/>
        <v>0</v>
      </c>
      <c r="BA79" s="19">
        <f t="shared" ca="1" si="138"/>
        <v>0</v>
      </c>
      <c r="BB79" s="19">
        <f t="shared" ca="1" si="138"/>
        <v>1301591.0487191193</v>
      </c>
      <c r="BC79" s="19">
        <f t="shared" ca="1" si="138"/>
        <v>0</v>
      </c>
    </row>
    <row r="80" spans="2:55" ht="15.75">
      <c r="B80" s="17" t="s">
        <v>433</v>
      </c>
      <c r="C80" s="17"/>
      <c r="D80" s="17"/>
      <c r="E80" s="17"/>
      <c r="F80" s="932">
        <f t="shared" ca="1" si="134"/>
        <v>6.0727559936096691</v>
      </c>
      <c r="G80" s="18">
        <f ca="1">+SUM(G79:G79)</f>
        <v>25310251.04938215</v>
      </c>
      <c r="H80" s="58">
        <f ca="1">+SUM(H79:H79)</f>
        <v>11439161.391024234</v>
      </c>
      <c r="I80" s="58">
        <f ca="1">+SUM(I79:I79)</f>
        <v>6434689.4432007801</v>
      </c>
      <c r="J80" s="58">
        <f ca="1">+SUM(J79:J79)</f>
        <v>7436400.2151571354</v>
      </c>
      <c r="K80" s="21"/>
      <c r="M80" s="58">
        <f t="shared" ref="M80:U80" ca="1" si="139">+SUM(M79:M79)</f>
        <v>7468208.39186446</v>
      </c>
      <c r="N80" s="58">
        <f t="shared" ca="1" si="139"/>
        <v>11202312.587796688</v>
      </c>
      <c r="O80" s="58">
        <f t="shared" ca="1" si="139"/>
        <v>1750589.8923451139</v>
      </c>
      <c r="P80" s="58">
        <f t="shared" ca="1" si="139"/>
        <v>497633.56776703056</v>
      </c>
      <c r="Q80" s="58">
        <f t="shared" ca="1" si="139"/>
        <v>787520.06456520408</v>
      </c>
      <c r="R80" s="58">
        <f t="shared" ca="1" si="139"/>
        <v>3533017.3773918152</v>
      </c>
      <c r="S80" s="58">
        <f t="shared" ca="1" si="139"/>
        <v>237238.65353423692</v>
      </c>
      <c r="T80" s="58">
        <f t="shared" ca="1" si="139"/>
        <v>3594198.9150765343</v>
      </c>
      <c r="U80" s="58">
        <f t="shared" ca="1" si="139"/>
        <v>0</v>
      </c>
      <c r="V80" s="21"/>
      <c r="W80" s="21"/>
      <c r="X80" s="16">
        <f ca="1">+SUM(Y80:AG80)</f>
        <v>11648702.455205359</v>
      </c>
      <c r="Y80" s="58">
        <f t="shared" ref="Y80:AG80" ca="1" si="140">+SUM(Y79:Y79)</f>
        <v>2235767.1087459065</v>
      </c>
      <c r="Z80" s="58">
        <f t="shared" ca="1" si="140"/>
        <v>3353650.6631188598</v>
      </c>
      <c r="AA80" s="58">
        <f t="shared" ca="1" si="140"/>
        <v>693846.46007448621</v>
      </c>
      <c r="AB80" s="58">
        <f t="shared" ca="1" si="140"/>
        <v>497633.56776703056</v>
      </c>
      <c r="AC80" s="58">
        <f t="shared" ca="1" si="140"/>
        <v>787520.06456520408</v>
      </c>
      <c r="AD80" s="58">
        <f t="shared" ca="1" si="140"/>
        <v>2035446.6172657297</v>
      </c>
      <c r="AE80" s="58">
        <f t="shared" ca="1" si="140"/>
        <v>237238.65353423692</v>
      </c>
      <c r="AF80" s="58">
        <f t="shared" ca="1" si="140"/>
        <v>1598058.2559527801</v>
      </c>
      <c r="AG80" s="58">
        <f t="shared" ca="1" si="140"/>
        <v>0</v>
      </c>
      <c r="AH80" s="16"/>
      <c r="AI80" s="16">
        <f ca="1">+SUM(AJ80:AR80)</f>
        <v>6403985.8963090023</v>
      </c>
      <c r="AJ80" s="58">
        <f t="shared" ref="AJ80:AR80" ca="1" si="141">+SUM(AJ79:AJ79)</f>
        <v>1452719.3016047811</v>
      </c>
      <c r="AK80" s="58">
        <f t="shared" ca="1" si="141"/>
        <v>2179078.952407171</v>
      </c>
      <c r="AL80" s="58">
        <f t="shared" ca="1" si="141"/>
        <v>610770.81865810754</v>
      </c>
      <c r="AM80" s="58">
        <f t="shared" ca="1" si="141"/>
        <v>0</v>
      </c>
      <c r="AN80" s="58">
        <f t="shared" ca="1" si="141"/>
        <v>0</v>
      </c>
      <c r="AO80" s="58">
        <f t="shared" ca="1" si="141"/>
        <v>1497570.7601260853</v>
      </c>
      <c r="AP80" s="58">
        <f t="shared" ca="1" si="141"/>
        <v>0</v>
      </c>
      <c r="AQ80" s="58">
        <f t="shared" ca="1" si="141"/>
        <v>694549.61040463508</v>
      </c>
      <c r="AR80" s="58">
        <f t="shared" ca="1" si="141"/>
        <v>0</v>
      </c>
      <c r="AS80" s="21"/>
      <c r="AT80" s="16">
        <f ca="1">+SUM(AU80:BC80)</f>
        <v>9105656.5486205071</v>
      </c>
      <c r="AU80" s="58">
        <f t="shared" ref="AU80:BC80" ca="1" si="142">+SUM(AU79:AU79)</f>
        <v>3779721.9815137726</v>
      </c>
      <c r="AV80" s="58">
        <f t="shared" ca="1" si="142"/>
        <v>3765453.4924309496</v>
      </c>
      <c r="AW80" s="58">
        <f t="shared" ca="1" si="142"/>
        <v>445972.61361252033</v>
      </c>
      <c r="AX80" s="58">
        <f t="shared" ca="1" si="142"/>
        <v>0</v>
      </c>
      <c r="AY80" s="58">
        <f t="shared" ca="1" si="142"/>
        <v>0</v>
      </c>
      <c r="AZ80" s="58">
        <f t="shared" ca="1" si="142"/>
        <v>0</v>
      </c>
      <c r="BA80" s="58">
        <f t="shared" ca="1" si="142"/>
        <v>0</v>
      </c>
      <c r="BB80" s="58">
        <f t="shared" ca="1" si="142"/>
        <v>1301591.0487191193</v>
      </c>
      <c r="BC80" s="58">
        <f t="shared" ca="1" si="142"/>
        <v>0</v>
      </c>
    </row>
    <row r="81" spans="2:55">
      <c r="B81" s="15"/>
      <c r="C81" s="15"/>
      <c r="D81" s="15"/>
      <c r="E81" s="15"/>
      <c r="F81" s="15"/>
      <c r="G81" s="7"/>
      <c r="H81" s="15"/>
      <c r="I81" s="15"/>
      <c r="J81" s="15"/>
      <c r="K81" s="21"/>
      <c r="M81" s="15"/>
      <c r="N81" s="15"/>
      <c r="O81" s="15"/>
      <c r="P81" s="15"/>
      <c r="Q81" s="15"/>
      <c r="R81" s="15"/>
      <c r="S81" s="15"/>
      <c r="T81" s="15"/>
      <c r="U81" s="15"/>
      <c r="V81" s="21"/>
      <c r="W81" s="21"/>
      <c r="X81" s="21"/>
      <c r="Y81" s="15"/>
      <c r="Z81" s="15"/>
      <c r="AA81" s="15"/>
      <c r="AB81" s="15"/>
      <c r="AC81" s="15"/>
      <c r="AD81" s="15"/>
      <c r="AE81" s="15"/>
      <c r="AF81" s="15"/>
      <c r="AG81" s="15"/>
      <c r="AH81" s="21"/>
      <c r="AI81" s="21"/>
      <c r="AJ81" s="15"/>
      <c r="AK81" s="15"/>
      <c r="AL81" s="15"/>
      <c r="AM81" s="15"/>
      <c r="AN81" s="15"/>
      <c r="AO81" s="15"/>
      <c r="AP81" s="15"/>
      <c r="AQ81" s="15"/>
      <c r="AR81" s="15"/>
      <c r="AS81" s="21"/>
      <c r="AT81" s="21"/>
      <c r="AU81" s="15"/>
      <c r="AV81" s="15"/>
      <c r="AW81" s="15"/>
      <c r="AX81" s="15"/>
      <c r="AY81" s="15"/>
      <c r="AZ81" s="15"/>
      <c r="BA81" s="15"/>
      <c r="BB81" s="15"/>
      <c r="BC81" s="15"/>
    </row>
    <row r="82" spans="2:55" ht="15.75">
      <c r="B82" s="17" t="s">
        <v>434</v>
      </c>
      <c r="C82" s="17"/>
      <c r="D82" s="17"/>
      <c r="E82" s="17"/>
      <c r="F82" s="48">
        <f t="shared" ca="1" si="134"/>
        <v>243.51615856178606</v>
      </c>
      <c r="G82" s="18">
        <f ca="1">+G25+G45+G64+G71+G76+G80+G31</f>
        <v>1004538146.1536264</v>
      </c>
      <c r="H82" s="58">
        <f ca="1">+H25+H45+H64+H71+H76+H80+H31</f>
        <v>458773427.39873725</v>
      </c>
      <c r="I82" s="58">
        <f ca="1">+I25+I45+I64+I71+I76+I80+I31</f>
        <v>289802479.23705918</v>
      </c>
      <c r="J82" s="58">
        <f ca="1">+J25+J45+J64+J71+J76+J80+J31</f>
        <v>255316407.38706166</v>
      </c>
      <c r="K82" s="21"/>
      <c r="M82" s="58">
        <f ca="1">+M25+M45+M64+M71+M76+M80+M31</f>
        <v>258455116.38928509</v>
      </c>
      <c r="N82" s="58">
        <f ca="1">+N25+N45+N64+N71+N76+N80+N31</f>
        <v>400975573.94306558</v>
      </c>
      <c r="O82" s="58">
        <f ca="1">+O25+O45+O64+O71+O76+O80+O31</f>
        <v>72679188.501934886</v>
      </c>
      <c r="P82" s="58">
        <f ca="1">+P25+P45+P64+P71+P76+P80+P31</f>
        <v>21400095.93977512</v>
      </c>
      <c r="Q82" s="58">
        <f ca="1">+Q25+Q45+Q64+Q71+Q76+Q80+Q31</f>
        <v>30003203.922693394</v>
      </c>
      <c r="R82" s="58">
        <f ca="1">+R25+R45+R64+R71+R76+R80+R31</f>
        <v>159184732.72488511</v>
      </c>
      <c r="S82" s="58">
        <f ca="1">+S25+S45+S64+S71+S76+S80+S31</f>
        <v>9447367.6273395028</v>
      </c>
      <c r="T82" s="58">
        <f ca="1">+T25+T45+T64+T71+T76+T80+T31</f>
        <v>53587155.483592823</v>
      </c>
      <c r="U82" s="58">
        <f ca="1">+U25+U45+U64+U71+U76+U80+U31</f>
        <v>0</v>
      </c>
      <c r="V82" s="21"/>
      <c r="W82" s="21"/>
      <c r="X82" s="16">
        <f ca="1">+SUM(Y82:AG82)</f>
        <v>459298350.36635137</v>
      </c>
      <c r="Y82" s="58">
        <f t="shared" ref="Y82:AF82" ca="1" si="143">+Y25+Y45+Y64+Y71+Y76+Y80+Y31</f>
        <v>97970946.904615223</v>
      </c>
      <c r="Z82" s="58">
        <f t="shared" ca="1" si="143"/>
        <v>148131110.05883956</v>
      </c>
      <c r="AA82" s="58">
        <f t="shared" ca="1" si="143"/>
        <v>31606925.008224271</v>
      </c>
      <c r="AB82" s="58">
        <f t="shared" ca="1" si="143"/>
        <v>21531654.194427382</v>
      </c>
      <c r="AC82" s="58">
        <f t="shared" ca="1" si="143"/>
        <v>30909434.419594701</v>
      </c>
      <c r="AD82" s="58">
        <f t="shared" ca="1" si="143"/>
        <v>89894925.658056498</v>
      </c>
      <c r="AE82" s="58">
        <f t="shared" ca="1" si="143"/>
        <v>7030396.0071889963</v>
      </c>
      <c r="AF82" s="58">
        <f t="shared" ca="1" si="143"/>
        <v>32222958.115404807</v>
      </c>
      <c r="AG82" s="58">
        <v>0</v>
      </c>
      <c r="AH82" s="16"/>
      <c r="AI82" s="16">
        <f ca="1">+SUM(AJ82:AR82)</f>
        <v>286806608.94936067</v>
      </c>
      <c r="AJ82" s="58">
        <f t="shared" ref="AJ82:AR82" ca="1" si="144">+AJ25+AJ45+AJ64+AJ71+AJ76+AJ80+AJ31</f>
        <v>71251556.454212025</v>
      </c>
      <c r="AK82" s="58">
        <f t="shared" ca="1" si="144"/>
        <v>110300730.34724137</v>
      </c>
      <c r="AL82" s="58">
        <f t="shared" ca="1" si="144"/>
        <v>28028712.527985815</v>
      </c>
      <c r="AM82" s="58">
        <f t="shared" ca="1" si="144"/>
        <v>0</v>
      </c>
      <c r="AN82" s="58">
        <f t="shared" ca="1" si="144"/>
        <v>0</v>
      </c>
      <c r="AO82" s="58">
        <f t="shared" ca="1" si="144"/>
        <v>66043037.744113311</v>
      </c>
      <c r="AP82" s="58">
        <f t="shared" ca="1" si="144"/>
        <v>5.1135160161385491E-6</v>
      </c>
      <c r="AQ82" s="58">
        <f t="shared" ca="1" si="144"/>
        <v>11182571.875802973</v>
      </c>
      <c r="AR82" s="58">
        <f t="shared" ca="1" si="144"/>
        <v>0</v>
      </c>
      <c r="AS82" s="21"/>
      <c r="AT82" s="16">
        <f ca="1">+SUM(AU82:BC82)</f>
        <v>393547409.48665178</v>
      </c>
      <c r="AU82" s="58">
        <f t="shared" ref="AU82:BC82" ca="1" si="145">+AU25+AU45+AU64+AU71+AU76+AU80+AU31</f>
        <v>89789190.135955662</v>
      </c>
      <c r="AV82" s="58">
        <f t="shared" ca="1" si="145"/>
        <v>143115466.02380526</v>
      </c>
      <c r="AW82" s="58">
        <f t="shared" ca="1" si="145"/>
        <v>12252558.431344977</v>
      </c>
      <c r="AX82" s="58">
        <f t="shared" ca="1" si="145"/>
        <v>0</v>
      </c>
      <c r="AY82" s="58">
        <f t="shared" ca="1" si="145"/>
        <v>0</v>
      </c>
      <c r="AZ82" s="58">
        <f t="shared" ca="1" si="145"/>
        <v>0</v>
      </c>
      <c r="BA82" s="58">
        <f t="shared" ca="1" si="145"/>
        <v>0</v>
      </c>
      <c r="BB82" s="58">
        <f t="shared" ca="1" si="145"/>
        <v>11170679.18183534</v>
      </c>
      <c r="BC82" s="58">
        <f t="shared" ca="1" si="145"/>
        <v>0</v>
      </c>
    </row>
    <row r="83" spans="2:55" ht="15.75">
      <c r="B83" s="17" t="s">
        <v>435</v>
      </c>
      <c r="C83" s="17"/>
      <c r="D83" s="17"/>
      <c r="E83" s="17"/>
      <c r="F83" s="48">
        <f ca="1">+G83/($G$10-SUM($G$19:$G$20))</f>
        <v>267.52595007323475</v>
      </c>
      <c r="G83" s="18">
        <f ca="1">+G82-(SUM(G42:G43)*(1+$D$44))</f>
        <v>976906320.11782646</v>
      </c>
      <c r="H83" s="58">
        <f ca="1">+H82-(SUM(H42:H43)*(1+$D$44))</f>
        <v>386282602.09183204</v>
      </c>
      <c r="I83" s="58">
        <f ca="1">+I82-(SUM(I42:I43)*(1+$D$44))</f>
        <v>214075057.7570363</v>
      </c>
      <c r="J83" s="58">
        <f ca="1">+J82-(SUM(J42:J43)*(1+$D$44))</f>
        <v>386945926.35085183</v>
      </c>
      <c r="K83" s="21"/>
      <c r="M83" s="58"/>
      <c r="N83" s="58"/>
      <c r="O83" s="58"/>
      <c r="P83" s="58"/>
      <c r="Q83" s="58"/>
      <c r="R83" s="58"/>
      <c r="S83" s="58"/>
      <c r="T83" s="58"/>
      <c r="U83" s="58"/>
      <c r="V83" s="21"/>
      <c r="W83" s="21"/>
      <c r="X83" s="21"/>
      <c r="Y83" s="58"/>
      <c r="Z83" s="58"/>
      <c r="AA83" s="58"/>
      <c r="AB83" s="58"/>
      <c r="AC83" s="58"/>
      <c r="AD83" s="58"/>
      <c r="AE83" s="58"/>
      <c r="AF83" s="58"/>
      <c r="AG83" s="58"/>
      <c r="AH83" s="21"/>
      <c r="AI83" s="21"/>
      <c r="AJ83" s="58"/>
      <c r="AK83" s="58"/>
      <c r="AL83" s="58"/>
      <c r="AM83" s="58"/>
      <c r="AN83" s="58"/>
      <c r="AO83" s="58"/>
      <c r="AP83" s="58"/>
      <c r="AQ83" s="58"/>
      <c r="AR83" s="58"/>
      <c r="AS83" s="21"/>
      <c r="AT83" s="21"/>
      <c r="AU83" s="58"/>
      <c r="AV83" s="58"/>
      <c r="AW83" s="58"/>
      <c r="AX83" s="58"/>
      <c r="AY83" s="58"/>
      <c r="AZ83" s="58"/>
      <c r="BA83" s="58"/>
      <c r="BB83" s="58"/>
      <c r="BC83" s="58"/>
    </row>
    <row r="84" spans="2:55">
      <c r="B84" s="21"/>
      <c r="C84" s="21"/>
      <c r="D84" s="21"/>
      <c r="E84" s="21"/>
      <c r="F84" s="21"/>
      <c r="G84" s="12"/>
      <c r="H84" s="16"/>
      <c r="I84" s="53"/>
      <c r="J84" s="21"/>
      <c r="K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  <c r="AA84" s="21"/>
      <c r="AB84" s="21"/>
      <c r="AC84" s="21"/>
      <c r="AD84" s="21"/>
      <c r="AE84" s="21"/>
      <c r="AF84" s="21"/>
      <c r="AG84" s="21"/>
      <c r="AH84" s="21"/>
      <c r="AI84" s="21"/>
      <c r="AJ84" s="21"/>
      <c r="AK84" s="21"/>
      <c r="AL84" s="21"/>
      <c r="AM84" s="21"/>
      <c r="AN84" s="21"/>
      <c r="AO84" s="21"/>
      <c r="AP84" s="21"/>
      <c r="AQ84" s="21"/>
      <c r="AR84" s="21"/>
      <c r="AS84" s="21"/>
      <c r="AT84" s="21"/>
      <c r="AU84" s="21"/>
      <c r="AV84" s="21"/>
      <c r="AW84" s="21"/>
      <c r="AX84" s="21"/>
      <c r="AY84" s="21"/>
      <c r="AZ84" s="21"/>
      <c r="BA84" s="21"/>
      <c r="BB84" s="21"/>
      <c r="BC84" s="21"/>
    </row>
    <row r="85" spans="2:55" ht="15.75">
      <c r="B85" s="21"/>
      <c r="C85" s="21"/>
      <c r="D85" s="21"/>
      <c r="E85" s="21"/>
      <c r="F85" s="21"/>
      <c r="G85" s="21"/>
      <c r="H85" s="16"/>
      <c r="I85" s="16"/>
      <c r="J85" s="16"/>
      <c r="K85" s="21"/>
      <c r="L85" s="528" t="s">
        <v>436</v>
      </c>
      <c r="M85" s="529">
        <f t="shared" ref="M85:U85" ca="1" si="146">+IFERROR(M82/SUM(M12:M20),"")</f>
        <v>73.949152603458742</v>
      </c>
      <c r="N85" s="529">
        <f t="shared" ca="1" si="146"/>
        <v>219.56882390502622</v>
      </c>
      <c r="O85" s="529">
        <f t="shared" ca="1" si="146"/>
        <v>404.60068411929745</v>
      </c>
      <c r="P85" s="529">
        <f t="shared" ca="1" si="146"/>
        <v>1185.9792163226809</v>
      </c>
      <c r="Q85" s="529">
        <f t="shared" ca="1" si="146"/>
        <v>287.48469441105033</v>
      </c>
      <c r="R85" s="529">
        <f t="shared" ca="1" si="146"/>
        <v>467.44962641702273</v>
      </c>
      <c r="S85" s="529">
        <f t="shared" ca="1" si="146"/>
        <v>1132.3049674519725</v>
      </c>
      <c r="T85" s="529">
        <f t="shared" ca="1" si="146"/>
        <v>43.59702602426897</v>
      </c>
      <c r="U85" s="529" t="str">
        <f t="shared" ca="1" si="146"/>
        <v/>
      </c>
      <c r="V85" s="27"/>
      <c r="W85" s="21"/>
      <c r="X85" s="21"/>
      <c r="Y85" s="21"/>
      <c r="Z85" s="21"/>
      <c r="AA85" s="21"/>
      <c r="AB85" s="21"/>
      <c r="AC85" s="21"/>
      <c r="AD85" s="21"/>
      <c r="AE85" s="21"/>
      <c r="AF85" s="21"/>
      <c r="AG85" s="21"/>
      <c r="AH85" s="21"/>
      <c r="AI85" s="21"/>
      <c r="AJ85" s="21"/>
      <c r="AK85" s="21"/>
      <c r="AL85" s="21"/>
      <c r="AM85" s="21"/>
      <c r="AN85" s="21"/>
      <c r="AO85" s="21"/>
      <c r="AP85" s="21"/>
      <c r="AQ85" s="21"/>
      <c r="AR85" s="21"/>
      <c r="AS85" s="21"/>
      <c r="AT85" s="21"/>
      <c r="AU85" s="21"/>
      <c r="AV85" s="21"/>
      <c r="AW85" s="21"/>
      <c r="AX85" s="21"/>
      <c r="AY85" s="21"/>
      <c r="AZ85" s="21"/>
      <c r="BA85" s="21"/>
      <c r="BB85" s="21"/>
      <c r="BC85" s="21"/>
    </row>
    <row r="86" spans="2:55" s="21" customFormat="1" ht="15.75">
      <c r="H86" s="16"/>
      <c r="I86" s="16"/>
      <c r="J86" s="16"/>
      <c r="L86" s="530" t="s">
        <v>437</v>
      </c>
      <c r="M86" s="531">
        <f t="shared" ref="M86:U86" ca="1" si="147">+M45/SUM(M12:M20)</f>
        <v>214.21288146410063</v>
      </c>
      <c r="N86" s="531">
        <f t="shared" ca="1" si="147"/>
        <v>214.21288146410066</v>
      </c>
      <c r="O86" s="531">
        <f t="shared" ca="1" si="147"/>
        <v>176.96748221332811</v>
      </c>
      <c r="P86" s="531">
        <f t="shared" ca="1" si="147"/>
        <v>185.22503814493592</v>
      </c>
      <c r="Q86" s="531">
        <f t="shared" ca="1" si="147"/>
        <v>174.72503814493595</v>
      </c>
      <c r="R86" s="531">
        <f t="shared" ca="1" si="147"/>
        <v>176.71361792455002</v>
      </c>
      <c r="S86" s="531">
        <f t="shared" ca="1" si="147"/>
        <v>116.97503814493592</v>
      </c>
      <c r="T86" s="531">
        <f t="shared" ca="1" si="147"/>
        <v>54.256160053576714</v>
      </c>
      <c r="U86" s="531">
        <v>0</v>
      </c>
      <c r="V86" s="27"/>
    </row>
    <row r="87" spans="2:55" ht="15.75">
      <c r="B87" s="21"/>
      <c r="C87" s="21"/>
      <c r="D87" s="21"/>
      <c r="E87" s="21"/>
      <c r="F87" s="21"/>
      <c r="G87" s="21"/>
      <c r="H87" s="16"/>
      <c r="I87" s="21"/>
      <c r="J87" s="21"/>
      <c r="K87" s="21"/>
      <c r="L87" s="530" t="s">
        <v>438</v>
      </c>
      <c r="M87" s="532">
        <f ca="1">+M82/Assumptions!$M$46</f>
        <v>102575.53548323156</v>
      </c>
      <c r="N87" s="532">
        <f ca="1">+N82/Assumptions!$M$47</f>
        <v>304565.89284064394</v>
      </c>
      <c r="O87" s="533"/>
      <c r="P87" s="532">
        <f ca="1">+P82/Assumptions!$M$48</f>
        <v>632522.24870542984</v>
      </c>
      <c r="Q87" s="533"/>
      <c r="R87" s="533"/>
      <c r="S87" s="533"/>
      <c r="T87" s="532">
        <f ca="1">+T82/Assumptions!$M$49</f>
        <v>25952.508835456927</v>
      </c>
      <c r="U87" s="532">
        <v>0</v>
      </c>
      <c r="V87" s="21"/>
      <c r="W87" s="21"/>
      <c r="X87" s="21"/>
      <c r="Y87" s="21"/>
      <c r="Z87" s="21"/>
      <c r="AA87" s="21"/>
      <c r="AB87" s="21"/>
      <c r="AC87" s="21"/>
      <c r="AD87" s="21"/>
      <c r="AE87" s="21"/>
      <c r="AF87" s="21"/>
      <c r="AG87" s="21"/>
      <c r="AH87" s="21"/>
      <c r="AI87" s="21"/>
      <c r="AJ87" s="21"/>
      <c r="AK87" s="21"/>
      <c r="AL87" s="21"/>
      <c r="AM87" s="21"/>
      <c r="AN87" s="21"/>
      <c r="AO87" s="21"/>
      <c r="AP87" s="21"/>
      <c r="AQ87" s="21"/>
      <c r="AR87" s="21"/>
      <c r="AS87" s="21"/>
      <c r="AT87" s="21"/>
      <c r="AU87" s="21"/>
      <c r="AV87" s="21"/>
      <c r="AW87" s="21"/>
      <c r="AX87" s="21"/>
      <c r="AY87" s="21"/>
      <c r="AZ87" s="21"/>
      <c r="BA87" s="21"/>
      <c r="BB87" s="21"/>
      <c r="BC87" s="21"/>
    </row>
    <row r="88" spans="2:55" ht="15.75">
      <c r="B88" s="21"/>
      <c r="C88" s="21"/>
      <c r="D88" s="21"/>
      <c r="E88" s="21"/>
      <c r="F88" s="21"/>
      <c r="G88" s="21"/>
      <c r="H88" s="21"/>
      <c r="I88" s="21"/>
      <c r="J88" s="21"/>
      <c r="K88" s="21"/>
      <c r="L88" s="534" t="s">
        <v>439</v>
      </c>
      <c r="M88" s="535">
        <f ca="1">+M45/Assumptions!$M$46</f>
        <v>297136.61685094703</v>
      </c>
      <c r="N88" s="535">
        <f ca="1">+N45/Assumptions!$M$47</f>
        <v>297136.61685094709</v>
      </c>
      <c r="O88" s="536"/>
      <c r="P88" s="535">
        <f ca="1">+P45/Assumptions!$M$48</f>
        <v>98786.687010632508</v>
      </c>
      <c r="Q88" s="536"/>
      <c r="R88" s="536"/>
      <c r="S88" s="536"/>
      <c r="T88" s="535">
        <f ca="1">+T45/Assumptions!$M$49</f>
        <v>13564.04001339418</v>
      </c>
      <c r="U88" s="535">
        <v>0</v>
      </c>
      <c r="V88" s="21"/>
      <c r="W88" s="21"/>
      <c r="X88" s="21"/>
      <c r="Y88" s="21"/>
      <c r="Z88" s="21"/>
      <c r="AA88" s="21"/>
      <c r="AB88" s="21"/>
      <c r="AC88" s="21"/>
      <c r="AD88" s="21"/>
      <c r="AE88" s="21"/>
      <c r="AF88" s="21"/>
      <c r="AG88" s="21"/>
      <c r="AH88" s="21"/>
      <c r="AI88" s="21"/>
      <c r="AJ88" s="21"/>
      <c r="AK88" s="21"/>
      <c r="AL88" s="21"/>
      <c r="AM88" s="21"/>
      <c r="AN88" s="21"/>
      <c r="AO88" s="21"/>
      <c r="AP88" s="21"/>
      <c r="AQ88" s="21"/>
      <c r="AR88" s="21"/>
      <c r="AS88" s="21"/>
      <c r="AT88" s="21"/>
      <c r="AU88" s="21"/>
      <c r="AV88" s="21"/>
      <c r="AW88" s="21"/>
      <c r="AX88" s="21"/>
      <c r="AY88" s="21"/>
      <c r="AZ88" s="21"/>
      <c r="BA88" s="21"/>
      <c r="BB88" s="21"/>
      <c r="BC88" s="21"/>
    </row>
    <row r="89" spans="2:55">
      <c r="B89" s="21"/>
      <c r="C89" s="21"/>
      <c r="D89" s="21"/>
      <c r="E89" s="21"/>
      <c r="F89" s="21"/>
      <c r="G89" s="21"/>
      <c r="H89" s="21"/>
      <c r="I89" s="21"/>
      <c r="J89" s="21"/>
      <c r="K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  <c r="AA89" s="21"/>
      <c r="AB89" s="21"/>
      <c r="AC89" s="21"/>
      <c r="AD89" s="21"/>
      <c r="AE89" s="21"/>
      <c r="AF89" s="21"/>
      <c r="AG89" s="21"/>
      <c r="AH89" s="21"/>
      <c r="AI89" s="21"/>
      <c r="AJ89" s="21"/>
      <c r="AK89" s="21"/>
      <c r="AL89" s="21"/>
      <c r="AM89" s="21"/>
      <c r="AN89" s="21"/>
      <c r="AO89" s="21"/>
      <c r="AP89" s="21"/>
      <c r="AQ89" s="21"/>
      <c r="AR89" s="21"/>
      <c r="AS89" s="21"/>
      <c r="AT89" s="21"/>
      <c r="AU89" s="21"/>
      <c r="AV89" s="21"/>
      <c r="AW89" s="21"/>
      <c r="AX89" s="21"/>
      <c r="AY89" s="21"/>
      <c r="AZ89" s="21"/>
      <c r="BA89" s="21"/>
      <c r="BB89" s="21"/>
      <c r="BC89" s="21"/>
    </row>
    <row r="90" spans="2:55">
      <c r="B90" s="21"/>
      <c r="C90" s="21"/>
      <c r="D90" s="21"/>
      <c r="E90" s="21"/>
      <c r="F90" s="21"/>
      <c r="G90" s="21"/>
      <c r="H90" s="21"/>
      <c r="I90" s="21"/>
      <c r="J90" s="21"/>
      <c r="K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  <c r="AA90" s="21"/>
      <c r="AB90" s="21"/>
      <c r="AC90" s="21"/>
      <c r="AD90" s="21"/>
      <c r="AE90" s="21"/>
      <c r="AF90" s="21"/>
      <c r="AG90" s="21"/>
      <c r="AH90" s="21"/>
      <c r="AI90" s="21"/>
      <c r="AJ90" s="21"/>
      <c r="AK90" s="21"/>
      <c r="AL90" s="21"/>
      <c r="AM90" s="21"/>
      <c r="AN90" s="21"/>
      <c r="AO90" s="21"/>
      <c r="AP90" s="21"/>
      <c r="AQ90" s="21"/>
      <c r="AR90" s="21"/>
      <c r="AS90" s="21"/>
      <c r="AT90" s="21"/>
      <c r="AU90" s="21"/>
      <c r="AV90" s="21"/>
      <c r="AW90" s="21"/>
      <c r="AX90" s="21"/>
      <c r="AY90" s="21"/>
      <c r="AZ90" s="21"/>
      <c r="BA90" s="21"/>
      <c r="BB90" s="21"/>
      <c r="BC90" s="21"/>
    </row>
    <row r="91" spans="2:55">
      <c r="B91" s="21"/>
      <c r="C91" s="21"/>
      <c r="D91" s="21"/>
      <c r="E91" s="21"/>
      <c r="F91" s="21"/>
      <c r="G91" s="21"/>
      <c r="H91" s="21"/>
      <c r="I91" s="21"/>
      <c r="J91" s="21"/>
      <c r="K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  <c r="AA91" s="21"/>
      <c r="AB91" s="21"/>
      <c r="AC91" s="21"/>
      <c r="AD91" s="21"/>
      <c r="AE91" s="21"/>
      <c r="AF91" s="21"/>
      <c r="AG91" s="21"/>
      <c r="AH91" s="21"/>
      <c r="AI91" s="21"/>
      <c r="AJ91" s="21"/>
      <c r="AK91" s="21"/>
      <c r="AL91" s="21"/>
      <c r="AM91" s="21"/>
      <c r="AN91" s="21"/>
      <c r="AO91" s="21"/>
      <c r="AP91" s="21"/>
      <c r="AQ91" s="21"/>
      <c r="AR91" s="21"/>
      <c r="AS91" s="21"/>
      <c r="AT91" s="21"/>
      <c r="AU91" s="21"/>
      <c r="AV91" s="21"/>
      <c r="AW91" s="21"/>
      <c r="AX91" s="21"/>
      <c r="AY91" s="21"/>
      <c r="AZ91" s="21"/>
      <c r="BA91" s="21"/>
      <c r="BB91" s="21"/>
      <c r="BC91" s="21"/>
    </row>
    <row r="92" spans="2:55">
      <c r="B92" s="21"/>
      <c r="C92" s="21"/>
      <c r="D92" s="21"/>
      <c r="E92" s="21"/>
      <c r="F92" s="21"/>
      <c r="G92" s="21"/>
      <c r="H92" s="21"/>
      <c r="I92" s="21"/>
      <c r="J92" s="21"/>
      <c r="K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  <c r="AA92" s="21"/>
      <c r="AB92" s="21"/>
      <c r="AC92" s="21"/>
      <c r="AD92" s="21"/>
      <c r="AE92" s="21"/>
      <c r="AF92" s="21"/>
      <c r="AG92" s="21"/>
      <c r="AH92" s="21"/>
      <c r="AI92" s="21"/>
      <c r="AJ92" s="21"/>
      <c r="AK92" s="21"/>
      <c r="AL92" s="21"/>
      <c r="AM92" s="21"/>
      <c r="AN92" s="21"/>
      <c r="AO92" s="21"/>
      <c r="AP92" s="21"/>
      <c r="AQ92" s="21"/>
      <c r="AR92" s="21"/>
      <c r="AS92" s="21"/>
      <c r="AT92" s="21"/>
      <c r="AU92" s="21"/>
      <c r="AV92" s="21"/>
      <c r="AW92" s="21"/>
      <c r="AX92" s="21"/>
      <c r="AY92" s="21"/>
      <c r="AZ92" s="21"/>
      <c r="BA92" s="21"/>
      <c r="BB92" s="21"/>
      <c r="BC92" s="21"/>
    </row>
    <row r="93" spans="2:55">
      <c r="B93" s="21"/>
      <c r="C93" s="21"/>
      <c r="D93" s="21"/>
      <c r="E93" s="21"/>
      <c r="F93" s="21"/>
      <c r="G93" s="21"/>
      <c r="H93" s="21"/>
      <c r="I93" s="21"/>
      <c r="J93" s="21"/>
      <c r="K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  <c r="AA93" s="21"/>
      <c r="AB93" s="21"/>
      <c r="AC93" s="21"/>
      <c r="AD93" s="21"/>
      <c r="AE93" s="21"/>
      <c r="AF93" s="21"/>
      <c r="AG93" s="21"/>
      <c r="AH93" s="21"/>
      <c r="AI93" s="21"/>
      <c r="AJ93" s="21"/>
      <c r="AK93" s="21"/>
      <c r="AL93" s="21"/>
      <c r="AM93" s="21"/>
      <c r="AN93" s="21"/>
      <c r="AO93" s="21"/>
      <c r="AP93" s="21"/>
      <c r="AQ93" s="21"/>
      <c r="AR93" s="21"/>
      <c r="AS93" s="21"/>
      <c r="AT93" s="21"/>
      <c r="AU93" s="21"/>
      <c r="AV93" s="21"/>
      <c r="AW93" s="21"/>
      <c r="AX93" s="21"/>
      <c r="AY93" s="21"/>
      <c r="AZ93" s="21"/>
      <c r="BA93" s="21"/>
      <c r="BB93" s="21"/>
      <c r="BC93" s="21"/>
    </row>
    <row r="94" spans="2:55">
      <c r="B94" s="21"/>
      <c r="C94" s="21"/>
      <c r="D94" s="21"/>
      <c r="E94" s="21"/>
      <c r="F94" s="21"/>
      <c r="G94" s="21"/>
      <c r="H94" s="21"/>
      <c r="I94" s="21"/>
      <c r="J94" s="21"/>
      <c r="K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  <c r="AA94" s="21"/>
      <c r="AB94" s="21"/>
      <c r="AC94" s="21"/>
      <c r="AD94" s="21"/>
      <c r="AE94" s="21"/>
      <c r="AF94" s="21"/>
      <c r="AG94" s="21"/>
      <c r="AH94" s="21"/>
      <c r="AI94" s="21"/>
      <c r="AJ94" s="21"/>
      <c r="AK94" s="21"/>
      <c r="AL94" s="21"/>
      <c r="AM94" s="21"/>
      <c r="AN94" s="21"/>
      <c r="AO94" s="21"/>
      <c r="AP94" s="21"/>
      <c r="AQ94" s="21"/>
      <c r="AR94" s="21"/>
      <c r="AS94" s="21"/>
      <c r="AT94" s="21"/>
      <c r="AU94" s="21"/>
      <c r="AV94" s="21"/>
      <c r="AW94" s="21"/>
      <c r="AX94" s="21"/>
      <c r="AY94" s="21"/>
      <c r="AZ94" s="21"/>
      <c r="BA94" s="21"/>
      <c r="BB94" s="21"/>
      <c r="BC94" s="21"/>
    </row>
    <row r="95" spans="2:55">
      <c r="B95" s="21"/>
      <c r="C95" s="21"/>
      <c r="D95" s="21"/>
      <c r="E95" s="21"/>
      <c r="F95" s="21"/>
      <c r="G95" s="21"/>
      <c r="H95" s="21"/>
      <c r="I95" s="21"/>
      <c r="J95" s="21"/>
      <c r="K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  <c r="AA95" s="21"/>
      <c r="AB95" s="21"/>
      <c r="AC95" s="21"/>
      <c r="AD95" s="21"/>
      <c r="AE95" s="21"/>
      <c r="AF95" s="21"/>
      <c r="AG95" s="21"/>
      <c r="AH95" s="21"/>
      <c r="AI95" s="21"/>
      <c r="AJ95" s="21"/>
      <c r="AK95" s="21"/>
      <c r="AL95" s="21"/>
      <c r="AM95" s="21"/>
      <c r="AN95" s="21"/>
      <c r="AO95" s="21"/>
      <c r="AP95" s="21"/>
      <c r="AQ95" s="21"/>
      <c r="AR95" s="21"/>
      <c r="AS95" s="21"/>
      <c r="AT95" s="21"/>
      <c r="AU95" s="21"/>
      <c r="AV95" s="21"/>
      <c r="AW95" s="21"/>
      <c r="AX95" s="21"/>
      <c r="AY95" s="21"/>
      <c r="AZ95" s="21"/>
      <c r="BA95" s="21"/>
      <c r="BB95" s="21"/>
      <c r="BC95" s="21"/>
    </row>
    <row r="96" spans="2:55">
      <c r="B96" s="21"/>
      <c r="C96" s="21"/>
      <c r="D96" s="21"/>
      <c r="E96" s="21"/>
      <c r="F96" s="21"/>
      <c r="G96" s="21"/>
      <c r="H96" s="21"/>
      <c r="I96" s="21"/>
      <c r="J96" s="21"/>
      <c r="K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  <c r="AA96" s="21"/>
      <c r="AB96" s="21"/>
      <c r="AC96" s="21"/>
      <c r="AD96" s="21"/>
      <c r="AE96" s="21"/>
      <c r="AF96" s="21"/>
      <c r="AG96" s="21"/>
      <c r="AH96" s="21"/>
      <c r="AI96" s="21"/>
      <c r="AJ96" s="21"/>
      <c r="AK96" s="21"/>
      <c r="AL96" s="21"/>
      <c r="AM96" s="21"/>
      <c r="AN96" s="21"/>
      <c r="AO96" s="21"/>
      <c r="AP96" s="21"/>
      <c r="AQ96" s="21"/>
      <c r="AR96" s="21"/>
      <c r="AS96" s="21"/>
      <c r="AT96" s="21"/>
      <c r="AU96" s="21"/>
      <c r="AV96" s="21"/>
      <c r="AW96" s="21"/>
      <c r="AX96" s="21"/>
      <c r="AY96" s="21"/>
      <c r="AZ96" s="21"/>
      <c r="BA96" s="21"/>
      <c r="BB96" s="21"/>
      <c r="BC96" s="21"/>
    </row>
  </sheetData>
  <mergeCells count="4">
    <mergeCell ref="M2:U2"/>
    <mergeCell ref="Y2:AG2"/>
    <mergeCell ref="AJ2:AR2"/>
    <mergeCell ref="AU2:BC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</sheetPr>
  <dimension ref="A1:BA52"/>
  <sheetViews>
    <sheetView showGridLines="0" topLeftCell="H1" zoomScale="110" zoomScaleNormal="110" workbookViewId="0">
      <selection activeCell="V11" sqref="V11"/>
    </sheetView>
  </sheetViews>
  <sheetFormatPr defaultColWidth="8.85546875" defaultRowHeight="15.95" customHeight="1"/>
  <cols>
    <col min="1" max="1" width="8.85546875" style="21"/>
    <col min="2" max="2" width="18.5703125" style="21" customWidth="1"/>
    <col min="3" max="3" width="14.42578125" style="21" customWidth="1"/>
    <col min="4" max="4" width="16.42578125" style="158" hidden="1" customWidth="1"/>
    <col min="5" max="6" width="14.42578125" style="158" customWidth="1"/>
    <col min="7" max="7" width="16" style="158" customWidth="1"/>
    <col min="8" max="8" width="14.42578125" style="158" customWidth="1"/>
    <col min="9" max="9" width="4" style="158" customWidth="1"/>
    <col min="10" max="10" width="4.140625" style="158" customWidth="1"/>
    <col min="11" max="11" width="12.42578125" style="21" bestFit="1" customWidth="1"/>
    <col min="12" max="12" width="7.42578125" style="158" customWidth="1"/>
    <col min="13" max="23" width="16.42578125" style="158" customWidth="1"/>
    <col min="24" max="24" width="10.42578125" style="158" customWidth="1"/>
    <col min="25" max="25" width="16.42578125" style="21" customWidth="1"/>
    <col min="26" max="26" width="16.140625" style="21" customWidth="1"/>
    <col min="27" max="34" width="16.42578125" style="21" customWidth="1"/>
    <col min="35" max="37" width="8.85546875" style="21"/>
    <col min="38" max="38" width="12.42578125" style="21" customWidth="1"/>
    <col min="39" max="39" width="8.85546875" style="21"/>
    <col min="40" max="49" width="16.42578125" style="21" customWidth="1"/>
    <col min="50" max="50" width="11.42578125" style="21" bestFit="1" customWidth="1"/>
    <col min="51" max="51" width="8.85546875" style="21"/>
    <col min="52" max="52" width="19.42578125" style="21" customWidth="1"/>
    <col min="53" max="16384" width="8.85546875" style="21"/>
  </cols>
  <sheetData>
    <row r="1" spans="1:53" ht="15.95" customHeight="1">
      <c r="F1" s="880"/>
      <c r="G1" s="880"/>
      <c r="M1" s="71">
        <v>0</v>
      </c>
      <c r="N1" s="71">
        <f>+M1+1</f>
        <v>1</v>
      </c>
      <c r="O1" s="71">
        <f t="shared" ref="O1" si="0">+N1+1</f>
        <v>2</v>
      </c>
      <c r="P1" s="71">
        <f t="shared" ref="P1" si="1">+O1+1</f>
        <v>3</v>
      </c>
      <c r="Q1" s="71">
        <f t="shared" ref="Q1" si="2">+P1+1</f>
        <v>4</v>
      </c>
      <c r="R1" s="71">
        <f t="shared" ref="R1" si="3">+Q1+1</f>
        <v>5</v>
      </c>
      <c r="S1" s="71">
        <f t="shared" ref="S1" si="4">+R1+1</f>
        <v>6</v>
      </c>
      <c r="T1" s="71">
        <f t="shared" ref="T1" si="5">+S1+1</f>
        <v>7</v>
      </c>
      <c r="U1" s="71">
        <f t="shared" ref="U1" si="6">+T1+1</f>
        <v>8</v>
      </c>
      <c r="V1" s="71"/>
      <c r="W1" s="71"/>
      <c r="Y1" s="71">
        <v>0</v>
      </c>
      <c r="Z1" s="71">
        <f>+Y1+1</f>
        <v>1</v>
      </c>
      <c r="AA1" s="71">
        <f t="shared" ref="AA1:AH1" si="7">+Z1+1</f>
        <v>2</v>
      </c>
      <c r="AB1" s="71">
        <f t="shared" si="7"/>
        <v>3</v>
      </c>
      <c r="AC1" s="71">
        <f t="shared" si="7"/>
        <v>4</v>
      </c>
      <c r="AD1" s="71">
        <f t="shared" si="7"/>
        <v>5</v>
      </c>
      <c r="AE1" s="71">
        <f t="shared" si="7"/>
        <v>6</v>
      </c>
      <c r="AF1" s="71">
        <f>+AE1+1</f>
        <v>7</v>
      </c>
      <c r="AG1" s="71">
        <f t="shared" si="7"/>
        <v>8</v>
      </c>
      <c r="AH1" s="71">
        <f t="shared" si="7"/>
        <v>9</v>
      </c>
    </row>
    <row r="2" spans="1:53" ht="15.95" customHeight="1">
      <c r="F2" s="880"/>
      <c r="G2" s="880"/>
      <c r="M2" s="237">
        <f ca="1">+OFFSET(Budget!$D$35,'Parcel Breakdown'!M1,0)</f>
        <v>198.15</v>
      </c>
      <c r="N2" s="237">
        <f ca="1">+OFFSET(Budget!$D$35,'Parcel Breakdown'!N1,0)</f>
        <v>198.15</v>
      </c>
      <c r="O2" s="237">
        <f ca="1">+OFFSET(Budget!$D$35,'Parcel Breakdown'!O1,0)</f>
        <v>165</v>
      </c>
      <c r="P2" s="237">
        <f ca="1">+OFFSET(Budget!$D$35,'Parcel Breakdown'!P1,0)</f>
        <v>175</v>
      </c>
      <c r="Q2" s="237">
        <f ca="1">+OFFSET(Budget!$D$35,'Parcel Breakdown'!Q1,0)</f>
        <v>165</v>
      </c>
      <c r="R2" s="237">
        <f ca="1">+OFFSET(Budget!$D$35,'Parcel Breakdown'!R1,0)</f>
        <v>165.96</v>
      </c>
      <c r="S2" s="237">
        <f ca="1">+OFFSET(Budget!$D$35,'Parcel Breakdown'!S1,0)</f>
        <v>110</v>
      </c>
      <c r="T2" s="237">
        <f ca="1">+OFFSET(Budget!$D$35,'Parcel Breakdown'!T1,0)</f>
        <v>50</v>
      </c>
      <c r="U2" s="237">
        <f ca="1">+OFFSET(Budget!$D$35,'Parcel Breakdown'!U1,0)</f>
        <v>10</v>
      </c>
      <c r="V2" s="237"/>
      <c r="W2" s="237"/>
      <c r="Y2" s="71"/>
      <c r="Z2" s="71"/>
      <c r="AA2" s="71"/>
      <c r="AB2" s="71"/>
      <c r="AC2" s="71"/>
      <c r="AD2" s="71"/>
      <c r="AE2" s="71"/>
      <c r="AF2" s="71"/>
      <c r="AG2" s="71"/>
      <c r="AH2" s="71"/>
    </row>
    <row r="3" spans="1:53" ht="15.95" customHeight="1">
      <c r="F3" s="880"/>
      <c r="G3" s="880"/>
      <c r="M3" s="881" t="s">
        <v>440</v>
      </c>
      <c r="N3" s="881"/>
      <c r="O3" s="881"/>
      <c r="P3" s="881"/>
      <c r="Q3" s="881"/>
      <c r="R3" s="881"/>
      <c r="S3" s="881"/>
      <c r="T3" s="881"/>
      <c r="U3" s="881"/>
      <c r="V3" s="881" t="s">
        <v>441</v>
      </c>
      <c r="W3" s="881"/>
      <c r="Y3" s="881" t="s">
        <v>442</v>
      </c>
      <c r="Z3" s="881"/>
      <c r="AA3" s="881"/>
      <c r="AB3" s="881"/>
      <c r="AC3" s="881"/>
      <c r="AD3" s="881"/>
      <c r="AE3" s="881"/>
      <c r="AF3" s="881"/>
      <c r="AG3" s="881"/>
      <c r="AH3" s="593"/>
      <c r="AJ3" s="881" t="s">
        <v>443</v>
      </c>
      <c r="AK3" s="881"/>
      <c r="AL3" s="881"/>
      <c r="AN3" s="634"/>
      <c r="AO3" s="881" t="s">
        <v>444</v>
      </c>
      <c r="AP3" s="881"/>
      <c r="AQ3" s="881"/>
      <c r="AR3" s="881"/>
      <c r="AS3" s="881"/>
      <c r="AT3" s="881"/>
      <c r="AU3" s="881"/>
      <c r="AV3" s="881"/>
      <c r="AW3" s="881"/>
    </row>
    <row r="4" spans="1:53" ht="53.25" customHeight="1">
      <c r="B4" s="545" t="s">
        <v>445</v>
      </c>
      <c r="C4" s="545" t="s">
        <v>121</v>
      </c>
      <c r="D4" s="545" t="s">
        <v>446</v>
      </c>
      <c r="E4" s="576" t="s">
        <v>447</v>
      </c>
      <c r="F4" s="576" t="s">
        <v>768</v>
      </c>
      <c r="G4" s="576" t="s">
        <v>758</v>
      </c>
      <c r="H4" s="576" t="s">
        <v>448</v>
      </c>
      <c r="I4" s="161"/>
      <c r="J4" s="161"/>
      <c r="K4" s="576" t="s">
        <v>151</v>
      </c>
      <c r="L4" s="161"/>
      <c r="M4" s="576" t="str">
        <f ca="1">+OFFSET(Budget!$B$35,M1,0)</f>
        <v>Affordable Residential</v>
      </c>
      <c r="N4" s="576" t="str">
        <f ca="1">+OFFSET(Budget!$B$35,N1,0)</f>
        <v>Market Rate Residential</v>
      </c>
      <c r="O4" s="576" t="str">
        <f ca="1">+OFFSET(Budget!$B$35,O1,0)</f>
        <v>Retail</v>
      </c>
      <c r="P4" s="576" t="str">
        <f ca="1">+OFFSET(Budget!$B$35,P1,0)</f>
        <v>Hotel</v>
      </c>
      <c r="Q4" s="576" t="str">
        <f ca="1">+OFFSET(Budget!$B$35,Q1,0)</f>
        <v>Museum</v>
      </c>
      <c r="R4" s="576" t="str">
        <f ca="1">+OFFSET(Budget!$B$35,R1,0)</f>
        <v>Office</v>
      </c>
      <c r="S4" s="576" t="str">
        <f ca="1">+OFFSET(Budget!$B$35,S1,0)</f>
        <v>Industrial</v>
      </c>
      <c r="T4" s="576" t="str">
        <f ca="1">+OFFSET(Budget!$B$35,T1,0)</f>
        <v>Structural Parking</v>
      </c>
      <c r="U4" s="576" t="str">
        <f ca="1">+OFFSET(Budget!$B$35,U1,0)</f>
        <v>Surface Parking</v>
      </c>
      <c r="V4" s="576" t="s">
        <v>354</v>
      </c>
      <c r="W4" s="576" t="s">
        <v>449</v>
      </c>
      <c r="X4" s="161"/>
      <c r="Y4" s="593" t="str">
        <f ca="1">+OFFSET(Budget!$B$35,Y1,0)</f>
        <v>Affordable Residential</v>
      </c>
      <c r="Z4" s="593" t="str">
        <f ca="1">+OFFSET(Budget!$B$35,Z1,0)</f>
        <v>Market Rate Residential</v>
      </c>
      <c r="AA4" s="593" t="str">
        <f ca="1">+OFFSET(Budget!$B$35,AA1,0)</f>
        <v>Retail</v>
      </c>
      <c r="AB4" s="593" t="str">
        <f ca="1">+OFFSET(Budget!$B$35,AB1,0)</f>
        <v>Hotel</v>
      </c>
      <c r="AC4" s="593" t="s">
        <v>769</v>
      </c>
      <c r="AD4" s="593" t="str">
        <f ca="1">+OFFSET(Budget!$B$35,AD1,0)</f>
        <v>Office</v>
      </c>
      <c r="AE4" s="593" t="str">
        <f ca="1">+OFFSET(Budget!$B$35,AE1,0)</f>
        <v>Industrial</v>
      </c>
      <c r="AF4" s="593" t="str">
        <f ca="1">+OFFSET(Budget!$B$35,AF1,0)</f>
        <v>Structural Parking</v>
      </c>
      <c r="AG4" s="593" t="str">
        <f ca="1">+OFFSET(Budget!$B$35,AG1,0)</f>
        <v>Surface Parking</v>
      </c>
      <c r="AH4" s="633" t="s">
        <v>49</v>
      </c>
      <c r="AJ4" s="593" t="s">
        <v>450</v>
      </c>
      <c r="AK4" s="593" t="s">
        <v>16</v>
      </c>
      <c r="AL4" s="593" t="s">
        <v>451</v>
      </c>
      <c r="AM4" s="162"/>
      <c r="AN4" s="593" t="s">
        <v>142</v>
      </c>
      <c r="AO4" s="593" t="str">
        <f t="shared" ref="AO4:AU4" ca="1" si="8">+Y4</f>
        <v>Affordable Residential</v>
      </c>
      <c r="AP4" s="593" t="str">
        <f t="shared" ca="1" si="8"/>
        <v>Market Rate Residential</v>
      </c>
      <c r="AQ4" s="593" t="str">
        <f t="shared" ca="1" si="8"/>
        <v>Retail</v>
      </c>
      <c r="AR4" s="593" t="str">
        <f t="shared" ca="1" si="8"/>
        <v>Hotel</v>
      </c>
      <c r="AS4" s="593" t="str">
        <f t="shared" si="8"/>
        <v>Museum</v>
      </c>
      <c r="AT4" s="593" t="str">
        <f t="shared" ca="1" si="8"/>
        <v>Office</v>
      </c>
      <c r="AU4" s="593" t="str">
        <f t="shared" ca="1" si="8"/>
        <v>Industrial</v>
      </c>
      <c r="AV4" s="593" t="str">
        <f t="shared" ref="AV4:AW4" ca="1" si="9">+AF4</f>
        <v>Structural Parking</v>
      </c>
      <c r="AW4" s="593" t="str">
        <f t="shared" ca="1" si="9"/>
        <v>Surface Parking</v>
      </c>
      <c r="AZ4" s="593" t="s">
        <v>452</v>
      </c>
    </row>
    <row r="5" spans="1:53" s="100" customFormat="1" ht="31.5" customHeight="1">
      <c r="B5" s="159"/>
      <c r="C5" s="159"/>
      <c r="D5" s="161"/>
      <c r="E5" s="161"/>
      <c r="F5" s="161"/>
      <c r="G5" s="161"/>
      <c r="H5" s="161"/>
      <c r="I5" s="161"/>
      <c r="J5" s="161"/>
      <c r="K5" s="161"/>
      <c r="L5" s="161"/>
      <c r="M5" s="172"/>
      <c r="N5" s="172"/>
      <c r="O5" s="161"/>
      <c r="P5" s="161"/>
      <c r="Q5" s="161"/>
      <c r="R5" s="161"/>
      <c r="S5" s="161"/>
      <c r="T5" s="161"/>
      <c r="U5" s="161"/>
      <c r="V5" s="161"/>
      <c r="W5" s="161"/>
      <c r="X5" s="161"/>
      <c r="Y5" s="642">
        <v>0.4</v>
      </c>
      <c r="Z5" s="642">
        <v>0.6</v>
      </c>
      <c r="AA5" s="161"/>
      <c r="AB5" s="161"/>
      <c r="AC5" s="161"/>
      <c r="AD5" s="161"/>
      <c r="AE5" s="161"/>
      <c r="AF5" s="161"/>
      <c r="AG5" s="161"/>
      <c r="AH5" s="161"/>
      <c r="AN5" s="161"/>
      <c r="AO5" s="161"/>
      <c r="AP5" s="161"/>
      <c r="AQ5" s="161"/>
      <c r="AR5" s="161"/>
      <c r="AS5" s="161"/>
      <c r="AT5" s="161"/>
      <c r="AU5" s="161"/>
      <c r="AV5" s="161"/>
      <c r="AW5" s="161"/>
      <c r="AZ5" s="161"/>
    </row>
    <row r="6" spans="1:53" ht="15.95" customHeight="1">
      <c r="A6" s="231" t="str">
        <f>RIGHT(B6,2)</f>
        <v xml:space="preserve"> 1</v>
      </c>
      <c r="B6" s="582" t="s">
        <v>453</v>
      </c>
      <c r="C6" s="581" t="s">
        <v>127</v>
      </c>
      <c r="D6" s="581" t="s">
        <v>454</v>
      </c>
      <c r="E6" s="584">
        <f>SUM('Parcel x Block Info'!E2:E21)</f>
        <v>133439</v>
      </c>
      <c r="F6" s="584">
        <v>38149</v>
      </c>
      <c r="G6" s="584">
        <v>614474</v>
      </c>
      <c r="H6" s="584">
        <v>77099</v>
      </c>
      <c r="I6" s="168"/>
      <c r="J6" s="168"/>
      <c r="K6" s="584">
        <f>SUM(F6:H6)</f>
        <v>729722</v>
      </c>
      <c r="L6" s="168"/>
      <c r="M6" s="585">
        <f ca="1">+M$2*Y6*(1+Assumptions!$P$85)^Assumptions!$P$86</f>
        <v>52606179.735544801</v>
      </c>
      <c r="N6" s="585">
        <f ca="1">+N$2*Z6*(1+Assumptions!$P$85)^Assumptions!$P$86</f>
        <v>78909269.603317201</v>
      </c>
      <c r="O6" s="585">
        <f ca="1">+O$2*AA6*(1+Assumptions!$P$85)^Assumptions!$P$86</f>
        <v>4760600.3121599993</v>
      </c>
      <c r="P6" s="585">
        <f ca="1">+P$2*AB6*(1+Assumptions!$P$85)^Assumptions!$P$86</f>
        <v>0</v>
      </c>
      <c r="Q6" s="585">
        <f ca="1">+Q$2*AC6*(1+Assumptions!$P$85)^Assumptions!$P$86</f>
        <v>0</v>
      </c>
      <c r="R6" s="585">
        <f ca="1">+R$2*AD6*(1+Assumptions!$P$85)^Assumptions!$P$86</f>
        <v>0</v>
      </c>
      <c r="S6" s="585">
        <f ca="1">+S$2*AE6*(1+Assumptions!$P$85)^Assumptions!$P$86</f>
        <v>0</v>
      </c>
      <c r="T6" s="585">
        <f ca="1">+T$2*AF6*(1+Assumptions!$P$85)^Assumptions!$P$86</f>
        <v>4090903.7795999995</v>
      </c>
      <c r="U6" s="585">
        <f ca="1">+U$2*AG6*(1+Assumptions!$P$85)^Assumptions!$P$86</f>
        <v>0</v>
      </c>
      <c r="V6" s="585">
        <f ca="1">+SUM(M6:U6)/K6</f>
        <v>192.35675151718323</v>
      </c>
      <c r="W6" s="585">
        <f t="shared" ref="W6:W15" ca="1" si="10">+SUM(M6:S6)/SUM(F6:G6)</f>
        <v>208.8128209563898</v>
      </c>
      <c r="X6" s="168"/>
      <c r="Y6" s="584">
        <f t="shared" ref="Y6:Z15" si="11">+($K6-SUM($AA6:$AG6))*Y$5</f>
        <v>250174</v>
      </c>
      <c r="Z6" s="584">
        <f t="shared" si="11"/>
        <v>375261</v>
      </c>
      <c r="AA6" s="584">
        <v>27188</v>
      </c>
      <c r="AB6" s="584">
        <v>0</v>
      </c>
      <c r="AC6" s="584">
        <v>0</v>
      </c>
      <c r="AD6" s="584">
        <v>0</v>
      </c>
      <c r="AE6" s="584">
        <v>0</v>
      </c>
      <c r="AF6" s="584">
        <f t="shared" ref="AF6:AF15" si="12">+H6</f>
        <v>77099</v>
      </c>
      <c r="AG6" s="584">
        <v>0</v>
      </c>
      <c r="AH6" s="915">
        <f t="shared" ref="AH6:AH15" si="13">+K6-SUM(Y6:AG6)</f>
        <v>0</v>
      </c>
      <c r="AI6" s="100"/>
      <c r="AJ6" s="173">
        <v>0.83047752309879197</v>
      </c>
      <c r="AK6" s="170"/>
      <c r="AL6" s="173">
        <f t="shared" ref="AL6:AL15" si="14">+SUM(AO6:AU6)/SUM(Y6:AE6)</f>
        <v>0.83337380027871055</v>
      </c>
      <c r="AM6" s="170"/>
      <c r="AN6" s="586">
        <f>+SUM(AO6:AW6)</f>
        <v>620977.9096592929</v>
      </c>
      <c r="AO6" s="584">
        <f t="shared" ref="AO6:AO15" si="15">+Y6*$AJ6</f>
        <v>207763.88386371717</v>
      </c>
      <c r="AP6" s="584">
        <f t="shared" ref="AP6:AP15" si="16">+Z6*$AJ6</f>
        <v>311645.8257955758</v>
      </c>
      <c r="AQ6" s="584">
        <f>+AA6*0.9</f>
        <v>24469.200000000001</v>
      </c>
      <c r="AR6" s="584">
        <f t="shared" ref="AR6:AR11" si="17">+AB6*0.75</f>
        <v>0</v>
      </c>
      <c r="AS6" s="584">
        <f t="shared" ref="AS6:AS15" si="18">+AC6</f>
        <v>0</v>
      </c>
      <c r="AT6" s="584">
        <f t="shared" ref="AT6:AT15" si="19">+AD6*0.9</f>
        <v>0</v>
      </c>
      <c r="AU6" s="584">
        <f>+AE6</f>
        <v>0</v>
      </c>
      <c r="AV6" s="584">
        <f>+AF6</f>
        <v>77099</v>
      </c>
      <c r="AW6" s="584">
        <f t="shared" ref="AW6:AW15" si="20">+AG6</f>
        <v>0</v>
      </c>
      <c r="AZ6" s="912">
        <f>'Parcel x Block Info'!M3</f>
        <v>23813612</v>
      </c>
      <c r="BA6" s="21">
        <v>1</v>
      </c>
    </row>
    <row r="7" spans="1:53" ht="15.95" customHeight="1">
      <c r="A7" s="231" t="str">
        <f t="shared" ref="A7:A9" si="21">RIGHT(B7,2)</f>
        <v xml:space="preserve"> 2</v>
      </c>
      <c r="B7" s="583" t="s">
        <v>455</v>
      </c>
      <c r="C7" s="577" t="s">
        <v>125</v>
      </c>
      <c r="D7" s="577" t="s">
        <v>454</v>
      </c>
      <c r="E7" s="578">
        <f>SUM('Parcel x Block Info'!E23:E31)</f>
        <v>140062</v>
      </c>
      <c r="F7" s="578">
        <v>53965</v>
      </c>
      <c r="G7" s="578">
        <v>154856</v>
      </c>
      <c r="H7" s="578">
        <v>0</v>
      </c>
      <c r="I7" s="168"/>
      <c r="J7" s="168"/>
      <c r="K7" s="578">
        <f>SUM(F7:H7)</f>
        <v>208821</v>
      </c>
      <c r="L7" s="168"/>
      <c r="M7" s="579">
        <f ca="1">+M$2*Y7*(1+Assumptions!$P$85)^Assumptions!$P$86</f>
        <v>10897886.5548552</v>
      </c>
      <c r="N7" s="579">
        <f ca="1">+N$2*Z7*(1+Assumptions!$P$85)^Assumptions!$P$86</f>
        <v>16346829.832282798</v>
      </c>
      <c r="O7" s="579">
        <f ca="1">+O$2*AA7*(1+Assumptions!$P$85)^Assumptions!$P$86</f>
        <v>0</v>
      </c>
      <c r="P7" s="579">
        <f ca="1">+P$2*AB7*(1+Assumptions!$P$85)^Assumptions!$P$86</f>
        <v>14718742.7184</v>
      </c>
      <c r="Q7" s="579">
        <f ca="1">+Q$2*AC7*(1+Assumptions!$P$85)^Assumptions!$P$86</f>
        <v>0</v>
      </c>
      <c r="R7" s="579">
        <f ca="1">+R$2*AD7*(1+Assumptions!$P$85)^Assumptions!$P$86</f>
        <v>0</v>
      </c>
      <c r="S7" s="579">
        <f ca="1">+S$2*AE7*(1+Assumptions!$P$85)^Assumptions!$P$86</f>
        <v>0</v>
      </c>
      <c r="T7" s="579">
        <f ca="1">+T$2*AF7*(1+Assumptions!$P$85)^Assumptions!$P$86</f>
        <v>0</v>
      </c>
      <c r="U7" s="579">
        <f ca="1">+U$2*AG7*(1+Assumptions!$P$85)^Assumptions!$P$86</f>
        <v>0</v>
      </c>
      <c r="V7" s="579">
        <f ca="1">+SUM(M7:U7)/K7</f>
        <v>200.95421009159998</v>
      </c>
      <c r="W7" s="579">
        <f t="shared" ca="1" si="10"/>
        <v>200.95421009159998</v>
      </c>
      <c r="X7" s="168"/>
      <c r="Y7" s="578">
        <f t="shared" si="11"/>
        <v>51826</v>
      </c>
      <c r="Z7" s="578">
        <f t="shared" si="11"/>
        <v>77739</v>
      </c>
      <c r="AA7" s="578">
        <v>0</v>
      </c>
      <c r="AB7" s="578">
        <v>79256</v>
      </c>
      <c r="AC7" s="578">
        <v>0</v>
      </c>
      <c r="AD7" s="578">
        <v>0</v>
      </c>
      <c r="AE7" s="578">
        <v>0</v>
      </c>
      <c r="AF7" s="578">
        <f t="shared" si="12"/>
        <v>0</v>
      </c>
      <c r="AG7" s="578">
        <v>0</v>
      </c>
      <c r="AH7" s="916">
        <f t="shared" si="13"/>
        <v>0</v>
      </c>
      <c r="AI7" s="100"/>
      <c r="AJ7" s="173">
        <v>0.85</v>
      </c>
      <c r="AK7" s="171"/>
      <c r="AL7" s="173">
        <f t="shared" si="14"/>
        <v>0.81204596281025376</v>
      </c>
      <c r="AM7" s="171"/>
      <c r="AN7" s="580">
        <f t="shared" ref="AN7:AN10" si="22">+SUM(AO7:AW7)</f>
        <v>169572.25</v>
      </c>
      <c r="AO7" s="578">
        <f t="shared" si="15"/>
        <v>44052.1</v>
      </c>
      <c r="AP7" s="578">
        <f t="shared" si="16"/>
        <v>66078.149999999994</v>
      </c>
      <c r="AQ7" s="578">
        <f>+AA7*0.9</f>
        <v>0</v>
      </c>
      <c r="AR7" s="578">
        <f t="shared" si="17"/>
        <v>59442</v>
      </c>
      <c r="AS7" s="578">
        <f t="shared" si="18"/>
        <v>0</v>
      </c>
      <c r="AT7" s="578">
        <f t="shared" si="19"/>
        <v>0</v>
      </c>
      <c r="AU7" s="578">
        <v>0</v>
      </c>
      <c r="AV7" s="578">
        <f t="shared" ref="AV7:AV15" si="23">+AF7</f>
        <v>0</v>
      </c>
      <c r="AW7" s="578">
        <f t="shared" si="20"/>
        <v>0</v>
      </c>
      <c r="AZ7" s="913">
        <f>'Parcel x Block Info'!M4</f>
        <v>7804500</v>
      </c>
      <c r="BA7" s="21">
        <v>2</v>
      </c>
    </row>
    <row r="8" spans="1:53" ht="15.95" customHeight="1">
      <c r="A8" s="231" t="str">
        <f>RIGHT(B8,2)</f>
        <v xml:space="preserve"> 3</v>
      </c>
      <c r="B8" s="583" t="s">
        <v>456</v>
      </c>
      <c r="C8" s="577" t="s">
        <v>125</v>
      </c>
      <c r="D8" s="577" t="s">
        <v>454</v>
      </c>
      <c r="E8" s="578">
        <f>SUM('Parcel x Block Info'!E33:E54)</f>
        <v>178418</v>
      </c>
      <c r="F8" s="578">
        <v>0</v>
      </c>
      <c r="G8" s="578">
        <v>923656</v>
      </c>
      <c r="H8" s="578">
        <v>149204</v>
      </c>
      <c r="I8" s="168"/>
      <c r="J8" s="168"/>
      <c r="K8" s="578">
        <f>SUM(F8:H8)</f>
        <v>1072860</v>
      </c>
      <c r="L8" s="168"/>
      <c r="M8" s="579">
        <f t="shared" ref="M8:U10" ca="1" si="24">+M$2*Y8</f>
        <v>31435625.640000001</v>
      </c>
      <c r="N8" s="579">
        <f t="shared" ca="1" si="24"/>
        <v>47153438.460000001</v>
      </c>
      <c r="O8" s="579">
        <f t="shared" ca="1" si="24"/>
        <v>12777600</v>
      </c>
      <c r="P8" s="579">
        <f t="shared" ca="1" si="24"/>
        <v>0</v>
      </c>
      <c r="Q8" s="579">
        <f t="shared" ca="1" si="24"/>
        <v>20695125</v>
      </c>
      <c r="R8" s="579">
        <f t="shared" ca="1" si="24"/>
        <v>53800414.920000002</v>
      </c>
      <c r="S8" s="579">
        <f t="shared" ca="1" si="24"/>
        <v>0</v>
      </c>
      <c r="T8" s="579">
        <f t="shared" ca="1" si="24"/>
        <v>7460200</v>
      </c>
      <c r="U8" s="579">
        <f t="shared" ca="1" si="24"/>
        <v>0</v>
      </c>
      <c r="V8" s="579">
        <f ca="1">+SUM(M8:U8)/K8</f>
        <v>161.55174395540888</v>
      </c>
      <c r="W8" s="579">
        <f t="shared" ca="1" si="10"/>
        <v>179.57140322804159</v>
      </c>
      <c r="X8" s="168"/>
      <c r="Y8" s="578">
        <f t="shared" si="11"/>
        <v>158645.6</v>
      </c>
      <c r="Z8" s="578">
        <f t="shared" si="11"/>
        <v>237968.4</v>
      </c>
      <c r="AA8" s="578">
        <v>77440</v>
      </c>
      <c r="AB8" s="578">
        <v>0</v>
      </c>
      <c r="AC8" s="578">
        <v>125425</v>
      </c>
      <c r="AD8" s="578">
        <v>324177</v>
      </c>
      <c r="AE8" s="578">
        <v>0</v>
      </c>
      <c r="AF8" s="578">
        <f t="shared" si="12"/>
        <v>149204</v>
      </c>
      <c r="AG8" s="578">
        <v>0</v>
      </c>
      <c r="AH8" s="916">
        <f t="shared" si="13"/>
        <v>0</v>
      </c>
      <c r="AI8" s="100"/>
      <c r="AJ8" s="100"/>
      <c r="AK8" s="100"/>
      <c r="AL8" s="173">
        <f t="shared" si="14"/>
        <v>0.51873890279497992</v>
      </c>
      <c r="AM8" s="100"/>
      <c r="AN8" s="580">
        <f>+SUM(AO8:AW8)</f>
        <v>628340.30000000005</v>
      </c>
      <c r="AO8" s="578">
        <f t="shared" si="15"/>
        <v>0</v>
      </c>
      <c r="AP8" s="578">
        <f t="shared" si="16"/>
        <v>0</v>
      </c>
      <c r="AQ8" s="578">
        <f>+AA8*0.8</f>
        <v>61952</v>
      </c>
      <c r="AR8" s="578">
        <f t="shared" si="17"/>
        <v>0</v>
      </c>
      <c r="AS8" s="578">
        <f t="shared" si="18"/>
        <v>125425</v>
      </c>
      <c r="AT8" s="578">
        <f t="shared" si="19"/>
        <v>291759.3</v>
      </c>
      <c r="AU8" s="578">
        <f>+AE8</f>
        <v>0</v>
      </c>
      <c r="AV8" s="578">
        <f>+AF8</f>
        <v>149204</v>
      </c>
      <c r="AW8" s="578">
        <f>+AG8</f>
        <v>0</v>
      </c>
      <c r="AZ8" s="913">
        <f>'Parcel x Block Info'!M5</f>
        <v>4258500</v>
      </c>
      <c r="BA8" s="21">
        <v>3</v>
      </c>
    </row>
    <row r="9" spans="1:53" ht="15.95" customHeight="1">
      <c r="A9" s="231" t="str">
        <f t="shared" si="21"/>
        <v xml:space="preserve"> 4</v>
      </c>
      <c r="B9" s="588" t="s">
        <v>457</v>
      </c>
      <c r="C9" s="589" t="s">
        <v>126</v>
      </c>
      <c r="D9" s="589" t="s">
        <v>454</v>
      </c>
      <c r="E9" s="590">
        <f>SUM('Parcel x Block Info'!E56:E67)</f>
        <v>82911</v>
      </c>
      <c r="F9" s="590">
        <v>0</v>
      </c>
      <c r="G9" s="590">
        <f>730052</f>
        <v>730052</v>
      </c>
      <c r="H9" s="590">
        <v>94630</v>
      </c>
      <c r="I9" s="168"/>
      <c r="J9" s="168"/>
      <c r="K9" s="590">
        <f>SUM(F9:H9)</f>
        <v>824682</v>
      </c>
      <c r="L9" s="168"/>
      <c r="M9" s="591">
        <f t="shared" ca="1" si="24"/>
        <v>25612393.440000001</v>
      </c>
      <c r="N9" s="591">
        <f t="shared" ca="1" si="24"/>
        <v>38418590.159999996</v>
      </c>
      <c r="O9" s="591">
        <f t="shared" ca="1" si="24"/>
        <v>16194420</v>
      </c>
      <c r="P9" s="591">
        <f t="shared" ca="1" si="24"/>
        <v>0</v>
      </c>
      <c r="Q9" s="591">
        <f t="shared" ca="1" si="24"/>
        <v>0</v>
      </c>
      <c r="R9" s="591">
        <f t="shared" ca="1" si="24"/>
        <v>51241809.600000001</v>
      </c>
      <c r="S9" s="591">
        <f t="shared" ca="1" si="24"/>
        <v>0</v>
      </c>
      <c r="T9" s="591">
        <f t="shared" ca="1" si="24"/>
        <v>4731500</v>
      </c>
      <c r="U9" s="591">
        <f t="shared" ca="1" si="24"/>
        <v>0</v>
      </c>
      <c r="V9" s="591">
        <f ca="1">+SUM(M9:U9)/K9</f>
        <v>165.15300831108232</v>
      </c>
      <c r="W9" s="591">
        <f t="shared" ca="1" si="10"/>
        <v>180.07924531403242</v>
      </c>
      <c r="X9" s="168"/>
      <c r="Y9" s="590">
        <f t="shared" si="11"/>
        <v>129257.60000000001</v>
      </c>
      <c r="Z9" s="590">
        <f t="shared" si="11"/>
        <v>193886.4</v>
      </c>
      <c r="AA9" s="590">
        <v>98148</v>
      </c>
      <c r="AB9" s="590">
        <v>0</v>
      </c>
      <c r="AC9" s="590">
        <v>0</v>
      </c>
      <c r="AD9" s="590">
        <v>308760</v>
      </c>
      <c r="AE9" s="590">
        <v>0</v>
      </c>
      <c r="AF9" s="590">
        <f t="shared" si="12"/>
        <v>94630</v>
      </c>
      <c r="AG9" s="590">
        <v>0</v>
      </c>
      <c r="AH9" s="917">
        <f t="shared" si="13"/>
        <v>0</v>
      </c>
      <c r="AI9" s="100"/>
      <c r="AJ9" s="173">
        <v>0.85</v>
      </c>
      <c r="AK9" s="170"/>
      <c r="AL9" s="173">
        <f t="shared" si="14"/>
        <v>0.8778684258107643</v>
      </c>
      <c r="AM9" s="170"/>
      <c r="AN9" s="592">
        <f t="shared" si="22"/>
        <v>735519.60000000009</v>
      </c>
      <c r="AO9" s="590">
        <f t="shared" si="15"/>
        <v>109868.96</v>
      </c>
      <c r="AP9" s="590">
        <f t="shared" si="16"/>
        <v>164803.44</v>
      </c>
      <c r="AQ9" s="590">
        <f t="shared" ref="AQ9:AQ15" si="25">+AA9*0.9</f>
        <v>88333.2</v>
      </c>
      <c r="AR9" s="590">
        <f t="shared" si="17"/>
        <v>0</v>
      </c>
      <c r="AS9" s="590">
        <f t="shared" si="18"/>
        <v>0</v>
      </c>
      <c r="AT9" s="590">
        <f t="shared" si="19"/>
        <v>277884</v>
      </c>
      <c r="AU9" s="590">
        <f t="shared" ref="AU9:AU15" si="26">+AE9</f>
        <v>0</v>
      </c>
      <c r="AV9" s="590">
        <f t="shared" si="23"/>
        <v>94630</v>
      </c>
      <c r="AW9" s="590">
        <f t="shared" si="20"/>
        <v>0</v>
      </c>
      <c r="AZ9" s="914">
        <f>'Parcel x Block Info'!M6</f>
        <v>7473750</v>
      </c>
      <c r="BA9" s="21">
        <v>4</v>
      </c>
    </row>
    <row r="10" spans="1:53" ht="15.95" customHeight="1">
      <c r="A10" s="231" t="str">
        <f>RIGHT(B10,1)</f>
        <v>A</v>
      </c>
      <c r="B10" s="583" t="s">
        <v>458</v>
      </c>
      <c r="C10" s="577" t="s">
        <v>125</v>
      </c>
      <c r="D10" s="577" t="s">
        <v>454</v>
      </c>
      <c r="E10" s="578">
        <v>0</v>
      </c>
      <c r="F10" s="578">
        <v>0</v>
      </c>
      <c r="G10" s="578">
        <v>37784</v>
      </c>
      <c r="H10" s="578">
        <v>0</v>
      </c>
      <c r="I10" s="168"/>
      <c r="J10" s="168"/>
      <c r="K10" s="578">
        <f>SUM(E10:H10)</f>
        <v>37784</v>
      </c>
      <c r="L10" s="168"/>
      <c r="M10" s="579">
        <f t="shared" ca="1" si="24"/>
        <v>0</v>
      </c>
      <c r="N10" s="579">
        <f t="shared" ca="1" si="24"/>
        <v>0</v>
      </c>
      <c r="O10" s="579">
        <f t="shared" ca="1" si="24"/>
        <v>0</v>
      </c>
      <c r="P10" s="579">
        <f t="shared" ca="1" si="24"/>
        <v>0</v>
      </c>
      <c r="Q10" s="579">
        <f t="shared" ca="1" si="24"/>
        <v>0</v>
      </c>
      <c r="R10" s="579">
        <f t="shared" ca="1" si="24"/>
        <v>0</v>
      </c>
      <c r="S10" s="579">
        <f t="shared" ca="1" si="24"/>
        <v>4156240</v>
      </c>
      <c r="T10" s="579">
        <f t="shared" ca="1" si="24"/>
        <v>0</v>
      </c>
      <c r="U10" s="579">
        <f t="shared" ca="1" si="24"/>
        <v>0</v>
      </c>
      <c r="V10" s="579">
        <f ca="1">+SUM(M10:U10)/K23</f>
        <v>0.99721774081321812</v>
      </c>
      <c r="W10" s="579">
        <f t="shared" ca="1" si="10"/>
        <v>110</v>
      </c>
      <c r="X10" s="168"/>
      <c r="Y10" s="578">
        <f t="shared" si="11"/>
        <v>0</v>
      </c>
      <c r="Z10" s="578">
        <f t="shared" si="11"/>
        <v>0</v>
      </c>
      <c r="AA10" s="578">
        <v>0</v>
      </c>
      <c r="AB10" s="578">
        <v>0</v>
      </c>
      <c r="AC10" s="578">
        <v>0</v>
      </c>
      <c r="AD10" s="578">
        <v>0</v>
      </c>
      <c r="AE10" s="578">
        <f>K10</f>
        <v>37784</v>
      </c>
      <c r="AF10" s="578">
        <f t="shared" si="12"/>
        <v>0</v>
      </c>
      <c r="AG10" s="578">
        <v>0</v>
      </c>
      <c r="AH10" s="916">
        <f t="shared" si="13"/>
        <v>0</v>
      </c>
      <c r="AI10" s="100"/>
      <c r="AJ10" s="173">
        <v>0.87151446357233397</v>
      </c>
      <c r="AK10" s="170"/>
      <c r="AL10" s="173">
        <f t="shared" si="14"/>
        <v>1</v>
      </c>
      <c r="AM10" s="170"/>
      <c r="AN10" s="580">
        <f t="shared" si="22"/>
        <v>37784</v>
      </c>
      <c r="AO10" s="578">
        <f t="shared" si="15"/>
        <v>0</v>
      </c>
      <c r="AP10" s="578">
        <f t="shared" si="16"/>
        <v>0</v>
      </c>
      <c r="AQ10" s="578">
        <f t="shared" si="25"/>
        <v>0</v>
      </c>
      <c r="AR10" s="578">
        <f t="shared" si="17"/>
        <v>0</v>
      </c>
      <c r="AS10" s="578">
        <f t="shared" si="18"/>
        <v>0</v>
      </c>
      <c r="AT10" s="578">
        <f t="shared" si="19"/>
        <v>0</v>
      </c>
      <c r="AU10" s="578">
        <f t="shared" si="26"/>
        <v>37784</v>
      </c>
      <c r="AV10" s="578">
        <f t="shared" si="23"/>
        <v>0</v>
      </c>
      <c r="AW10" s="578">
        <f t="shared" si="20"/>
        <v>0</v>
      </c>
      <c r="AZ10" s="913">
        <f>'Parcel x Block Info'!M7</f>
        <v>0</v>
      </c>
      <c r="BA10" s="21">
        <v>5</v>
      </c>
    </row>
    <row r="11" spans="1:53" ht="15.95" customHeight="1">
      <c r="A11" s="231" t="s">
        <v>458</v>
      </c>
      <c r="B11" s="588" t="s">
        <v>459</v>
      </c>
      <c r="C11" s="589" t="s">
        <v>126</v>
      </c>
      <c r="D11" s="589" t="s">
        <v>454</v>
      </c>
      <c r="E11" s="590">
        <f>SUM('Parcel x Block Info'!E69:E73)</f>
        <v>81670</v>
      </c>
      <c r="F11" s="590">
        <v>0</v>
      </c>
      <c r="G11" s="590">
        <v>171782</v>
      </c>
      <c r="H11" s="590">
        <v>0</v>
      </c>
      <c r="I11" s="168"/>
      <c r="J11" s="168"/>
      <c r="K11" s="590">
        <f>SUM(F11:H11)</f>
        <v>171782</v>
      </c>
      <c r="L11" s="168"/>
      <c r="M11" s="591">
        <f ca="1">+M$2*Y11*(1+Assumptions!$O$85)^Assumptions!$O$86</f>
        <v>12926662.408800002</v>
      </c>
      <c r="N11" s="591">
        <f ca="1">+N$2*Z11*(1+Assumptions!$O$85)^Assumptions!$O$86</f>
        <v>19389993.613200001</v>
      </c>
      <c r="O11" s="591">
        <f ca="1">+O$2*AA11*(1+Assumptions!$O$85)^Assumptions!$O$86</f>
        <v>2000750.4000000001</v>
      </c>
      <c r="P11" s="591">
        <f ca="1">+P$2*AB11*(1+Assumptions!$O$85)^Assumptions!$O$86</f>
        <v>0</v>
      </c>
      <c r="Q11" s="591">
        <f ca="1">+Q$2*AC11*(1+Assumptions!$O$85)^Assumptions!$O$86</f>
        <v>0</v>
      </c>
      <c r="R11" s="591">
        <f ca="1">+R$2*AD11*(1+Assumptions!$O$85)^Assumptions!$O$86</f>
        <v>0</v>
      </c>
      <c r="S11" s="591">
        <f ca="1">+S$2*AE11*(1+Assumptions!$O$85)^Assumptions!$O$86</f>
        <v>0</v>
      </c>
      <c r="T11" s="591">
        <f ca="1">+T$2*AF11*(1+Assumptions!$O$85)^Assumptions!$O$86</f>
        <v>0</v>
      </c>
      <c r="U11" s="591">
        <f ca="1">+U$2*AG11*(1+Assumptions!$O$85)^Assumptions!$O$86</f>
        <v>0</v>
      </c>
      <c r="V11" s="591">
        <f ca="1">+SUM(M11:U11)/K11</f>
        <v>199.7730054487665</v>
      </c>
      <c r="W11" s="591">
        <f t="shared" ca="1" si="10"/>
        <v>199.7730054487665</v>
      </c>
      <c r="X11" s="168"/>
      <c r="Y11" s="590">
        <f t="shared" si="11"/>
        <v>63957.600000000006</v>
      </c>
      <c r="Z11" s="590">
        <f t="shared" si="11"/>
        <v>95936.4</v>
      </c>
      <c r="AA11" s="590">
        <v>11888</v>
      </c>
      <c r="AB11" s="590">
        <v>0</v>
      </c>
      <c r="AC11" s="590">
        <v>0</v>
      </c>
      <c r="AD11" s="590">
        <v>0</v>
      </c>
      <c r="AE11" s="590">
        <v>0</v>
      </c>
      <c r="AF11" s="590">
        <f t="shared" si="12"/>
        <v>0</v>
      </c>
      <c r="AG11" s="590">
        <v>0</v>
      </c>
      <c r="AH11" s="917">
        <f t="shared" si="13"/>
        <v>0</v>
      </c>
      <c r="AI11" s="100"/>
      <c r="AJ11" s="173">
        <v>0.83991535696946196</v>
      </c>
      <c r="AK11" s="170"/>
      <c r="AL11" s="173">
        <f t="shared" si="14"/>
        <v>0.84407345407129475</v>
      </c>
      <c r="AM11" s="100"/>
      <c r="AN11" s="592">
        <f t="shared" ref="AN11:AN23" si="27">+SUM(AO11:AW11)</f>
        <v>144996.62608727516</v>
      </c>
      <c r="AO11" s="590">
        <f t="shared" si="15"/>
        <v>53718.970434910065</v>
      </c>
      <c r="AP11" s="590">
        <f t="shared" si="16"/>
        <v>80578.455652365083</v>
      </c>
      <c r="AQ11" s="590">
        <f t="shared" si="25"/>
        <v>10699.2</v>
      </c>
      <c r="AR11" s="590">
        <f t="shared" si="17"/>
        <v>0</v>
      </c>
      <c r="AS11" s="590">
        <f t="shared" si="18"/>
        <v>0</v>
      </c>
      <c r="AT11" s="590">
        <f t="shared" si="19"/>
        <v>0</v>
      </c>
      <c r="AU11" s="590">
        <f t="shared" si="26"/>
        <v>0</v>
      </c>
      <c r="AV11" s="590">
        <f t="shared" si="23"/>
        <v>0</v>
      </c>
      <c r="AW11" s="590">
        <f t="shared" si="20"/>
        <v>0</v>
      </c>
      <c r="AZ11" s="914">
        <f>'Parcel x Block Info'!M8</f>
        <v>0</v>
      </c>
      <c r="BA11" s="21" t="s">
        <v>741</v>
      </c>
    </row>
    <row r="12" spans="1:53" ht="15.95" customHeight="1">
      <c r="A12" s="231" t="str">
        <f t="shared" ref="A12:A22" si="28">RIGHT(B12,1)</f>
        <v>6</v>
      </c>
      <c r="B12" s="582" t="s">
        <v>460</v>
      </c>
      <c r="C12" s="581" t="s">
        <v>127</v>
      </c>
      <c r="D12" s="581" t="s">
        <v>454</v>
      </c>
      <c r="E12" s="584">
        <f>SUM('Parcel x Block Info'!E75:E86)</f>
        <v>96786.4</v>
      </c>
      <c r="F12" s="584">
        <v>18697</v>
      </c>
      <c r="G12" s="584">
        <v>227194</v>
      </c>
      <c r="H12" s="584">
        <v>37391</v>
      </c>
      <c r="I12" s="168"/>
      <c r="J12" s="168"/>
      <c r="K12" s="584">
        <f>SUM(F12:H12)</f>
        <v>283282</v>
      </c>
      <c r="L12" s="168"/>
      <c r="M12" s="585">
        <f ca="1">+M$2*Y12*(1+Assumptions!$O$85)^Assumptions!$O$86</f>
        <v>18980836.056000002</v>
      </c>
      <c r="N12" s="585">
        <f ca="1">+N$2*Z12*(1+Assumptions!$O$85)^Assumptions!$O$86</f>
        <v>28471254.083999999</v>
      </c>
      <c r="O12" s="585">
        <f ca="1">+O$2*AA12*(1+Assumptions!$O$85)^Assumptions!$O$86</f>
        <v>1869981.3</v>
      </c>
      <c r="P12" s="585">
        <f ca="1">+P$2*AB12*(1+Assumptions!$O$85)^Assumptions!$O$86</f>
        <v>0</v>
      </c>
      <c r="Q12" s="585">
        <f ca="1">+Q$2*AC12*(1+Assumptions!$O$85)^Assumptions!$O$86</f>
        <v>0</v>
      </c>
      <c r="R12" s="585">
        <f ca="1">+R$2*AD12*(1+Assumptions!$O$85)^Assumptions!$O$86</f>
        <v>0</v>
      </c>
      <c r="S12" s="585">
        <f ca="1">+S$2*AE12*(1+Assumptions!$O$85)^Assumptions!$O$86</f>
        <v>0</v>
      </c>
      <c r="T12" s="585">
        <f ca="1">+T$2*AF12*(1+Assumptions!$O$85)^Assumptions!$O$86</f>
        <v>1906941</v>
      </c>
      <c r="U12" s="585">
        <f ca="1">+U$2*AG12*(1+Assumptions!$O$85)^Assumptions!$O$86</f>
        <v>0</v>
      </c>
      <c r="V12" s="585">
        <f ca="1">+SUM(M12:U12)/K12</f>
        <v>180.84104334197019</v>
      </c>
      <c r="W12" s="585">
        <f t="shared" ca="1" si="10"/>
        <v>200.58510250476837</v>
      </c>
      <c r="X12" s="168"/>
      <c r="Y12" s="584">
        <f t="shared" si="11"/>
        <v>93912</v>
      </c>
      <c r="Z12" s="584">
        <f t="shared" si="11"/>
        <v>140868</v>
      </c>
      <c r="AA12" s="584">
        <v>11111</v>
      </c>
      <c r="AB12" s="584">
        <v>0</v>
      </c>
      <c r="AC12" s="584">
        <v>0</v>
      </c>
      <c r="AD12" s="584">
        <v>0</v>
      </c>
      <c r="AE12" s="584">
        <v>0</v>
      </c>
      <c r="AF12" s="584">
        <f t="shared" si="12"/>
        <v>37391</v>
      </c>
      <c r="AG12" s="584">
        <v>0</v>
      </c>
      <c r="AH12" s="918">
        <f t="shared" si="13"/>
        <v>0</v>
      </c>
      <c r="AI12" s="100"/>
      <c r="AJ12" s="173"/>
      <c r="AK12" s="173">
        <v>0.81245776040612305</v>
      </c>
      <c r="AL12" s="173">
        <f t="shared" si="14"/>
        <v>4.0668019569646711E-2</v>
      </c>
      <c r="AM12" s="100"/>
      <c r="AN12" s="586">
        <f t="shared" si="27"/>
        <v>47390.9</v>
      </c>
      <c r="AO12" s="584">
        <f t="shared" si="15"/>
        <v>0</v>
      </c>
      <c r="AP12" s="584">
        <f t="shared" si="16"/>
        <v>0</v>
      </c>
      <c r="AQ12" s="584">
        <f t="shared" si="25"/>
        <v>9999.9</v>
      </c>
      <c r="AR12" s="584">
        <f>+AB12*AK12</f>
        <v>0</v>
      </c>
      <c r="AS12" s="584">
        <f t="shared" si="18"/>
        <v>0</v>
      </c>
      <c r="AT12" s="584">
        <f t="shared" si="19"/>
        <v>0</v>
      </c>
      <c r="AU12" s="584">
        <f t="shared" si="26"/>
        <v>0</v>
      </c>
      <c r="AV12" s="584">
        <f t="shared" si="23"/>
        <v>37391</v>
      </c>
      <c r="AW12" s="584">
        <f t="shared" si="20"/>
        <v>0</v>
      </c>
      <c r="AZ12" s="912">
        <f>'Parcel x Block Info'!M9</f>
        <v>11440000</v>
      </c>
      <c r="BA12" s="21">
        <v>6</v>
      </c>
    </row>
    <row r="13" spans="1:53" ht="15.95" customHeight="1">
      <c r="A13" s="231" t="str">
        <f t="shared" si="28"/>
        <v>7</v>
      </c>
      <c r="B13" s="588" t="s">
        <v>461</v>
      </c>
      <c r="C13" s="589" t="s">
        <v>126</v>
      </c>
      <c r="D13" s="589" t="s">
        <v>454</v>
      </c>
      <c r="E13" s="590">
        <f>SUM('Parcel x Block Info'!E88:E90)</f>
        <v>24642</v>
      </c>
      <c r="F13" s="590">
        <v>0</v>
      </c>
      <c r="G13" s="590">
        <v>281633</v>
      </c>
      <c r="H13" s="590">
        <v>48568</v>
      </c>
      <c r="I13" s="168"/>
      <c r="J13" s="168"/>
      <c r="K13" s="590">
        <f>SUM(F13:H13)</f>
        <v>330201</v>
      </c>
      <c r="L13" s="168"/>
      <c r="M13" s="591">
        <f ca="1">+M$2*Y13*(1+Assumptions!$O$85)^Assumptions!$O$86</f>
        <v>21484126.8288</v>
      </c>
      <c r="N13" s="591">
        <f ca="1">+N$2*Z13*(1+Assumptions!$O$85)^Assumptions!$O$86</f>
        <v>32226190.2432</v>
      </c>
      <c r="O13" s="591">
        <f ca="1">+O$2*AA13*(1+Assumptions!$O$85)^Assumptions!$O$86</f>
        <v>2674118.7000000002</v>
      </c>
      <c r="P13" s="591">
        <f ca="1">+P$2*AB13*(1+Assumptions!$O$85)^Assumptions!$O$86</f>
        <v>0</v>
      </c>
      <c r="Q13" s="591">
        <f ca="1">+Q$2*AC13*(1+Assumptions!$O$85)^Assumptions!$O$86</f>
        <v>0</v>
      </c>
      <c r="R13" s="591">
        <f ca="1">+R$2*AD13*(1+Assumptions!$O$85)^Assumptions!$O$86</f>
        <v>0</v>
      </c>
      <c r="S13" s="591">
        <f ca="1">+S$2*AE13*(1+Assumptions!$O$85)^Assumptions!$O$86</f>
        <v>0</v>
      </c>
      <c r="T13" s="591">
        <f ca="1">+T$2*AF13*(1+Assumptions!$O$85)^Assumptions!$O$86</f>
        <v>2476968</v>
      </c>
      <c r="U13" s="591">
        <f ca="1">+U$2*AG13*(1+Assumptions!$O$85)^Assumptions!$O$86</f>
        <v>0</v>
      </c>
      <c r="V13" s="591">
        <f ca="1">+SUM(M13:U13)/K13</f>
        <v>178.2593140905085</v>
      </c>
      <c r="W13" s="591">
        <f t="shared" ca="1" si="10"/>
        <v>200.20535864760166</v>
      </c>
      <c r="X13" s="168"/>
      <c r="Y13" s="590">
        <f t="shared" si="11"/>
        <v>106297.60000000001</v>
      </c>
      <c r="Z13" s="590">
        <f t="shared" si="11"/>
        <v>159446.39999999999</v>
      </c>
      <c r="AA13" s="590">
        <v>15889</v>
      </c>
      <c r="AB13" s="590">
        <v>0</v>
      </c>
      <c r="AC13" s="590">
        <v>0</v>
      </c>
      <c r="AD13" s="590">
        <v>0</v>
      </c>
      <c r="AE13" s="590">
        <v>0</v>
      </c>
      <c r="AF13" s="590">
        <f t="shared" si="12"/>
        <v>48568</v>
      </c>
      <c r="AG13" s="590">
        <v>0</v>
      </c>
      <c r="AH13" s="917">
        <f t="shared" si="13"/>
        <v>0</v>
      </c>
      <c r="AI13" s="100"/>
      <c r="AJ13" s="173">
        <v>0.85</v>
      </c>
      <c r="AK13" s="100"/>
      <c r="AL13" s="173">
        <f t="shared" si="14"/>
        <v>0.85282086971342153</v>
      </c>
      <c r="AM13" s="100"/>
      <c r="AN13" s="592">
        <f t="shared" si="27"/>
        <v>288750.5</v>
      </c>
      <c r="AO13" s="590">
        <f t="shared" si="15"/>
        <v>90352.960000000006</v>
      </c>
      <c r="AP13" s="590">
        <f t="shared" si="16"/>
        <v>135529.44</v>
      </c>
      <c r="AQ13" s="590">
        <f t="shared" si="25"/>
        <v>14300.1</v>
      </c>
      <c r="AR13" s="590">
        <f>+AB13*0.75</f>
        <v>0</v>
      </c>
      <c r="AS13" s="590">
        <f t="shared" si="18"/>
        <v>0</v>
      </c>
      <c r="AT13" s="590">
        <f t="shared" si="19"/>
        <v>0</v>
      </c>
      <c r="AU13" s="590">
        <f t="shared" si="26"/>
        <v>0</v>
      </c>
      <c r="AV13" s="590">
        <f t="shared" si="23"/>
        <v>48568</v>
      </c>
      <c r="AW13" s="590">
        <f t="shared" si="20"/>
        <v>0</v>
      </c>
      <c r="AZ13" s="914">
        <f>'Parcel x Block Info'!M10</f>
        <v>6288615</v>
      </c>
      <c r="BA13" s="21">
        <v>7</v>
      </c>
    </row>
    <row r="14" spans="1:53" ht="15.95" customHeight="1">
      <c r="A14" s="231" t="str">
        <f t="shared" si="28"/>
        <v>8</v>
      </c>
      <c r="B14" s="583" t="s">
        <v>462</v>
      </c>
      <c r="C14" s="577" t="s">
        <v>125</v>
      </c>
      <c r="D14" s="577" t="s">
        <v>454</v>
      </c>
      <c r="E14" s="578">
        <f>SUM('Parcel x Block Info'!E92:E97)</f>
        <v>72711</v>
      </c>
      <c r="F14" s="578">
        <v>0</v>
      </c>
      <c r="G14" s="578">
        <v>397090</v>
      </c>
      <c r="H14" s="578">
        <v>105312</v>
      </c>
      <c r="I14" s="168"/>
      <c r="J14" s="168"/>
      <c r="K14" s="578">
        <f>SUM(F14:H14)</f>
        <v>502402</v>
      </c>
      <c r="L14" s="168"/>
      <c r="M14" s="579">
        <f t="shared" ref="M14:U14" ca="1" si="29">+M$2*Y14</f>
        <v>28852542.240000002</v>
      </c>
      <c r="N14" s="579">
        <f t="shared" ca="1" si="29"/>
        <v>43278813.359999999</v>
      </c>
      <c r="O14" s="579">
        <f t="shared" ca="1" si="29"/>
        <v>5455890</v>
      </c>
      <c r="P14" s="579">
        <f t="shared" ca="1" si="29"/>
        <v>0</v>
      </c>
      <c r="Q14" s="579">
        <f t="shared" ca="1" si="29"/>
        <v>0</v>
      </c>
      <c r="R14" s="579">
        <f t="shared" ca="1" si="29"/>
        <v>0</v>
      </c>
      <c r="S14" s="579">
        <f t="shared" ca="1" si="29"/>
        <v>0</v>
      </c>
      <c r="T14" s="579">
        <f t="shared" ca="1" si="29"/>
        <v>5265600</v>
      </c>
      <c r="U14" s="579">
        <f t="shared" ca="1" si="29"/>
        <v>0</v>
      </c>
      <c r="V14" s="579">
        <f ca="1">+SUM(M14:U14)/K14</f>
        <v>164.91344700060907</v>
      </c>
      <c r="W14" s="579">
        <f t="shared" ca="1" si="10"/>
        <v>195.38957314462715</v>
      </c>
      <c r="X14" s="168"/>
      <c r="Y14" s="578">
        <f t="shared" si="11"/>
        <v>145609.60000000001</v>
      </c>
      <c r="Z14" s="578">
        <f>+($K14-SUM($AA14:$AG14))*Z$5</f>
        <v>218414.4</v>
      </c>
      <c r="AA14" s="578">
        <v>33066</v>
      </c>
      <c r="AB14" s="578">
        <v>0</v>
      </c>
      <c r="AC14" s="578">
        <v>0</v>
      </c>
      <c r="AD14" s="578">
        <v>0</v>
      </c>
      <c r="AE14" s="578">
        <v>0</v>
      </c>
      <c r="AF14" s="578">
        <f t="shared" si="12"/>
        <v>105312</v>
      </c>
      <c r="AG14" s="578">
        <v>0</v>
      </c>
      <c r="AH14" s="916">
        <f t="shared" si="13"/>
        <v>0</v>
      </c>
      <c r="AI14" s="100"/>
      <c r="AJ14" s="100"/>
      <c r="AK14" s="100"/>
      <c r="AL14" s="173">
        <f t="shared" si="14"/>
        <v>7.4943715530484276E-2</v>
      </c>
      <c r="AM14" s="100"/>
      <c r="AN14" s="580">
        <f t="shared" si="27"/>
        <v>135071.4</v>
      </c>
      <c r="AO14" s="578">
        <f t="shared" si="15"/>
        <v>0</v>
      </c>
      <c r="AP14" s="578">
        <f t="shared" si="16"/>
        <v>0</v>
      </c>
      <c r="AQ14" s="578">
        <f t="shared" si="25"/>
        <v>29759.4</v>
      </c>
      <c r="AR14" s="578">
        <f>+AB14*0.75</f>
        <v>0</v>
      </c>
      <c r="AS14" s="578">
        <f t="shared" si="18"/>
        <v>0</v>
      </c>
      <c r="AT14" s="578">
        <f t="shared" si="19"/>
        <v>0</v>
      </c>
      <c r="AU14" s="578">
        <f t="shared" si="26"/>
        <v>0</v>
      </c>
      <c r="AV14" s="578">
        <f t="shared" si="23"/>
        <v>105312</v>
      </c>
      <c r="AW14" s="578">
        <f t="shared" si="20"/>
        <v>0</v>
      </c>
      <c r="AZ14" s="913">
        <f>'Parcel x Block Info'!M11</f>
        <v>6922825</v>
      </c>
      <c r="BA14" s="21">
        <v>8</v>
      </c>
    </row>
    <row r="15" spans="1:53" ht="15.95" customHeight="1">
      <c r="A15" s="231" t="str">
        <f t="shared" si="28"/>
        <v>9</v>
      </c>
      <c r="B15" s="587" t="s">
        <v>463</v>
      </c>
      <c r="C15" s="581" t="s">
        <v>127</v>
      </c>
      <c r="D15" s="581" t="s">
        <v>454</v>
      </c>
      <c r="E15" s="584">
        <f>'Parcel x Block Info'!E100</f>
        <v>6300</v>
      </c>
      <c r="F15" s="584">
        <v>0</v>
      </c>
      <c r="G15" s="584">
        <v>2300</v>
      </c>
      <c r="H15" s="584">
        <v>4000</v>
      </c>
      <c r="I15" s="168"/>
      <c r="J15" s="168"/>
      <c r="K15" s="584">
        <v>6300</v>
      </c>
      <c r="L15" s="168"/>
      <c r="M15" s="585" t="s">
        <v>464</v>
      </c>
      <c r="N15" s="585">
        <f t="shared" ref="N15:U15" ca="1" si="30">+N$2*Z15</f>
        <v>0</v>
      </c>
      <c r="O15" s="585">
        <f t="shared" ca="1" si="30"/>
        <v>379500</v>
      </c>
      <c r="P15" s="585">
        <f t="shared" ca="1" si="30"/>
        <v>0</v>
      </c>
      <c r="Q15" s="585">
        <f t="shared" ca="1" si="30"/>
        <v>0</v>
      </c>
      <c r="R15" s="585">
        <f t="shared" ca="1" si="30"/>
        <v>0</v>
      </c>
      <c r="S15" s="585">
        <f t="shared" ca="1" si="30"/>
        <v>0</v>
      </c>
      <c r="T15" s="585">
        <f t="shared" ca="1" si="30"/>
        <v>200000</v>
      </c>
      <c r="U15" s="585">
        <f t="shared" ca="1" si="30"/>
        <v>0</v>
      </c>
      <c r="V15" s="585">
        <f ca="1">+SUM(M15:U15)/K15</f>
        <v>91.984126984126988</v>
      </c>
      <c r="W15" s="585">
        <f t="shared" ca="1" si="10"/>
        <v>165</v>
      </c>
      <c r="X15" s="168"/>
      <c r="Y15" s="584">
        <f t="shared" si="11"/>
        <v>0</v>
      </c>
      <c r="Z15" s="584">
        <f t="shared" si="11"/>
        <v>0</v>
      </c>
      <c r="AA15" s="584">
        <v>2300</v>
      </c>
      <c r="AB15" s="584">
        <v>0</v>
      </c>
      <c r="AC15" s="584">
        <v>0</v>
      </c>
      <c r="AD15" s="584">
        <v>0</v>
      </c>
      <c r="AE15" s="584">
        <v>0</v>
      </c>
      <c r="AF15" s="584">
        <f t="shared" si="12"/>
        <v>4000</v>
      </c>
      <c r="AG15" s="584">
        <v>0</v>
      </c>
      <c r="AH15" s="918">
        <f t="shared" si="13"/>
        <v>0</v>
      </c>
      <c r="AI15" s="100"/>
      <c r="AJ15" s="100"/>
      <c r="AK15" s="100"/>
      <c r="AL15" s="173">
        <f t="shared" si="14"/>
        <v>0.9</v>
      </c>
      <c r="AM15" s="100"/>
      <c r="AN15" s="586">
        <f t="shared" si="27"/>
        <v>6070</v>
      </c>
      <c r="AO15" s="584">
        <f t="shared" si="15"/>
        <v>0</v>
      </c>
      <c r="AP15" s="584">
        <f t="shared" si="16"/>
        <v>0</v>
      </c>
      <c r="AQ15" s="584">
        <f t="shared" si="25"/>
        <v>2070</v>
      </c>
      <c r="AR15" s="584">
        <f>+AB15*0.75</f>
        <v>0</v>
      </c>
      <c r="AS15" s="584">
        <f t="shared" si="18"/>
        <v>0</v>
      </c>
      <c r="AT15" s="584">
        <f t="shared" si="19"/>
        <v>0</v>
      </c>
      <c r="AU15" s="584">
        <f t="shared" si="26"/>
        <v>0</v>
      </c>
      <c r="AV15" s="584">
        <f t="shared" si="23"/>
        <v>4000</v>
      </c>
      <c r="AW15" s="584">
        <f t="shared" si="20"/>
        <v>0</v>
      </c>
      <c r="AZ15" s="912">
        <f>'Parcel x Block Info'!M12</f>
        <v>1575000</v>
      </c>
      <c r="BA15" s="21">
        <v>9</v>
      </c>
    </row>
    <row r="16" spans="1:53" ht="15.95" customHeight="1">
      <c r="A16" s="231" t="str">
        <f t="shared" si="28"/>
        <v xml:space="preserve"> </v>
      </c>
      <c r="B16" s="771" t="s">
        <v>464</v>
      </c>
      <c r="C16" s="919" t="s">
        <v>464</v>
      </c>
      <c r="D16" s="919" t="s">
        <v>465</v>
      </c>
      <c r="E16" s="920" t="s">
        <v>464</v>
      </c>
      <c r="F16" s="920" t="s">
        <v>464</v>
      </c>
      <c r="G16" s="920" t="s">
        <v>464</v>
      </c>
      <c r="H16" s="920" t="s">
        <v>464</v>
      </c>
      <c r="I16" s="921" t="s">
        <v>464</v>
      </c>
      <c r="J16" s="921"/>
      <c r="K16" s="641" t="s">
        <v>464</v>
      </c>
      <c r="L16" s="921"/>
      <c r="M16" s="922"/>
      <c r="N16" s="922"/>
      <c r="O16" s="922"/>
      <c r="P16" s="922"/>
      <c r="Q16" s="922"/>
      <c r="R16" s="922"/>
      <c r="S16" s="922"/>
      <c r="T16" s="922"/>
      <c r="U16" s="922"/>
      <c r="V16" s="922"/>
      <c r="W16" s="922"/>
      <c r="X16" s="921"/>
      <c r="Y16" s="641"/>
      <c r="Z16" s="641"/>
      <c r="AA16" s="920"/>
      <c r="AB16" s="920"/>
      <c r="AC16" s="920"/>
      <c r="AD16" s="920"/>
      <c r="AE16" s="920"/>
      <c r="AF16" s="920"/>
      <c r="AG16" s="920"/>
      <c r="AH16" s="923"/>
      <c r="AI16" s="544"/>
      <c r="AJ16" s="544"/>
      <c r="AK16" s="544"/>
      <c r="AL16" s="924">
        <v>0</v>
      </c>
      <c r="AM16" s="544"/>
      <c r="AN16" s="910"/>
      <c r="AO16" s="641"/>
      <c r="AP16" s="641"/>
      <c r="AQ16" s="641"/>
      <c r="AR16" s="641"/>
      <c r="AS16" s="641"/>
      <c r="AT16" s="641"/>
      <c r="AU16" s="641"/>
      <c r="AV16" s="641"/>
      <c r="AW16" s="641"/>
      <c r="AZ16" s="641"/>
    </row>
    <row r="17" spans="1:52" ht="15.95" customHeight="1">
      <c r="A17" s="231" t="str">
        <f t="shared" si="28"/>
        <v xml:space="preserve"> </v>
      </c>
      <c r="B17" s="771" t="s">
        <v>464</v>
      </c>
      <c r="C17" s="919" t="s">
        <v>464</v>
      </c>
      <c r="D17" s="919" t="s">
        <v>465</v>
      </c>
      <c r="E17" s="920" t="s">
        <v>464</v>
      </c>
      <c r="F17" s="920" t="s">
        <v>464</v>
      </c>
      <c r="G17" s="920" t="s">
        <v>464</v>
      </c>
      <c r="H17" s="920" t="s">
        <v>464</v>
      </c>
      <c r="I17" s="921"/>
      <c r="J17" s="921"/>
      <c r="K17" s="641" t="s">
        <v>464</v>
      </c>
      <c r="L17" s="921"/>
      <c r="M17" s="922"/>
      <c r="N17" s="922"/>
      <c r="O17" s="922"/>
      <c r="P17" s="922"/>
      <c r="Q17" s="922"/>
      <c r="R17" s="922"/>
      <c r="S17" s="922"/>
      <c r="T17" s="922"/>
      <c r="U17" s="922"/>
      <c r="V17" s="922"/>
      <c r="W17" s="922"/>
      <c r="X17" s="921"/>
      <c r="Y17" s="641"/>
      <c r="Z17" s="641"/>
      <c r="AA17" s="920"/>
      <c r="AB17" s="920"/>
      <c r="AC17" s="920"/>
      <c r="AD17" s="920"/>
      <c r="AE17" s="920"/>
      <c r="AF17" s="920"/>
      <c r="AG17" s="920"/>
      <c r="AH17" s="923"/>
      <c r="AI17" s="544"/>
      <c r="AJ17" s="544"/>
      <c r="AK17" s="544"/>
      <c r="AL17" s="924">
        <v>0</v>
      </c>
      <c r="AM17" s="544"/>
      <c r="AN17" s="910"/>
      <c r="AO17" s="641"/>
      <c r="AP17" s="641"/>
      <c r="AQ17" s="641"/>
      <c r="AR17" s="641"/>
      <c r="AS17" s="641"/>
      <c r="AT17" s="641"/>
      <c r="AU17" s="641"/>
      <c r="AV17" s="641"/>
      <c r="AW17" s="641"/>
      <c r="AZ17" s="641"/>
    </row>
    <row r="18" spans="1:52" ht="15.95" customHeight="1">
      <c r="A18" s="231" t="str">
        <f t="shared" si="28"/>
        <v xml:space="preserve"> </v>
      </c>
      <c r="B18" s="771" t="s">
        <v>464</v>
      </c>
      <c r="C18" s="919" t="s">
        <v>464</v>
      </c>
      <c r="D18" s="919" t="s">
        <v>465</v>
      </c>
      <c r="E18" s="920" t="s">
        <v>464</v>
      </c>
      <c r="F18" s="920" t="s">
        <v>464</v>
      </c>
      <c r="G18" s="920" t="s">
        <v>464</v>
      </c>
      <c r="H18" s="920" t="s">
        <v>464</v>
      </c>
      <c r="I18" s="921"/>
      <c r="J18" s="921"/>
      <c r="K18" s="641" t="s">
        <v>464</v>
      </c>
      <c r="L18" s="921"/>
      <c r="M18" s="922"/>
      <c r="N18" s="922"/>
      <c r="O18" s="922"/>
      <c r="P18" s="922"/>
      <c r="Q18" s="922"/>
      <c r="R18" s="922"/>
      <c r="S18" s="922"/>
      <c r="T18" s="922"/>
      <c r="U18" s="922"/>
      <c r="V18" s="922"/>
      <c r="W18" s="922"/>
      <c r="X18" s="921"/>
      <c r="Y18" s="641"/>
      <c r="Z18" s="641"/>
      <c r="AA18" s="920"/>
      <c r="AB18" s="920"/>
      <c r="AC18" s="920"/>
      <c r="AD18" s="920"/>
      <c r="AE18" s="920"/>
      <c r="AF18" s="920"/>
      <c r="AG18" s="920"/>
      <c r="AH18" s="923"/>
      <c r="AI18" s="544"/>
      <c r="AJ18" s="544"/>
      <c r="AK18" s="544"/>
      <c r="AL18" s="924">
        <v>0</v>
      </c>
      <c r="AM18" s="544"/>
      <c r="AN18" s="910"/>
      <c r="AO18" s="641"/>
      <c r="AP18" s="641"/>
      <c r="AQ18" s="641"/>
      <c r="AR18" s="641"/>
      <c r="AS18" s="641"/>
      <c r="AT18" s="641"/>
      <c r="AU18" s="641"/>
      <c r="AV18" s="641"/>
      <c r="AW18" s="641"/>
      <c r="AZ18" s="641"/>
    </row>
    <row r="19" spans="1:52" ht="15.95" customHeight="1">
      <c r="A19" s="231" t="str">
        <f t="shared" si="28"/>
        <v xml:space="preserve"> </v>
      </c>
      <c r="B19" s="771" t="s">
        <v>464</v>
      </c>
      <c r="C19" s="919" t="s">
        <v>464</v>
      </c>
      <c r="D19" s="919" t="s">
        <v>465</v>
      </c>
      <c r="E19" s="920" t="s">
        <v>464</v>
      </c>
      <c r="F19" s="920" t="s">
        <v>464</v>
      </c>
      <c r="G19" s="920" t="s">
        <v>464</v>
      </c>
      <c r="H19" s="920" t="s">
        <v>464</v>
      </c>
      <c r="I19" s="921"/>
      <c r="J19" s="921"/>
      <c r="K19" s="641" t="s">
        <v>464</v>
      </c>
      <c r="L19" s="921"/>
      <c r="M19" s="922"/>
      <c r="N19" s="922"/>
      <c r="O19" s="922"/>
      <c r="P19" s="922"/>
      <c r="Q19" s="922"/>
      <c r="R19" s="922"/>
      <c r="S19" s="922"/>
      <c r="T19" s="922"/>
      <c r="U19" s="922"/>
      <c r="V19" s="922"/>
      <c r="W19" s="922"/>
      <c r="X19" s="921"/>
      <c r="Y19" s="641"/>
      <c r="Z19" s="641"/>
      <c r="AA19" s="920"/>
      <c r="AB19" s="920"/>
      <c r="AC19" s="920"/>
      <c r="AD19" s="920"/>
      <c r="AE19" s="920"/>
      <c r="AF19" s="920"/>
      <c r="AG19" s="920"/>
      <c r="AH19" s="923"/>
      <c r="AI19" s="544"/>
      <c r="AJ19" s="924">
        <v>0.89419900720151801</v>
      </c>
      <c r="AK19" s="544"/>
      <c r="AL19" s="924">
        <v>0</v>
      </c>
      <c r="AM19" s="544"/>
      <c r="AN19" s="910"/>
      <c r="AO19" s="641"/>
      <c r="AP19" s="641"/>
      <c r="AQ19" s="641"/>
      <c r="AR19" s="641"/>
      <c r="AS19" s="641"/>
      <c r="AT19" s="641"/>
      <c r="AU19" s="641"/>
      <c r="AV19" s="641"/>
      <c r="AW19" s="641"/>
      <c r="AZ19" s="641"/>
    </row>
    <row r="20" spans="1:52" ht="15.95" customHeight="1">
      <c r="A20" s="231" t="str">
        <f t="shared" si="28"/>
        <v xml:space="preserve"> </v>
      </c>
      <c r="B20" s="771" t="s">
        <v>464</v>
      </c>
      <c r="C20" s="919" t="s">
        <v>464</v>
      </c>
      <c r="D20" s="919" t="s">
        <v>465</v>
      </c>
      <c r="E20" s="920" t="s">
        <v>464</v>
      </c>
      <c r="F20" s="920" t="s">
        <v>464</v>
      </c>
      <c r="G20" s="920" t="s">
        <v>464</v>
      </c>
      <c r="H20" s="920" t="s">
        <v>464</v>
      </c>
      <c r="I20" s="921"/>
      <c r="J20" s="921"/>
      <c r="K20" s="641" t="s">
        <v>464</v>
      </c>
      <c r="L20" s="921"/>
      <c r="M20" s="922"/>
      <c r="N20" s="922"/>
      <c r="O20" s="922"/>
      <c r="P20" s="922"/>
      <c r="Q20" s="922"/>
      <c r="R20" s="922"/>
      <c r="S20" s="922"/>
      <c r="T20" s="922"/>
      <c r="U20" s="922"/>
      <c r="V20" s="922"/>
      <c r="W20" s="922"/>
      <c r="X20" s="921"/>
      <c r="Y20" s="641"/>
      <c r="Z20" s="641"/>
      <c r="AA20" s="920"/>
      <c r="AB20" s="920"/>
      <c r="AC20" s="920"/>
      <c r="AD20" s="920"/>
      <c r="AE20" s="920"/>
      <c r="AF20" s="920"/>
      <c r="AG20" s="920"/>
      <c r="AH20" s="923"/>
      <c r="AI20" s="544"/>
      <c r="AJ20" s="924">
        <v>0.87500492549997499</v>
      </c>
      <c r="AK20" s="544"/>
      <c r="AL20" s="924">
        <v>0</v>
      </c>
      <c r="AM20" s="544"/>
      <c r="AN20" s="910"/>
      <c r="AO20" s="641"/>
      <c r="AP20" s="641"/>
      <c r="AQ20" s="641"/>
      <c r="AR20" s="641"/>
      <c r="AS20" s="641"/>
      <c r="AT20" s="641"/>
      <c r="AU20" s="641"/>
      <c r="AV20" s="641"/>
      <c r="AW20" s="641"/>
      <c r="AZ20" s="641"/>
    </row>
    <row r="21" spans="1:52" ht="15.95" customHeight="1">
      <c r="A21" s="231" t="str">
        <f t="shared" si="28"/>
        <v xml:space="preserve"> </v>
      </c>
      <c r="B21" s="771" t="s">
        <v>464</v>
      </c>
      <c r="C21" s="919" t="s">
        <v>464</v>
      </c>
      <c r="D21" s="919" t="s">
        <v>465</v>
      </c>
      <c r="E21" s="920" t="s">
        <v>464</v>
      </c>
      <c r="F21" s="920" t="s">
        <v>464</v>
      </c>
      <c r="G21" s="920" t="s">
        <v>464</v>
      </c>
      <c r="H21" s="920" t="s">
        <v>464</v>
      </c>
      <c r="I21" s="921"/>
      <c r="J21" s="921"/>
      <c r="K21" s="641" t="s">
        <v>464</v>
      </c>
      <c r="L21" s="921"/>
      <c r="M21" s="922"/>
      <c r="N21" s="922"/>
      <c r="O21" s="922"/>
      <c r="P21" s="922"/>
      <c r="Q21" s="922"/>
      <c r="R21" s="922"/>
      <c r="S21" s="922"/>
      <c r="T21" s="922"/>
      <c r="U21" s="922"/>
      <c r="V21" s="922"/>
      <c r="W21" s="922"/>
      <c r="X21" s="921"/>
      <c r="Y21" s="641"/>
      <c r="Z21" s="641"/>
      <c r="AA21" s="920"/>
      <c r="AB21" s="920"/>
      <c r="AC21" s="920"/>
      <c r="AD21" s="920"/>
      <c r="AE21" s="920"/>
      <c r="AF21" s="920"/>
      <c r="AG21" s="920"/>
      <c r="AH21" s="923"/>
      <c r="AI21" s="544"/>
      <c r="AJ21" s="924">
        <v>0.874335761773956</v>
      </c>
      <c r="AK21" s="925"/>
      <c r="AL21" s="924">
        <v>0</v>
      </c>
      <c r="AM21" s="544"/>
      <c r="AN21" s="910"/>
      <c r="AO21" s="641"/>
      <c r="AP21" s="641"/>
      <c r="AQ21" s="641"/>
      <c r="AR21" s="641"/>
      <c r="AS21" s="641"/>
      <c r="AT21" s="641"/>
      <c r="AU21" s="641"/>
      <c r="AV21" s="641"/>
      <c r="AW21" s="641"/>
      <c r="AZ21" s="641"/>
    </row>
    <row r="22" spans="1:52" ht="15.95" customHeight="1">
      <c r="A22" s="231" t="str">
        <f t="shared" si="28"/>
        <v xml:space="preserve"> </v>
      </c>
      <c r="B22" s="771" t="s">
        <v>464</v>
      </c>
      <c r="C22" s="919" t="s">
        <v>464</v>
      </c>
      <c r="D22" s="919" t="s">
        <v>465</v>
      </c>
      <c r="E22" s="920" t="s">
        <v>464</v>
      </c>
      <c r="F22" s="920" t="s">
        <v>464</v>
      </c>
      <c r="G22" s="920" t="s">
        <v>464</v>
      </c>
      <c r="H22" s="920" t="s">
        <v>464</v>
      </c>
      <c r="I22" s="921"/>
      <c r="J22" s="921"/>
      <c r="K22" s="641" t="s">
        <v>464</v>
      </c>
      <c r="L22" s="921"/>
      <c r="M22" s="922"/>
      <c r="N22" s="922"/>
      <c r="O22" s="922"/>
      <c r="P22" s="922"/>
      <c r="Q22" s="922"/>
      <c r="R22" s="922"/>
      <c r="S22" s="922"/>
      <c r="T22" s="922"/>
      <c r="U22" s="922"/>
      <c r="V22" s="922"/>
      <c r="W22" s="922"/>
      <c r="X22" s="921"/>
      <c r="Y22" s="641"/>
      <c r="Z22" s="641"/>
      <c r="AA22" s="920"/>
      <c r="AB22" s="920"/>
      <c r="AC22" s="920"/>
      <c r="AD22" s="920"/>
      <c r="AE22" s="920"/>
      <c r="AF22" s="920"/>
      <c r="AG22" s="920"/>
      <c r="AH22" s="923"/>
      <c r="AI22" s="544"/>
      <c r="AJ22" s="544"/>
      <c r="AK22" s="925"/>
      <c r="AL22" s="924">
        <v>0</v>
      </c>
      <c r="AM22" s="544"/>
      <c r="AN22" s="910"/>
      <c r="AO22" s="641"/>
      <c r="AP22" s="641"/>
      <c r="AQ22" s="641"/>
      <c r="AR22" s="641"/>
      <c r="AS22" s="641"/>
      <c r="AT22" s="641"/>
      <c r="AU22" s="911"/>
      <c r="AV22" s="641"/>
      <c r="AW22" s="641"/>
      <c r="AZ22" s="641"/>
    </row>
    <row r="23" spans="1:52" ht="15.95" customHeight="1">
      <c r="B23" s="538" t="s">
        <v>70</v>
      </c>
      <c r="C23" s="539"/>
      <c r="D23" s="539"/>
      <c r="E23" s="540">
        <f>+SUM(E6:E22)</f>
        <v>816939.4</v>
      </c>
      <c r="F23" s="540">
        <f>+SUM(F6:F22)</f>
        <v>110811</v>
      </c>
      <c r="G23" s="540">
        <f>+SUM(G6:G22)</f>
        <v>3540821</v>
      </c>
      <c r="H23" s="540">
        <f>+SUM(H6:H22)</f>
        <v>516204</v>
      </c>
      <c r="I23" s="169"/>
      <c r="J23" s="169"/>
      <c r="K23" s="540">
        <f>+SUM(K6:K22)</f>
        <v>4167836</v>
      </c>
      <c r="L23" s="169"/>
      <c r="M23" s="542">
        <f t="shared" ref="M23:U23" ca="1" si="31">+SUM(M6:M22)</f>
        <v>202796252.90400001</v>
      </c>
      <c r="N23" s="542">
        <f t="shared" ca="1" si="31"/>
        <v>304194379.35600001</v>
      </c>
      <c r="O23" s="542">
        <f t="shared" ca="1" si="31"/>
        <v>46112860.712159999</v>
      </c>
      <c r="P23" s="542">
        <f t="shared" ca="1" si="31"/>
        <v>14718742.7184</v>
      </c>
      <c r="Q23" s="542">
        <f t="shared" ca="1" si="31"/>
        <v>20695125</v>
      </c>
      <c r="R23" s="542">
        <f t="shared" ca="1" si="31"/>
        <v>105042224.52000001</v>
      </c>
      <c r="S23" s="542">
        <f t="shared" ca="1" si="31"/>
        <v>4156240</v>
      </c>
      <c r="T23" s="542">
        <f t="shared" ca="1" si="31"/>
        <v>26132112.779600002</v>
      </c>
      <c r="U23" s="542">
        <f t="shared" ca="1" si="31"/>
        <v>0</v>
      </c>
      <c r="V23" s="542"/>
      <c r="W23" s="542"/>
      <c r="X23" s="169"/>
      <c r="Y23" s="540">
        <f t="shared" ref="Y23:AG23" si="32">+SUM(Y6:Y22)</f>
        <v>999679.99999999988</v>
      </c>
      <c r="Z23" s="540">
        <f t="shared" si="32"/>
        <v>1499520</v>
      </c>
      <c r="AA23" s="540">
        <f t="shared" si="32"/>
        <v>277030</v>
      </c>
      <c r="AB23" s="540">
        <f t="shared" si="32"/>
        <v>79256</v>
      </c>
      <c r="AC23" s="540">
        <f t="shared" si="32"/>
        <v>125425</v>
      </c>
      <c r="AD23" s="540">
        <f t="shared" si="32"/>
        <v>632937</v>
      </c>
      <c r="AE23" s="540">
        <f t="shared" si="32"/>
        <v>37784</v>
      </c>
      <c r="AF23" s="540">
        <f t="shared" si="32"/>
        <v>516204</v>
      </c>
      <c r="AG23" s="540">
        <f t="shared" si="32"/>
        <v>0</v>
      </c>
      <c r="AH23" s="543">
        <f>+K23-SUM(Y23:AG23)</f>
        <v>0</v>
      </c>
      <c r="AI23" s="100"/>
      <c r="AJ23" s="100"/>
      <c r="AK23" s="100"/>
      <c r="AL23" s="100"/>
      <c r="AM23" s="100"/>
      <c r="AN23" s="540">
        <f t="shared" si="27"/>
        <v>2814473.4857465681</v>
      </c>
      <c r="AO23" s="540">
        <f t="shared" ref="AO23:AW23" si="33">+SUM(AO6:AO22)</f>
        <v>505756.87429862731</v>
      </c>
      <c r="AP23" s="540">
        <f t="shared" si="33"/>
        <v>758635.311447941</v>
      </c>
      <c r="AQ23" s="540">
        <f t="shared" si="33"/>
        <v>241583</v>
      </c>
      <c r="AR23" s="540">
        <f t="shared" si="33"/>
        <v>59442</v>
      </c>
      <c r="AS23" s="540">
        <f t="shared" si="33"/>
        <v>125425</v>
      </c>
      <c r="AT23" s="540">
        <f t="shared" si="33"/>
        <v>569643.30000000005</v>
      </c>
      <c r="AU23" s="540">
        <f t="shared" si="33"/>
        <v>37784</v>
      </c>
      <c r="AV23" s="540">
        <f t="shared" si="33"/>
        <v>516204</v>
      </c>
      <c r="AW23" s="540">
        <f t="shared" si="33"/>
        <v>0</v>
      </c>
      <c r="AZ23" s="540">
        <f>+SUM(AZ6:AZ22)</f>
        <v>69576802</v>
      </c>
    </row>
    <row r="24" spans="1:52" ht="15.95" customHeight="1">
      <c r="B24" s="538" t="s">
        <v>121</v>
      </c>
      <c r="C24" s="541" t="s">
        <v>125</v>
      </c>
      <c r="D24" s="541"/>
      <c r="E24" s="540">
        <f t="shared" ref="E24:H26" si="34">+SUMIF($C$6:$C$22,$C24,E$6:E$22)</f>
        <v>391191</v>
      </c>
      <c r="F24" s="540">
        <f t="shared" si="34"/>
        <v>53965</v>
      </c>
      <c r="G24" s="540">
        <f t="shared" si="34"/>
        <v>1513386</v>
      </c>
      <c r="H24" s="540">
        <f t="shared" si="34"/>
        <v>254516</v>
      </c>
      <c r="I24" s="169"/>
      <c r="J24" s="169"/>
      <c r="K24" s="540">
        <f>+SUMIF($C$6:$C$22,$C24,K$6:K$22)</f>
        <v>1821867</v>
      </c>
      <c r="L24" s="169"/>
      <c r="M24" s="542">
        <f t="shared" ref="M24:U26" ca="1" si="35">+SUMIF($C$6:$C$22,$C24,M$6:M$22)</f>
        <v>71186054.434855193</v>
      </c>
      <c r="N24" s="542">
        <f t="shared" ca="1" si="35"/>
        <v>106779081.6522828</v>
      </c>
      <c r="O24" s="542">
        <f t="shared" ca="1" si="35"/>
        <v>18233490</v>
      </c>
      <c r="P24" s="542">
        <f t="shared" ca="1" si="35"/>
        <v>14718742.7184</v>
      </c>
      <c r="Q24" s="542">
        <f t="shared" ca="1" si="35"/>
        <v>20695125</v>
      </c>
      <c r="R24" s="542">
        <f t="shared" ca="1" si="35"/>
        <v>53800414.920000002</v>
      </c>
      <c r="S24" s="542">
        <f t="shared" ca="1" si="35"/>
        <v>4156240</v>
      </c>
      <c r="T24" s="542">
        <f t="shared" ca="1" si="35"/>
        <v>12725800</v>
      </c>
      <c r="U24" s="542">
        <f t="shared" ca="1" si="35"/>
        <v>0</v>
      </c>
      <c r="V24" s="542"/>
      <c r="W24" s="542"/>
      <c r="X24" s="169"/>
      <c r="Y24" s="540">
        <f t="shared" ref="Y24:AG26" si="36">+SUMIF($C$6:$C$22,$C24,Y$6:Y$22)</f>
        <v>356081.2</v>
      </c>
      <c r="Z24" s="540">
        <f t="shared" si="36"/>
        <v>534121.80000000005</v>
      </c>
      <c r="AA24" s="540">
        <f t="shared" si="36"/>
        <v>110506</v>
      </c>
      <c r="AB24" s="540">
        <f t="shared" si="36"/>
        <v>79256</v>
      </c>
      <c r="AC24" s="540">
        <f t="shared" si="36"/>
        <v>125425</v>
      </c>
      <c r="AD24" s="540">
        <f t="shared" si="36"/>
        <v>324177</v>
      </c>
      <c r="AE24" s="540">
        <f t="shared" si="36"/>
        <v>37784</v>
      </c>
      <c r="AF24" s="540">
        <f t="shared" si="36"/>
        <v>254516</v>
      </c>
      <c r="AG24" s="540">
        <f t="shared" si="36"/>
        <v>0</v>
      </c>
      <c r="AH24" s="543">
        <f>+K24-SUM(Y24:AG24)</f>
        <v>0</v>
      </c>
      <c r="AN24" s="540">
        <f t="shared" ref="AN24:AW26" si="37">+SUMIF($C$6:$C$22,$C24,AN$6:AN$22)</f>
        <v>970767.95000000007</v>
      </c>
      <c r="AO24" s="540">
        <f t="shared" si="37"/>
        <v>44052.1</v>
      </c>
      <c r="AP24" s="540">
        <f t="shared" si="37"/>
        <v>66078.149999999994</v>
      </c>
      <c r="AQ24" s="540">
        <f t="shared" si="37"/>
        <v>91711.4</v>
      </c>
      <c r="AR24" s="540">
        <f t="shared" si="37"/>
        <v>59442</v>
      </c>
      <c r="AS24" s="540">
        <f t="shared" si="37"/>
        <v>125425</v>
      </c>
      <c r="AT24" s="540">
        <f t="shared" si="37"/>
        <v>291759.3</v>
      </c>
      <c r="AU24" s="540">
        <f t="shared" si="37"/>
        <v>37784</v>
      </c>
      <c r="AV24" s="540">
        <f t="shared" si="37"/>
        <v>254516</v>
      </c>
      <c r="AW24" s="540">
        <f t="shared" si="37"/>
        <v>0</v>
      </c>
      <c r="AZ24" s="540">
        <f>AZ23</f>
        <v>69576802</v>
      </c>
    </row>
    <row r="25" spans="1:52" ht="15.95" customHeight="1">
      <c r="B25" s="538" t="s">
        <v>121</v>
      </c>
      <c r="C25" s="541" t="s">
        <v>126</v>
      </c>
      <c r="D25" s="541"/>
      <c r="E25" s="540">
        <f t="shared" si="34"/>
        <v>189223</v>
      </c>
      <c r="F25" s="540">
        <f t="shared" si="34"/>
        <v>0</v>
      </c>
      <c r="G25" s="540">
        <f t="shared" si="34"/>
        <v>1183467</v>
      </c>
      <c r="H25" s="540">
        <f t="shared" si="34"/>
        <v>143198</v>
      </c>
      <c r="I25" s="169"/>
      <c r="J25" s="169"/>
      <c r="K25" s="540">
        <f>+SUMIF($C$6:$C$22,$C25,K$6:K$22)</f>
        <v>1326665</v>
      </c>
      <c r="L25" s="169"/>
      <c r="M25" s="542">
        <f t="shared" ca="1" si="35"/>
        <v>60023182.677600004</v>
      </c>
      <c r="N25" s="542">
        <f t="shared" ca="1" si="35"/>
        <v>90034774.016399994</v>
      </c>
      <c r="O25" s="542">
        <f t="shared" ca="1" si="35"/>
        <v>20869289.099999998</v>
      </c>
      <c r="P25" s="542">
        <f t="shared" ca="1" si="35"/>
        <v>0</v>
      </c>
      <c r="Q25" s="542">
        <f t="shared" ca="1" si="35"/>
        <v>0</v>
      </c>
      <c r="R25" s="542">
        <f t="shared" ca="1" si="35"/>
        <v>51241809.600000001</v>
      </c>
      <c r="S25" s="542">
        <f t="shared" ca="1" si="35"/>
        <v>0</v>
      </c>
      <c r="T25" s="542">
        <f t="shared" ca="1" si="35"/>
        <v>7208468</v>
      </c>
      <c r="U25" s="542">
        <f t="shared" ca="1" si="35"/>
        <v>0</v>
      </c>
      <c r="V25" s="542"/>
      <c r="W25" s="542"/>
      <c r="X25" s="169"/>
      <c r="Y25" s="540">
        <f t="shared" si="36"/>
        <v>299512.80000000005</v>
      </c>
      <c r="Z25" s="540">
        <f t="shared" si="36"/>
        <v>449269.19999999995</v>
      </c>
      <c r="AA25" s="540">
        <f t="shared" si="36"/>
        <v>125925</v>
      </c>
      <c r="AB25" s="540">
        <f t="shared" si="36"/>
        <v>0</v>
      </c>
      <c r="AC25" s="540">
        <f t="shared" si="36"/>
        <v>0</v>
      </c>
      <c r="AD25" s="540">
        <f t="shared" si="36"/>
        <v>308760</v>
      </c>
      <c r="AE25" s="540">
        <f t="shared" si="36"/>
        <v>0</v>
      </c>
      <c r="AF25" s="540">
        <f t="shared" si="36"/>
        <v>143198</v>
      </c>
      <c r="AG25" s="540">
        <f t="shared" si="36"/>
        <v>0</v>
      </c>
      <c r="AH25" s="543">
        <f>+K25-SUM(Y25:AG25)</f>
        <v>0</v>
      </c>
      <c r="AN25" s="540">
        <f t="shared" si="37"/>
        <v>1169266.7260872752</v>
      </c>
      <c r="AO25" s="540">
        <f t="shared" si="37"/>
        <v>253940.89043491008</v>
      </c>
      <c r="AP25" s="540">
        <f t="shared" si="37"/>
        <v>380911.33565236512</v>
      </c>
      <c r="AQ25" s="540">
        <f t="shared" si="37"/>
        <v>113332.5</v>
      </c>
      <c r="AR25" s="540">
        <f t="shared" si="37"/>
        <v>0</v>
      </c>
      <c r="AS25" s="540">
        <f t="shared" si="37"/>
        <v>0</v>
      </c>
      <c r="AT25" s="540">
        <f t="shared" si="37"/>
        <v>277884</v>
      </c>
      <c r="AU25" s="540">
        <f t="shared" si="37"/>
        <v>0</v>
      </c>
      <c r="AV25" s="540">
        <f t="shared" si="37"/>
        <v>143198</v>
      </c>
      <c r="AW25" s="540">
        <f t="shared" si="37"/>
        <v>0</v>
      </c>
      <c r="AZ25" s="540">
        <v>0</v>
      </c>
    </row>
    <row r="26" spans="1:52" ht="15.95" customHeight="1">
      <c r="B26" s="538" t="s">
        <v>121</v>
      </c>
      <c r="C26" s="541" t="s">
        <v>127</v>
      </c>
      <c r="D26" s="541"/>
      <c r="E26" s="540">
        <f t="shared" si="34"/>
        <v>236525.4</v>
      </c>
      <c r="F26" s="540">
        <f t="shared" si="34"/>
        <v>56846</v>
      </c>
      <c r="G26" s="540">
        <f t="shared" si="34"/>
        <v>843968</v>
      </c>
      <c r="H26" s="540">
        <f t="shared" si="34"/>
        <v>118490</v>
      </c>
      <c r="I26" s="169"/>
      <c r="J26" s="169"/>
      <c r="K26" s="540">
        <f>+SUMIF($C$6:$C$22,$C26,K$6:K$22)</f>
        <v>1019304</v>
      </c>
      <c r="L26" s="169"/>
      <c r="M26" s="542">
        <f t="shared" ca="1" si="35"/>
        <v>71587015.791544795</v>
      </c>
      <c r="N26" s="542">
        <f t="shared" ca="1" si="35"/>
        <v>107380523.68731719</v>
      </c>
      <c r="O26" s="542">
        <f t="shared" ca="1" si="35"/>
        <v>7010081.6121599991</v>
      </c>
      <c r="P26" s="542">
        <f t="shared" ca="1" si="35"/>
        <v>0</v>
      </c>
      <c r="Q26" s="542">
        <f t="shared" ca="1" si="35"/>
        <v>0</v>
      </c>
      <c r="R26" s="542">
        <f t="shared" ca="1" si="35"/>
        <v>0</v>
      </c>
      <c r="S26" s="542">
        <f t="shared" ca="1" si="35"/>
        <v>0</v>
      </c>
      <c r="T26" s="542">
        <f t="shared" ca="1" si="35"/>
        <v>6197844.7796</v>
      </c>
      <c r="U26" s="542">
        <f t="shared" ca="1" si="35"/>
        <v>0</v>
      </c>
      <c r="V26" s="542"/>
      <c r="W26" s="542"/>
      <c r="X26" s="169"/>
      <c r="Y26" s="540">
        <f t="shared" si="36"/>
        <v>344086</v>
      </c>
      <c r="Z26" s="540">
        <f t="shared" si="36"/>
        <v>516129</v>
      </c>
      <c r="AA26" s="540">
        <f t="shared" si="36"/>
        <v>40599</v>
      </c>
      <c r="AB26" s="540">
        <f t="shared" si="36"/>
        <v>0</v>
      </c>
      <c r="AC26" s="540">
        <f t="shared" si="36"/>
        <v>0</v>
      </c>
      <c r="AD26" s="540">
        <f t="shared" si="36"/>
        <v>0</v>
      </c>
      <c r="AE26" s="540">
        <f t="shared" si="36"/>
        <v>0</v>
      </c>
      <c r="AF26" s="540">
        <f t="shared" si="36"/>
        <v>118490</v>
      </c>
      <c r="AG26" s="540">
        <f t="shared" si="36"/>
        <v>0</v>
      </c>
      <c r="AH26" s="543">
        <f>+K26-SUM(Y26:AG26)</f>
        <v>0</v>
      </c>
      <c r="AN26" s="540">
        <f t="shared" si="37"/>
        <v>674438.80965929292</v>
      </c>
      <c r="AO26" s="540">
        <f t="shared" si="37"/>
        <v>207763.88386371717</v>
      </c>
      <c r="AP26" s="540">
        <f t="shared" si="37"/>
        <v>311645.8257955758</v>
      </c>
      <c r="AQ26" s="540">
        <f t="shared" si="37"/>
        <v>36539.1</v>
      </c>
      <c r="AR26" s="540">
        <f t="shared" si="37"/>
        <v>0</v>
      </c>
      <c r="AS26" s="540">
        <f t="shared" si="37"/>
        <v>0</v>
      </c>
      <c r="AT26" s="540">
        <f t="shared" si="37"/>
        <v>0</v>
      </c>
      <c r="AU26" s="540">
        <f t="shared" si="37"/>
        <v>0</v>
      </c>
      <c r="AV26" s="540">
        <f t="shared" si="37"/>
        <v>118490</v>
      </c>
      <c r="AW26" s="540">
        <f t="shared" si="37"/>
        <v>0</v>
      </c>
      <c r="AZ26" s="540">
        <v>0</v>
      </c>
    </row>
    <row r="27" spans="1:52" ht="15.95" customHeight="1">
      <c r="K27" s="641"/>
    </row>
    <row r="28" spans="1:52" ht="15.95" customHeight="1">
      <c r="B28" s="638" t="s">
        <v>1</v>
      </c>
      <c r="C28" s="124"/>
      <c r="M28" s="158" t="s">
        <v>466</v>
      </c>
      <c r="AM28" s="158"/>
      <c r="AO28" s="176" t="s">
        <v>467</v>
      </c>
      <c r="AQ28" s="176" t="s">
        <v>468</v>
      </c>
      <c r="AS28" s="176" t="s">
        <v>469</v>
      </c>
      <c r="AU28" s="176" t="s">
        <v>470</v>
      </c>
      <c r="AW28" s="176" t="s">
        <v>471</v>
      </c>
    </row>
    <row r="29" spans="1:52" ht="15.95" customHeight="1">
      <c r="B29" s="639" t="s">
        <v>2</v>
      </c>
      <c r="C29" s="643" t="s">
        <v>770</v>
      </c>
      <c r="Y29" s="638" t="s">
        <v>1</v>
      </c>
      <c r="AL29" s="664" t="s">
        <v>472</v>
      </c>
      <c r="AM29" s="177" t="s">
        <v>49</v>
      </c>
      <c r="AO29" s="22">
        <f>+Assumptions!E62</f>
        <v>516</v>
      </c>
      <c r="AQ29" s="22">
        <f>+Assumptions!E66</f>
        <v>720</v>
      </c>
      <c r="AS29" s="22">
        <f>+Assumptions!E70</f>
        <v>1053</v>
      </c>
      <c r="AU29" s="22">
        <f>+Assumptions!E74</f>
        <v>1535</v>
      </c>
      <c r="AW29" s="22">
        <f>+Assumptions!E78</f>
        <v>0</v>
      </c>
      <c r="AX29" s="403"/>
    </row>
    <row r="30" spans="1:52" ht="15.95" customHeight="1">
      <c r="B30" s="637" t="s">
        <v>3</v>
      </c>
      <c r="Y30" s="639" t="s">
        <v>2</v>
      </c>
      <c r="AL30" s="21" t="s">
        <v>1</v>
      </c>
      <c r="AM30" s="178">
        <f>+SUM(AN30,AP30,AR30,AT30,AV30)-1</f>
        <v>0</v>
      </c>
      <c r="AN30" s="49">
        <v>0.4</v>
      </c>
      <c r="AO30" s="22">
        <f>AN30*$AP24/AO$29</f>
        <v>51.223372093023251</v>
      </c>
      <c r="AP30" s="49">
        <v>0.25</v>
      </c>
      <c r="AQ30" s="22">
        <f>AP30*$AP24/AQ$29</f>
        <v>22.943802083333331</v>
      </c>
      <c r="AR30" s="49">
        <v>0.25</v>
      </c>
      <c r="AS30" s="22">
        <f>AR30*$AP24/AS$29</f>
        <v>15.688069800569799</v>
      </c>
      <c r="AT30" s="49">
        <v>0.1</v>
      </c>
      <c r="AU30" s="22">
        <f>AT30*$AP24/AU$29</f>
        <v>4.3047654723127033</v>
      </c>
      <c r="AV30" s="49">
        <v>0</v>
      </c>
      <c r="AW30" s="22">
        <v>0</v>
      </c>
      <c r="AX30" s="22">
        <f>+(AW30*$AW$29+AU30*$AU$29+AS30*$AS$29+AQ30*$AQ$29+AO30*$AO$29)</f>
        <v>66078.149999999994</v>
      </c>
    </row>
    <row r="31" spans="1:52" ht="15.95" customHeight="1">
      <c r="Y31" s="637" t="s">
        <v>3</v>
      </c>
      <c r="AL31" s="21" t="s">
        <v>2</v>
      </c>
      <c r="AM31" s="178">
        <f>+SUM(AN31,AP31,AR31,AT31,AV31)-1</f>
        <v>0</v>
      </c>
      <c r="AN31" s="49">
        <f>AN30</f>
        <v>0.4</v>
      </c>
      <c r="AO31" s="22">
        <f t="shared" ref="AO31:AQ31" si="38">AN31*$AP25/AO$29</f>
        <v>295.2801051568722</v>
      </c>
      <c r="AP31" s="49">
        <f>AP30</f>
        <v>0.25</v>
      </c>
      <c r="AQ31" s="22">
        <f t="shared" si="38"/>
        <v>132.26088043484899</v>
      </c>
      <c r="AR31" s="49">
        <f>AR30</f>
        <v>0.25</v>
      </c>
      <c r="AS31" s="22">
        <f t="shared" ref="AS31" si="39">AR31*$AP25/AS$29</f>
        <v>90.434790040922394</v>
      </c>
      <c r="AT31" s="49">
        <v>0.1</v>
      </c>
      <c r="AU31" s="22">
        <f t="shared" ref="AU31" si="40">AT31*$AP25/AU$29</f>
        <v>24.815070726538448</v>
      </c>
      <c r="AV31" s="49">
        <v>0</v>
      </c>
      <c r="AW31" s="22">
        <f>0</f>
        <v>0</v>
      </c>
      <c r="AX31" s="22">
        <f t="shared" ref="AX31:AX33" si="41">+(AW31*$AW$29+AU31*$AU$29+AS31*$AS$29+AQ31*$AQ$29+AO31*$AO$29)</f>
        <v>380911.33565236512</v>
      </c>
    </row>
    <row r="32" spans="1:52" ht="15.95" customHeight="1">
      <c r="B32" s="646" t="s">
        <v>473</v>
      </c>
      <c r="F32" s="227" t="s">
        <v>474</v>
      </c>
      <c r="G32" s="227" t="s">
        <v>475</v>
      </c>
      <c r="AM32" s="178"/>
      <c r="AN32" s="49"/>
      <c r="AO32" s="22"/>
      <c r="AP32" s="49"/>
      <c r="AQ32" s="22"/>
      <c r="AR32" s="49"/>
      <c r="AS32" s="22"/>
      <c r="AT32" s="49"/>
      <c r="AU32" s="22"/>
      <c r="AV32" s="49"/>
      <c r="AW32" s="22"/>
      <c r="AX32" s="22"/>
    </row>
    <row r="33" spans="2:50" ht="15.95" customHeight="1">
      <c r="B33" s="21" t="s">
        <v>769</v>
      </c>
      <c r="F33" s="168">
        <f>AC24</f>
        <v>125425</v>
      </c>
      <c r="G33" s="160">
        <f>+'Public Benefits'!F6</f>
        <v>17103409.09090909</v>
      </c>
      <c r="AL33" s="21" t="s">
        <v>3</v>
      </c>
      <c r="AM33" s="178">
        <f>+SUM(AN33,AP33,AR33,AT33,AV33)-1</f>
        <v>0</v>
      </c>
      <c r="AN33" s="49">
        <f>AN31</f>
        <v>0.4</v>
      </c>
      <c r="AO33" s="22">
        <f>AN33*$AP26/AO$29</f>
        <v>241.5859114694386</v>
      </c>
      <c r="AP33" s="49">
        <f>AP31</f>
        <v>0.25</v>
      </c>
      <c r="AQ33" s="22">
        <f>AP33*$AP26/AQ$29</f>
        <v>108.21035617901937</v>
      </c>
      <c r="AR33" s="49">
        <f>AR31</f>
        <v>0.25</v>
      </c>
      <c r="AS33" s="22">
        <f t="shared" ref="AS33" si="42">AR33*$AP26/AS$29</f>
        <v>73.989987130953423</v>
      </c>
      <c r="AT33" s="49">
        <v>0.1</v>
      </c>
      <c r="AU33" s="22">
        <f t="shared" ref="AU33" si="43">AT33*$AP26/AU$29</f>
        <v>20.302659660949562</v>
      </c>
      <c r="AV33" s="49">
        <v>0</v>
      </c>
      <c r="AW33" s="22">
        <f>AW29</f>
        <v>0</v>
      </c>
      <c r="AX33" s="22">
        <f t="shared" si="41"/>
        <v>311645.8257955758</v>
      </c>
    </row>
    <row r="34" spans="2:50" ht="15.95" customHeight="1">
      <c r="B34" s="21" t="s">
        <v>102</v>
      </c>
      <c r="F34" s="644">
        <v>72403</v>
      </c>
      <c r="G34" s="16">
        <f>+'Public Benefits'!F5</f>
        <v>0</v>
      </c>
      <c r="AL34" s="544" t="s">
        <v>1</v>
      </c>
      <c r="AM34" s="178">
        <f>+SUM(AN34,AP34,AR34,AT34,AV34)-1</f>
        <v>0</v>
      </c>
      <c r="AN34" s="49">
        <f>+AN30</f>
        <v>0.4</v>
      </c>
      <c r="AO34" s="22">
        <f>+AN34*$AO24/AO$29</f>
        <v>34.148914728682172</v>
      </c>
      <c r="AP34" s="49">
        <f>+AP30</f>
        <v>0.25</v>
      </c>
      <c r="AQ34" s="22">
        <f>+AP34*$AO24/AQ$29</f>
        <v>15.295868055555555</v>
      </c>
      <c r="AR34" s="49">
        <f>+AR30</f>
        <v>0.25</v>
      </c>
      <c r="AS34" s="22">
        <f>+AR34*$AO24/AS$29</f>
        <v>10.458713200379867</v>
      </c>
      <c r="AT34" s="49">
        <f>+AT30</f>
        <v>0.1</v>
      </c>
      <c r="AU34" s="22">
        <f>+AT34*$AO24/AU$29</f>
        <v>2.869843648208469</v>
      </c>
      <c r="AV34" s="49">
        <f>+AV30</f>
        <v>0</v>
      </c>
      <c r="AW34" s="22">
        <f>AW29</f>
        <v>0</v>
      </c>
      <c r="AX34" s="22">
        <f>+(AW34*$AW$29+AU34*$AU$29+AS34*$AS$29+AQ34*$AQ$29+AO34*$AO$29)</f>
        <v>44052.100000000006</v>
      </c>
    </row>
    <row r="35" spans="2:50" ht="15.95" customHeight="1">
      <c r="B35" s="21" t="s">
        <v>786</v>
      </c>
      <c r="F35" s="644">
        <v>101034</v>
      </c>
      <c r="G35" s="16"/>
      <c r="AL35" s="544"/>
      <c r="AM35" s="178"/>
      <c r="AN35" s="49"/>
      <c r="AO35" s="22"/>
      <c r="AP35" s="49"/>
      <c r="AQ35" s="22"/>
      <c r="AR35" s="49"/>
      <c r="AS35" s="22"/>
      <c r="AT35" s="49"/>
      <c r="AU35" s="22"/>
      <c r="AV35" s="49"/>
      <c r="AW35" s="22"/>
      <c r="AX35" s="22"/>
    </row>
    <row r="36" spans="2:50" ht="15.95" customHeight="1">
      <c r="B36" s="21" t="s">
        <v>768</v>
      </c>
      <c r="F36" s="168">
        <v>110811</v>
      </c>
      <c r="G36" s="16">
        <f>+'Public Benefits'!F4</f>
        <v>599220.50313254795</v>
      </c>
      <c r="H36" s="21"/>
      <c r="AL36" s="21" t="s">
        <v>2</v>
      </c>
      <c r="AM36" s="178">
        <f>+SUM(AN36,AP36,AR36,AT36,AV36)-1</f>
        <v>0</v>
      </c>
      <c r="AN36" s="49">
        <f>+AN31</f>
        <v>0.4</v>
      </c>
      <c r="AO36" s="22">
        <f>+AN36*$AO25/AO$29</f>
        <v>196.85340343791481</v>
      </c>
      <c r="AP36" s="49">
        <f>+AP31</f>
        <v>0.25</v>
      </c>
      <c r="AQ36" s="22">
        <f>+AP36*$AO25/AQ$29</f>
        <v>88.173920289899328</v>
      </c>
      <c r="AR36" s="49">
        <f>+AR31</f>
        <v>0.25</v>
      </c>
      <c r="AS36" s="22">
        <f>+AR36*$AO25/AS$29</f>
        <v>60.289860027281598</v>
      </c>
      <c r="AT36" s="49">
        <f>+AT31</f>
        <v>0.1</v>
      </c>
      <c r="AU36" s="22">
        <f>+AT36*$AO25/AU$29</f>
        <v>16.543380484358966</v>
      </c>
      <c r="AV36" s="49">
        <f>+AV31</f>
        <v>0</v>
      </c>
      <c r="AW36" s="22">
        <f>AW29</f>
        <v>0</v>
      </c>
      <c r="AX36" s="22">
        <f t="shared" ref="AX36:AX37" si="44">+(AW36*$AW$29+AU36*$AU$29+AS36*$AS$29+AQ36*$AQ$29+AO36*$AO$29)</f>
        <v>253940.89043491008</v>
      </c>
    </row>
    <row r="37" spans="2:50" ht="15.95" customHeight="1">
      <c r="B37" s="21" t="s">
        <v>476</v>
      </c>
      <c r="F37" s="168">
        <f>+Y23</f>
        <v>999679.99999999988</v>
      </c>
      <c r="G37" s="160">
        <f>+'Public Benefits'!F9</f>
        <v>30271718.487205856</v>
      </c>
      <c r="AL37" s="21" t="s">
        <v>3</v>
      </c>
      <c r="AM37" s="178">
        <f>+SUM(AN37,AP37,AR37,AT37,AV37)-1</f>
        <v>0</v>
      </c>
      <c r="AN37" s="49">
        <f>+AN33</f>
        <v>0.4</v>
      </c>
      <c r="AO37" s="22">
        <f>+AN37*$AO26/AO$29</f>
        <v>161.05727431295907</v>
      </c>
      <c r="AP37" s="49">
        <f>+AP33</f>
        <v>0.25</v>
      </c>
      <c r="AQ37" s="22">
        <f>+AP37*$AO26/AQ$29</f>
        <v>72.140237452679571</v>
      </c>
      <c r="AR37" s="49">
        <f>+AR33</f>
        <v>0.25</v>
      </c>
      <c r="AS37" s="22">
        <f>+AR37*$AO26/AS$29</f>
        <v>49.32665808730227</v>
      </c>
      <c r="AT37" s="49">
        <f>+AT33</f>
        <v>0.1</v>
      </c>
      <c r="AU37" s="22">
        <f>+AT37*$AO26/AU$29</f>
        <v>13.535106440633042</v>
      </c>
      <c r="AV37" s="49">
        <f>+AV33</f>
        <v>0</v>
      </c>
      <c r="AW37" s="22">
        <f>AW29</f>
        <v>0</v>
      </c>
      <c r="AX37" s="22">
        <f t="shared" si="44"/>
        <v>207763.8838637172</v>
      </c>
    </row>
    <row r="38" spans="2:50" ht="15.95" customHeight="1">
      <c r="AL38" s="179" t="s">
        <v>70</v>
      </c>
      <c r="AM38" s="179"/>
      <c r="AN38" s="179"/>
      <c r="AO38" s="179">
        <f>+SUM(AO34:AO37)</f>
        <v>392.05959247955604</v>
      </c>
      <c r="AP38" s="179"/>
      <c r="AQ38" s="179">
        <f>+SUM(AQ34:AQ37)</f>
        <v>175.61002579813447</v>
      </c>
      <c r="AR38" s="179"/>
      <c r="AS38" s="179">
        <f>+SUM(AS34:AS37)</f>
        <v>120.07523131496373</v>
      </c>
      <c r="AT38" s="179"/>
      <c r="AU38" s="179">
        <f>+SUM(AU34:AU37)</f>
        <v>32.948330573200479</v>
      </c>
      <c r="AV38" s="179"/>
      <c r="AW38" s="179">
        <f>+SUM(AW34:AW37)</f>
        <v>0</v>
      </c>
      <c r="AX38" s="179">
        <f>+SUM(AX34:AX37)</f>
        <v>505756.87429862726</v>
      </c>
    </row>
    <row r="39" spans="2:50" ht="15.95" customHeight="1">
      <c r="AO39" s="22"/>
      <c r="AQ39" s="22"/>
      <c r="AS39" s="22"/>
      <c r="AU39" s="22"/>
      <c r="AW39" s="22"/>
    </row>
    <row r="40" spans="2:50" ht="15.95" customHeight="1">
      <c r="AM40" s="158"/>
      <c r="AO40" s="176" t="s">
        <v>196</v>
      </c>
      <c r="AQ40" s="22"/>
      <c r="AS40" s="22"/>
      <c r="AU40" s="22"/>
      <c r="AW40" s="22"/>
    </row>
    <row r="41" spans="2:50" ht="15.95" customHeight="1">
      <c r="AL41" s="576" t="s">
        <v>16</v>
      </c>
      <c r="AM41" s="177"/>
      <c r="AO41" s="14">
        <f>+Assumptions!E94</f>
        <v>400</v>
      </c>
      <c r="AQ41" s="22"/>
      <c r="AS41" s="22"/>
      <c r="AU41" s="22"/>
      <c r="AW41" s="22"/>
    </row>
    <row r="42" spans="2:50" ht="15.95" customHeight="1">
      <c r="AL42" s="544" t="s">
        <v>1</v>
      </c>
      <c r="AM42" s="178"/>
      <c r="AN42" s="24"/>
      <c r="AO42" s="22">
        <f>$AR24/AO$41</f>
        <v>148.60499999999999</v>
      </c>
    </row>
    <row r="43" spans="2:50" ht="15.95" customHeight="1">
      <c r="AL43" s="21" t="s">
        <v>2</v>
      </c>
      <c r="AM43" s="178"/>
      <c r="AN43" s="24"/>
      <c r="AO43" s="22">
        <f>$AR25/AO$41</f>
        <v>0</v>
      </c>
    </row>
    <row r="44" spans="2:50" ht="15.95" customHeight="1">
      <c r="AL44" s="21" t="s">
        <v>3</v>
      </c>
      <c r="AM44" s="178"/>
      <c r="AN44" s="24"/>
      <c r="AO44" s="22">
        <f>$AR26/AO$41</f>
        <v>0</v>
      </c>
    </row>
    <row r="45" spans="2:50" ht="15.95" customHeight="1">
      <c r="AL45" s="179" t="s">
        <v>70</v>
      </c>
      <c r="AM45" s="179"/>
      <c r="AN45" s="179"/>
      <c r="AO45" s="179">
        <f>+SUM(AO42:AO44)</f>
        <v>148.60499999999999</v>
      </c>
    </row>
    <row r="47" spans="2:50" ht="15.95" customHeight="1">
      <c r="AM47" s="158"/>
      <c r="AO47" s="176" t="s">
        <v>477</v>
      </c>
      <c r="AQ47" s="176" t="s">
        <v>478</v>
      </c>
    </row>
    <row r="48" spans="2:50" ht="15.95" customHeight="1">
      <c r="AL48" s="576" t="s">
        <v>201</v>
      </c>
      <c r="AM48" s="177"/>
      <c r="AO48" s="14">
        <f>+Assumptions!$F$178</f>
        <v>250</v>
      </c>
      <c r="AQ48" s="14">
        <f>+Assumptions!$F$178</f>
        <v>250</v>
      </c>
    </row>
    <row r="49" spans="38:43" ht="15.95" customHeight="1">
      <c r="AL49" s="21" t="s">
        <v>1</v>
      </c>
      <c r="AM49" s="178"/>
      <c r="AN49" s="24"/>
      <c r="AO49" s="22">
        <f>+AV24/$AO$48</f>
        <v>1018.064</v>
      </c>
      <c r="AQ49" s="22">
        <f>+AW24/$AO$48</f>
        <v>0</v>
      </c>
    </row>
    <row r="50" spans="38:43" ht="15.95" customHeight="1">
      <c r="AL50" s="21" t="s">
        <v>2</v>
      </c>
      <c r="AM50" s="178"/>
      <c r="AN50" s="24"/>
      <c r="AO50" s="22">
        <f>+AV25/$AO$48</f>
        <v>572.79200000000003</v>
      </c>
      <c r="AQ50" s="22">
        <f t="shared" ref="AQ50:AQ51" si="45">+AW25/$AO$48</f>
        <v>0</v>
      </c>
    </row>
    <row r="51" spans="38:43" ht="15.95" customHeight="1">
      <c r="AL51" s="21" t="s">
        <v>3</v>
      </c>
      <c r="AM51" s="178"/>
      <c r="AN51" s="24"/>
      <c r="AO51" s="22">
        <f>+AV26/$AO$48</f>
        <v>473.96</v>
      </c>
      <c r="AQ51" s="22">
        <f t="shared" si="45"/>
        <v>0</v>
      </c>
    </row>
    <row r="52" spans="38:43" ht="15.95" customHeight="1">
      <c r="AL52" s="179" t="s">
        <v>70</v>
      </c>
      <c r="AM52" s="179"/>
      <c r="AN52" s="179"/>
      <c r="AO52" s="179">
        <f>+SUM(AO49:AO51)</f>
        <v>2064.8159999999998</v>
      </c>
      <c r="AQ52" s="179">
        <f>+SUM(AQ49:AQ51)</f>
        <v>0</v>
      </c>
    </row>
  </sheetData>
  <mergeCells count="7">
    <mergeCell ref="F1:F3"/>
    <mergeCell ref="G1:G3"/>
    <mergeCell ref="Y3:AG3"/>
    <mergeCell ref="AO3:AW3"/>
    <mergeCell ref="AJ3:AL3"/>
    <mergeCell ref="M3:U3"/>
    <mergeCell ref="V3:W3"/>
  </mergeCells>
  <pageMargins left="0.7" right="0.7" top="0.75" bottom="0.75" header="0.3" footer="0.3"/>
  <ignoredErrors>
    <ignoredError sqref="K10" formula="1"/>
  </ignoredErrors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1E4711-912F-40AB-A89C-3511E96E6F92}">
  <sheetPr>
    <tabColor theme="8"/>
  </sheetPr>
  <dimension ref="A1:R104"/>
  <sheetViews>
    <sheetView zoomScale="85" zoomScaleNormal="85" workbookViewId="0">
      <selection activeCell="F83" sqref="F83"/>
    </sheetView>
  </sheetViews>
  <sheetFormatPr defaultColWidth="8.85546875" defaultRowHeight="12.75"/>
  <cols>
    <col min="2" max="2" width="15.7109375" customWidth="1"/>
    <col min="3" max="3" width="14.140625" customWidth="1"/>
    <col min="4" max="4" width="14.42578125" customWidth="1"/>
    <col min="5" max="5" width="13.42578125" style="412" customWidth="1"/>
    <col min="6" max="6" width="31.42578125" style="412" customWidth="1"/>
    <col min="7" max="7" width="21.140625" style="412" customWidth="1"/>
    <col min="8" max="8" width="20.85546875" style="421" bestFit="1" customWidth="1"/>
    <col min="9" max="9" width="26" style="412" customWidth="1"/>
    <col min="10" max="10" width="16.42578125" customWidth="1"/>
    <col min="11" max="11" width="7.7109375" customWidth="1"/>
    <col min="12" max="12" width="8.140625" style="411" customWidth="1"/>
    <col min="13" max="13" width="23.28515625" customWidth="1"/>
    <col min="15" max="15" width="18.28515625" customWidth="1"/>
    <col min="16" max="16" width="14" customWidth="1"/>
  </cols>
  <sheetData>
    <row r="1" spans="1:18" ht="44.25" customHeight="1" thickBot="1">
      <c r="A1" s="405" t="s">
        <v>742</v>
      </c>
      <c r="B1" s="404" t="s">
        <v>480</v>
      </c>
      <c r="C1" s="423" t="s">
        <v>481</v>
      </c>
      <c r="D1" s="404" t="s">
        <v>482</v>
      </c>
      <c r="E1" s="428" t="s">
        <v>483</v>
      </c>
      <c r="F1" s="413" t="s">
        <v>484</v>
      </c>
      <c r="G1" s="413" t="s">
        <v>485</v>
      </c>
      <c r="H1" s="422" t="s">
        <v>486</v>
      </c>
      <c r="I1" s="413" t="s">
        <v>487</v>
      </c>
      <c r="J1" s="404" t="s">
        <v>488</v>
      </c>
      <c r="L1" s="882" t="s">
        <v>489</v>
      </c>
      <c r="M1" s="883"/>
      <c r="N1" s="435"/>
      <c r="O1" s="659" t="s">
        <v>567</v>
      </c>
      <c r="P1" s="660">
        <v>0.21346399999999999</v>
      </c>
      <c r="R1" s="1" t="s">
        <v>121</v>
      </c>
    </row>
    <row r="2" spans="1:18" ht="15.75" thickBot="1">
      <c r="A2" s="404">
        <v>1</v>
      </c>
      <c r="B2" s="406" t="s">
        <v>490</v>
      </c>
      <c r="C2" s="406">
        <v>1</v>
      </c>
      <c r="D2" s="406" t="s">
        <v>491</v>
      </c>
      <c r="E2" s="429">
        <v>3250</v>
      </c>
      <c r="F2" s="415">
        <v>1056250</v>
      </c>
      <c r="G2" s="414">
        <v>0</v>
      </c>
      <c r="H2" s="418">
        <v>0</v>
      </c>
      <c r="I2" s="415">
        <v>1056250</v>
      </c>
      <c r="J2" s="406" t="s">
        <v>492</v>
      </c>
      <c r="L2" s="597" t="s">
        <v>565</v>
      </c>
      <c r="M2" s="598" t="s">
        <v>493</v>
      </c>
    </row>
    <row r="3" spans="1:18" ht="15.75" thickBot="1">
      <c r="A3" s="404">
        <v>1</v>
      </c>
      <c r="B3" s="406" t="s">
        <v>490</v>
      </c>
      <c r="C3" s="406">
        <v>2</v>
      </c>
      <c r="D3" s="406" t="s">
        <v>491</v>
      </c>
      <c r="E3" s="429">
        <v>3450</v>
      </c>
      <c r="F3" s="414">
        <v>1035000</v>
      </c>
      <c r="G3" s="414">
        <v>0</v>
      </c>
      <c r="H3" s="418">
        <v>0</v>
      </c>
      <c r="I3" s="414">
        <v>1035000</v>
      </c>
      <c r="J3" s="406" t="s">
        <v>492</v>
      </c>
      <c r="L3" s="599">
        <v>1</v>
      </c>
      <c r="M3" s="600">
        <f>F22</f>
        <v>23813612</v>
      </c>
      <c r="P3" s="661">
        <f>M3*P1</f>
        <v>5083348.8719679993</v>
      </c>
      <c r="R3" s="1" t="s">
        <v>127</v>
      </c>
    </row>
    <row r="4" spans="1:18" ht="15.75" thickBot="1">
      <c r="A4" s="404">
        <v>1</v>
      </c>
      <c r="B4" s="406" t="s">
        <v>490</v>
      </c>
      <c r="C4" s="406">
        <v>3</v>
      </c>
      <c r="D4" s="406" t="s">
        <v>491</v>
      </c>
      <c r="E4" s="429">
        <v>6900</v>
      </c>
      <c r="F4" s="414">
        <v>2070000</v>
      </c>
      <c r="G4" s="414">
        <v>0</v>
      </c>
      <c r="H4" s="419">
        <v>0</v>
      </c>
      <c r="I4" s="415">
        <v>2070000</v>
      </c>
      <c r="J4" s="406" t="s">
        <v>492</v>
      </c>
      <c r="L4" s="599">
        <v>2</v>
      </c>
      <c r="M4" s="600">
        <f>F32</f>
        <v>7804500</v>
      </c>
      <c r="O4" s="661"/>
      <c r="P4" s="661">
        <f>M4*$P$1</f>
        <v>1665979.7879999999</v>
      </c>
      <c r="R4" s="1" t="s">
        <v>125</v>
      </c>
    </row>
    <row r="5" spans="1:18" ht="15.75" thickBot="1">
      <c r="A5" s="404">
        <v>1</v>
      </c>
      <c r="B5" s="406" t="s">
        <v>490</v>
      </c>
      <c r="C5" s="406">
        <v>11</v>
      </c>
      <c r="D5" s="406" t="s">
        <v>491</v>
      </c>
      <c r="E5" s="606">
        <v>7106</v>
      </c>
      <c r="F5" s="608">
        <v>2309450</v>
      </c>
      <c r="G5" s="608">
        <v>0</v>
      </c>
      <c r="H5" s="418">
        <v>0</v>
      </c>
      <c r="I5" s="608">
        <v>2309450</v>
      </c>
      <c r="J5" s="406" t="s">
        <v>492</v>
      </c>
      <c r="L5" s="599">
        <v>3</v>
      </c>
      <c r="M5" s="600">
        <f>F55</f>
        <v>4258500</v>
      </c>
      <c r="O5" s="661"/>
      <c r="P5" s="661">
        <f t="shared" ref="P5:P12" si="0">M5*$P$1</f>
        <v>909036.4439999999</v>
      </c>
      <c r="R5" s="1" t="s">
        <v>125</v>
      </c>
    </row>
    <row r="6" spans="1:18" ht="15.75" thickBot="1">
      <c r="A6" s="404">
        <v>1</v>
      </c>
      <c r="B6" s="406" t="s">
        <v>490</v>
      </c>
      <c r="C6" s="406">
        <v>12</v>
      </c>
      <c r="D6" s="406" t="s">
        <v>491</v>
      </c>
      <c r="E6" s="429">
        <v>5250</v>
      </c>
      <c r="F6" s="415">
        <v>1706250</v>
      </c>
      <c r="G6" s="414">
        <v>347336</v>
      </c>
      <c r="H6" s="605">
        <v>34141</v>
      </c>
      <c r="I6" s="415">
        <v>2087727</v>
      </c>
      <c r="J6" s="406" t="s">
        <v>492</v>
      </c>
      <c r="L6" s="599">
        <v>4</v>
      </c>
      <c r="M6" s="624">
        <f>F68</f>
        <v>7473750</v>
      </c>
      <c r="O6" s="661"/>
      <c r="P6" s="661">
        <f t="shared" si="0"/>
        <v>1595376.5699999998</v>
      </c>
      <c r="R6" s="1" t="s">
        <v>126</v>
      </c>
    </row>
    <row r="7" spans="1:18" ht="15.75" thickBot="1">
      <c r="A7" s="404">
        <v>1</v>
      </c>
      <c r="B7" s="406" t="s">
        <v>490</v>
      </c>
      <c r="C7" s="406">
        <v>13</v>
      </c>
      <c r="D7" s="406" t="s">
        <v>491</v>
      </c>
      <c r="E7" s="606">
        <v>5250</v>
      </c>
      <c r="F7" s="415">
        <v>1575000</v>
      </c>
      <c r="G7" s="608">
        <v>0</v>
      </c>
      <c r="H7" s="418">
        <v>6810</v>
      </c>
      <c r="I7" s="415">
        <v>1581810</v>
      </c>
      <c r="J7" s="406" t="s">
        <v>492</v>
      </c>
      <c r="L7" s="599">
        <v>5</v>
      </c>
      <c r="M7" s="624">
        <v>0</v>
      </c>
      <c r="O7" s="661"/>
      <c r="P7" s="661">
        <f t="shared" si="0"/>
        <v>0</v>
      </c>
      <c r="R7" s="1" t="s">
        <v>126</v>
      </c>
    </row>
    <row r="8" spans="1:18" ht="15.75" thickBot="1">
      <c r="A8" s="404">
        <v>1</v>
      </c>
      <c r="B8" s="406" t="s">
        <v>490</v>
      </c>
      <c r="C8" s="406">
        <v>14</v>
      </c>
      <c r="D8" s="406" t="s">
        <v>491</v>
      </c>
      <c r="E8" s="431">
        <v>825</v>
      </c>
      <c r="F8" s="415">
        <v>92812</v>
      </c>
      <c r="G8" s="415">
        <v>0</v>
      </c>
      <c r="H8" s="418">
        <v>0</v>
      </c>
      <c r="I8" s="415">
        <v>92812</v>
      </c>
      <c r="J8" s="406" t="s">
        <v>495</v>
      </c>
      <c r="L8" s="601" t="s">
        <v>741</v>
      </c>
      <c r="M8" s="600">
        <v>0</v>
      </c>
      <c r="O8" s="661"/>
      <c r="P8" s="661">
        <f t="shared" si="0"/>
        <v>0</v>
      </c>
      <c r="R8" s="1" t="s">
        <v>125</v>
      </c>
    </row>
    <row r="9" spans="1:18" ht="15.75" thickBot="1">
      <c r="A9" s="404">
        <v>1</v>
      </c>
      <c r="B9" s="406" t="s">
        <v>490</v>
      </c>
      <c r="C9" s="406">
        <v>15</v>
      </c>
      <c r="D9" s="406" t="s">
        <v>491</v>
      </c>
      <c r="E9" s="430">
        <v>1750</v>
      </c>
      <c r="F9" s="414">
        <v>196875</v>
      </c>
      <c r="G9" s="414">
        <v>13227</v>
      </c>
      <c r="H9" s="418">
        <v>560</v>
      </c>
      <c r="I9" s="415">
        <v>210662</v>
      </c>
      <c r="J9" s="406" t="s">
        <v>495</v>
      </c>
      <c r="L9" s="599">
        <v>6</v>
      </c>
      <c r="M9" s="600">
        <f>F87</f>
        <v>11440000</v>
      </c>
      <c r="O9" s="661"/>
      <c r="P9" s="661">
        <f t="shared" si="0"/>
        <v>2442028.1599999997</v>
      </c>
      <c r="R9" s="1" t="s">
        <v>127</v>
      </c>
    </row>
    <row r="10" spans="1:18" ht="15.75" thickBot="1">
      <c r="A10" s="404">
        <v>1</v>
      </c>
      <c r="B10" s="406" t="s">
        <v>490</v>
      </c>
      <c r="C10" s="406">
        <v>16</v>
      </c>
      <c r="D10" s="406" t="s">
        <v>491</v>
      </c>
      <c r="E10" s="429">
        <v>7000</v>
      </c>
      <c r="F10" s="415">
        <v>1050000</v>
      </c>
      <c r="G10" s="608">
        <v>50986</v>
      </c>
      <c r="H10" s="605">
        <v>32354</v>
      </c>
      <c r="I10" s="608">
        <v>1133340</v>
      </c>
      <c r="J10" s="406" t="s">
        <v>495</v>
      </c>
      <c r="L10" s="599">
        <v>7</v>
      </c>
      <c r="M10" s="600">
        <f>F91</f>
        <v>6288615</v>
      </c>
      <c r="N10" s="596"/>
      <c r="O10" s="661"/>
      <c r="P10" s="661">
        <f t="shared" si="0"/>
        <v>1342392.91236</v>
      </c>
      <c r="Q10" s="596"/>
      <c r="R10" s="1" t="s">
        <v>126</v>
      </c>
    </row>
    <row r="11" spans="1:18" ht="15.75" thickBot="1">
      <c r="A11" s="404">
        <v>1</v>
      </c>
      <c r="B11" s="406" t="s">
        <v>490</v>
      </c>
      <c r="C11" s="406">
        <v>17</v>
      </c>
      <c r="D11" s="406" t="s">
        <v>491</v>
      </c>
      <c r="E11" s="433">
        <v>5250</v>
      </c>
      <c r="F11" s="410">
        <v>787500</v>
      </c>
      <c r="G11" s="609">
        <v>27972</v>
      </c>
      <c r="H11" s="418">
        <v>1844</v>
      </c>
      <c r="I11" s="410">
        <v>817316</v>
      </c>
      <c r="J11" s="406" t="s">
        <v>495</v>
      </c>
      <c r="K11" s="595"/>
      <c r="L11" s="599">
        <v>8</v>
      </c>
      <c r="M11" s="600">
        <f>F98</f>
        <v>6922825</v>
      </c>
      <c r="N11" s="595"/>
      <c r="O11" s="661"/>
      <c r="P11" s="661">
        <f t="shared" si="0"/>
        <v>1477773.9157999998</v>
      </c>
      <c r="Q11" s="595"/>
      <c r="R11" s="1" t="s">
        <v>125</v>
      </c>
    </row>
    <row r="12" spans="1:18" ht="15" customHeight="1" thickBot="1">
      <c r="A12" s="404">
        <v>1</v>
      </c>
      <c r="B12" s="406" t="s">
        <v>490</v>
      </c>
      <c r="C12" s="406">
        <v>26</v>
      </c>
      <c r="D12" s="406" t="s">
        <v>491</v>
      </c>
      <c r="E12" s="607">
        <v>24808</v>
      </c>
      <c r="F12" s="414">
        <v>8062600</v>
      </c>
      <c r="G12" s="414">
        <v>524760</v>
      </c>
      <c r="H12" s="417">
        <v>504763</v>
      </c>
      <c r="I12" s="408">
        <v>9092123</v>
      </c>
      <c r="J12" s="407" t="s">
        <v>492</v>
      </c>
      <c r="K12" s="596"/>
      <c r="L12" s="602">
        <v>9</v>
      </c>
      <c r="M12" s="635">
        <f>F100</f>
        <v>1575000</v>
      </c>
      <c r="N12" s="596"/>
      <c r="O12" s="661"/>
      <c r="P12" s="702">
        <f t="shared" si="0"/>
        <v>336205.8</v>
      </c>
      <c r="Q12" s="596"/>
      <c r="R12" s="1" t="s">
        <v>127</v>
      </c>
    </row>
    <row r="13" spans="1:18" ht="15" customHeight="1" thickBot="1">
      <c r="A13" s="404">
        <v>1</v>
      </c>
      <c r="B13" s="406" t="s">
        <v>490</v>
      </c>
      <c r="C13" s="406">
        <v>27</v>
      </c>
      <c r="D13" s="406" t="s">
        <v>491</v>
      </c>
      <c r="E13" s="429">
        <v>3500</v>
      </c>
      <c r="F13" s="414">
        <v>1050000</v>
      </c>
      <c r="G13" s="414">
        <v>0</v>
      </c>
      <c r="H13" s="419">
        <v>0</v>
      </c>
      <c r="I13" s="415">
        <v>1050000</v>
      </c>
      <c r="J13" s="407" t="s">
        <v>492</v>
      </c>
      <c r="M13" s="442"/>
      <c r="O13" s="661"/>
      <c r="P13" s="661">
        <f>SUM(P3:P12)</f>
        <v>14852142.462127998</v>
      </c>
    </row>
    <row r="14" spans="1:18" ht="15" customHeight="1" thickBot="1">
      <c r="A14" s="404">
        <v>1</v>
      </c>
      <c r="B14" s="406" t="s">
        <v>490</v>
      </c>
      <c r="C14" s="406">
        <v>28</v>
      </c>
      <c r="D14" s="406" t="s">
        <v>491</v>
      </c>
      <c r="E14" s="607">
        <v>3500</v>
      </c>
      <c r="F14" s="609">
        <v>525000</v>
      </c>
      <c r="G14" s="415">
        <v>0</v>
      </c>
      <c r="H14" s="418">
        <v>0</v>
      </c>
      <c r="I14" s="408">
        <v>525000</v>
      </c>
      <c r="J14" s="407" t="s">
        <v>495</v>
      </c>
      <c r="L14" s="617" t="s">
        <v>70</v>
      </c>
      <c r="M14" s="636">
        <f>SUM(M3:M12)</f>
        <v>69576802</v>
      </c>
      <c r="O14" s="661"/>
    </row>
    <row r="15" spans="1:18" ht="15" customHeight="1" thickBot="1">
      <c r="A15" s="404">
        <v>1</v>
      </c>
      <c r="B15" s="406" t="s">
        <v>490</v>
      </c>
      <c r="C15" s="406">
        <v>30</v>
      </c>
      <c r="D15" s="406" t="s">
        <v>491</v>
      </c>
      <c r="E15" s="429">
        <v>1750</v>
      </c>
      <c r="F15" s="608">
        <v>196875</v>
      </c>
      <c r="G15" s="414">
        <v>0</v>
      </c>
      <c r="H15" s="418">
        <v>560</v>
      </c>
      <c r="I15" s="609">
        <v>197435</v>
      </c>
      <c r="J15" s="407" t="s">
        <v>495</v>
      </c>
      <c r="O15" s="701" t="s">
        <v>795</v>
      </c>
      <c r="P15" s="661">
        <f>(SUM(P4+P5+P8+P11))</f>
        <v>4052790.1477999995</v>
      </c>
    </row>
    <row r="16" spans="1:18" ht="15" customHeight="1" thickBot="1">
      <c r="A16" s="404">
        <v>1</v>
      </c>
      <c r="B16" s="406" t="s">
        <v>490</v>
      </c>
      <c r="C16" s="406">
        <v>38</v>
      </c>
      <c r="D16" s="406" t="s">
        <v>491</v>
      </c>
      <c r="E16" s="430">
        <v>14000</v>
      </c>
      <c r="F16" s="608">
        <v>2100000</v>
      </c>
      <c r="G16" s="408">
        <v>115294</v>
      </c>
      <c r="H16" s="418">
        <v>28665</v>
      </c>
      <c r="I16" s="608">
        <v>2243959</v>
      </c>
      <c r="J16" s="407" t="s">
        <v>495</v>
      </c>
      <c r="O16" s="661"/>
      <c r="P16" s="661">
        <f>SUM(P6+P7+P10)</f>
        <v>2937769.4823599998</v>
      </c>
    </row>
    <row r="17" spans="1:16" ht="15" customHeight="1" thickBot="1">
      <c r="A17" s="404">
        <v>1</v>
      </c>
      <c r="B17" s="406" t="s">
        <v>490</v>
      </c>
      <c r="C17" s="406">
        <v>4</v>
      </c>
      <c r="D17" s="406" t="s">
        <v>494</v>
      </c>
      <c r="E17" s="429">
        <v>6900</v>
      </c>
      <c r="F17" s="415">
        <v>2070000</v>
      </c>
      <c r="G17" s="415">
        <v>116411</v>
      </c>
      <c r="H17" s="418">
        <v>2202</v>
      </c>
      <c r="I17" s="414">
        <v>2188613</v>
      </c>
      <c r="J17" s="406" t="s">
        <v>492</v>
      </c>
      <c r="O17" s="661"/>
      <c r="P17" s="702">
        <f>SUM(P3+P9+P12)</f>
        <v>7861582.8319679992</v>
      </c>
    </row>
    <row r="18" spans="1:16" ht="15" customHeight="1" thickBot="1">
      <c r="A18" s="404">
        <v>1</v>
      </c>
      <c r="B18" s="406" t="s">
        <v>490</v>
      </c>
      <c r="C18" s="406">
        <v>5</v>
      </c>
      <c r="D18" s="406" t="s">
        <v>494</v>
      </c>
      <c r="E18" s="606">
        <v>13800</v>
      </c>
      <c r="F18" s="415">
        <v>4140000</v>
      </c>
      <c r="G18" s="414">
        <v>0</v>
      </c>
      <c r="H18" s="418">
        <v>2975</v>
      </c>
      <c r="I18" s="415">
        <v>4142975</v>
      </c>
      <c r="J18" s="407" t="s">
        <v>492</v>
      </c>
      <c r="O18" s="700" t="s">
        <v>796</v>
      </c>
      <c r="P18" s="661">
        <f>SUM(P15:P17)</f>
        <v>14852142.462127998</v>
      </c>
    </row>
    <row r="19" spans="1:16" ht="15" customHeight="1" thickBot="1">
      <c r="A19" s="404">
        <v>1</v>
      </c>
      <c r="B19" s="406" t="s">
        <v>490</v>
      </c>
      <c r="C19" s="406">
        <v>6</v>
      </c>
      <c r="D19" s="406" t="s">
        <v>494</v>
      </c>
      <c r="E19" s="430">
        <v>6900</v>
      </c>
      <c r="F19" s="612">
        <v>2070000</v>
      </c>
      <c r="G19" s="416">
        <v>0</v>
      </c>
      <c r="H19" s="420">
        <v>0</v>
      </c>
      <c r="I19" s="612">
        <v>2070000</v>
      </c>
      <c r="J19" t="s">
        <v>492</v>
      </c>
      <c r="O19" s="661"/>
    </row>
    <row r="20" spans="1:16" ht="15" customHeight="1" thickBot="1">
      <c r="A20" s="404">
        <v>1</v>
      </c>
      <c r="B20" s="406" t="s">
        <v>490</v>
      </c>
      <c r="C20" s="406">
        <v>31</v>
      </c>
      <c r="D20" s="406" t="s">
        <v>494</v>
      </c>
      <c r="E20" s="432">
        <v>5250</v>
      </c>
      <c r="F20" s="410">
        <v>787500</v>
      </c>
      <c r="G20" s="408">
        <v>42971</v>
      </c>
      <c r="H20" s="418">
        <v>406</v>
      </c>
      <c r="I20" s="410">
        <v>830877</v>
      </c>
      <c r="J20" s="407" t="s">
        <v>495</v>
      </c>
      <c r="O20" s="661"/>
    </row>
    <row r="21" spans="1:16" ht="15" customHeight="1">
      <c r="A21" s="404">
        <v>1</v>
      </c>
      <c r="B21" s="406" t="s">
        <v>490</v>
      </c>
      <c r="C21" s="406">
        <v>39</v>
      </c>
      <c r="D21" s="406" t="s">
        <v>494</v>
      </c>
      <c r="E21" s="613">
        <v>7000</v>
      </c>
      <c r="F21" s="614">
        <v>1050000</v>
      </c>
      <c r="G21" s="414">
        <v>0</v>
      </c>
      <c r="H21" s="418">
        <v>0</v>
      </c>
      <c r="I21" s="614">
        <v>1050000</v>
      </c>
      <c r="J21" s="407" t="s">
        <v>495</v>
      </c>
      <c r="O21" s="661"/>
    </row>
    <row r="22" spans="1:16" s="908" customFormat="1" ht="15" customHeight="1">
      <c r="A22" s="903" t="s">
        <v>743</v>
      </c>
      <c r="B22" s="904"/>
      <c r="C22" s="904"/>
      <c r="D22" s="904"/>
      <c r="E22" s="905">
        <f>SUM(E2:E21)</f>
        <v>133439</v>
      </c>
      <c r="F22" s="902">
        <f>SUM(F2:F16)</f>
        <v>23813612</v>
      </c>
      <c r="G22" s="902"/>
      <c r="H22" s="906"/>
      <c r="I22" s="902">
        <f>SUM(I2:I21)</f>
        <v>35785349</v>
      </c>
      <c r="J22" s="907"/>
      <c r="L22" s="909"/>
    </row>
    <row r="23" spans="1:16" ht="15.75" thickBot="1">
      <c r="A23" s="404">
        <v>2</v>
      </c>
      <c r="B23" s="406" t="s">
        <v>490</v>
      </c>
      <c r="C23" s="406">
        <v>29</v>
      </c>
      <c r="D23" s="406" t="s">
        <v>491</v>
      </c>
      <c r="E23" s="432">
        <v>3500</v>
      </c>
      <c r="F23" s="408">
        <v>393750</v>
      </c>
      <c r="G23" s="414">
        <v>77211</v>
      </c>
      <c r="H23" s="418">
        <v>0</v>
      </c>
      <c r="I23" s="414">
        <v>470961</v>
      </c>
      <c r="J23" s="407" t="s">
        <v>495</v>
      </c>
    </row>
    <row r="24" spans="1:16" ht="15.75" thickBot="1">
      <c r="A24" s="404">
        <v>2</v>
      </c>
      <c r="B24" s="406" t="s">
        <v>490</v>
      </c>
      <c r="C24" s="406">
        <v>43</v>
      </c>
      <c r="D24" s="406" t="s">
        <v>491</v>
      </c>
      <c r="E24" s="430">
        <v>28000</v>
      </c>
      <c r="F24" s="415">
        <v>4200000</v>
      </c>
      <c r="G24" s="415">
        <v>74970</v>
      </c>
      <c r="H24" s="418">
        <v>12400</v>
      </c>
      <c r="I24" s="414">
        <v>4287370</v>
      </c>
      <c r="J24" s="406" t="s">
        <v>495</v>
      </c>
    </row>
    <row r="25" spans="1:16" ht="15" customHeight="1">
      <c r="A25" s="404">
        <v>2</v>
      </c>
      <c r="B25" s="406" t="s">
        <v>490</v>
      </c>
      <c r="C25" s="406">
        <v>48</v>
      </c>
      <c r="D25" s="406" t="s">
        <v>491</v>
      </c>
      <c r="E25" s="430">
        <v>7135</v>
      </c>
      <c r="F25" s="414">
        <v>2140500</v>
      </c>
      <c r="G25" s="414">
        <v>0</v>
      </c>
      <c r="H25" s="418">
        <v>0</v>
      </c>
      <c r="I25" s="414">
        <v>2140500</v>
      </c>
      <c r="J25" s="406" t="s">
        <v>492</v>
      </c>
    </row>
    <row r="26" spans="1:16" ht="15" customHeight="1">
      <c r="A26" s="404">
        <v>2</v>
      </c>
      <c r="B26" s="406" t="s">
        <v>490</v>
      </c>
      <c r="C26" s="406">
        <v>49</v>
      </c>
      <c r="D26" s="406" t="s">
        <v>491</v>
      </c>
      <c r="E26" s="430">
        <v>7135</v>
      </c>
      <c r="F26" s="414">
        <v>1070250</v>
      </c>
      <c r="G26" s="414">
        <v>49395</v>
      </c>
      <c r="H26" s="418">
        <v>19155</v>
      </c>
      <c r="I26" s="414">
        <v>1138800</v>
      </c>
      <c r="J26" s="406" t="s">
        <v>495</v>
      </c>
    </row>
    <row r="27" spans="1:16" ht="15" customHeight="1">
      <c r="A27" s="404">
        <v>2</v>
      </c>
      <c r="B27" s="406" t="s">
        <v>490</v>
      </c>
      <c r="C27" s="406">
        <v>32</v>
      </c>
      <c r="D27" s="406" t="s">
        <v>494</v>
      </c>
      <c r="E27" s="430">
        <v>1750</v>
      </c>
      <c r="F27" s="609">
        <v>262500</v>
      </c>
      <c r="G27" s="608">
        <v>0</v>
      </c>
      <c r="H27" s="418">
        <v>0</v>
      </c>
      <c r="I27" s="408">
        <v>262500</v>
      </c>
      <c r="J27" s="407" t="s">
        <v>495</v>
      </c>
    </row>
    <row r="28" spans="1:16" ht="15" customHeight="1">
      <c r="A28" s="404">
        <v>2</v>
      </c>
      <c r="B28" s="406" t="s">
        <v>490</v>
      </c>
      <c r="C28" s="406">
        <v>42</v>
      </c>
      <c r="D28" s="406" t="s">
        <v>494</v>
      </c>
      <c r="E28" s="430">
        <v>15293</v>
      </c>
      <c r="F28" s="414">
        <v>4970225</v>
      </c>
      <c r="G28" s="414">
        <v>602568</v>
      </c>
      <c r="H28" s="418">
        <v>85347</v>
      </c>
      <c r="I28" s="414">
        <v>5658140</v>
      </c>
      <c r="J28" s="406" t="s">
        <v>492</v>
      </c>
    </row>
    <row r="29" spans="1:16" ht="15" customHeight="1">
      <c r="A29" s="404">
        <v>2</v>
      </c>
      <c r="B29" s="406" t="s">
        <v>490</v>
      </c>
      <c r="C29" s="406">
        <v>45</v>
      </c>
      <c r="D29" s="406" t="s">
        <v>494</v>
      </c>
      <c r="E29" s="430">
        <v>51644</v>
      </c>
      <c r="F29" s="414">
        <v>7746600</v>
      </c>
      <c r="G29" s="414">
        <v>1017681</v>
      </c>
      <c r="H29" s="418">
        <v>344660</v>
      </c>
      <c r="I29" s="414">
        <v>9108941</v>
      </c>
      <c r="J29" s="406" t="s">
        <v>495</v>
      </c>
    </row>
    <row r="30" spans="1:16" ht="15" customHeight="1">
      <c r="A30" s="404">
        <v>2</v>
      </c>
      <c r="B30" s="406" t="s">
        <v>490</v>
      </c>
      <c r="C30" s="406">
        <v>46</v>
      </c>
      <c r="D30" s="406" t="s">
        <v>494</v>
      </c>
      <c r="E30" s="430">
        <v>18455</v>
      </c>
      <c r="F30" s="414">
        <v>5997875</v>
      </c>
      <c r="G30" s="414">
        <v>191399</v>
      </c>
      <c r="H30" s="418">
        <v>25682</v>
      </c>
      <c r="I30" s="414">
        <v>6214956</v>
      </c>
      <c r="J30" s="406" t="s">
        <v>492</v>
      </c>
    </row>
    <row r="31" spans="1:16" ht="15" customHeight="1">
      <c r="A31" s="404">
        <v>2</v>
      </c>
      <c r="B31" s="406" t="s">
        <v>490</v>
      </c>
      <c r="C31" s="406">
        <v>47</v>
      </c>
      <c r="D31" s="406" t="s">
        <v>494</v>
      </c>
      <c r="E31" s="430">
        <v>7150</v>
      </c>
      <c r="F31" s="414">
        <v>2145000</v>
      </c>
      <c r="G31" s="414">
        <v>1890000</v>
      </c>
      <c r="H31" s="418">
        <v>0</v>
      </c>
      <c r="I31" s="414">
        <v>4035000</v>
      </c>
      <c r="J31" s="406" t="s">
        <v>492</v>
      </c>
    </row>
    <row r="32" spans="1:16" s="908" customFormat="1" ht="15" customHeight="1">
      <c r="A32" s="903" t="s">
        <v>744</v>
      </c>
      <c r="B32" s="904"/>
      <c r="C32" s="904"/>
      <c r="D32" s="904"/>
      <c r="E32" s="905">
        <f>SUM(E23:E31)</f>
        <v>140062</v>
      </c>
      <c r="F32" s="902">
        <f>SUM(F23:F26)</f>
        <v>7804500</v>
      </c>
      <c r="G32" s="902"/>
      <c r="H32" s="906"/>
      <c r="I32" s="902">
        <f>SUM(I25:I31)</f>
        <v>28558837</v>
      </c>
      <c r="J32" s="907"/>
      <c r="L32" s="909"/>
    </row>
    <row r="33" spans="1:17" ht="15" customHeight="1">
      <c r="A33" s="404">
        <v>3</v>
      </c>
      <c r="B33" s="406" t="s">
        <v>490</v>
      </c>
      <c r="C33" s="406">
        <v>44</v>
      </c>
      <c r="D33" s="406" t="s">
        <v>491</v>
      </c>
      <c r="E33" s="430">
        <v>6985</v>
      </c>
      <c r="F33" s="414">
        <v>1047750</v>
      </c>
      <c r="G33" s="414">
        <v>153478</v>
      </c>
      <c r="H33" s="418">
        <v>44065</v>
      </c>
      <c r="I33" s="414">
        <v>1245293</v>
      </c>
      <c r="J33" s="406" t="s">
        <v>495</v>
      </c>
      <c r="L33" s="427"/>
      <c r="M33" s="427"/>
    </row>
    <row r="34" spans="1:17" ht="15" customHeight="1">
      <c r="A34" s="404">
        <v>3</v>
      </c>
      <c r="B34" s="406" t="s">
        <v>490</v>
      </c>
      <c r="C34" s="406">
        <v>50</v>
      </c>
      <c r="D34" s="406" t="s">
        <v>491</v>
      </c>
      <c r="E34" s="430">
        <v>7135</v>
      </c>
      <c r="F34" s="414">
        <v>1070250</v>
      </c>
      <c r="G34" s="414">
        <v>127454</v>
      </c>
      <c r="H34" s="418">
        <v>47095</v>
      </c>
      <c r="I34" s="414">
        <v>1244799</v>
      </c>
      <c r="J34" s="406" t="s">
        <v>495</v>
      </c>
    </row>
    <row r="35" spans="1:17" ht="15">
      <c r="A35" s="404">
        <v>3</v>
      </c>
      <c r="B35" s="406" t="s">
        <v>490</v>
      </c>
      <c r="C35" s="406">
        <v>51</v>
      </c>
      <c r="D35" s="406" t="s">
        <v>491</v>
      </c>
      <c r="E35" s="430">
        <v>14270</v>
      </c>
      <c r="F35" s="414">
        <v>2140500</v>
      </c>
      <c r="G35" s="414">
        <v>0</v>
      </c>
      <c r="H35" s="418">
        <v>0</v>
      </c>
      <c r="I35" s="414">
        <v>2140500</v>
      </c>
      <c r="J35" s="406" t="s">
        <v>495</v>
      </c>
    </row>
    <row r="36" spans="1:17" s="411" customFormat="1" ht="18.95" customHeight="1">
      <c r="A36" s="618">
        <v>3</v>
      </c>
      <c r="B36" s="619" t="s">
        <v>490</v>
      </c>
      <c r="C36" s="619">
        <v>7</v>
      </c>
      <c r="D36" s="619" t="s">
        <v>494</v>
      </c>
      <c r="E36" s="620">
        <v>13800</v>
      </c>
      <c r="F36" s="621">
        <v>4140000</v>
      </c>
      <c r="G36" s="621">
        <v>197950</v>
      </c>
      <c r="H36" s="622">
        <v>9903</v>
      </c>
      <c r="I36" s="621">
        <v>4347853</v>
      </c>
      <c r="J36" s="623" t="s">
        <v>492</v>
      </c>
      <c r="K36" s="436"/>
      <c r="L36" s="594"/>
      <c r="M36" s="594"/>
      <c r="N36" s="604"/>
      <c r="O36" s="604"/>
      <c r="P36" s="436"/>
      <c r="Q36" s="436"/>
    </row>
    <row r="37" spans="1:17" ht="15" customHeight="1">
      <c r="A37" s="404">
        <v>3</v>
      </c>
      <c r="B37" s="406" t="s">
        <v>490</v>
      </c>
      <c r="C37" s="406">
        <v>8</v>
      </c>
      <c r="D37" s="406" t="s">
        <v>494</v>
      </c>
      <c r="E37" s="430">
        <v>6900</v>
      </c>
      <c r="F37" s="414">
        <v>2070000</v>
      </c>
      <c r="G37" s="414">
        <v>117464</v>
      </c>
      <c r="H37" s="418">
        <v>18982</v>
      </c>
      <c r="I37" s="609">
        <v>2206446</v>
      </c>
      <c r="J37" s="407" t="s">
        <v>492</v>
      </c>
      <c r="L37" s="594"/>
      <c r="M37" s="594"/>
      <c r="N37" s="596"/>
      <c r="O37" s="596"/>
    </row>
    <row r="38" spans="1:17" ht="15" customHeight="1">
      <c r="A38" s="404">
        <v>3</v>
      </c>
      <c r="B38" s="406" t="s">
        <v>490</v>
      </c>
      <c r="C38" s="406">
        <v>9</v>
      </c>
      <c r="D38" s="406" t="s">
        <v>494</v>
      </c>
      <c r="E38" s="606">
        <v>6900</v>
      </c>
      <c r="F38" s="608">
        <v>2070000</v>
      </c>
      <c r="G38" s="414">
        <v>0</v>
      </c>
      <c r="H38" s="418">
        <v>0</v>
      </c>
      <c r="I38" s="414">
        <v>2070000</v>
      </c>
      <c r="J38" s="406" t="s">
        <v>492</v>
      </c>
      <c r="L38" s="603"/>
      <c r="M38" s="596"/>
      <c r="N38" s="596"/>
      <c r="O38" s="596"/>
    </row>
    <row r="39" spans="1:17" ht="15" customHeight="1">
      <c r="A39" s="404">
        <v>3</v>
      </c>
      <c r="B39" s="406" t="s">
        <v>490</v>
      </c>
      <c r="C39" s="406">
        <v>10</v>
      </c>
      <c r="D39" s="406" t="s">
        <v>494</v>
      </c>
      <c r="E39" s="606">
        <v>24288</v>
      </c>
      <c r="F39" s="609">
        <v>6557760</v>
      </c>
      <c r="G39" s="414">
        <v>0</v>
      </c>
      <c r="H39" s="418">
        <v>0</v>
      </c>
      <c r="I39" s="609">
        <v>6557760</v>
      </c>
      <c r="J39" s="406" t="s">
        <v>492</v>
      </c>
      <c r="L39" s="604"/>
      <c r="M39" s="440"/>
      <c r="N39" s="596"/>
      <c r="O39" s="596"/>
    </row>
    <row r="40" spans="1:17" ht="15" customHeight="1">
      <c r="A40" s="404">
        <v>3</v>
      </c>
      <c r="B40" s="406" t="s">
        <v>490</v>
      </c>
      <c r="C40" s="406">
        <v>18</v>
      </c>
      <c r="D40" s="406" t="s">
        <v>494</v>
      </c>
      <c r="E40" s="432">
        <v>1750</v>
      </c>
      <c r="F40" s="408">
        <v>262500</v>
      </c>
      <c r="G40" s="414">
        <v>0</v>
      </c>
      <c r="H40" s="418">
        <v>0</v>
      </c>
      <c r="I40" s="408">
        <v>262500</v>
      </c>
      <c r="J40" s="406" t="s">
        <v>495</v>
      </c>
      <c r="L40" s="603"/>
      <c r="M40" s="596"/>
      <c r="N40" s="596"/>
      <c r="O40" s="596"/>
    </row>
    <row r="41" spans="1:17" ht="15" customHeight="1">
      <c r="A41" s="404">
        <v>3</v>
      </c>
      <c r="B41" s="406" t="s">
        <v>490</v>
      </c>
      <c r="C41" s="406">
        <v>19</v>
      </c>
      <c r="D41" s="406" t="s">
        <v>494</v>
      </c>
      <c r="E41" s="430">
        <v>1750</v>
      </c>
      <c r="F41" s="608">
        <v>262500</v>
      </c>
      <c r="G41" s="414">
        <v>0</v>
      </c>
      <c r="H41" s="418">
        <v>0</v>
      </c>
      <c r="I41" s="608">
        <v>262500</v>
      </c>
      <c r="J41" s="406" t="s">
        <v>495</v>
      </c>
      <c r="L41" s="603"/>
      <c r="M41" s="596"/>
      <c r="N41" s="596"/>
      <c r="O41" s="596"/>
    </row>
    <row r="42" spans="1:17" ht="15" customHeight="1">
      <c r="A42" s="404">
        <v>3</v>
      </c>
      <c r="B42" s="406" t="s">
        <v>490</v>
      </c>
      <c r="C42" s="406">
        <v>20</v>
      </c>
      <c r="D42" s="406" t="s">
        <v>494</v>
      </c>
      <c r="E42" s="607">
        <v>3500</v>
      </c>
      <c r="F42" s="608">
        <v>525000</v>
      </c>
      <c r="G42" s="414">
        <v>0</v>
      </c>
      <c r="H42" s="418">
        <v>0</v>
      </c>
      <c r="I42" s="608">
        <v>525000</v>
      </c>
      <c r="J42" s="406" t="s">
        <v>495</v>
      </c>
      <c r="L42" s="603"/>
      <c r="M42" s="596"/>
      <c r="N42" s="596"/>
      <c r="O42" s="596"/>
    </row>
    <row r="43" spans="1:17" ht="15" customHeight="1">
      <c r="A43" s="404">
        <v>3</v>
      </c>
      <c r="B43" s="406" t="s">
        <v>490</v>
      </c>
      <c r="C43" s="406">
        <v>21</v>
      </c>
      <c r="D43" s="406" t="s">
        <v>494</v>
      </c>
      <c r="E43" s="430">
        <v>3500</v>
      </c>
      <c r="F43" s="408">
        <v>525000</v>
      </c>
      <c r="G43" s="414">
        <v>0</v>
      </c>
      <c r="H43" s="418">
        <v>0</v>
      </c>
      <c r="I43" s="408">
        <v>525000</v>
      </c>
      <c r="J43" s="406" t="s">
        <v>495</v>
      </c>
    </row>
    <row r="44" spans="1:17" ht="15" customHeight="1">
      <c r="A44" s="404">
        <v>3</v>
      </c>
      <c r="B44" s="406" t="s">
        <v>490</v>
      </c>
      <c r="C44" s="406">
        <v>22</v>
      </c>
      <c r="D44" s="406" t="s">
        <v>494</v>
      </c>
      <c r="E44" s="430">
        <v>1750</v>
      </c>
      <c r="F44" s="408">
        <v>262500</v>
      </c>
      <c r="G44" s="414">
        <v>0</v>
      </c>
      <c r="H44" s="418">
        <v>0</v>
      </c>
      <c r="I44" s="408">
        <v>262500</v>
      </c>
      <c r="J44" s="406" t="s">
        <v>495</v>
      </c>
    </row>
    <row r="45" spans="1:17" ht="15" customHeight="1">
      <c r="A45" s="404">
        <v>3</v>
      </c>
      <c r="B45" s="406" t="s">
        <v>490</v>
      </c>
      <c r="C45" s="406">
        <v>23</v>
      </c>
      <c r="D45" s="406" t="s">
        <v>494</v>
      </c>
      <c r="E45" s="430">
        <v>1750</v>
      </c>
      <c r="F45" s="408">
        <v>262500</v>
      </c>
      <c r="G45" s="414">
        <v>0</v>
      </c>
      <c r="H45" s="418">
        <v>0</v>
      </c>
      <c r="I45" s="408">
        <v>262500</v>
      </c>
      <c r="J45" s="406" t="s">
        <v>495</v>
      </c>
    </row>
    <row r="46" spans="1:17" ht="15.95" customHeight="1">
      <c r="A46" s="404">
        <v>3</v>
      </c>
      <c r="B46" s="406" t="s">
        <v>490</v>
      </c>
      <c r="C46" s="406">
        <v>24</v>
      </c>
      <c r="D46" s="406" t="s">
        <v>494</v>
      </c>
      <c r="E46" s="432">
        <v>3500</v>
      </c>
      <c r="F46" s="408">
        <v>525000</v>
      </c>
      <c r="G46" s="414">
        <v>0</v>
      </c>
      <c r="H46" s="418">
        <v>0</v>
      </c>
      <c r="I46" s="408">
        <v>525000</v>
      </c>
      <c r="J46" s="406" t="s">
        <v>495</v>
      </c>
    </row>
    <row r="47" spans="1:17" ht="15" customHeight="1">
      <c r="A47" s="404">
        <v>3</v>
      </c>
      <c r="B47" s="406" t="s">
        <v>490</v>
      </c>
      <c r="C47" s="406">
        <v>25</v>
      </c>
      <c r="D47" s="406" t="s">
        <v>494</v>
      </c>
      <c r="E47" s="432">
        <v>7070</v>
      </c>
      <c r="F47" s="408">
        <v>1060500</v>
      </c>
      <c r="G47" s="408">
        <v>126876</v>
      </c>
      <c r="H47" s="417">
        <v>52861</v>
      </c>
      <c r="I47" s="414">
        <v>1240237</v>
      </c>
      <c r="J47" s="406" t="s">
        <v>495</v>
      </c>
    </row>
    <row r="48" spans="1:17" ht="15" customHeight="1">
      <c r="A48" s="404">
        <v>3</v>
      </c>
      <c r="B48" s="406" t="s">
        <v>490</v>
      </c>
      <c r="C48" s="406">
        <v>33</v>
      </c>
      <c r="D48" s="406" t="s">
        <v>494</v>
      </c>
      <c r="E48" s="432">
        <v>1750</v>
      </c>
      <c r="F48" s="408">
        <v>262500</v>
      </c>
      <c r="G48" s="414">
        <v>0</v>
      </c>
      <c r="H48" s="418">
        <v>1582</v>
      </c>
      <c r="I48" s="408">
        <v>264082</v>
      </c>
      <c r="J48" s="407" t="s">
        <v>495</v>
      </c>
    </row>
    <row r="49" spans="1:17" ht="15" customHeight="1">
      <c r="A49" s="404">
        <v>3</v>
      </c>
      <c r="B49" s="406" t="s">
        <v>490</v>
      </c>
      <c r="C49" s="406">
        <v>34</v>
      </c>
      <c r="D49" s="406" t="s">
        <v>494</v>
      </c>
      <c r="E49" s="430">
        <v>3500</v>
      </c>
      <c r="F49" s="414">
        <v>525000</v>
      </c>
      <c r="G49" s="414">
        <v>0</v>
      </c>
      <c r="H49" s="418">
        <v>1884</v>
      </c>
      <c r="I49" s="414">
        <v>526884</v>
      </c>
      <c r="J49" s="407" t="s">
        <v>495</v>
      </c>
    </row>
    <row r="50" spans="1:17" ht="15" customHeight="1">
      <c r="A50" s="404">
        <v>3</v>
      </c>
      <c r="B50" s="406" t="s">
        <v>490</v>
      </c>
      <c r="C50" s="406">
        <v>35</v>
      </c>
      <c r="D50" s="406" t="s">
        <v>494</v>
      </c>
      <c r="E50" s="432">
        <v>3500</v>
      </c>
      <c r="F50" s="414">
        <v>525000</v>
      </c>
      <c r="G50" s="414">
        <v>0</v>
      </c>
      <c r="H50" s="417">
        <v>4606</v>
      </c>
      <c r="I50" s="408">
        <v>529606</v>
      </c>
      <c r="J50" s="407" t="s">
        <v>495</v>
      </c>
    </row>
    <row r="51" spans="1:17" ht="15" customHeight="1">
      <c r="A51" s="404">
        <v>3</v>
      </c>
      <c r="B51" s="406" t="s">
        <v>490</v>
      </c>
      <c r="C51" s="406">
        <v>36</v>
      </c>
      <c r="D51" s="406" t="s">
        <v>494</v>
      </c>
      <c r="E51" s="432">
        <v>3500</v>
      </c>
      <c r="F51" s="414">
        <v>525000</v>
      </c>
      <c r="G51" s="414">
        <v>0</v>
      </c>
      <c r="H51" s="418">
        <v>2888</v>
      </c>
      <c r="I51" s="414">
        <v>527888</v>
      </c>
      <c r="J51" s="407" t="s">
        <v>495</v>
      </c>
      <c r="K51" s="427"/>
      <c r="N51" s="427"/>
      <c r="O51" s="427"/>
      <c r="P51" s="427"/>
      <c r="Q51" s="427"/>
    </row>
    <row r="52" spans="1:17" ht="15" customHeight="1">
      <c r="A52" s="404">
        <v>3</v>
      </c>
      <c r="B52" s="406" t="s">
        <v>490</v>
      </c>
      <c r="C52" s="406">
        <v>37</v>
      </c>
      <c r="D52" s="406" t="s">
        <v>494</v>
      </c>
      <c r="E52" s="432">
        <v>10570</v>
      </c>
      <c r="F52" s="408">
        <v>1585500</v>
      </c>
      <c r="G52" s="414">
        <v>166126</v>
      </c>
      <c r="H52" s="418">
        <v>14145</v>
      </c>
      <c r="I52" s="408">
        <v>1765771</v>
      </c>
      <c r="J52" s="407" t="s">
        <v>495</v>
      </c>
    </row>
    <row r="53" spans="1:17" ht="15" customHeight="1">
      <c r="A53" s="404">
        <v>3</v>
      </c>
      <c r="B53" s="406" t="s">
        <v>490</v>
      </c>
      <c r="C53" s="406">
        <v>40</v>
      </c>
      <c r="D53" s="406" t="s">
        <v>494</v>
      </c>
      <c r="E53" s="430">
        <v>35000</v>
      </c>
      <c r="F53" s="414">
        <v>4987500</v>
      </c>
      <c r="G53" s="414">
        <v>250459</v>
      </c>
      <c r="H53" s="418">
        <v>62291</v>
      </c>
      <c r="I53" s="414">
        <v>5300250</v>
      </c>
      <c r="J53" s="407" t="s">
        <v>495</v>
      </c>
    </row>
    <row r="54" spans="1:17" ht="15" customHeight="1">
      <c r="A54" s="404">
        <v>3</v>
      </c>
      <c r="B54" s="406" t="s">
        <v>490</v>
      </c>
      <c r="C54" s="406">
        <v>41</v>
      </c>
      <c r="D54" s="406" t="s">
        <v>494</v>
      </c>
      <c r="E54" s="432">
        <v>15750</v>
      </c>
      <c r="F54" s="408">
        <v>2126250</v>
      </c>
      <c r="G54" s="408">
        <v>190967</v>
      </c>
      <c r="H54" s="418">
        <v>35914</v>
      </c>
      <c r="I54" s="414">
        <v>2353131</v>
      </c>
      <c r="J54" s="407" t="s">
        <v>495</v>
      </c>
      <c r="L54" s="436"/>
      <c r="M54" s="427"/>
    </row>
    <row r="55" spans="1:17" s="908" customFormat="1" ht="15" customHeight="1">
      <c r="A55" s="903" t="s">
        <v>745</v>
      </c>
      <c r="B55" s="904"/>
      <c r="C55" s="904"/>
      <c r="D55" s="904"/>
      <c r="E55" s="905">
        <f>SUM(E33:E54)</f>
        <v>178418</v>
      </c>
      <c r="F55" s="902">
        <f>SUM(F33:F35)</f>
        <v>4258500</v>
      </c>
      <c r="G55" s="902"/>
      <c r="H55" s="906"/>
      <c r="I55" s="902">
        <f>SUM(I33:I54)</f>
        <v>34945500</v>
      </c>
      <c r="J55" s="907"/>
      <c r="L55" s="909"/>
    </row>
    <row r="56" spans="1:17" ht="15">
      <c r="A56" s="404">
        <v>4</v>
      </c>
      <c r="B56" s="406" t="s">
        <v>496</v>
      </c>
      <c r="C56" s="406">
        <v>3</v>
      </c>
      <c r="D56" s="406" t="s">
        <v>491</v>
      </c>
      <c r="E56" s="606">
        <v>10500</v>
      </c>
      <c r="F56" s="609">
        <v>2362500</v>
      </c>
      <c r="G56" s="609">
        <v>500</v>
      </c>
      <c r="H56" s="605">
        <v>0</v>
      </c>
      <c r="I56" s="608">
        <v>2363000</v>
      </c>
      <c r="J56" s="407" t="s">
        <v>498</v>
      </c>
    </row>
    <row r="57" spans="1:17" ht="15.95" customHeight="1">
      <c r="A57" s="404">
        <v>4</v>
      </c>
      <c r="B57" s="406" t="s">
        <v>496</v>
      </c>
      <c r="C57" s="406">
        <v>8</v>
      </c>
      <c r="D57" s="406" t="s">
        <v>491</v>
      </c>
      <c r="E57" s="430">
        <v>1875</v>
      </c>
      <c r="F57" s="608">
        <v>243750</v>
      </c>
      <c r="G57" s="414">
        <v>0</v>
      </c>
      <c r="H57" s="418">
        <v>0</v>
      </c>
      <c r="I57" s="414">
        <v>243750</v>
      </c>
      <c r="J57" s="407" t="s">
        <v>492</v>
      </c>
    </row>
    <row r="58" spans="1:17" ht="15.75" thickBot="1">
      <c r="A58" s="404">
        <v>4</v>
      </c>
      <c r="B58" s="406" t="s">
        <v>496</v>
      </c>
      <c r="C58" s="406">
        <v>9</v>
      </c>
      <c r="D58" s="406" t="s">
        <v>491</v>
      </c>
      <c r="E58" s="430">
        <v>1750</v>
      </c>
      <c r="F58" s="609">
        <v>306250</v>
      </c>
      <c r="G58" s="609">
        <v>38419</v>
      </c>
      <c r="H58" s="605">
        <v>0</v>
      </c>
      <c r="I58" s="414">
        <v>344669</v>
      </c>
      <c r="J58" s="407" t="s">
        <v>498</v>
      </c>
    </row>
    <row r="59" spans="1:17" ht="15.75" thickBot="1">
      <c r="A59" s="404">
        <v>4</v>
      </c>
      <c r="B59" s="406" t="s">
        <v>496</v>
      </c>
      <c r="C59" s="406">
        <v>10</v>
      </c>
      <c r="D59" s="406" t="s">
        <v>491</v>
      </c>
      <c r="E59" s="430">
        <v>3500</v>
      </c>
      <c r="F59" s="609">
        <v>612500</v>
      </c>
      <c r="G59" s="414">
        <v>0</v>
      </c>
      <c r="H59" s="418">
        <v>0</v>
      </c>
      <c r="I59" s="609">
        <v>612500</v>
      </c>
      <c r="J59" s="409" t="s">
        <v>498</v>
      </c>
    </row>
    <row r="60" spans="1:17" ht="15">
      <c r="A60" s="404">
        <v>4</v>
      </c>
      <c r="B60" s="406" t="s">
        <v>496</v>
      </c>
      <c r="C60" s="406">
        <v>11</v>
      </c>
      <c r="D60" s="406" t="s">
        <v>491</v>
      </c>
      <c r="E60" s="607">
        <v>10500</v>
      </c>
      <c r="F60" s="608">
        <v>2362500</v>
      </c>
      <c r="G60" s="609">
        <v>22055</v>
      </c>
      <c r="H60" s="418">
        <v>9776</v>
      </c>
      <c r="I60" s="609">
        <v>2394331</v>
      </c>
      <c r="J60" s="407" t="s">
        <v>498</v>
      </c>
    </row>
    <row r="61" spans="1:17" ht="15">
      <c r="A61" s="404">
        <v>4</v>
      </c>
      <c r="B61" s="406" t="s">
        <v>496</v>
      </c>
      <c r="C61" s="406">
        <v>15</v>
      </c>
      <c r="D61" s="406" t="s">
        <v>491</v>
      </c>
      <c r="E61" s="607">
        <v>17550</v>
      </c>
      <c r="F61" s="609">
        <v>3948750</v>
      </c>
      <c r="G61" s="608">
        <v>0</v>
      </c>
      <c r="H61" s="605">
        <v>14508</v>
      </c>
      <c r="I61" s="609">
        <v>3963258</v>
      </c>
      <c r="J61" s="407" t="s">
        <v>498</v>
      </c>
    </row>
    <row r="62" spans="1:17" ht="15.75" thickBot="1">
      <c r="A62" s="404">
        <v>4</v>
      </c>
      <c r="B62" s="406" t="s">
        <v>496</v>
      </c>
      <c r="C62" s="406">
        <v>5</v>
      </c>
      <c r="D62" s="406" t="s">
        <v>494</v>
      </c>
      <c r="E62" s="432">
        <v>2188</v>
      </c>
      <c r="F62" s="414">
        <v>284440</v>
      </c>
      <c r="G62" s="414">
        <v>0</v>
      </c>
      <c r="H62" s="418">
        <v>0</v>
      </c>
      <c r="I62" s="414">
        <v>284440</v>
      </c>
      <c r="J62" s="611" t="s">
        <v>492</v>
      </c>
    </row>
    <row r="63" spans="1:17" ht="15.75" thickBot="1">
      <c r="A63" s="404">
        <v>4</v>
      </c>
      <c r="B63" s="406" t="s">
        <v>496</v>
      </c>
      <c r="C63" s="406">
        <v>6</v>
      </c>
      <c r="D63" s="406" t="s">
        <v>494</v>
      </c>
      <c r="E63" s="430">
        <v>2360</v>
      </c>
      <c r="F63" s="410">
        <v>306800</v>
      </c>
      <c r="G63" s="414">
        <v>0</v>
      </c>
      <c r="H63" s="418">
        <v>0</v>
      </c>
      <c r="I63" s="410">
        <v>306800</v>
      </c>
      <c r="J63" s="407" t="s">
        <v>492</v>
      </c>
    </row>
    <row r="64" spans="1:17" ht="15.75" thickBot="1">
      <c r="A64" s="404">
        <v>4</v>
      </c>
      <c r="B64" s="406" t="s">
        <v>496</v>
      </c>
      <c r="C64" s="406">
        <v>7</v>
      </c>
      <c r="D64" s="406" t="s">
        <v>494</v>
      </c>
      <c r="E64" s="429">
        <v>4688</v>
      </c>
      <c r="F64" s="410">
        <v>304720</v>
      </c>
      <c r="G64" s="408">
        <v>69379</v>
      </c>
      <c r="H64" s="418">
        <v>3908</v>
      </c>
      <c r="I64" s="414">
        <v>378007</v>
      </c>
      <c r="J64" s="407" t="s">
        <v>492</v>
      </c>
    </row>
    <row r="65" spans="1:17" ht="15.75" thickBot="1">
      <c r="A65" s="404">
        <v>4</v>
      </c>
      <c r="B65" s="406" t="s">
        <v>496</v>
      </c>
      <c r="C65" s="406">
        <v>12</v>
      </c>
      <c r="D65" s="406" t="s">
        <v>494</v>
      </c>
      <c r="E65" s="606">
        <v>14000</v>
      </c>
      <c r="F65" s="410">
        <v>910000</v>
      </c>
      <c r="G65" s="414">
        <v>0</v>
      </c>
      <c r="H65" s="418">
        <v>0</v>
      </c>
      <c r="I65" s="609">
        <v>910000</v>
      </c>
      <c r="J65" s="407" t="s">
        <v>492</v>
      </c>
    </row>
    <row r="66" spans="1:17" ht="15.75" thickBot="1">
      <c r="A66" s="404">
        <v>4</v>
      </c>
      <c r="B66" s="406" t="s">
        <v>496</v>
      </c>
      <c r="C66" s="406">
        <v>13</v>
      </c>
      <c r="D66" s="406" t="s">
        <v>494</v>
      </c>
      <c r="E66" s="430">
        <v>7000</v>
      </c>
      <c r="F66" s="415">
        <v>612500</v>
      </c>
      <c r="G66" s="415">
        <v>0</v>
      </c>
      <c r="H66" s="419">
        <v>0</v>
      </c>
      <c r="I66" s="414">
        <v>612500</v>
      </c>
      <c r="J66" s="407" t="s">
        <v>498</v>
      </c>
    </row>
    <row r="67" spans="1:17" ht="15">
      <c r="A67" s="404">
        <v>4</v>
      </c>
      <c r="B67" s="406" t="s">
        <v>496</v>
      </c>
      <c r="C67" s="406">
        <v>14</v>
      </c>
      <c r="D67" s="406" t="s">
        <v>494</v>
      </c>
      <c r="E67" s="606">
        <v>7000</v>
      </c>
      <c r="F67" s="408">
        <v>612500</v>
      </c>
      <c r="G67" s="414">
        <v>0</v>
      </c>
      <c r="H67" s="418">
        <v>0</v>
      </c>
      <c r="I67" s="408">
        <v>612500</v>
      </c>
      <c r="J67" s="407" t="s">
        <v>498</v>
      </c>
    </row>
    <row r="68" spans="1:17" s="908" customFormat="1" ht="15" customHeight="1">
      <c r="A68" s="903" t="s">
        <v>746</v>
      </c>
      <c r="B68" s="904"/>
      <c r="C68" s="904"/>
      <c r="D68" s="904"/>
      <c r="E68" s="905">
        <f>SUM(E57:E67)</f>
        <v>72411</v>
      </c>
      <c r="F68" s="902">
        <f>SUM(F57:F61)</f>
        <v>7473750</v>
      </c>
      <c r="G68" s="902"/>
      <c r="H68" s="906"/>
      <c r="I68" s="902">
        <f>SUM(I57:I67)</f>
        <v>10662755</v>
      </c>
      <c r="J68" s="907"/>
      <c r="L68" s="909"/>
    </row>
    <row r="69" spans="1:17" ht="15.75" thickBot="1">
      <c r="A69" s="404">
        <v>5</v>
      </c>
      <c r="B69" s="406" t="s">
        <v>496</v>
      </c>
      <c r="C69" s="406">
        <v>16</v>
      </c>
      <c r="D69" s="406" t="s">
        <v>494</v>
      </c>
      <c r="E69" s="625">
        <v>52250</v>
      </c>
      <c r="F69" s="425">
        <v>5773625</v>
      </c>
      <c r="G69" s="414">
        <v>1702182</v>
      </c>
      <c r="H69" s="418">
        <v>706239</v>
      </c>
      <c r="I69" s="425">
        <v>8182046</v>
      </c>
      <c r="J69" s="406" t="s">
        <v>492</v>
      </c>
      <c r="K69" s="427"/>
      <c r="N69" s="427"/>
      <c r="O69" s="427"/>
      <c r="P69" s="427"/>
      <c r="Q69" s="427"/>
    </row>
    <row r="70" spans="1:17" ht="15.75" thickBot="1">
      <c r="A70" s="404">
        <v>5</v>
      </c>
      <c r="B70" s="406" t="s">
        <v>496</v>
      </c>
      <c r="C70" s="406">
        <v>17</v>
      </c>
      <c r="D70" s="406" t="s">
        <v>494</v>
      </c>
      <c r="E70" s="430">
        <v>14000</v>
      </c>
      <c r="F70" s="608">
        <v>1820000</v>
      </c>
      <c r="G70" s="414">
        <v>21129</v>
      </c>
      <c r="H70" s="418">
        <v>2888</v>
      </c>
      <c r="I70" s="608">
        <v>1844017</v>
      </c>
      <c r="J70" s="406" t="s">
        <v>492</v>
      </c>
    </row>
    <row r="71" spans="1:17" ht="15.75" thickBot="1">
      <c r="A71" s="404">
        <v>5</v>
      </c>
      <c r="B71" s="406" t="s">
        <v>496</v>
      </c>
      <c r="C71" s="406">
        <v>18</v>
      </c>
      <c r="D71" s="406" t="s">
        <v>494</v>
      </c>
      <c r="E71" s="429">
        <v>7000</v>
      </c>
      <c r="F71" s="608">
        <v>910000</v>
      </c>
      <c r="G71" s="414">
        <v>0</v>
      </c>
      <c r="H71" s="418">
        <v>0</v>
      </c>
      <c r="I71" s="608">
        <v>910000</v>
      </c>
      <c r="J71" s="406" t="s">
        <v>492</v>
      </c>
    </row>
    <row r="72" spans="1:17" ht="15">
      <c r="A72" s="404">
        <v>5</v>
      </c>
      <c r="B72" s="406" t="s">
        <v>496</v>
      </c>
      <c r="C72" s="406">
        <v>24</v>
      </c>
      <c r="D72" s="406" t="s">
        <v>494</v>
      </c>
      <c r="E72" s="606">
        <v>6800</v>
      </c>
      <c r="F72" s="414">
        <v>884000</v>
      </c>
      <c r="G72" s="414">
        <v>0</v>
      </c>
      <c r="H72" s="424">
        <v>0</v>
      </c>
      <c r="I72" s="608">
        <v>884000</v>
      </c>
      <c r="J72" s="406" t="s">
        <v>492</v>
      </c>
      <c r="L72" s="436"/>
      <c r="M72" s="427"/>
    </row>
    <row r="73" spans="1:17" ht="15">
      <c r="A73" s="404">
        <v>5</v>
      </c>
      <c r="B73" s="406" t="s">
        <v>496</v>
      </c>
      <c r="C73" s="406">
        <v>26</v>
      </c>
      <c r="D73" s="406" t="s">
        <v>494</v>
      </c>
      <c r="E73" s="430">
        <v>1620</v>
      </c>
      <c r="F73" s="414">
        <v>210600</v>
      </c>
      <c r="G73" s="414">
        <v>0</v>
      </c>
      <c r="H73" s="605">
        <v>0</v>
      </c>
      <c r="I73" s="632">
        <v>210600</v>
      </c>
      <c r="J73" s="406" t="s">
        <v>492</v>
      </c>
    </row>
    <row r="74" spans="1:17" s="908" customFormat="1" ht="15" customHeight="1">
      <c r="A74" s="903" t="s">
        <v>747</v>
      </c>
      <c r="B74" s="904"/>
      <c r="C74" s="904"/>
      <c r="D74" s="904"/>
      <c r="E74" s="905">
        <f>SUM(E69:E73)</f>
        <v>81670</v>
      </c>
      <c r="F74" s="902">
        <v>0</v>
      </c>
      <c r="G74" s="902"/>
      <c r="H74" s="906"/>
      <c r="I74" s="902">
        <f>SUM(I69:I73)</f>
        <v>12030663</v>
      </c>
      <c r="J74" s="907"/>
      <c r="L74" s="909"/>
    </row>
    <row r="75" spans="1:17" ht="15.75" thickBot="1">
      <c r="A75" s="404">
        <v>6</v>
      </c>
      <c r="B75" s="406" t="s">
        <v>496</v>
      </c>
      <c r="C75" s="406">
        <v>21</v>
      </c>
      <c r="D75" s="406" t="s">
        <v>491</v>
      </c>
      <c r="E75" s="430">
        <v>7000</v>
      </c>
      <c r="F75" s="425">
        <v>1225000</v>
      </c>
      <c r="G75" s="414">
        <v>1000</v>
      </c>
      <c r="H75" s="418">
        <v>0</v>
      </c>
      <c r="I75" s="425">
        <v>1226000</v>
      </c>
      <c r="J75" s="406" t="s">
        <v>498</v>
      </c>
    </row>
    <row r="76" spans="1:17" ht="15.75" thickBot="1">
      <c r="A76" s="404">
        <v>6</v>
      </c>
      <c r="B76" s="406" t="s">
        <v>496</v>
      </c>
      <c r="C76" s="406">
        <v>22</v>
      </c>
      <c r="D76" s="406" t="s">
        <v>491</v>
      </c>
      <c r="E76" s="606">
        <v>11726</v>
      </c>
      <c r="F76" s="415">
        <v>2638350</v>
      </c>
      <c r="G76" s="414">
        <v>277493</v>
      </c>
      <c r="H76" s="418">
        <v>9454</v>
      </c>
      <c r="I76" s="415">
        <v>2925297</v>
      </c>
      <c r="J76" s="406" t="s">
        <v>498</v>
      </c>
    </row>
    <row r="77" spans="1:17" ht="15.75" thickBot="1">
      <c r="A77" s="404">
        <v>6</v>
      </c>
      <c r="B77" s="406" t="s">
        <v>496</v>
      </c>
      <c r="C77" s="406">
        <v>23</v>
      </c>
      <c r="D77" s="406" t="s">
        <v>491</v>
      </c>
      <c r="E77" s="606">
        <v>5823</v>
      </c>
      <c r="F77" s="415">
        <v>1455750</v>
      </c>
      <c r="G77" s="608">
        <v>0</v>
      </c>
      <c r="H77" s="605">
        <v>0</v>
      </c>
      <c r="I77" s="415">
        <v>1455750</v>
      </c>
      <c r="J77" s="406" t="s">
        <v>498</v>
      </c>
    </row>
    <row r="78" spans="1:17" ht="15.75" thickBot="1">
      <c r="A78" s="404">
        <v>6</v>
      </c>
      <c r="B78" s="406" t="s">
        <v>496</v>
      </c>
      <c r="C78" s="406">
        <v>31</v>
      </c>
      <c r="D78" s="406" t="s">
        <v>491</v>
      </c>
      <c r="E78" s="606">
        <v>13050</v>
      </c>
      <c r="F78" s="608">
        <v>2936250</v>
      </c>
      <c r="G78" s="608">
        <v>197779</v>
      </c>
      <c r="H78" s="418">
        <v>77400</v>
      </c>
      <c r="I78" s="608">
        <v>3211429</v>
      </c>
      <c r="J78" s="406" t="s">
        <v>498</v>
      </c>
    </row>
    <row r="79" spans="1:17" ht="15.75" thickBot="1">
      <c r="A79" s="404">
        <v>6</v>
      </c>
      <c r="B79" s="406" t="s">
        <v>496</v>
      </c>
      <c r="C79" s="406">
        <v>32</v>
      </c>
      <c r="D79" s="406" t="s">
        <v>491</v>
      </c>
      <c r="E79" s="434">
        <v>14154.4</v>
      </c>
      <c r="F79" s="415">
        <v>3184650</v>
      </c>
      <c r="G79" s="414">
        <v>0</v>
      </c>
      <c r="H79" s="418">
        <v>0</v>
      </c>
      <c r="I79" s="415">
        <v>3184650</v>
      </c>
      <c r="J79" s="406" t="s">
        <v>498</v>
      </c>
    </row>
    <row r="80" spans="1:17" ht="15.75" thickBot="1">
      <c r="A80" s="404">
        <v>6</v>
      </c>
      <c r="B80" s="406" t="s">
        <v>496</v>
      </c>
      <c r="C80" s="406">
        <v>19</v>
      </c>
      <c r="D80" s="406" t="s">
        <v>494</v>
      </c>
      <c r="E80" s="429">
        <v>7000</v>
      </c>
      <c r="F80" s="415">
        <v>910000</v>
      </c>
      <c r="G80" s="414">
        <v>1000</v>
      </c>
      <c r="H80" s="418">
        <v>0</v>
      </c>
      <c r="I80" s="415">
        <v>911000</v>
      </c>
      <c r="J80" s="406" t="s">
        <v>492</v>
      </c>
    </row>
    <row r="81" spans="1:12" ht="15.75" thickBot="1">
      <c r="A81" s="404">
        <v>6</v>
      </c>
      <c r="B81" s="406" t="s">
        <v>496</v>
      </c>
      <c r="C81" s="406">
        <v>20</v>
      </c>
      <c r="D81" s="406" t="s">
        <v>494</v>
      </c>
      <c r="E81" s="429">
        <v>7000</v>
      </c>
      <c r="F81" s="415">
        <v>1225000</v>
      </c>
      <c r="G81" s="415">
        <v>18403</v>
      </c>
      <c r="H81" s="419">
        <v>0</v>
      </c>
      <c r="I81" s="608">
        <v>1243403</v>
      </c>
      <c r="J81" s="406" t="s">
        <v>498</v>
      </c>
    </row>
    <row r="82" spans="1:12" ht="15.75" thickBot="1">
      <c r="A82" s="404">
        <v>6</v>
      </c>
      <c r="B82" s="406" t="s">
        <v>496</v>
      </c>
      <c r="C82" s="406">
        <v>27</v>
      </c>
      <c r="D82" s="406" t="s">
        <v>494</v>
      </c>
      <c r="E82" s="429">
        <v>2974</v>
      </c>
      <c r="F82" s="608">
        <v>386620</v>
      </c>
      <c r="G82" s="608">
        <v>10349</v>
      </c>
      <c r="H82" s="418">
        <v>1055</v>
      </c>
      <c r="I82" s="415">
        <v>398024</v>
      </c>
      <c r="J82" s="406" t="s">
        <v>492</v>
      </c>
    </row>
    <row r="83" spans="1:12" ht="15.75" thickBot="1">
      <c r="A83" s="404">
        <v>6</v>
      </c>
      <c r="B83" s="406" t="s">
        <v>496</v>
      </c>
      <c r="C83" s="406">
        <v>28</v>
      </c>
      <c r="D83" s="406" t="s">
        <v>494</v>
      </c>
      <c r="E83" s="606">
        <v>4501</v>
      </c>
      <c r="F83" s="608">
        <v>585130</v>
      </c>
      <c r="G83" s="608">
        <v>31505</v>
      </c>
      <c r="H83" s="419">
        <v>6408</v>
      </c>
      <c r="I83" s="608">
        <v>623043</v>
      </c>
      <c r="J83" s="406" t="s">
        <v>492</v>
      </c>
    </row>
    <row r="84" spans="1:12" ht="15.75" thickBot="1">
      <c r="A84" s="404">
        <v>6</v>
      </c>
      <c r="B84" s="406" t="s">
        <v>496</v>
      </c>
      <c r="C84" s="406">
        <v>29</v>
      </c>
      <c r="D84" s="406" t="s">
        <v>494</v>
      </c>
      <c r="E84" s="429">
        <v>8090</v>
      </c>
      <c r="F84" s="608">
        <v>1415750</v>
      </c>
      <c r="G84" s="415">
        <v>104853</v>
      </c>
      <c r="H84" s="418">
        <v>40072</v>
      </c>
      <c r="I84" s="415">
        <v>1560675</v>
      </c>
      <c r="J84" s="406" t="s">
        <v>498</v>
      </c>
    </row>
    <row r="85" spans="1:12" ht="15.75" thickBot="1">
      <c r="A85" s="404">
        <v>6</v>
      </c>
      <c r="B85" s="406" t="s">
        <v>496</v>
      </c>
      <c r="C85" s="406">
        <v>30</v>
      </c>
      <c r="D85" s="406" t="s">
        <v>494</v>
      </c>
      <c r="E85" s="430">
        <v>9930</v>
      </c>
      <c r="F85" s="415">
        <v>1737750</v>
      </c>
      <c r="G85" s="414">
        <v>1000</v>
      </c>
      <c r="H85" s="605">
        <v>0</v>
      </c>
      <c r="I85" s="415">
        <v>1738750</v>
      </c>
      <c r="J85" s="406" t="s">
        <v>498</v>
      </c>
    </row>
    <row r="86" spans="1:12" ht="15">
      <c r="A86" s="404">
        <v>6</v>
      </c>
      <c r="B86" s="406" t="s">
        <v>496</v>
      </c>
      <c r="C86" s="406" t="s">
        <v>499</v>
      </c>
      <c r="D86" s="406" t="s">
        <v>494</v>
      </c>
      <c r="E86" s="430">
        <v>5538</v>
      </c>
      <c r="F86" s="614">
        <v>719940</v>
      </c>
      <c r="G86" s="614">
        <v>0</v>
      </c>
      <c r="H86" s="605">
        <v>1870</v>
      </c>
      <c r="I86" s="414">
        <v>721810</v>
      </c>
      <c r="J86" s="406" t="s">
        <v>492</v>
      </c>
    </row>
    <row r="87" spans="1:12" s="908" customFormat="1" ht="15" customHeight="1">
      <c r="A87" s="903" t="s">
        <v>748</v>
      </c>
      <c r="B87" s="904"/>
      <c r="C87" s="904"/>
      <c r="D87" s="904"/>
      <c r="E87" s="905">
        <f>SUM(E75:E86)</f>
        <v>96786.4</v>
      </c>
      <c r="F87" s="902">
        <f>SUM(F75:F79)</f>
        <v>11440000</v>
      </c>
      <c r="G87" s="902"/>
      <c r="H87" s="906"/>
      <c r="I87" s="902">
        <f>SUM(I75:I79)</f>
        <v>12003126</v>
      </c>
      <c r="J87" s="907"/>
      <c r="L87" s="909"/>
    </row>
    <row r="88" spans="1:12" s="615" customFormat="1" ht="15" customHeight="1" thickBot="1">
      <c r="A88" s="404">
        <v>7</v>
      </c>
      <c r="B88" s="406" t="s">
        <v>496</v>
      </c>
      <c r="C88" s="406" t="s">
        <v>749</v>
      </c>
      <c r="D88" s="406" t="s">
        <v>491</v>
      </c>
      <c r="E88" s="430">
        <v>14458</v>
      </c>
      <c r="F88" s="425">
        <v>3614500</v>
      </c>
      <c r="G88" s="414">
        <v>0</v>
      </c>
      <c r="H88" s="605">
        <v>0</v>
      </c>
      <c r="I88" s="425">
        <v>4064066</v>
      </c>
      <c r="J88" s="406" t="s">
        <v>751</v>
      </c>
      <c r="L88" s="616"/>
    </row>
    <row r="89" spans="1:12" s="615" customFormat="1" ht="15" customHeight="1" thickBot="1">
      <c r="A89" s="404">
        <v>7</v>
      </c>
      <c r="B89" s="406" t="s">
        <v>496</v>
      </c>
      <c r="C89" s="406" t="s">
        <v>752</v>
      </c>
      <c r="D89" s="406" t="s">
        <v>491</v>
      </c>
      <c r="E89" s="887">
        <v>4679</v>
      </c>
      <c r="F89" s="415">
        <v>1286615</v>
      </c>
      <c r="G89" s="414">
        <v>0</v>
      </c>
      <c r="H89" s="605">
        <v>0</v>
      </c>
      <c r="I89" s="415">
        <v>1310000</v>
      </c>
      <c r="J89" s="406" t="s">
        <v>751</v>
      </c>
      <c r="L89" s="616"/>
    </row>
    <row r="90" spans="1:12" s="615" customFormat="1" ht="15" customHeight="1">
      <c r="A90" s="404">
        <v>7</v>
      </c>
      <c r="B90" s="406" t="s">
        <v>496</v>
      </c>
      <c r="C90" s="406" t="s">
        <v>750</v>
      </c>
      <c r="D90" s="406" t="s">
        <v>491</v>
      </c>
      <c r="E90" s="430">
        <v>5505</v>
      </c>
      <c r="F90" s="614">
        <v>1387500</v>
      </c>
      <c r="G90" s="414">
        <v>0</v>
      </c>
      <c r="H90" s="605">
        <v>0</v>
      </c>
      <c r="I90" s="614">
        <v>1404452</v>
      </c>
      <c r="J90" s="406" t="s">
        <v>751</v>
      </c>
      <c r="L90" s="616"/>
    </row>
    <row r="91" spans="1:12" s="908" customFormat="1" ht="15" customHeight="1">
      <c r="A91" s="903" t="s">
        <v>753</v>
      </c>
      <c r="B91" s="904"/>
      <c r="C91" s="904"/>
      <c r="D91" s="904"/>
      <c r="E91" s="905">
        <f>SUM(E88:E90)</f>
        <v>24642</v>
      </c>
      <c r="F91" s="902">
        <f>SUM(F88:F90)</f>
        <v>6288615</v>
      </c>
      <c r="G91" s="902"/>
      <c r="H91" s="906"/>
      <c r="I91" s="902">
        <f>SUM(I88:I90)</f>
        <v>6778518</v>
      </c>
      <c r="J91" s="907"/>
      <c r="L91" s="909"/>
    </row>
    <row r="92" spans="1:12" ht="15.75" thickBot="1">
      <c r="A92" s="404">
        <v>8</v>
      </c>
      <c r="B92" s="406" t="s">
        <v>490</v>
      </c>
      <c r="C92" s="406" t="s">
        <v>754</v>
      </c>
      <c r="D92" s="406" t="s">
        <v>491</v>
      </c>
      <c r="E92" s="430">
        <v>27710</v>
      </c>
      <c r="F92" s="425">
        <v>8867200</v>
      </c>
      <c r="G92" s="414">
        <v>0</v>
      </c>
      <c r="H92" s="605">
        <v>0</v>
      </c>
      <c r="I92" s="425">
        <v>9448520</v>
      </c>
      <c r="J92" s="406" t="s">
        <v>756</v>
      </c>
    </row>
    <row r="93" spans="1:12" ht="15.75" thickBot="1">
      <c r="A93" s="404">
        <v>8</v>
      </c>
      <c r="B93" s="406" t="s">
        <v>490</v>
      </c>
      <c r="C93" s="406" t="s">
        <v>755</v>
      </c>
      <c r="D93" s="406" t="s">
        <v>491</v>
      </c>
      <c r="E93" s="430">
        <v>18750</v>
      </c>
      <c r="F93" s="415">
        <v>6093750</v>
      </c>
      <c r="G93" s="414">
        <v>0</v>
      </c>
      <c r="H93" s="605">
        <v>0</v>
      </c>
      <c r="I93" s="415">
        <v>7020301</v>
      </c>
      <c r="J93" s="406" t="s">
        <v>756</v>
      </c>
    </row>
    <row r="94" spans="1:12" ht="15.75" thickBot="1">
      <c r="A94" s="404">
        <v>8</v>
      </c>
      <c r="B94" s="406" t="s">
        <v>490</v>
      </c>
      <c r="C94" s="406" t="s">
        <v>757</v>
      </c>
      <c r="D94" s="406" t="s">
        <v>491</v>
      </c>
      <c r="E94" s="430">
        <v>4950</v>
      </c>
      <c r="F94" s="415">
        <v>1608750</v>
      </c>
      <c r="G94" s="414">
        <v>0</v>
      </c>
      <c r="H94" s="605">
        <v>0</v>
      </c>
      <c r="I94" s="415">
        <v>1717379</v>
      </c>
      <c r="J94" s="406" t="s">
        <v>756</v>
      </c>
    </row>
    <row r="95" spans="1:12" ht="15.75" thickBot="1">
      <c r="A95" s="404">
        <v>8</v>
      </c>
      <c r="B95" s="406" t="s">
        <v>490</v>
      </c>
      <c r="C95" s="406" t="s">
        <v>759</v>
      </c>
      <c r="D95" s="406" t="s">
        <v>491</v>
      </c>
      <c r="E95" s="430">
        <v>8175</v>
      </c>
      <c r="F95" s="415">
        <v>2656875</v>
      </c>
      <c r="G95" s="414">
        <v>382595</v>
      </c>
      <c r="H95" s="605">
        <v>0</v>
      </c>
      <c r="I95" s="415">
        <v>3039470</v>
      </c>
      <c r="J95" s="406" t="s">
        <v>756</v>
      </c>
    </row>
    <row r="96" spans="1:12" ht="15.75" thickBot="1">
      <c r="A96" s="404">
        <v>8</v>
      </c>
      <c r="B96" s="406" t="s">
        <v>490</v>
      </c>
      <c r="C96" s="406" t="s">
        <v>760</v>
      </c>
      <c r="D96" s="406" t="s">
        <v>491</v>
      </c>
      <c r="E96" s="430">
        <v>6563</v>
      </c>
      <c r="F96" s="415">
        <v>2132975</v>
      </c>
      <c r="G96" s="414">
        <v>67025</v>
      </c>
      <c r="H96" s="605">
        <v>0</v>
      </c>
      <c r="I96" s="415">
        <v>2200000</v>
      </c>
      <c r="J96" s="406" t="s">
        <v>756</v>
      </c>
    </row>
    <row r="97" spans="1:12" ht="15">
      <c r="A97" s="404">
        <v>8</v>
      </c>
      <c r="B97" s="406" t="s">
        <v>490</v>
      </c>
      <c r="C97" s="406" t="s">
        <v>761</v>
      </c>
      <c r="D97" s="406" t="s">
        <v>491</v>
      </c>
      <c r="E97" s="430">
        <v>6563</v>
      </c>
      <c r="F97" s="614">
        <v>2132975</v>
      </c>
      <c r="G97" s="414">
        <v>359887</v>
      </c>
      <c r="H97" s="605">
        <v>0</v>
      </c>
      <c r="I97" s="614">
        <v>2516715</v>
      </c>
      <c r="J97" s="406" t="s">
        <v>756</v>
      </c>
    </row>
    <row r="98" spans="1:12" s="908" customFormat="1" ht="15">
      <c r="A98" s="903" t="s">
        <v>763</v>
      </c>
      <c r="B98" s="904"/>
      <c r="C98" s="904"/>
      <c r="D98" s="904"/>
      <c r="E98" s="905">
        <f>SUM(E92:E97)</f>
        <v>72711</v>
      </c>
      <c r="F98" s="902">
        <f>SUM(F95:F97)</f>
        <v>6922825</v>
      </c>
      <c r="G98" s="902"/>
      <c r="H98" s="906"/>
      <c r="I98" s="902">
        <f>SUM(I92:I97)</f>
        <v>25942385</v>
      </c>
      <c r="J98" s="907"/>
      <c r="L98" s="909"/>
    </row>
    <row r="99" spans="1:12" ht="15">
      <c r="A99" s="404">
        <v>9</v>
      </c>
      <c r="B99" s="406" t="s">
        <v>496</v>
      </c>
      <c r="C99" s="406" t="s">
        <v>765</v>
      </c>
      <c r="D99" s="406" t="s">
        <v>491</v>
      </c>
      <c r="E99" s="430">
        <v>6300</v>
      </c>
      <c r="F99" s="632">
        <v>1575000</v>
      </c>
      <c r="G99" s="414">
        <v>0</v>
      </c>
      <c r="H99" s="605">
        <v>0</v>
      </c>
      <c r="I99" s="632">
        <v>1575000</v>
      </c>
      <c r="J99" s="406" t="s">
        <v>766</v>
      </c>
    </row>
    <row r="100" spans="1:12" s="908" customFormat="1" ht="15">
      <c r="A100" s="903" t="s">
        <v>764</v>
      </c>
      <c r="B100" s="904"/>
      <c r="C100" s="904"/>
      <c r="D100" s="904"/>
      <c r="E100" s="905">
        <f>E99</f>
        <v>6300</v>
      </c>
      <c r="F100" s="902">
        <f>F99</f>
        <v>1575000</v>
      </c>
      <c r="G100" s="902"/>
      <c r="H100" s="906"/>
      <c r="I100" s="902">
        <f>I99</f>
        <v>1575000</v>
      </c>
      <c r="J100" s="907"/>
      <c r="L100" s="909"/>
    </row>
    <row r="101" spans="1:12" ht="15.75" thickBot="1">
      <c r="A101" s="626"/>
      <c r="B101" s="627"/>
      <c r="C101" s="627"/>
      <c r="D101" s="627"/>
      <c r="E101" s="628"/>
      <c r="F101" s="629"/>
      <c r="G101" s="629"/>
      <c r="H101" s="630"/>
      <c r="I101" s="629"/>
      <c r="J101" s="631"/>
    </row>
    <row r="102" spans="1:12" ht="15.75" thickBot="1">
      <c r="A102" s="404" t="s">
        <v>762</v>
      </c>
      <c r="B102" s="406"/>
      <c r="C102" s="406"/>
      <c r="D102" s="406"/>
      <c r="E102" s="430"/>
      <c r="F102" s="415"/>
      <c r="G102" s="414"/>
      <c r="H102" s="605"/>
      <c r="I102" s="415"/>
      <c r="J102" s="406"/>
    </row>
    <row r="103" spans="1:12" ht="15.75" thickBot="1">
      <c r="A103" s="404"/>
      <c r="B103" s="406" t="s">
        <v>496</v>
      </c>
      <c r="C103" s="406">
        <v>1</v>
      </c>
      <c r="D103" s="406"/>
      <c r="E103" s="432">
        <v>74326</v>
      </c>
      <c r="F103" s="415">
        <v>13007050</v>
      </c>
      <c r="G103" s="414">
        <v>70512950</v>
      </c>
      <c r="H103" s="418">
        <v>0</v>
      </c>
      <c r="I103" s="410">
        <v>83520000</v>
      </c>
      <c r="J103" s="611" t="s">
        <v>497</v>
      </c>
    </row>
    <row r="104" spans="1:12" ht="15.75" thickBot="1">
      <c r="A104" s="404"/>
      <c r="B104" s="406" t="s">
        <v>496</v>
      </c>
      <c r="C104" s="406">
        <v>2</v>
      </c>
      <c r="D104" s="406"/>
      <c r="E104" s="430">
        <v>5600</v>
      </c>
      <c r="F104" s="414">
        <v>1260000</v>
      </c>
      <c r="G104" s="414">
        <v>63696</v>
      </c>
      <c r="H104" s="610">
        <v>6912</v>
      </c>
      <c r="I104" s="414">
        <v>1330608</v>
      </c>
      <c r="J104" s="407" t="s">
        <v>498</v>
      </c>
    </row>
  </sheetData>
  <sortState xmlns:xlrd2="http://schemas.microsoft.com/office/spreadsheetml/2017/richdata2" ref="A88:J90">
    <sortCondition ref="A88:A90"/>
    <sortCondition ref="D88:D90"/>
    <sortCondition ref="C88:C90"/>
  </sortState>
  <mergeCells count="1">
    <mergeCell ref="L1:M1"/>
  </mergeCells>
  <pageMargins left="0.7" right="0.7" top="0.75" bottom="0.75" header="0.3" footer="0.3"/>
  <pageSetup paperSize="3" orientation="portrait" horizontalDpi="0" verticalDpi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0AA27B-1F05-485D-8431-1A66271E2A61}">
  <sheetPr>
    <tabColor theme="4"/>
  </sheetPr>
  <dimension ref="A1:J40"/>
  <sheetViews>
    <sheetView topLeftCell="A12" workbookViewId="0">
      <selection activeCell="A23" sqref="A23"/>
    </sheetView>
  </sheetViews>
  <sheetFormatPr defaultColWidth="8.85546875" defaultRowHeight="12.75"/>
  <cols>
    <col min="2" max="2" width="26.42578125" customWidth="1"/>
    <col min="7" max="7" width="16.42578125" customWidth="1"/>
    <col min="8" max="8" width="11.7109375" customWidth="1"/>
    <col min="10" max="10" width="14.85546875" customWidth="1"/>
    <col min="13" max="13" width="21.28515625" customWidth="1"/>
  </cols>
  <sheetData>
    <row r="1" spans="1:10" s="437" customFormat="1" ht="35.25" customHeight="1">
      <c r="A1" s="443" t="s">
        <v>479</v>
      </c>
      <c r="B1" s="443" t="s">
        <v>500</v>
      </c>
      <c r="C1" s="443" t="s">
        <v>501</v>
      </c>
      <c r="D1" s="443" t="s">
        <v>502</v>
      </c>
      <c r="E1" s="443" t="s">
        <v>503</v>
      </c>
      <c r="F1" s="443" t="s">
        <v>504</v>
      </c>
      <c r="G1" s="443" t="s">
        <v>505</v>
      </c>
      <c r="H1" s="443" t="s">
        <v>506</v>
      </c>
      <c r="I1" s="443" t="s">
        <v>507</v>
      </c>
      <c r="J1" s="443" t="s">
        <v>508</v>
      </c>
    </row>
    <row r="2" spans="1:10">
      <c r="A2" s="1" t="s">
        <v>771</v>
      </c>
      <c r="B2" t="s">
        <v>509</v>
      </c>
      <c r="C2">
        <v>4</v>
      </c>
      <c r="D2">
        <v>6900</v>
      </c>
      <c r="E2">
        <v>1408</v>
      </c>
      <c r="F2">
        <v>2</v>
      </c>
      <c r="G2">
        <v>33792</v>
      </c>
      <c r="H2">
        <v>0.33</v>
      </c>
      <c r="I2" t="s">
        <v>510</v>
      </c>
      <c r="J2" s="4">
        <v>11151.36</v>
      </c>
    </row>
    <row r="3" spans="1:10">
      <c r="A3" s="1" t="s">
        <v>771</v>
      </c>
      <c r="B3" t="s">
        <v>511</v>
      </c>
      <c r="C3">
        <v>7</v>
      </c>
      <c r="D3">
        <v>13800</v>
      </c>
      <c r="E3">
        <v>3608</v>
      </c>
      <c r="F3">
        <v>1</v>
      </c>
      <c r="G3">
        <v>43296</v>
      </c>
      <c r="H3">
        <v>0.33</v>
      </c>
      <c r="I3" t="s">
        <v>510</v>
      </c>
      <c r="J3" s="4">
        <v>14287.68</v>
      </c>
    </row>
    <row r="4" spans="1:10">
      <c r="A4" s="1" t="s">
        <v>771</v>
      </c>
      <c r="B4" t="s">
        <v>512</v>
      </c>
      <c r="C4">
        <v>8</v>
      </c>
      <c r="D4">
        <v>6900</v>
      </c>
      <c r="E4">
        <v>5765</v>
      </c>
      <c r="F4">
        <v>1</v>
      </c>
      <c r="G4">
        <v>69180</v>
      </c>
      <c r="H4">
        <v>0.33</v>
      </c>
      <c r="I4" t="s">
        <v>510</v>
      </c>
      <c r="J4" s="4">
        <v>22829.4</v>
      </c>
    </row>
    <row r="5" spans="1:10" ht="25.5">
      <c r="A5" s="1" t="s">
        <v>771</v>
      </c>
      <c r="B5" s="437" t="s">
        <v>513</v>
      </c>
      <c r="C5">
        <v>12</v>
      </c>
      <c r="D5">
        <v>5250</v>
      </c>
      <c r="E5" s="438">
        <v>8835</v>
      </c>
      <c r="F5">
        <v>2</v>
      </c>
      <c r="G5">
        <v>212040</v>
      </c>
      <c r="H5">
        <v>0.33</v>
      </c>
      <c r="I5" t="s">
        <v>510</v>
      </c>
      <c r="J5" s="4">
        <v>69973.2</v>
      </c>
    </row>
    <row r="6" spans="1:10">
      <c r="A6" s="1" t="s">
        <v>771</v>
      </c>
      <c r="B6" t="s">
        <v>514</v>
      </c>
      <c r="C6">
        <v>15</v>
      </c>
      <c r="D6">
        <v>1750</v>
      </c>
      <c r="E6">
        <v>639</v>
      </c>
      <c r="F6">
        <v>1</v>
      </c>
      <c r="G6">
        <v>7668</v>
      </c>
      <c r="H6">
        <v>0.33</v>
      </c>
      <c r="I6" t="s">
        <v>510</v>
      </c>
      <c r="J6" s="4">
        <v>2530.44</v>
      </c>
    </row>
    <row r="7" spans="1:10">
      <c r="A7" s="1" t="s">
        <v>771</v>
      </c>
      <c r="B7" t="s">
        <v>515</v>
      </c>
      <c r="C7">
        <v>16</v>
      </c>
      <c r="D7">
        <v>7000</v>
      </c>
      <c r="E7" s="439">
        <v>2500</v>
      </c>
      <c r="F7">
        <v>1</v>
      </c>
      <c r="G7">
        <v>30000</v>
      </c>
      <c r="H7">
        <v>0.33</v>
      </c>
      <c r="I7" t="s">
        <v>510</v>
      </c>
      <c r="J7" s="4">
        <v>9900</v>
      </c>
    </row>
    <row r="8" spans="1:10">
      <c r="A8" s="1" t="s">
        <v>771</v>
      </c>
      <c r="B8" t="s">
        <v>516</v>
      </c>
      <c r="C8">
        <v>25</v>
      </c>
      <c r="D8">
        <v>7070</v>
      </c>
      <c r="E8">
        <v>6470</v>
      </c>
      <c r="F8">
        <v>2</v>
      </c>
      <c r="G8">
        <v>155280</v>
      </c>
      <c r="H8">
        <v>0.33</v>
      </c>
      <c r="I8" t="s">
        <v>510</v>
      </c>
      <c r="J8" s="4">
        <v>51242.400000000001</v>
      </c>
    </row>
    <row r="9" spans="1:10">
      <c r="A9" s="899" t="s">
        <v>773</v>
      </c>
      <c r="B9" s="900"/>
      <c r="C9" s="900"/>
      <c r="D9" s="900"/>
      <c r="E9" s="900"/>
      <c r="F9" s="900"/>
      <c r="G9" s="900"/>
      <c r="H9" s="900"/>
      <c r="I9" s="900"/>
      <c r="J9" s="901">
        <f>SUM(J2:J8)</f>
        <v>181914.48</v>
      </c>
    </row>
    <row r="10" spans="1:10" ht="25.5">
      <c r="A10" s="1" t="s">
        <v>772</v>
      </c>
      <c r="B10" s="437" t="s">
        <v>517</v>
      </c>
      <c r="C10">
        <v>26</v>
      </c>
      <c r="D10">
        <v>24808</v>
      </c>
      <c r="E10" s="438">
        <v>23039</v>
      </c>
      <c r="F10">
        <v>2</v>
      </c>
      <c r="G10">
        <v>552936</v>
      </c>
      <c r="H10">
        <v>0.33</v>
      </c>
      <c r="I10" t="s">
        <v>510</v>
      </c>
      <c r="J10" s="4">
        <v>182468.88</v>
      </c>
    </row>
    <row r="11" spans="1:10" ht="25.5">
      <c r="A11" s="1" t="s">
        <v>772</v>
      </c>
      <c r="B11" s="437" t="s">
        <v>518</v>
      </c>
      <c r="C11">
        <v>29</v>
      </c>
      <c r="D11">
        <v>3500</v>
      </c>
      <c r="E11" s="439">
        <v>2044</v>
      </c>
      <c r="F11">
        <v>2</v>
      </c>
      <c r="G11">
        <v>49056</v>
      </c>
      <c r="H11">
        <v>0.33</v>
      </c>
      <c r="I11" t="s">
        <v>510</v>
      </c>
      <c r="J11" s="4">
        <v>16188.48</v>
      </c>
    </row>
    <row r="12" spans="1:10">
      <c r="A12" s="1" t="s">
        <v>772</v>
      </c>
      <c r="B12" t="s">
        <v>519</v>
      </c>
      <c r="C12">
        <v>31</v>
      </c>
      <c r="D12">
        <v>5250</v>
      </c>
      <c r="E12">
        <v>1421</v>
      </c>
      <c r="F12">
        <v>2</v>
      </c>
      <c r="G12">
        <v>34104</v>
      </c>
      <c r="H12">
        <v>0.33</v>
      </c>
      <c r="I12" t="s">
        <v>510</v>
      </c>
      <c r="J12" s="4">
        <v>11254.32</v>
      </c>
    </row>
    <row r="13" spans="1:10">
      <c r="A13" s="1" t="s">
        <v>772</v>
      </c>
      <c r="B13" t="s">
        <v>520</v>
      </c>
      <c r="C13">
        <v>37</v>
      </c>
      <c r="D13">
        <v>10570</v>
      </c>
      <c r="E13">
        <v>7992</v>
      </c>
      <c r="F13">
        <v>1</v>
      </c>
      <c r="G13">
        <v>95904</v>
      </c>
      <c r="H13">
        <v>0.33</v>
      </c>
      <c r="I13" t="s">
        <v>510</v>
      </c>
      <c r="J13" s="4">
        <v>31648.32</v>
      </c>
    </row>
    <row r="14" spans="1:10">
      <c r="A14" s="1" t="s">
        <v>772</v>
      </c>
      <c r="B14" t="s">
        <v>521</v>
      </c>
      <c r="C14">
        <v>40</v>
      </c>
      <c r="D14">
        <v>35000</v>
      </c>
      <c r="E14">
        <v>9454</v>
      </c>
      <c r="F14">
        <v>2</v>
      </c>
      <c r="G14">
        <v>226896</v>
      </c>
      <c r="H14">
        <v>0.33</v>
      </c>
      <c r="I14" t="s">
        <v>510</v>
      </c>
      <c r="J14" s="4">
        <v>74875.679999999993</v>
      </c>
    </row>
    <row r="15" spans="1:10" ht="13.5" thickBot="1">
      <c r="A15" s="1" t="s">
        <v>772</v>
      </c>
      <c r="B15" t="s">
        <v>522</v>
      </c>
      <c r="C15">
        <v>41</v>
      </c>
      <c r="D15">
        <v>15750</v>
      </c>
      <c r="E15">
        <v>15270</v>
      </c>
      <c r="F15">
        <v>1</v>
      </c>
      <c r="G15">
        <v>183240</v>
      </c>
      <c r="H15">
        <v>0.33</v>
      </c>
      <c r="I15" t="s">
        <v>510</v>
      </c>
      <c r="J15" s="4">
        <v>60469.2</v>
      </c>
    </row>
    <row r="16" spans="1:10" ht="13.5" thickBot="1">
      <c r="A16" s="899" t="s">
        <v>774</v>
      </c>
      <c r="B16" s="900"/>
      <c r="C16" s="900"/>
      <c r="D16" s="900"/>
      <c r="E16" s="900"/>
      <c r="F16" s="900"/>
      <c r="G16" s="900"/>
      <c r="H16" s="900"/>
      <c r="I16" s="900"/>
      <c r="J16" s="901">
        <f>SUM(J3:J15)</f>
        <v>729582.47999999975</v>
      </c>
    </row>
    <row r="17" spans="1:10">
      <c r="A17" s="1" t="s">
        <v>776</v>
      </c>
      <c r="B17" t="s">
        <v>523</v>
      </c>
      <c r="C17">
        <v>42</v>
      </c>
      <c r="D17">
        <v>15293</v>
      </c>
      <c r="E17">
        <v>10174</v>
      </c>
      <c r="F17">
        <v>2</v>
      </c>
      <c r="G17">
        <v>244176</v>
      </c>
      <c r="H17">
        <v>0.33</v>
      </c>
      <c r="I17" t="s">
        <v>510</v>
      </c>
      <c r="J17" s="4">
        <v>80578.080000000002</v>
      </c>
    </row>
    <row r="18" spans="1:10">
      <c r="A18" s="1" t="s">
        <v>776</v>
      </c>
      <c r="B18" t="s">
        <v>524</v>
      </c>
      <c r="C18">
        <v>45</v>
      </c>
      <c r="D18">
        <v>51644</v>
      </c>
      <c r="E18">
        <v>46169</v>
      </c>
      <c r="F18">
        <v>2</v>
      </c>
      <c r="G18">
        <v>1108056</v>
      </c>
      <c r="H18">
        <v>0.33</v>
      </c>
      <c r="I18" t="s">
        <v>510</v>
      </c>
      <c r="J18" s="4">
        <v>365658.48</v>
      </c>
    </row>
    <row r="19" spans="1:10">
      <c r="A19" s="1" t="s">
        <v>776</v>
      </c>
      <c r="B19" t="s">
        <v>525</v>
      </c>
      <c r="C19">
        <v>46</v>
      </c>
      <c r="D19">
        <v>18455</v>
      </c>
      <c r="E19">
        <v>7780</v>
      </c>
      <c r="F19">
        <v>1</v>
      </c>
      <c r="G19">
        <v>93360</v>
      </c>
      <c r="H19">
        <v>0.33</v>
      </c>
      <c r="I19" t="s">
        <v>510</v>
      </c>
      <c r="J19" s="4">
        <v>30808.799999999999</v>
      </c>
    </row>
    <row r="20" spans="1:10">
      <c r="A20" s="1" t="s">
        <v>776</v>
      </c>
      <c r="B20" t="s">
        <v>526</v>
      </c>
      <c r="C20">
        <v>47</v>
      </c>
      <c r="D20">
        <v>7150</v>
      </c>
      <c r="E20" s="439">
        <v>7020</v>
      </c>
      <c r="F20">
        <v>1</v>
      </c>
      <c r="G20">
        <v>84240</v>
      </c>
      <c r="H20">
        <v>0.33</v>
      </c>
      <c r="I20" t="s">
        <v>510</v>
      </c>
      <c r="J20" s="4">
        <v>27799.200000000001</v>
      </c>
    </row>
    <row r="21" spans="1:10" ht="25.5">
      <c r="A21" s="1" t="s">
        <v>776</v>
      </c>
      <c r="B21" s="437" t="s">
        <v>527</v>
      </c>
      <c r="C21">
        <v>49</v>
      </c>
      <c r="D21">
        <v>7135</v>
      </c>
      <c r="E21">
        <v>3000</v>
      </c>
      <c r="F21">
        <v>1</v>
      </c>
      <c r="G21">
        <v>36000</v>
      </c>
      <c r="H21">
        <v>0.33</v>
      </c>
      <c r="I21" t="s">
        <v>510</v>
      </c>
      <c r="J21" s="4">
        <v>11880</v>
      </c>
    </row>
    <row r="22" spans="1:10" ht="25.5">
      <c r="A22" s="1" t="s">
        <v>776</v>
      </c>
      <c r="B22" s="437" t="s">
        <v>528</v>
      </c>
      <c r="C22">
        <v>50</v>
      </c>
      <c r="D22">
        <v>7135</v>
      </c>
      <c r="E22">
        <v>7000</v>
      </c>
      <c r="F22">
        <v>1</v>
      </c>
      <c r="G22">
        <v>84000</v>
      </c>
      <c r="H22">
        <v>0.33</v>
      </c>
      <c r="I22" t="s">
        <v>510</v>
      </c>
      <c r="J22" s="4">
        <v>27720</v>
      </c>
    </row>
    <row r="23" spans="1:10">
      <c r="A23" s="899" t="s">
        <v>775</v>
      </c>
      <c r="B23" s="900"/>
      <c r="C23" s="900"/>
      <c r="D23" s="900"/>
      <c r="E23" s="900"/>
      <c r="F23" s="900"/>
      <c r="G23" s="900"/>
      <c r="H23" s="900"/>
      <c r="I23" s="900"/>
      <c r="J23" s="901">
        <f>SUM(J10:J22)</f>
        <v>1650931.92</v>
      </c>
    </row>
    <row r="24" spans="1:10">
      <c r="A24" s="1" t="s">
        <v>777</v>
      </c>
      <c r="B24" t="s">
        <v>529</v>
      </c>
      <c r="C24">
        <v>4</v>
      </c>
      <c r="D24">
        <v>36753</v>
      </c>
      <c r="E24" s="439">
        <v>21199</v>
      </c>
      <c r="F24">
        <v>2</v>
      </c>
      <c r="G24">
        <v>508776</v>
      </c>
      <c r="H24">
        <v>0.33</v>
      </c>
      <c r="I24" t="s">
        <v>510</v>
      </c>
      <c r="J24" s="4">
        <v>167896.08</v>
      </c>
    </row>
    <row r="25" spans="1:10">
      <c r="A25" s="1" t="s">
        <v>777</v>
      </c>
      <c r="B25" t="s">
        <v>530</v>
      </c>
      <c r="C25">
        <v>7</v>
      </c>
      <c r="D25">
        <v>4688</v>
      </c>
      <c r="E25" s="439">
        <v>3294</v>
      </c>
      <c r="F25">
        <v>1</v>
      </c>
      <c r="G25">
        <v>39528</v>
      </c>
      <c r="H25">
        <v>0.33</v>
      </c>
      <c r="I25" t="s">
        <v>510</v>
      </c>
      <c r="J25" s="4">
        <v>13044.24</v>
      </c>
    </row>
    <row r="26" spans="1:10">
      <c r="A26" s="1" t="s">
        <v>777</v>
      </c>
      <c r="B26" t="s">
        <v>531</v>
      </c>
      <c r="C26">
        <v>16</v>
      </c>
      <c r="D26">
        <v>52250</v>
      </c>
      <c r="E26" s="439">
        <v>72978</v>
      </c>
      <c r="F26">
        <v>2</v>
      </c>
      <c r="G26">
        <v>1751472</v>
      </c>
      <c r="H26">
        <v>0.33</v>
      </c>
      <c r="I26" t="s">
        <v>510</v>
      </c>
      <c r="J26" s="4">
        <v>577985.76</v>
      </c>
    </row>
    <row r="27" spans="1:10">
      <c r="A27" s="899" t="s">
        <v>779</v>
      </c>
      <c r="B27" s="900"/>
      <c r="C27" s="900"/>
      <c r="D27" s="900"/>
      <c r="E27" s="900"/>
      <c r="F27" s="900"/>
      <c r="G27" s="900"/>
      <c r="H27" s="900"/>
      <c r="I27" s="900"/>
      <c r="J27" s="901">
        <f>SUM(J24:J26)</f>
        <v>758926.08</v>
      </c>
    </row>
    <row r="28" spans="1:10">
      <c r="A28" s="1" t="s">
        <v>778</v>
      </c>
      <c r="B28" t="s">
        <v>532</v>
      </c>
      <c r="C28">
        <v>17</v>
      </c>
      <c r="D28">
        <v>14000</v>
      </c>
      <c r="E28">
        <v>1350</v>
      </c>
      <c r="F28">
        <v>2</v>
      </c>
      <c r="G28">
        <v>32400</v>
      </c>
      <c r="H28">
        <v>0.33</v>
      </c>
      <c r="I28" t="s">
        <v>510</v>
      </c>
      <c r="J28" s="4">
        <v>10692</v>
      </c>
    </row>
    <row r="29" spans="1:10">
      <c r="A29" s="1" t="s">
        <v>778</v>
      </c>
      <c r="B29" t="s">
        <v>533</v>
      </c>
      <c r="C29">
        <v>19</v>
      </c>
      <c r="D29">
        <v>7000</v>
      </c>
      <c r="E29" s="439">
        <v>2164</v>
      </c>
      <c r="F29">
        <v>1</v>
      </c>
      <c r="G29">
        <v>25968</v>
      </c>
      <c r="H29">
        <v>0.33</v>
      </c>
      <c r="I29" t="s">
        <v>510</v>
      </c>
      <c r="J29" s="4">
        <v>8569.44</v>
      </c>
    </row>
    <row r="30" spans="1:10">
      <c r="A30" s="1" t="s">
        <v>778</v>
      </c>
      <c r="B30" t="s">
        <v>534</v>
      </c>
      <c r="C30">
        <v>20</v>
      </c>
      <c r="D30">
        <v>7000</v>
      </c>
      <c r="E30">
        <v>982</v>
      </c>
      <c r="F30">
        <v>1</v>
      </c>
      <c r="G30">
        <v>11784</v>
      </c>
      <c r="H30">
        <v>0.33</v>
      </c>
      <c r="I30" t="s">
        <v>510</v>
      </c>
      <c r="J30" s="4">
        <v>3888.72</v>
      </c>
    </row>
    <row r="31" spans="1:10" ht="25.5">
      <c r="A31" s="1" t="s">
        <v>778</v>
      </c>
      <c r="B31" s="437" t="s">
        <v>535</v>
      </c>
      <c r="C31" t="s">
        <v>536</v>
      </c>
      <c r="D31">
        <v>7000</v>
      </c>
      <c r="E31">
        <v>2271</v>
      </c>
      <c r="F31">
        <v>1</v>
      </c>
      <c r="G31">
        <v>27252</v>
      </c>
      <c r="H31">
        <v>0.33</v>
      </c>
      <c r="I31" t="s">
        <v>510</v>
      </c>
      <c r="J31" s="4">
        <v>8993.16</v>
      </c>
    </row>
    <row r="32" spans="1:10" ht="25.5">
      <c r="A32" s="1" t="s">
        <v>778</v>
      </c>
      <c r="B32" s="437" t="s">
        <v>537</v>
      </c>
      <c r="C32" t="s">
        <v>538</v>
      </c>
      <c r="D32">
        <v>11726</v>
      </c>
      <c r="E32">
        <v>6957</v>
      </c>
      <c r="F32">
        <v>1</v>
      </c>
      <c r="G32">
        <v>83484</v>
      </c>
      <c r="H32">
        <v>0.33</v>
      </c>
      <c r="I32" t="s">
        <v>510</v>
      </c>
      <c r="J32" s="4">
        <v>27549.72</v>
      </c>
    </row>
    <row r="33" spans="1:10">
      <c r="A33" s="1" t="s">
        <v>778</v>
      </c>
      <c r="B33" t="s">
        <v>539</v>
      </c>
      <c r="C33">
        <v>27</v>
      </c>
      <c r="D33">
        <v>2974</v>
      </c>
      <c r="E33">
        <v>220</v>
      </c>
      <c r="F33">
        <v>1</v>
      </c>
      <c r="G33">
        <v>2640</v>
      </c>
      <c r="H33">
        <v>0.33</v>
      </c>
      <c r="I33" t="s">
        <v>510</v>
      </c>
      <c r="J33" s="4">
        <v>871.2</v>
      </c>
    </row>
    <row r="34" spans="1:10">
      <c r="A34" s="1" t="s">
        <v>778</v>
      </c>
      <c r="B34" t="s">
        <v>540</v>
      </c>
      <c r="C34">
        <v>28</v>
      </c>
      <c r="D34">
        <v>4501</v>
      </c>
      <c r="E34">
        <v>761</v>
      </c>
      <c r="F34">
        <v>1</v>
      </c>
      <c r="G34">
        <v>9132</v>
      </c>
      <c r="H34">
        <v>0.33</v>
      </c>
      <c r="I34" t="s">
        <v>510</v>
      </c>
      <c r="J34" s="4">
        <v>3013.56</v>
      </c>
    </row>
    <row r="35" spans="1:10">
      <c r="A35" s="1" t="s">
        <v>778</v>
      </c>
      <c r="B35" t="s">
        <v>541</v>
      </c>
      <c r="C35">
        <v>29</v>
      </c>
      <c r="D35">
        <v>8090</v>
      </c>
      <c r="E35" s="439">
        <v>4998</v>
      </c>
      <c r="F35">
        <v>1</v>
      </c>
      <c r="G35">
        <v>59976</v>
      </c>
      <c r="H35">
        <v>0.33</v>
      </c>
      <c r="I35" t="s">
        <v>510</v>
      </c>
      <c r="J35" s="4">
        <v>19792.080000000002</v>
      </c>
    </row>
    <row r="36" spans="1:10" ht="13.5" thickBot="1">
      <c r="A36" s="1" t="s">
        <v>778</v>
      </c>
      <c r="B36" t="s">
        <v>542</v>
      </c>
      <c r="C36">
        <v>30</v>
      </c>
      <c r="D36">
        <v>9930</v>
      </c>
      <c r="E36" s="439">
        <v>3076</v>
      </c>
      <c r="F36">
        <v>1</v>
      </c>
      <c r="G36">
        <v>36912</v>
      </c>
      <c r="H36">
        <v>0.33</v>
      </c>
      <c r="I36" t="s">
        <v>510</v>
      </c>
      <c r="J36" s="4">
        <v>12180.96</v>
      </c>
    </row>
    <row r="37" spans="1:10" ht="13.5" thickBot="1">
      <c r="A37" s="899" t="s">
        <v>780</v>
      </c>
      <c r="B37" s="900"/>
      <c r="C37" s="900"/>
      <c r="D37" s="900"/>
      <c r="E37" s="900"/>
      <c r="F37" s="900"/>
      <c r="G37" s="900"/>
      <c r="H37" s="900"/>
      <c r="I37" s="900"/>
      <c r="J37" s="901">
        <f>SUM(J28:J36)</f>
        <v>95550.84</v>
      </c>
    </row>
    <row r="38" spans="1:10">
      <c r="A38" s="440"/>
      <c r="B38" s="440"/>
      <c r="C38" s="440"/>
      <c r="D38" s="440"/>
      <c r="E38" s="440"/>
      <c r="F38" s="440"/>
      <c r="G38" s="440"/>
      <c r="H38" s="440"/>
      <c r="I38" s="440"/>
      <c r="J38" s="441"/>
    </row>
    <row r="39" spans="1:10">
      <c r="B39" s="426" t="s">
        <v>543</v>
      </c>
      <c r="J39" s="4">
        <f>J37+J27+J23+J9</f>
        <v>2687323.32</v>
      </c>
    </row>
    <row r="40" spans="1:10">
      <c r="J40" s="4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3"/>
  </sheetPr>
  <dimension ref="B2:L38"/>
  <sheetViews>
    <sheetView topLeftCell="A10" zoomScale="90" zoomScaleNormal="90" workbookViewId="0">
      <selection activeCell="C26" sqref="C26:I37"/>
    </sheetView>
  </sheetViews>
  <sheetFormatPr defaultColWidth="10.85546875" defaultRowHeight="15"/>
  <cols>
    <col min="1" max="1" width="10.85546875" style="100"/>
    <col min="2" max="2" width="33.140625" style="100" bestFit="1" customWidth="1"/>
    <col min="3" max="3" width="36.140625" style="100" bestFit="1" customWidth="1"/>
    <col min="4" max="4" width="11.42578125" style="100" bestFit="1" customWidth="1"/>
    <col min="5" max="5" width="13.140625" style="100" bestFit="1" customWidth="1"/>
    <col min="6" max="6" width="12.85546875" style="100" bestFit="1" customWidth="1"/>
    <col min="7" max="8" width="14.42578125" style="100" bestFit="1" customWidth="1"/>
    <col min="9" max="9" width="27.42578125" style="100" customWidth="1"/>
    <col min="10" max="10" width="23.42578125" style="100" bestFit="1" customWidth="1"/>
    <col min="11" max="11" width="10.85546875" style="100"/>
    <col min="12" max="12" width="11.42578125" style="100" bestFit="1" customWidth="1"/>
    <col min="13" max="13" width="12.42578125" style="100" bestFit="1" customWidth="1"/>
    <col min="14" max="16" width="10.85546875" style="100"/>
    <col min="17" max="17" width="11.42578125" style="100" bestFit="1" customWidth="1"/>
    <col min="18" max="16384" width="10.85546875" style="100"/>
  </cols>
  <sheetData>
    <row r="2" spans="2:10" ht="15.75" thickBot="1"/>
    <row r="3" spans="2:10" ht="30" customHeight="1">
      <c r="B3" s="546" t="s">
        <v>544</v>
      </c>
      <c r="C3" s="547"/>
      <c r="D3" s="547"/>
      <c r="E3" s="547"/>
      <c r="F3" s="547"/>
      <c r="G3" s="547"/>
      <c r="H3" s="547"/>
      <c r="I3" s="547"/>
      <c r="J3" s="548"/>
    </row>
    <row r="4" spans="2:10" ht="15.75">
      <c r="B4" s="198"/>
      <c r="C4" s="208"/>
      <c r="D4" s="208" t="s">
        <v>545</v>
      </c>
      <c r="E4" s="208"/>
      <c r="F4" s="208" t="s">
        <v>121</v>
      </c>
      <c r="G4" s="208" t="s">
        <v>125</v>
      </c>
      <c r="H4" s="208" t="s">
        <v>126</v>
      </c>
      <c r="I4" s="208" t="s">
        <v>127</v>
      </c>
      <c r="J4" s="209" t="s">
        <v>70</v>
      </c>
    </row>
    <row r="5" spans="2:10">
      <c r="B5" s="218" t="s">
        <v>546</v>
      </c>
      <c r="C5" s="208"/>
      <c r="D5" s="208"/>
      <c r="E5" s="208"/>
      <c r="F5" s="208"/>
      <c r="G5" s="208"/>
      <c r="H5" s="208"/>
      <c r="I5" s="208"/>
      <c r="J5" s="209"/>
    </row>
    <row r="6" spans="2:10">
      <c r="B6" s="202" t="s">
        <v>547</v>
      </c>
      <c r="C6" s="226"/>
      <c r="D6" s="227" t="s">
        <v>92</v>
      </c>
      <c r="E6" s="226"/>
      <c r="F6" s="226"/>
      <c r="G6" s="160">
        <f>$C26*G26</f>
        <v>0</v>
      </c>
      <c r="H6" s="160">
        <f t="shared" ref="H6:I6" si="0">$C26*H26</f>
        <v>0</v>
      </c>
      <c r="I6" s="160">
        <f t="shared" si="0"/>
        <v>0</v>
      </c>
      <c r="J6" s="219">
        <f>SUM(G6:I6)</f>
        <v>0</v>
      </c>
    </row>
    <row r="7" spans="2:10">
      <c r="B7" s="202" t="s">
        <v>548</v>
      </c>
      <c r="C7" s="226"/>
      <c r="D7" s="227" t="s">
        <v>92</v>
      </c>
      <c r="E7" s="226"/>
      <c r="F7" s="226"/>
      <c r="G7" s="160">
        <f t="shared" ref="G7:I7" si="1">$C27*G27</f>
        <v>404737.5</v>
      </c>
      <c r="H7" s="160">
        <f t="shared" si="1"/>
        <v>0</v>
      </c>
      <c r="I7" s="160">
        <f t="shared" si="1"/>
        <v>426345</v>
      </c>
      <c r="J7" s="219">
        <f t="shared" ref="J7:J8" si="2">SUM(G7:I7)</f>
        <v>831082.5</v>
      </c>
    </row>
    <row r="8" spans="2:10">
      <c r="B8" s="202" t="s">
        <v>549</v>
      </c>
      <c r="C8" s="226"/>
      <c r="D8" s="227" t="s">
        <v>91</v>
      </c>
      <c r="E8" s="226"/>
      <c r="F8" s="226"/>
      <c r="G8" s="160">
        <f t="shared" ref="G8:I10" si="3">$C28*G28</f>
        <v>0</v>
      </c>
      <c r="H8" s="160">
        <f t="shared" si="3"/>
        <v>0</v>
      </c>
      <c r="I8" s="160">
        <f t="shared" si="3"/>
        <v>0</v>
      </c>
      <c r="J8" s="219">
        <f t="shared" si="2"/>
        <v>0</v>
      </c>
    </row>
    <row r="9" spans="2:10">
      <c r="B9" s="203" t="s">
        <v>93</v>
      </c>
      <c r="C9" s="226"/>
      <c r="D9" s="227"/>
      <c r="E9" s="226"/>
      <c r="F9" s="226"/>
      <c r="G9" s="160"/>
      <c r="H9" s="160"/>
      <c r="I9" s="160"/>
      <c r="J9" s="219"/>
    </row>
    <row r="10" spans="2:10">
      <c r="B10" s="202" t="s">
        <v>550</v>
      </c>
      <c r="C10" s="226"/>
      <c r="D10" s="227" t="s">
        <v>92</v>
      </c>
      <c r="E10" s="226"/>
      <c r="F10" s="226"/>
      <c r="G10" s="160">
        <f t="shared" si="3"/>
        <v>560000</v>
      </c>
      <c r="H10" s="160">
        <f t="shared" si="3"/>
        <v>322000</v>
      </c>
      <c r="I10" s="160">
        <f t="shared" si="3"/>
        <v>1176000</v>
      </c>
      <c r="J10" s="219">
        <f t="shared" ref="J10:J17" si="4">SUM(G10:I10)</f>
        <v>2058000</v>
      </c>
    </row>
    <row r="11" spans="2:10">
      <c r="B11" s="202" t="s">
        <v>551</v>
      </c>
      <c r="C11" s="226"/>
      <c r="D11" s="227"/>
      <c r="E11" s="226"/>
      <c r="F11" s="226"/>
      <c r="G11" s="160"/>
      <c r="H11" s="160"/>
      <c r="I11" s="160"/>
      <c r="J11" s="219"/>
    </row>
    <row r="12" spans="2:10">
      <c r="B12" s="204" t="s">
        <v>552</v>
      </c>
      <c r="C12" s="226"/>
      <c r="D12" s="227" t="s">
        <v>91</v>
      </c>
      <c r="E12" s="226"/>
      <c r="F12" s="226"/>
      <c r="G12" s="160">
        <f t="shared" ref="G12:I12" si="5">$C32*G32</f>
        <v>0</v>
      </c>
      <c r="H12" s="160">
        <f t="shared" si="5"/>
        <v>0</v>
      </c>
      <c r="I12" s="160">
        <f t="shared" si="5"/>
        <v>0</v>
      </c>
      <c r="J12" s="219">
        <f t="shared" ref="J12:J14" si="6">SUM(G12:I12)</f>
        <v>0</v>
      </c>
    </row>
    <row r="13" spans="2:10">
      <c r="B13" s="204" t="s">
        <v>553</v>
      </c>
      <c r="C13" s="226"/>
      <c r="D13" s="227" t="s">
        <v>91</v>
      </c>
      <c r="E13" s="226"/>
      <c r="F13" s="226"/>
      <c r="G13" s="160">
        <f t="shared" ref="G13:I13" si="7">$C33*G33</f>
        <v>0</v>
      </c>
      <c r="H13" s="160">
        <f t="shared" si="7"/>
        <v>0</v>
      </c>
      <c r="I13" s="160">
        <f t="shared" si="7"/>
        <v>0</v>
      </c>
      <c r="J13" s="219">
        <f t="shared" si="6"/>
        <v>0</v>
      </c>
    </row>
    <row r="14" spans="2:10">
      <c r="B14" s="204" t="s">
        <v>554</v>
      </c>
      <c r="C14" s="226"/>
      <c r="D14" s="227" t="s">
        <v>91</v>
      </c>
      <c r="E14" s="226"/>
      <c r="F14" s="226"/>
      <c r="G14" s="160">
        <f t="shared" ref="G14:I15" si="8">$C34*G34</f>
        <v>0</v>
      </c>
      <c r="H14" s="160">
        <f t="shared" si="8"/>
        <v>0</v>
      </c>
      <c r="I14" s="160">
        <f t="shared" si="8"/>
        <v>0</v>
      </c>
      <c r="J14" s="219">
        <f t="shared" si="6"/>
        <v>0</v>
      </c>
    </row>
    <row r="15" spans="2:10">
      <c r="B15" s="203" t="s">
        <v>102</v>
      </c>
      <c r="C15" s="226"/>
      <c r="D15" s="227" t="s">
        <v>91</v>
      </c>
      <c r="E15" s="226"/>
      <c r="F15" s="226"/>
      <c r="G15" s="160">
        <f t="shared" si="8"/>
        <v>3414285.7142857141</v>
      </c>
      <c r="H15" s="160">
        <f t="shared" si="8"/>
        <v>0</v>
      </c>
      <c r="I15" s="160">
        <f t="shared" si="8"/>
        <v>0</v>
      </c>
      <c r="J15" s="219">
        <f t="shared" si="4"/>
        <v>3414285.7142857141</v>
      </c>
    </row>
    <row r="16" spans="2:10">
      <c r="B16" s="826" t="s">
        <v>767</v>
      </c>
      <c r="C16" s="827"/>
      <c r="D16" s="827" t="s">
        <v>92</v>
      </c>
      <c r="E16" s="827"/>
      <c r="F16" s="827"/>
      <c r="G16" s="828">
        <v>400000</v>
      </c>
      <c r="H16" s="828">
        <v>50000</v>
      </c>
      <c r="I16" s="828">
        <v>50000</v>
      </c>
      <c r="J16" s="829">
        <f>SUM(G16:I16)</f>
        <v>500000</v>
      </c>
    </row>
    <row r="17" spans="2:12">
      <c r="B17" s="203" t="s">
        <v>555</v>
      </c>
      <c r="C17" s="226"/>
      <c r="D17" s="227" t="s">
        <v>92</v>
      </c>
      <c r="E17" s="226"/>
      <c r="F17" s="226"/>
      <c r="G17" s="160">
        <f>$C37*G37</f>
        <v>40000</v>
      </c>
      <c r="H17" s="160">
        <f>$C37*H37</f>
        <v>0</v>
      </c>
      <c r="I17" s="160">
        <f>$C37*I37</f>
        <v>0</v>
      </c>
      <c r="J17" s="219">
        <f t="shared" si="4"/>
        <v>40000</v>
      </c>
    </row>
    <row r="18" spans="2:12" ht="15.75">
      <c r="B18" s="205" t="s">
        <v>556</v>
      </c>
      <c r="C18" s="199"/>
      <c r="D18" s="199" t="s">
        <v>92</v>
      </c>
      <c r="E18" s="199"/>
      <c r="F18" s="199"/>
      <c r="G18" s="222">
        <f t="shared" ref="G18:I19" si="9">SUMIF($D$6:$D$17,"="&amp;$D18,G$6:G$17)</f>
        <v>1404737.5</v>
      </c>
      <c r="H18" s="222">
        <f t="shared" si="9"/>
        <v>372000</v>
      </c>
      <c r="I18" s="222">
        <f t="shared" si="9"/>
        <v>1652345</v>
      </c>
      <c r="J18" s="223">
        <f>SUM(G18:I18)</f>
        <v>3429082.5</v>
      </c>
    </row>
    <row r="19" spans="2:12" ht="15.75">
      <c r="B19" s="206" t="s">
        <v>557</v>
      </c>
      <c r="C19" s="200"/>
      <c r="D19" s="200" t="s">
        <v>91</v>
      </c>
      <c r="E19" s="200"/>
      <c r="F19" s="200"/>
      <c r="G19" s="224">
        <f t="shared" si="9"/>
        <v>3414285.7142857141</v>
      </c>
      <c r="H19" s="224">
        <f t="shared" si="9"/>
        <v>0</v>
      </c>
      <c r="I19" s="224">
        <f t="shared" si="9"/>
        <v>0</v>
      </c>
      <c r="J19" s="225">
        <f>SUM(G19:I19)</f>
        <v>3414285.7142857141</v>
      </c>
    </row>
    <row r="20" spans="2:12" ht="16.5" thickBot="1">
      <c r="B20" s="207" t="s">
        <v>70</v>
      </c>
      <c r="C20" s="201"/>
      <c r="D20" s="201"/>
      <c r="E20" s="201"/>
      <c r="F20" s="201"/>
      <c r="G20" s="220">
        <f>SUM(G6:G18)</f>
        <v>6223760.7142857146</v>
      </c>
      <c r="H20" s="220">
        <f>SUM(H6:H17)</f>
        <v>372000</v>
      </c>
      <c r="I20" s="220">
        <f>SUM(I6:I17)</f>
        <v>1652345</v>
      </c>
      <c r="J20" s="221">
        <f>SUM(J6:J17)</f>
        <v>6843368.2142857146</v>
      </c>
      <c r="K20" s="210"/>
    </row>
    <row r="21" spans="2:12" ht="15.75">
      <c r="B21" s="211"/>
      <c r="C21" s="197"/>
      <c r="D21" s="197"/>
      <c r="E21" s="197"/>
      <c r="F21" s="197"/>
      <c r="G21" s="212"/>
      <c r="H21" s="212"/>
      <c r="I21" s="212"/>
      <c r="J21" s="212"/>
      <c r="K21" s="210"/>
    </row>
    <row r="22" spans="2:12" ht="16.5" thickBot="1">
      <c r="G22" s="213"/>
      <c r="H22" s="214"/>
    </row>
    <row r="23" spans="2:12" ht="15.75">
      <c r="B23" s="546" t="s">
        <v>558</v>
      </c>
      <c r="C23" s="547"/>
      <c r="D23" s="547"/>
      <c r="E23" s="547"/>
      <c r="F23" s="547"/>
      <c r="G23" s="547"/>
      <c r="H23" s="547"/>
      <c r="I23" s="547"/>
      <c r="J23" s="548"/>
    </row>
    <row r="24" spans="2:12">
      <c r="B24" s="203"/>
      <c r="C24" s="208" t="s">
        <v>559</v>
      </c>
      <c r="D24" s="208" t="s">
        <v>152</v>
      </c>
      <c r="E24" s="208"/>
      <c r="F24" s="208" t="s">
        <v>121</v>
      </c>
      <c r="G24" s="208" t="s">
        <v>125</v>
      </c>
      <c r="H24" s="208" t="s">
        <v>126</v>
      </c>
      <c r="I24" s="208" t="s">
        <v>127</v>
      </c>
      <c r="J24" s="209" t="s">
        <v>70</v>
      </c>
    </row>
    <row r="25" spans="2:12" ht="15.75">
      <c r="B25" s="203" t="s">
        <v>560</v>
      </c>
      <c r="C25" s="208"/>
      <c r="D25" s="208"/>
      <c r="E25" s="208"/>
      <c r="F25" s="208"/>
      <c r="G25" s="208"/>
      <c r="H25" s="208"/>
      <c r="I25" s="208"/>
      <c r="J25" s="209"/>
      <c r="K25" s="196"/>
    </row>
    <row r="26" spans="2:12" ht="15.75">
      <c r="B26" s="202" t="s">
        <v>547</v>
      </c>
      <c r="C26" s="895">
        <v>30</v>
      </c>
      <c r="D26" s="227" t="s">
        <v>474</v>
      </c>
      <c r="E26" s="227"/>
      <c r="F26" s="227"/>
      <c r="G26" s="896">
        <f>'Parcel Breakdown'!H677098</f>
        <v>0</v>
      </c>
      <c r="H26" s="896">
        <v>0</v>
      </c>
      <c r="I26" s="896">
        <v>0</v>
      </c>
      <c r="J26" s="232">
        <f>SUM(G26:I26)</f>
        <v>0</v>
      </c>
      <c r="K26" s="215"/>
    </row>
    <row r="27" spans="2:12" ht="15.75">
      <c r="B27" s="202" t="s">
        <v>548</v>
      </c>
      <c r="C27" s="895">
        <f>25%*C26</f>
        <v>7.5</v>
      </c>
      <c r="D27" s="227" t="s">
        <v>474</v>
      </c>
      <c r="E27" s="227"/>
      <c r="F27" s="227"/>
      <c r="G27" s="896">
        <v>53965</v>
      </c>
      <c r="H27" s="896">
        <v>0</v>
      </c>
      <c r="I27" s="896">
        <v>56846</v>
      </c>
      <c r="J27" s="232">
        <f t="shared" ref="J27:J35" si="10">SUM(G27:I27)</f>
        <v>110811</v>
      </c>
      <c r="K27" s="215"/>
      <c r="L27" s="235"/>
    </row>
    <row r="28" spans="2:12" ht="15.75">
      <c r="B28" s="202" t="s">
        <v>549</v>
      </c>
      <c r="C28" s="895">
        <v>10</v>
      </c>
      <c r="D28" s="227" t="s">
        <v>474</v>
      </c>
      <c r="E28" s="227"/>
      <c r="F28" s="227"/>
      <c r="G28" s="896"/>
      <c r="H28" s="896">
        <v>0</v>
      </c>
      <c r="I28" s="896">
        <v>0</v>
      </c>
      <c r="J28" s="232"/>
      <c r="K28" s="215"/>
      <c r="L28" s="235"/>
    </row>
    <row r="29" spans="2:12" ht="15.75">
      <c r="B29" s="203" t="s">
        <v>561</v>
      </c>
      <c r="C29" s="895"/>
      <c r="D29" s="227"/>
      <c r="E29" s="227"/>
      <c r="F29" s="227"/>
      <c r="G29" s="227"/>
      <c r="H29" s="227"/>
      <c r="I29" s="227"/>
      <c r="J29" s="233"/>
      <c r="K29" s="216"/>
    </row>
    <row r="30" spans="2:12" ht="15.75">
      <c r="B30" s="202" t="s">
        <v>550</v>
      </c>
      <c r="C30" s="895">
        <v>28</v>
      </c>
      <c r="D30" s="227" t="s">
        <v>474</v>
      </c>
      <c r="E30" s="227"/>
      <c r="F30" s="227"/>
      <c r="G30" s="896">
        <v>20000</v>
      </c>
      <c r="H30" s="896">
        <v>11500</v>
      </c>
      <c r="I30" s="896">
        <v>42000</v>
      </c>
      <c r="J30" s="232">
        <f t="shared" si="10"/>
        <v>73500</v>
      </c>
      <c r="K30" s="215"/>
    </row>
    <row r="31" spans="2:12" ht="15.75">
      <c r="B31" s="202" t="s">
        <v>551</v>
      </c>
      <c r="C31" s="895"/>
      <c r="D31" s="227"/>
      <c r="E31" s="227"/>
      <c r="F31" s="227"/>
      <c r="G31" s="896"/>
      <c r="H31" s="896"/>
      <c r="I31" s="896"/>
      <c r="J31" s="232"/>
      <c r="K31" s="215"/>
    </row>
    <row r="32" spans="2:12" ht="15.75">
      <c r="B32" s="204" t="s">
        <v>552</v>
      </c>
      <c r="C32" s="895">
        <v>22</v>
      </c>
      <c r="D32" s="227" t="s">
        <v>474</v>
      </c>
      <c r="E32" s="227"/>
      <c r="F32" s="227"/>
      <c r="G32" s="896">
        <v>0</v>
      </c>
      <c r="H32" s="896"/>
      <c r="I32" s="896"/>
      <c r="J32" s="232">
        <f t="shared" si="10"/>
        <v>0</v>
      </c>
      <c r="K32" s="215"/>
    </row>
    <row r="33" spans="2:12" ht="15.75">
      <c r="B33" s="204" t="s">
        <v>553</v>
      </c>
      <c r="C33" s="895">
        <v>18</v>
      </c>
      <c r="D33" s="227" t="s">
        <v>474</v>
      </c>
      <c r="E33" s="227"/>
      <c r="F33" s="227"/>
      <c r="G33" s="896">
        <v>0</v>
      </c>
      <c r="H33" s="896">
        <v>0</v>
      </c>
      <c r="I33" s="896"/>
      <c r="J33" s="232">
        <f t="shared" si="10"/>
        <v>0</v>
      </c>
      <c r="K33" s="215"/>
    </row>
    <row r="34" spans="2:12" ht="15.75">
      <c r="B34" s="204" t="s">
        <v>554</v>
      </c>
      <c r="C34" s="895">
        <v>14</v>
      </c>
      <c r="D34" s="227" t="s">
        <v>474</v>
      </c>
      <c r="E34" s="227"/>
      <c r="F34" s="227"/>
      <c r="G34" s="896">
        <v>0</v>
      </c>
      <c r="H34" s="896">
        <v>0</v>
      </c>
      <c r="I34" s="896">
        <v>0</v>
      </c>
      <c r="J34" s="232">
        <f t="shared" si="10"/>
        <v>0</v>
      </c>
      <c r="K34" s="215"/>
    </row>
    <row r="35" spans="2:12" ht="18.75">
      <c r="B35" s="203" t="s">
        <v>562</v>
      </c>
      <c r="C35" s="895">
        <f>23900000 / 7</f>
        <v>3414285.7142857141</v>
      </c>
      <c r="D35" s="227"/>
      <c r="E35" s="227"/>
      <c r="F35" s="227"/>
      <c r="G35" s="227">
        <v>1</v>
      </c>
      <c r="H35" s="227"/>
      <c r="I35" s="227">
        <v>0</v>
      </c>
      <c r="J35" s="233">
        <f t="shared" si="10"/>
        <v>1</v>
      </c>
      <c r="K35" s="216"/>
    </row>
    <row r="36" spans="2:12" ht="15.75">
      <c r="B36" s="203" t="s">
        <v>767</v>
      </c>
      <c r="C36" s="895">
        <v>500000</v>
      </c>
      <c r="D36" s="227" t="s">
        <v>563</v>
      </c>
      <c r="E36" s="227"/>
      <c r="F36" s="227"/>
      <c r="G36" s="227">
        <v>1</v>
      </c>
      <c r="H36" s="227">
        <v>0</v>
      </c>
      <c r="I36" s="227">
        <v>0</v>
      </c>
      <c r="J36" s="233">
        <f>SUM(G36:I36)</f>
        <v>1</v>
      </c>
      <c r="K36" s="216"/>
    </row>
    <row r="37" spans="2:12">
      <c r="B37" s="553" t="s">
        <v>555</v>
      </c>
      <c r="C37" s="897">
        <v>40000</v>
      </c>
      <c r="D37" s="898" t="s">
        <v>563</v>
      </c>
      <c r="E37" s="898"/>
      <c r="F37" s="898"/>
      <c r="G37" s="898">
        <v>1</v>
      </c>
      <c r="H37" s="898">
        <v>0</v>
      </c>
      <c r="I37" s="898">
        <v>0</v>
      </c>
      <c r="J37" s="554">
        <f>SUM(G37:I37)</f>
        <v>1</v>
      </c>
    </row>
    <row r="38" spans="2:12" ht="15.75">
      <c r="B38" s="234" t="s">
        <v>464</v>
      </c>
      <c r="C38" s="197"/>
      <c r="D38" s="197"/>
      <c r="E38" s="197"/>
      <c r="F38" s="197"/>
      <c r="G38" s="197"/>
      <c r="H38" s="216"/>
      <c r="L38" s="217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3"/>
  </sheetPr>
  <dimension ref="C1:E17"/>
  <sheetViews>
    <sheetView zoomScale="85" zoomScaleNormal="85" workbookViewId="0">
      <selection activeCell="G21" sqref="G21"/>
    </sheetView>
  </sheetViews>
  <sheetFormatPr defaultColWidth="10.85546875" defaultRowHeight="15"/>
  <cols>
    <col min="1" max="2" width="10.85546875" style="100"/>
    <col min="3" max="3" width="34.42578125" style="100" bestFit="1" customWidth="1"/>
    <col min="4" max="6" width="29.42578125" style="100" customWidth="1"/>
    <col min="7" max="7" width="22.42578125" style="100" customWidth="1"/>
    <col min="8" max="8" width="23.42578125" style="100" customWidth="1"/>
    <col min="9" max="9" width="10.85546875" style="100"/>
    <col min="10" max="10" width="13" style="100" bestFit="1" customWidth="1"/>
    <col min="11" max="11" width="12.42578125" style="100" bestFit="1" customWidth="1"/>
    <col min="12" max="16384" width="10.85546875" style="100"/>
  </cols>
  <sheetData>
    <row r="1" spans="3:5" ht="15.75" thickBot="1"/>
    <row r="2" spans="3:5" ht="15.75">
      <c r="C2" s="884" t="s">
        <v>564</v>
      </c>
      <c r="D2" s="884"/>
      <c r="E2" s="884"/>
    </row>
    <row r="3" spans="3:5" ht="15.75">
      <c r="C3" s="228" t="s">
        <v>565</v>
      </c>
      <c r="D3" s="229" t="s">
        <v>121</v>
      </c>
      <c r="E3" s="230"/>
    </row>
    <row r="4" spans="3:5">
      <c r="C4" s="889">
        <f>'Parcel x Block Info'!L3</f>
        <v>1</v>
      </c>
      <c r="D4" s="227" t="s">
        <v>127</v>
      </c>
      <c r="E4" s="890">
        <f>'Parcel x Block Info'!M3</f>
        <v>23813612</v>
      </c>
    </row>
    <row r="5" spans="3:5">
      <c r="C5" s="889">
        <f>'Parcel x Block Info'!L4</f>
        <v>2</v>
      </c>
      <c r="D5" s="227" t="s">
        <v>787</v>
      </c>
      <c r="E5" s="891">
        <f>'Parcel x Block Info'!M4</f>
        <v>7804500</v>
      </c>
    </row>
    <row r="6" spans="3:5">
      <c r="C6" s="889">
        <f>'Parcel x Block Info'!L5</f>
        <v>3</v>
      </c>
      <c r="D6" s="227" t="s">
        <v>787</v>
      </c>
      <c r="E6" s="891">
        <f>'Parcel x Block Info'!M5</f>
        <v>4258500</v>
      </c>
    </row>
    <row r="7" spans="3:5">
      <c r="C7" s="889">
        <f>'Parcel x Block Info'!L6</f>
        <v>4</v>
      </c>
      <c r="D7" s="227" t="s">
        <v>126</v>
      </c>
      <c r="E7" s="891">
        <f>'Parcel x Block Info'!M6</f>
        <v>7473750</v>
      </c>
    </row>
    <row r="8" spans="3:5">
      <c r="C8" s="889">
        <f>'Parcel x Block Info'!L7</f>
        <v>5</v>
      </c>
      <c r="D8" s="227" t="s">
        <v>126</v>
      </c>
      <c r="E8" s="890">
        <f>'Parcel x Block Info'!M7</f>
        <v>0</v>
      </c>
    </row>
    <row r="9" spans="3:5">
      <c r="C9" s="889" t="str">
        <f>'Parcel x Block Info'!L8</f>
        <v>5A</v>
      </c>
      <c r="D9" s="227" t="s">
        <v>125</v>
      </c>
      <c r="E9" s="891">
        <f>'Parcel x Block Info'!M8</f>
        <v>0</v>
      </c>
    </row>
    <row r="10" spans="3:5">
      <c r="C10" s="889">
        <f>'Parcel x Block Info'!L9</f>
        <v>6</v>
      </c>
      <c r="D10" s="227" t="s">
        <v>127</v>
      </c>
      <c r="E10" s="891">
        <f>'Parcel x Block Info'!M9</f>
        <v>11440000</v>
      </c>
    </row>
    <row r="11" spans="3:5">
      <c r="C11" s="889">
        <f>'Parcel x Block Info'!L10</f>
        <v>7</v>
      </c>
      <c r="D11" s="227" t="s">
        <v>126</v>
      </c>
      <c r="E11" s="891">
        <f>'Parcel x Block Info'!M10</f>
        <v>6288615</v>
      </c>
    </row>
    <row r="12" spans="3:5">
      <c r="C12" s="889">
        <f>'Parcel x Block Info'!L11</f>
        <v>8</v>
      </c>
      <c r="D12" s="227" t="s">
        <v>787</v>
      </c>
      <c r="E12" s="890">
        <f>'Parcel x Block Info'!M11</f>
        <v>6922825</v>
      </c>
    </row>
    <row r="13" spans="3:5">
      <c r="C13" s="889">
        <f>'Parcel x Block Info'!L12</f>
        <v>9</v>
      </c>
      <c r="D13" s="227" t="s">
        <v>127</v>
      </c>
      <c r="E13" s="891">
        <f>'Parcel x Block Info'!M12</f>
        <v>1575000</v>
      </c>
    </row>
    <row r="14" spans="3:5" ht="16.5" thickBot="1">
      <c r="C14" s="892" t="s">
        <v>70</v>
      </c>
      <c r="D14" s="893"/>
      <c r="E14" s="894">
        <f>SUM(E4:E13)</f>
        <v>69576802</v>
      </c>
    </row>
    <row r="15" spans="3:5">
      <c r="C15" s="399" t="s">
        <v>566</v>
      </c>
    </row>
    <row r="16" spans="3:5">
      <c r="C16" s="234"/>
    </row>
    <row r="17" spans="4:5" ht="15.75">
      <c r="D17" s="217"/>
      <c r="E17" s="238"/>
    </row>
  </sheetData>
  <mergeCells count="1">
    <mergeCell ref="C2:E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2</vt:i4>
      </vt:variant>
    </vt:vector>
  </HeadingPairs>
  <TitlesOfParts>
    <vt:vector size="18" baseType="lpstr">
      <vt:lpstr>Assumptions</vt:lpstr>
      <vt:lpstr>Summary II</vt:lpstr>
      <vt:lpstr>S&amp;U</vt:lpstr>
      <vt:lpstr>Budget</vt:lpstr>
      <vt:lpstr>Parcel Breakdown</vt:lpstr>
      <vt:lpstr>Parcel x Block Info</vt:lpstr>
      <vt:lpstr>Demolition</vt:lpstr>
      <vt:lpstr>Infrastructure</vt:lpstr>
      <vt:lpstr>Acquisition</vt:lpstr>
      <vt:lpstr>Loan Sizing</vt:lpstr>
      <vt:lpstr>Phase I Pro Forma</vt:lpstr>
      <vt:lpstr>Phase II Pro Forma</vt:lpstr>
      <vt:lpstr>Phase III Pro Forma</vt:lpstr>
      <vt:lpstr>Cash Flow Roll-up</vt:lpstr>
      <vt:lpstr>Public Benefits</vt:lpstr>
      <vt:lpstr>Official Summary</vt:lpstr>
      <vt:lpstr>'Official Summary'!Print_Area</vt:lpstr>
      <vt:lpstr>'Summary II'!Print_Area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Annie Finkenbinder-Best</dc:creator>
  <cp:keywords/>
  <dc:description/>
  <cp:lastModifiedBy>Felchner, Stacy G</cp:lastModifiedBy>
  <cp:revision/>
  <cp:lastPrinted>2020-01-26T22:54:52Z</cp:lastPrinted>
  <dcterms:created xsi:type="dcterms:W3CDTF">2007-12-12T14:49:40Z</dcterms:created>
  <dcterms:modified xsi:type="dcterms:W3CDTF">2020-01-27T19:17:54Z</dcterms:modified>
  <cp:category/>
  <cp:contentStatus/>
</cp:coreProperties>
</file>